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comments2.xml" ContentType="application/vnd.openxmlformats-officedocument.spreadsheetml.comments+xml"/>
  <Override PartName="/xl/tables/table31.xml" ContentType="application/vnd.openxmlformats-officedocument.spreadsheetml.table+xml"/>
  <Override PartName="/xl/comments3.xml" ContentType="application/vnd.openxmlformats-officedocument.spreadsheetml.comments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tables/table78.xml" ContentType="application/vnd.openxmlformats-officedocument.spreadsheetml.table+xml"/>
  <Override PartName="/xl/tables/table79.xml" ContentType="application/vnd.openxmlformats-officedocument.spreadsheetml.table+xml"/>
  <Override PartName="/xl/tables/table80.xml" ContentType="application/vnd.openxmlformats-officedocument.spreadsheetml.table+xml"/>
  <Override PartName="/xl/tables/table81.xml" ContentType="application/vnd.openxmlformats-officedocument.spreadsheetml.table+xml"/>
  <Override PartName="/xl/tables/table82.xml" ContentType="application/vnd.openxmlformats-officedocument.spreadsheetml.table+xml"/>
  <Override PartName="/xl/tables/table83.xml" ContentType="application/vnd.openxmlformats-officedocument.spreadsheetml.table+xml"/>
  <Override PartName="/xl/tables/table84.xml" ContentType="application/vnd.openxmlformats-officedocument.spreadsheetml.table+xml"/>
  <Override PartName="/xl/tables/table85.xml" ContentType="application/vnd.openxmlformats-officedocument.spreadsheetml.table+xml"/>
  <Override PartName="/xl/tables/table86.xml" ContentType="application/vnd.openxmlformats-officedocument.spreadsheetml.table+xml"/>
  <Override PartName="/xl/tables/table87.xml" ContentType="application/vnd.openxmlformats-officedocument.spreadsheetml.table+xml"/>
  <Override PartName="/xl/tables/table88.xml" ContentType="application/vnd.openxmlformats-officedocument.spreadsheetml.table+xml"/>
  <Override PartName="/xl/tables/table89.xml" ContentType="application/vnd.openxmlformats-officedocument.spreadsheetml.table+xml"/>
  <Override PartName="/xl/tables/table90.xml" ContentType="application/vnd.openxmlformats-officedocument.spreadsheetml.table+xml"/>
  <Override PartName="/xl/tables/table91.xml" ContentType="application/vnd.openxmlformats-officedocument.spreadsheetml.table+xml"/>
  <Override PartName="/xl/tables/table92.xml" ContentType="application/vnd.openxmlformats-officedocument.spreadsheetml.table+xml"/>
  <Override PartName="/xl/tables/table93.xml" ContentType="application/vnd.openxmlformats-officedocument.spreadsheetml.table+xml"/>
  <Override PartName="/xl/tables/table94.xml" ContentType="application/vnd.openxmlformats-officedocument.spreadsheetml.table+xml"/>
  <Override PartName="/xl/tables/table95.xml" ContentType="application/vnd.openxmlformats-officedocument.spreadsheetml.table+xml"/>
  <Override PartName="/xl/tables/table96.xml" ContentType="application/vnd.openxmlformats-officedocument.spreadsheetml.table+xml"/>
  <Override PartName="/xl/tables/table97.xml" ContentType="application/vnd.openxmlformats-officedocument.spreadsheetml.table+xml"/>
  <Override PartName="/xl/tables/table98.xml" ContentType="application/vnd.openxmlformats-officedocument.spreadsheetml.table+xml"/>
  <Override PartName="/xl/tables/table99.xml" ContentType="application/vnd.openxmlformats-officedocument.spreadsheetml.table+xml"/>
  <Override PartName="/xl/tables/table100.xml" ContentType="application/vnd.openxmlformats-officedocument.spreadsheetml.table+xml"/>
  <Override PartName="/xl/tables/table101.xml" ContentType="application/vnd.openxmlformats-officedocument.spreadsheetml.table+xml"/>
  <Override PartName="/xl/tables/table102.xml" ContentType="application/vnd.openxmlformats-officedocument.spreadsheetml.table+xml"/>
  <Override PartName="/xl/tables/table103.xml" ContentType="application/vnd.openxmlformats-officedocument.spreadsheetml.table+xml"/>
  <Override PartName="/xl/tables/table104.xml" ContentType="application/vnd.openxmlformats-officedocument.spreadsheetml.table+xml"/>
  <Override PartName="/xl/tables/table105.xml" ContentType="application/vnd.openxmlformats-officedocument.spreadsheetml.table+xml"/>
  <Override PartName="/xl/tables/table106.xml" ContentType="application/vnd.openxmlformats-officedocument.spreadsheetml.table+xml"/>
  <Override PartName="/xl/tables/table107.xml" ContentType="application/vnd.openxmlformats-officedocument.spreadsheetml.table+xml"/>
  <Override PartName="/xl/tables/table108.xml" ContentType="application/vnd.openxmlformats-officedocument.spreadsheetml.table+xml"/>
  <Override PartName="/xl/tables/table109.xml" ContentType="application/vnd.openxmlformats-officedocument.spreadsheetml.table+xml"/>
  <Override PartName="/xl/tables/table110.xml" ContentType="application/vnd.openxmlformats-officedocument.spreadsheetml.table+xml"/>
  <Override PartName="/xl/tables/table111.xml" ContentType="application/vnd.openxmlformats-officedocument.spreadsheetml.table+xml"/>
  <Override PartName="/xl/tables/table112.xml" ContentType="application/vnd.openxmlformats-officedocument.spreadsheetml.table+xml"/>
  <Override PartName="/xl/tables/table113.xml" ContentType="application/vnd.openxmlformats-officedocument.spreadsheetml.table+xml"/>
  <Override PartName="/xl/tables/table114.xml" ContentType="application/vnd.openxmlformats-officedocument.spreadsheetml.table+xml"/>
  <Override PartName="/xl/tables/table115.xml" ContentType="application/vnd.openxmlformats-officedocument.spreadsheetml.table+xml"/>
  <Override PartName="/xl/tables/table116.xml" ContentType="application/vnd.openxmlformats-officedocument.spreadsheetml.table+xml"/>
  <Override PartName="/xl/tables/table117.xml" ContentType="application/vnd.openxmlformats-officedocument.spreadsheetml.table+xml"/>
  <Override PartName="/xl/tables/table118.xml" ContentType="application/vnd.openxmlformats-officedocument.spreadsheetml.table+xml"/>
  <Override PartName="/xl/tables/table119.xml" ContentType="application/vnd.openxmlformats-officedocument.spreadsheetml.table+xml"/>
  <Override PartName="/xl/tables/table120.xml" ContentType="application/vnd.openxmlformats-officedocument.spreadsheetml.table+xml"/>
  <Override PartName="/xl/tables/table121.xml" ContentType="application/vnd.openxmlformats-officedocument.spreadsheetml.table+xml"/>
  <Override PartName="/xl/tables/table122.xml" ContentType="application/vnd.openxmlformats-officedocument.spreadsheetml.table+xml"/>
  <Override PartName="/xl/tables/table123.xml" ContentType="application/vnd.openxmlformats-officedocument.spreadsheetml.table+xml"/>
  <Override PartName="/xl/tables/table124.xml" ContentType="application/vnd.openxmlformats-officedocument.spreadsheetml.table+xml"/>
  <Override PartName="/xl/tables/table125.xml" ContentType="application/vnd.openxmlformats-officedocument.spreadsheetml.table+xml"/>
  <Override PartName="/xl/tables/table126.xml" ContentType="application/vnd.openxmlformats-officedocument.spreadsheetml.table+xml"/>
  <Override PartName="/xl/tables/table127.xml" ContentType="application/vnd.openxmlformats-officedocument.spreadsheetml.table+xml"/>
  <Override PartName="/xl/tables/table128.xml" ContentType="application/vnd.openxmlformats-officedocument.spreadsheetml.table+xml"/>
  <Override PartName="/xl/tables/table129.xml" ContentType="application/vnd.openxmlformats-officedocument.spreadsheetml.table+xml"/>
  <Override PartName="/xl/tables/table130.xml" ContentType="application/vnd.openxmlformats-officedocument.spreadsheetml.table+xml"/>
  <Override PartName="/xl/tables/table131.xml" ContentType="application/vnd.openxmlformats-officedocument.spreadsheetml.table+xml"/>
  <Override PartName="/xl/tables/table132.xml" ContentType="application/vnd.openxmlformats-officedocument.spreadsheetml.table+xml"/>
  <Override PartName="/xl/tables/table133.xml" ContentType="application/vnd.openxmlformats-officedocument.spreadsheetml.table+xml"/>
  <Override PartName="/xl/tables/table134.xml" ContentType="application/vnd.openxmlformats-officedocument.spreadsheetml.table+xml"/>
  <Override PartName="/xl/tables/table135.xml" ContentType="application/vnd.openxmlformats-officedocument.spreadsheetml.table+xml"/>
  <Override PartName="/xl/tables/table136.xml" ContentType="application/vnd.openxmlformats-officedocument.spreadsheetml.table+xml"/>
  <Override PartName="/xl/tables/table137.xml" ContentType="application/vnd.openxmlformats-officedocument.spreadsheetml.table+xml"/>
  <Override PartName="/xl/tables/table138.xml" ContentType="application/vnd.openxmlformats-officedocument.spreadsheetml.table+xml"/>
  <Override PartName="/xl/tables/table139.xml" ContentType="application/vnd.openxmlformats-officedocument.spreadsheetml.table+xml"/>
  <Override PartName="/xl/tables/table140.xml" ContentType="application/vnd.openxmlformats-officedocument.spreadsheetml.table+xml"/>
  <Override PartName="/xl/tables/table141.xml" ContentType="application/vnd.openxmlformats-officedocument.spreadsheetml.table+xml"/>
  <Override PartName="/xl/tables/table142.xml" ContentType="application/vnd.openxmlformats-officedocument.spreadsheetml.table+xml"/>
  <Override PartName="/xl/tables/table143.xml" ContentType="application/vnd.openxmlformats-officedocument.spreadsheetml.table+xml"/>
  <Override PartName="/xl/tables/table144.xml" ContentType="application/vnd.openxmlformats-officedocument.spreadsheetml.table+xml"/>
  <Override PartName="/xl/tables/table145.xml" ContentType="application/vnd.openxmlformats-officedocument.spreadsheetml.table+xml"/>
  <Override PartName="/xl/tables/table146.xml" ContentType="application/vnd.openxmlformats-officedocument.spreadsheetml.table+xml"/>
  <Override PartName="/xl/tables/table147.xml" ContentType="application/vnd.openxmlformats-officedocument.spreadsheetml.table+xml"/>
  <Override PartName="/xl/tables/table148.xml" ContentType="application/vnd.openxmlformats-officedocument.spreadsheetml.table+xml"/>
  <Override PartName="/xl/tables/table149.xml" ContentType="application/vnd.openxmlformats-officedocument.spreadsheetml.table+xml"/>
  <Override PartName="/xl/tables/table150.xml" ContentType="application/vnd.openxmlformats-officedocument.spreadsheetml.table+xml"/>
  <Override PartName="/xl/tables/table151.xml" ContentType="application/vnd.openxmlformats-officedocument.spreadsheetml.table+xml"/>
  <Override PartName="/xl/tables/table152.xml" ContentType="application/vnd.openxmlformats-officedocument.spreadsheetml.table+xml"/>
  <Override PartName="/xl/tables/table153.xml" ContentType="application/vnd.openxmlformats-officedocument.spreadsheetml.table+xml"/>
  <Override PartName="/xl/tables/table154.xml" ContentType="application/vnd.openxmlformats-officedocument.spreadsheetml.table+xml"/>
  <Override PartName="/xl/tables/table155.xml" ContentType="application/vnd.openxmlformats-officedocument.spreadsheetml.table+xml"/>
  <Override PartName="/xl/tables/table156.xml" ContentType="application/vnd.openxmlformats-officedocument.spreadsheetml.table+xml"/>
  <Override PartName="/xl/tables/table157.xml" ContentType="application/vnd.openxmlformats-officedocument.spreadsheetml.table+xml"/>
  <Override PartName="/xl/tables/table158.xml" ContentType="application/vnd.openxmlformats-officedocument.spreadsheetml.table+xml"/>
  <Override PartName="/xl/tables/table159.xml" ContentType="application/vnd.openxmlformats-officedocument.spreadsheetml.table+xml"/>
  <Override PartName="/xl/tables/table160.xml" ContentType="application/vnd.openxmlformats-officedocument.spreadsheetml.table+xml"/>
  <Override PartName="/xl/tables/table161.xml" ContentType="application/vnd.openxmlformats-officedocument.spreadsheetml.table+xml"/>
  <Override PartName="/xl/tables/table162.xml" ContentType="application/vnd.openxmlformats-officedocument.spreadsheetml.table+xml"/>
  <Override PartName="/xl/tables/table163.xml" ContentType="application/vnd.openxmlformats-officedocument.spreadsheetml.table+xml"/>
  <Override PartName="/xl/tables/table164.xml" ContentType="application/vnd.openxmlformats-officedocument.spreadsheetml.table+xml"/>
  <Override PartName="/xl/tables/table165.xml" ContentType="application/vnd.openxmlformats-officedocument.spreadsheetml.table+xml"/>
  <Override PartName="/xl/tables/table166.xml" ContentType="application/vnd.openxmlformats-officedocument.spreadsheetml.table+xml"/>
  <Override PartName="/xl/tables/table167.xml" ContentType="application/vnd.openxmlformats-officedocument.spreadsheetml.table+xml"/>
  <Override PartName="/xl/tables/table168.xml" ContentType="application/vnd.openxmlformats-officedocument.spreadsheetml.table+xml"/>
  <Override PartName="/xl/tables/table169.xml" ContentType="application/vnd.openxmlformats-officedocument.spreadsheetml.table+xml"/>
  <Override PartName="/xl/tables/table170.xml" ContentType="application/vnd.openxmlformats-officedocument.spreadsheetml.table+xml"/>
  <Override PartName="/xl/tables/table171.xml" ContentType="application/vnd.openxmlformats-officedocument.spreadsheetml.table+xml"/>
  <Override PartName="/xl/tables/table172.xml" ContentType="application/vnd.openxmlformats-officedocument.spreadsheetml.table+xml"/>
  <Override PartName="/xl/tables/table173.xml" ContentType="application/vnd.openxmlformats-officedocument.spreadsheetml.table+xml"/>
  <Override PartName="/xl/tables/table174.xml" ContentType="application/vnd.openxmlformats-officedocument.spreadsheetml.table+xml"/>
  <Override PartName="/xl/tables/table175.xml" ContentType="application/vnd.openxmlformats-officedocument.spreadsheetml.table+xml"/>
  <Override PartName="/xl/tables/table176.xml" ContentType="application/vnd.openxmlformats-officedocument.spreadsheetml.table+xml"/>
  <Override PartName="/xl/tables/table177.xml" ContentType="application/vnd.openxmlformats-officedocument.spreadsheetml.table+xml"/>
  <Override PartName="/xl/tables/table178.xml" ContentType="application/vnd.openxmlformats-officedocument.spreadsheetml.table+xml"/>
  <Override PartName="/xl/tables/table179.xml" ContentType="application/vnd.openxmlformats-officedocument.spreadsheetml.table+xml"/>
  <Override PartName="/xl/tables/table180.xml" ContentType="application/vnd.openxmlformats-officedocument.spreadsheetml.table+xml"/>
  <Override PartName="/xl/tables/table181.xml" ContentType="application/vnd.openxmlformats-officedocument.spreadsheetml.table+xml"/>
  <Override PartName="/xl/tables/table182.xml" ContentType="application/vnd.openxmlformats-officedocument.spreadsheetml.table+xml"/>
  <Override PartName="/xl/tables/table183.xml" ContentType="application/vnd.openxmlformats-officedocument.spreadsheetml.table+xml"/>
  <Override PartName="/xl/tables/table184.xml" ContentType="application/vnd.openxmlformats-officedocument.spreadsheetml.table+xml"/>
  <Override PartName="/xl/tables/table185.xml" ContentType="application/vnd.openxmlformats-officedocument.spreadsheetml.table+xml"/>
  <Override PartName="/xl/tables/table186.xml" ContentType="application/vnd.openxmlformats-officedocument.spreadsheetml.table+xml"/>
  <Override PartName="/xl/tables/table187.xml" ContentType="application/vnd.openxmlformats-officedocument.spreadsheetml.table+xml"/>
  <Override PartName="/xl/tables/table188.xml" ContentType="application/vnd.openxmlformats-officedocument.spreadsheetml.table+xml"/>
  <Override PartName="/xl/tables/table189.xml" ContentType="application/vnd.openxmlformats-officedocument.spreadsheetml.table+xml"/>
  <Override PartName="/xl/tables/table190.xml" ContentType="application/vnd.openxmlformats-officedocument.spreadsheetml.table+xml"/>
  <Override PartName="/xl/tables/table191.xml" ContentType="application/vnd.openxmlformats-officedocument.spreadsheetml.table+xml"/>
  <Override PartName="/xl/tables/table192.xml" ContentType="application/vnd.openxmlformats-officedocument.spreadsheetml.table+xml"/>
  <Override PartName="/xl/tables/table193.xml" ContentType="application/vnd.openxmlformats-officedocument.spreadsheetml.table+xml"/>
  <Override PartName="/xl/tables/table194.xml" ContentType="application/vnd.openxmlformats-officedocument.spreadsheetml.table+xml"/>
  <Override PartName="/xl/tables/table195.xml" ContentType="application/vnd.openxmlformats-officedocument.spreadsheetml.table+xml"/>
  <Override PartName="/xl/tables/table196.xml" ContentType="application/vnd.openxmlformats-officedocument.spreadsheetml.table+xml"/>
  <Override PartName="/xl/tables/table197.xml" ContentType="application/vnd.openxmlformats-officedocument.spreadsheetml.table+xml"/>
  <Override PartName="/xl/tables/table198.xml" ContentType="application/vnd.openxmlformats-officedocument.spreadsheetml.table+xml"/>
  <Override PartName="/xl/tables/table199.xml" ContentType="application/vnd.openxmlformats-officedocument.spreadsheetml.table+xml"/>
  <Override PartName="/xl/tables/table200.xml" ContentType="application/vnd.openxmlformats-officedocument.spreadsheetml.table+xml"/>
  <Override PartName="/xl/tables/table201.xml" ContentType="application/vnd.openxmlformats-officedocument.spreadsheetml.table+xml"/>
  <Override PartName="/xl/tables/table202.xml" ContentType="application/vnd.openxmlformats-officedocument.spreadsheetml.table+xml"/>
  <Override PartName="/xl/tables/table203.xml" ContentType="application/vnd.openxmlformats-officedocument.spreadsheetml.table+xml"/>
  <Override PartName="/xl/tables/table204.xml" ContentType="application/vnd.openxmlformats-officedocument.spreadsheetml.table+xml"/>
  <Override PartName="/xl/tables/table205.xml" ContentType="application/vnd.openxmlformats-officedocument.spreadsheetml.table+xml"/>
  <Override PartName="/xl/tables/table206.xml" ContentType="application/vnd.openxmlformats-officedocument.spreadsheetml.table+xml"/>
  <Override PartName="/xl/tables/table207.xml" ContentType="application/vnd.openxmlformats-officedocument.spreadsheetml.table+xml"/>
  <Override PartName="/xl/tables/table208.xml" ContentType="application/vnd.openxmlformats-officedocument.spreadsheetml.table+xml"/>
  <Override PartName="/xl/tables/table209.xml" ContentType="application/vnd.openxmlformats-officedocument.spreadsheetml.table+xml"/>
  <Override PartName="/xl/tables/table210.xml" ContentType="application/vnd.openxmlformats-officedocument.spreadsheetml.table+xml"/>
  <Override PartName="/xl/tables/table211.xml" ContentType="application/vnd.openxmlformats-officedocument.spreadsheetml.table+xml"/>
  <Override PartName="/xl/tables/table212.xml" ContentType="application/vnd.openxmlformats-officedocument.spreadsheetml.table+xml"/>
  <Override PartName="/xl/queryTables/queryTable1.xml" ContentType="application/vnd.openxmlformats-officedocument.spreadsheetml.queryTable+xml"/>
  <Override PartName="/xl/tables/table213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1.xml" ContentType="application/vnd.openxmlformats-officedocument.drawing+xml"/>
  <Override PartName="/xl/tables/table214.xml" ContentType="application/vnd.openxmlformats-officedocument.spreadsheetml.table+xml"/>
  <Override PartName="/xl/tables/table215.xml" ContentType="application/vnd.openxmlformats-officedocument.spreadsheetml.table+xml"/>
  <Override PartName="/xl/tables/table216.xml" ContentType="application/vnd.openxmlformats-officedocument.spreadsheetml.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tables/table217.xml" ContentType="application/vnd.openxmlformats-officedocument.spreadsheetml.table+xml"/>
  <Override PartName="/xl/drawings/drawing3.xml" ContentType="application/vnd.openxmlformats-officedocument.drawing+xml"/>
  <Override PartName="/xl/tables/table218.xml" ContentType="application/vnd.openxmlformats-officedocument.spreadsheetml.table+xml"/>
  <Override PartName="/xl/tables/table219.xml" ContentType="application/vnd.openxmlformats-officedocument.spreadsheetml.table+xml"/>
  <Override PartName="/xl/tables/table220.xml" ContentType="application/vnd.openxmlformats-officedocument.spreadsheetml.table+xml"/>
  <Override PartName="/xl/persons/person.xml" ContentType="application/vnd.ms-excel.person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8_{84D85308-2C07-4102-9645-84708A9E8238}" xr6:coauthVersionLast="47" xr6:coauthVersionMax="47" xr10:uidLastSave="{00000000-0000-0000-0000-000000000000}"/>
  <bookViews>
    <workbookView xWindow="-120" yWindow="-120" windowWidth="29040" windowHeight="15720" firstSheet="77" activeTab="77" xr2:uid="{D1F6B3EB-C62E-41AF-A89F-2A2EA178DF22}"/>
  </bookViews>
  <sheets>
    <sheet name="Tong hop cong no" sheetId="310" r:id="rId1"/>
    <sheet name="E Minh - TH" sheetId="1" r:id="rId2"/>
    <sheet name="Cty Phú Minh" sheetId="2" r:id="rId3"/>
    <sheet name="Cty Ý Thuỷ" sheetId="4" r:id="rId4"/>
    <sheet name="Cty Vinh Oanh - Phủ Lý" sheetId="5" r:id="rId5"/>
    <sheet name="A Hải - HP" sheetId="6" r:id="rId6"/>
    <sheet name="C Xếp - HP" sheetId="7" r:id="rId7"/>
    <sheet name="Cty Kim Thành" sheetId="8" r:id="rId8"/>
    <sheet name="A Đông - Tân Hồng Phát" sheetId="9" r:id="rId9"/>
    <sheet name="E Thái - CMỹ" sheetId="11" r:id="rId10"/>
    <sheet name="E Giao - Cty Bạch Kim" sheetId="12" r:id="rId11"/>
    <sheet name="C Thuỷ - HP" sheetId="13" r:id="rId12"/>
    <sheet name="Cty An Phát - HP" sheetId="14" r:id="rId13"/>
    <sheet name="E Duy - Cty Hải Âu" sheetId="15" r:id="rId14"/>
    <sheet name="Cty An Phú" sheetId="16" r:id="rId15"/>
    <sheet name="Cty Cường Thịnh" sheetId="17" r:id="rId16"/>
    <sheet name="E Duyên - Rùa" sheetId="18" r:id="rId17"/>
    <sheet name="Cty Hyundai - ĐN" sheetId="19" r:id="rId18"/>
    <sheet name="E Phúc - Cty Đức Phúc" sheetId="20" r:id="rId19"/>
    <sheet name="Cty Lý Dương Hùng - ĐN" sheetId="21" r:id="rId20"/>
    <sheet name="A Tuấn - Cty Hưng Phát" sheetId="22" r:id="rId21"/>
    <sheet name="C Năm Đạo - Cầu Đuống" sheetId="23" r:id="rId22"/>
    <sheet name="Khách lẻ" sheetId="24" r:id="rId23"/>
    <sheet name="Cty Nam Khánh" sheetId="25" r:id="rId24"/>
    <sheet name="Cty Tân Phát" sheetId="32" r:id="rId25"/>
    <sheet name="A Tùng - HD" sheetId="33" r:id="rId26"/>
    <sheet name="E Kiên - HD" sheetId="34" r:id="rId27"/>
    <sheet name="C Hà - HY" sheetId="35" r:id="rId28"/>
    <sheet name="Cty Phú Thành" sheetId="36" r:id="rId29"/>
    <sheet name="Cty Việt Anh" sheetId="40" r:id="rId30"/>
    <sheet name="Cty Thép Hà Nội" sheetId="41" r:id="rId31"/>
    <sheet name="C Thuỷ - TH" sheetId="43" r:id="rId32"/>
    <sheet name="Cty Vạn Xuân" sheetId="44" r:id="rId33"/>
    <sheet name="E Đắc - NĐ" sheetId="47" r:id="rId34"/>
    <sheet name="Cty Đại Thuỷ" sheetId="49" r:id="rId35"/>
    <sheet name="Cty Thiên Hòa An" sheetId="50" r:id="rId36"/>
    <sheet name="E Quân - CMy" sheetId="51" r:id="rId37"/>
    <sheet name="A Trung" sheetId="56" r:id="rId38"/>
    <sheet name="Cty Tân Đạt" sheetId="57" r:id="rId39"/>
    <sheet name="Cty Ánh Dương" sheetId="61" r:id="rId40"/>
    <sheet name="E Hoài - NĐ" sheetId="59" r:id="rId41"/>
    <sheet name="E Mão - NB" sheetId="62" r:id="rId42"/>
    <sheet name="Cty Minh Tiến" sheetId="63" r:id="rId43"/>
    <sheet name="C Hùng - HP" sheetId="64" r:id="rId44"/>
    <sheet name="C Thuyên - Cty Gia Hưng" sheetId="66" r:id="rId45"/>
    <sheet name="Cty Đại Đồng" sheetId="68" r:id="rId46"/>
    <sheet name="Cty Tân Tiến" sheetId="69" r:id="rId47"/>
    <sheet name="Cty Thiên Ân" sheetId="70" r:id="rId48"/>
    <sheet name="Cty Hà Cường" sheetId="71" r:id="rId49"/>
    <sheet name="Cty Anh Thư - Hồng Vân" sheetId="72" r:id="rId50"/>
    <sheet name="E Thuận - Ngọc Diệp" sheetId="73" r:id="rId51"/>
    <sheet name="Cty Minh Vũ" sheetId="77" r:id="rId52"/>
    <sheet name="Cty CP An Phát - TT" sheetId="78" r:id="rId53"/>
    <sheet name="A Tùng - Cty Xuân Thành" sheetId="80" r:id="rId54"/>
    <sheet name="A Bảy - NĐ" sheetId="83" r:id="rId55"/>
    <sheet name="A Đông - NĐ" sheetId="85" r:id="rId56"/>
    <sheet name="Cty Quang Nga - Phủ Lý" sheetId="87" r:id="rId57"/>
    <sheet name="A Nguyện - Cty Gia Anh" sheetId="88" r:id="rId58"/>
    <sheet name="Cty Hiển Thịnh - HP" sheetId="91" r:id="rId59"/>
    <sheet name="A Hùng - HP" sheetId="89" r:id="rId60"/>
    <sheet name="Cty Hoà Hưng" sheetId="92" r:id="rId61"/>
    <sheet name="Cty Quang Long - HD" sheetId="94" r:id="rId62"/>
    <sheet name="Cty Minh Châu - TN" sheetId="96" r:id="rId63"/>
    <sheet name="Cty Anh Linh - TT" sheetId="98" r:id="rId64"/>
    <sheet name="Cty Dung Tươi - Yên Bái" sheetId="99" r:id="rId65"/>
    <sheet name="Cty Hoàng Anh Việt Nam" sheetId="102" r:id="rId66"/>
    <sheet name="Cty Hoàng Quân Phát" sheetId="104" r:id="rId67"/>
    <sheet name="Cty Tân Hưng" sheetId="106" r:id="rId68"/>
    <sheet name="Cty Thanh Dương - ĐN" sheetId="108" r:id="rId69"/>
    <sheet name="Cty Thép Việt" sheetId="110" r:id="rId70"/>
    <sheet name="A Long - Mỗ" sheetId="111" r:id="rId71"/>
    <sheet name="E Tạo - NĐ" sheetId="112" r:id="rId72"/>
    <sheet name="Cty Thái Dương" sheetId="115" r:id="rId73"/>
    <sheet name="Cty Hồng Tâm - Phủ Lý" sheetId="117" r:id="rId74"/>
    <sheet name="A Kiên - Long Biên" sheetId="118" r:id="rId75"/>
    <sheet name="C Hà - Khoa Học - HY" sheetId="119" r:id="rId76"/>
    <sheet name="E Trung - Cty Hà Anh" sheetId="120" r:id="rId77"/>
    <sheet name="Cty Bùi Gia" sheetId="121" r:id="rId78"/>
    <sheet name="Cty Hiền Hoa - NĐ" sheetId="122" r:id="rId79"/>
    <sheet name="A Cường - Linh Đàm" sheetId="123" r:id="rId80"/>
    <sheet name="C Dung - HD" sheetId="124" r:id="rId81"/>
    <sheet name="Cty Cơ Khí CTM Phú Thịnh - ĐN" sheetId="125" r:id="rId82"/>
    <sheet name="Cty Toàn Việt" sheetId="126" r:id="rId83"/>
    <sheet name="Cty Thảo Trang" sheetId="127" r:id="rId84"/>
    <sheet name="C Dung - Cầu Diễn" sheetId="128" r:id="rId85"/>
    <sheet name="Cty Cường Hương - PX" sheetId="130" r:id="rId86"/>
    <sheet name="Cty INOX Việt" sheetId="131" r:id="rId87"/>
    <sheet name="A Phong - Cty Việt Đức" sheetId="132" r:id="rId88"/>
    <sheet name="Cty Thiết Bị Y Tế Hoàng Gia" sheetId="133" r:id="rId89"/>
    <sheet name="A Đức - Cty Hoà Phát" sheetId="134" r:id="rId90"/>
    <sheet name="Cty Đông Dương" sheetId="135" r:id="rId91"/>
    <sheet name="Cty TH Việt Nam" sheetId="136" r:id="rId92"/>
    <sheet name="E Ân - Thái Nguyên" sheetId="137" r:id="rId93"/>
    <sheet name="E Nguyên - Cty Huy Hoàng" sheetId="138" r:id="rId94"/>
    <sheet name="Cty Hưng Phát - NĐ" sheetId="139" r:id="rId95"/>
    <sheet name="Cô Cúc - Rùa" sheetId="140" r:id="rId96"/>
    <sheet name="Cty Nguyễn Hưng - HT" sheetId="141" r:id="rId97"/>
    <sheet name="Cty Thanh Phát" sheetId="142" r:id="rId98"/>
    <sheet name="E Mỹ - Rùa" sheetId="143" r:id="rId99"/>
    <sheet name="Cty Thép Nam Phát - Từ Liêm" sheetId="144" r:id="rId100"/>
    <sheet name="E Thắng - Cty Quốc Thắng" sheetId="145" r:id="rId101"/>
    <sheet name="E Hiến - Cty Minh Hiến - HD" sheetId="146" r:id="rId102"/>
    <sheet name="A Thắng - HP" sheetId="147" r:id="rId103"/>
    <sheet name="Cty Thành An" sheetId="148" r:id="rId104"/>
    <sheet name="Cty Tam Việt - TH" sheetId="149" r:id="rId105"/>
    <sheet name="E Đạt - Cty Bảo Phát" sheetId="150" r:id="rId106"/>
    <sheet name="A Hải - NH" sheetId="151" r:id="rId107"/>
    <sheet name="Cty Nam Phát - Ngọc Hồi" sheetId="152" r:id="rId108"/>
    <sheet name="A Hùng - Cty Minh Phát" sheetId="153" r:id="rId109"/>
    <sheet name="C Hà - Xuân Mai" sheetId="154" r:id="rId110"/>
    <sheet name="E Doanh - Thanh Oai" sheetId="155" r:id="rId111"/>
    <sheet name="A Dự - NĐ" sheetId="156" r:id="rId112"/>
    <sheet name="Cty Giang Phương" sheetId="157" r:id="rId113"/>
    <sheet name="C Yến - Cty Tân Thành" sheetId="158" r:id="rId114"/>
    <sheet name="Cty XNK Thịnh Phát" sheetId="159" r:id="rId115"/>
    <sheet name="Cty Hàn Việt" sheetId="160" r:id="rId116"/>
    <sheet name="Cty Năng Lượng - Tứ Hiệp" sheetId="161" r:id="rId117"/>
    <sheet name="C Hạnh - Cty Đức Phát" sheetId="162" r:id="rId118"/>
    <sheet name="Cty Bảo Lâm" sheetId="163" r:id="rId119"/>
    <sheet name="Cty Toàn Phát - HP" sheetId="164" r:id="rId120"/>
    <sheet name="E Trung - Cty An Phát - HY" sheetId="166" r:id="rId121"/>
    <sheet name="Cty Thịnh Hưng" sheetId="168" r:id="rId122"/>
    <sheet name="Cty Tuấn Nhung - Rùa" sheetId="169" r:id="rId123"/>
    <sheet name="Cty Thành Hưng" sheetId="170" r:id="rId124"/>
    <sheet name="Cty Minh Tám" sheetId="171" r:id="rId125"/>
    <sheet name="Cty Bình Minh" sheetId="172" r:id="rId126"/>
    <sheet name="A Cương - Rùa" sheetId="173" r:id="rId127"/>
    <sheet name="Cty Visco - Hải Phòng" sheetId="174" r:id="rId128"/>
    <sheet name="Cty Thái Hưng - Phú Thọ" sheetId="175" r:id="rId129"/>
    <sheet name="Cty Cường Thu - NĐ" sheetId="176" r:id="rId130"/>
    <sheet name="Cty Anh Thư" sheetId="177" r:id="rId131"/>
    <sheet name="Cty Minh Phương - Hoài Đức" sheetId="179" r:id="rId132"/>
    <sheet name="Cty Tiến Hưng" sheetId="180" r:id="rId133"/>
    <sheet name="Cty INOX Diện Hoài" sheetId="181" r:id="rId134"/>
    <sheet name="Cty Đức Thuận HP" sheetId="182" r:id="rId135"/>
    <sheet name="Cty Khanh Tâm - NA" sheetId="183" r:id="rId136"/>
    <sheet name="Cty Đạt Linh" sheetId="184" r:id="rId137"/>
    <sheet name="Cty Quang Phương - Bắc Ninh" sheetId="185" r:id="rId138"/>
    <sheet name="C Vui - HY" sheetId="187" r:id="rId139"/>
    <sheet name="E Hoà Khuôn Đá Thanh Hoá" sheetId="188" r:id="rId140"/>
    <sheet name="A Thép - Cty Thép Titan" sheetId="189" r:id="rId141"/>
    <sheet name="CH Phú Lý" sheetId="190" r:id="rId142"/>
    <sheet name="C Dung - Cty Việt Á" sheetId="191" r:id="rId143"/>
    <sheet name="Cty Thăng Long" sheetId="192" r:id="rId144"/>
    <sheet name="Cty Tuấn Đạt" sheetId="193" r:id="rId145"/>
    <sheet name="Cty Sao Việt" sheetId="194" r:id="rId146"/>
    <sheet name="Cty Hoàng Linh" sheetId="195" r:id="rId147"/>
    <sheet name="Cty Thái An- HY" sheetId="196" r:id="rId148"/>
    <sheet name="Cty Từ Phương - QB" sheetId="197" r:id="rId149"/>
    <sheet name="A Khuyến - Ecopark" sheetId="198" r:id="rId150"/>
    <sheet name="Cty CN Hà Thành" sheetId="277" r:id="rId151"/>
    <sheet name="Cty An Thịnh" sheetId="278" r:id="rId152"/>
    <sheet name="Cty Hưng Thịnh" sheetId="279" r:id="rId153"/>
    <sheet name="Cty Thép 568" sheetId="280" r:id="rId154"/>
    <sheet name="Cty Thịnh Hưng Quang" sheetId="285" r:id="rId155"/>
    <sheet name="Cty Đông Nam" sheetId="286" r:id="rId156"/>
    <sheet name="Cty Inox Đoàn Dự" sheetId="287" r:id="rId157"/>
    <sheet name="C Điều - HY" sheetId="288" r:id="rId158"/>
    <sheet name="Cty Trang Tùng" sheetId="289" r:id="rId159"/>
    <sheet name="Cty Kính Thành" sheetId="290" r:id="rId160"/>
    <sheet name="Cty Việt Tín" sheetId="291" r:id="rId161"/>
    <sheet name="Cty Tùng Linh" sheetId="292" r:id="rId162"/>
    <sheet name="Cty Simec" sheetId="293" r:id="rId163"/>
    <sheet name="Cty Vinatota Việt Mỹ - HD" sheetId="295" r:id="rId164"/>
    <sheet name="A Đại - Vinh" sheetId="296" r:id="rId165"/>
    <sheet name="E Sáng - Phúc Thọ" sheetId="297" r:id="rId166"/>
    <sheet name="Cty Thắng Lợi" sheetId="298" r:id="rId167"/>
    <sheet name="Cty Kim Long" sheetId="299" r:id="rId168"/>
    <sheet name="Cty INOX Việt Nam" sheetId="300" r:id="rId169"/>
    <sheet name="Cty Phúc An - HP" sheetId="302" r:id="rId170"/>
    <sheet name="Cty Thuỷ Thuỷ - Vinh" sheetId="303" r:id="rId171"/>
    <sheet name="A Vượng - Thế Đức" sheetId="304" r:id="rId172"/>
    <sheet name="A Hoàn - Tam Trinh" sheetId="305" r:id="rId173"/>
    <sheet name="E Minh - HY" sheetId="306" r:id="rId174"/>
    <sheet name="Cty Phú Hưng An" sheetId="311" r:id="rId175"/>
    <sheet name="Cty Hà Thành" sheetId="312" r:id="rId176"/>
    <sheet name="Cty Tư Phương" sheetId="313" r:id="rId177"/>
    <sheet name="Cty Á Châu - Phủ Lý" sheetId="314" r:id="rId178"/>
    <sheet name="Cty Tú Hương - Phú Xuyên" sheetId="315" r:id="rId179"/>
    <sheet name="E Thiện - Thượng Ốc" sheetId="316" r:id="rId180"/>
    <sheet name="Cty Nhật Minh" sheetId="317" r:id="rId181"/>
    <sheet name="Cty SHC Á Châu" sheetId="319" r:id="rId182"/>
    <sheet name="A Sáu - Lĩnh Nam" sheetId="320" r:id="rId183"/>
    <sheet name="Cty An Thuận Phát" sheetId="328" r:id="rId184"/>
    <sheet name="A Cư - Nghệ An" sheetId="329" r:id="rId185"/>
    <sheet name="A Hậu" sheetId="330" r:id="rId186"/>
    <sheet name="A Sơn Quảng Ninh" sheetId="332" r:id="rId187"/>
    <sheet name="Minh Khuê" sheetId="333" r:id="rId188"/>
    <sheet name="Cty Gia Minh" sheetId="334" r:id="rId189"/>
    <sheet name="A Quân 2Q" sheetId="331" r:id="rId190"/>
    <sheet name="E Quyết - VN" sheetId="336" r:id="rId191"/>
    <sheet name="A Hà - Cty HTM" sheetId="335" r:id="rId192"/>
    <sheet name="A Năng - Hải Dương" sheetId="337" r:id="rId193"/>
    <sheet name="E Đức - Phú Xuyên" sheetId="338" r:id="rId194"/>
    <sheet name="Cty Việt Tiệp - Chương Mỹ" sheetId="339" r:id="rId195"/>
    <sheet name="Cty Mạnh Thược" sheetId="340" r:id="rId196"/>
    <sheet name="Cty Tân Mạnh Dũng - VP" sheetId="342" r:id="rId197"/>
    <sheet name="Việt Thái" sheetId="344" r:id="rId198"/>
    <sheet name="Cty Hoàng Vũ" sheetId="343" r:id="rId199"/>
    <sheet name="C Dung - Tam Trinh" sheetId="347" r:id="rId200"/>
    <sheet name="Cty Sunhouse" sheetId="348" r:id="rId201"/>
    <sheet name="Cty Máy NN Văn Lang" sheetId="350" r:id="rId202"/>
    <sheet name="E Cấp - Hiếu Môn" sheetId="351" r:id="rId203"/>
    <sheet name="Cty CK Làng Rùa" sheetId="352" r:id="rId204"/>
    <sheet name="Cty Long Nguyệt" sheetId="353" r:id="rId205"/>
    <sheet name="E Cường - TC" sheetId="354" r:id="rId206"/>
    <sheet name="Cty HQ Tech" sheetId="355" r:id="rId207"/>
    <sheet name="Cty Thuý Dũng - BN" sheetId="356" r:id="rId208"/>
    <sheet name="Cty Nam Hồng" sheetId="357" r:id="rId209"/>
    <sheet name="Cty AKhoa" sheetId="359" r:id="rId210"/>
    <sheet name="Mau" sheetId="358" r:id="rId211"/>
    <sheet name="Query2" sheetId="349" r:id="rId212"/>
    <sheet name="Query1" sheetId="326" r:id="rId213"/>
    <sheet name="Thông tin thanh toán" sheetId="202" r:id="rId214"/>
    <sheet name="Thanh toán KH" sheetId="272" r:id="rId215"/>
    <sheet name="Nhập Thanh Toán" sheetId="301" r:id="rId216"/>
    <sheet name="nhập" sheetId="275" r:id="rId217"/>
    <sheet name="Giấy Nháp" sheetId="284" r:id="rId218"/>
    <sheet name="Sheet1" sheetId="327" r:id="rId219"/>
  </sheets>
  <functionGroups builtInGroupCount="19"/>
  <definedNames>
    <definedName name="_xleta.LOOKUP" hidden="1" xlm="1">#NAME?</definedName>
    <definedName name="_xleta.SUM" hidden="1" xlm="1">#NAME?</definedName>
    <definedName name="DanhSachKH">'Thông tin thanh toán'!#REF!</definedName>
    <definedName name="DanhSachThanhToan" localSheetId="199">'Thông tin thanh toán'!#REF!</definedName>
    <definedName name="DanhSachThanhToan" localSheetId="213">'Thông tin thanh toán'!#REF!</definedName>
    <definedName name="DanhSachThanhToan">'Thông tin thanh toán'!#REF!</definedName>
    <definedName name="ExternalData_1" localSheetId="212" hidden="1">Query1!$A$1:$K$4319</definedName>
    <definedName name="ExternalData_2" localSheetId="211" hidden="1">Query2!$A$1:$J$722</definedName>
    <definedName name="ExternalData_2" localSheetId="214" hidden="1">'Thanh toán KH'!$A$1:$F$1283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" i="279" l="1"/>
  <c r="H20" i="121"/>
  <c r="H61" i="159"/>
  <c r="H52" i="102"/>
  <c r="H106" i="92"/>
  <c r="H80" i="34"/>
  <c r="H50" i="94"/>
  <c r="H105" i="92"/>
  <c r="H31" i="183"/>
  <c r="H51" i="102"/>
  <c r="H37" i="150"/>
  <c r="H34" i="136"/>
  <c r="H42" i="68"/>
  <c r="H25" i="9"/>
  <c r="H49" i="7"/>
  <c r="H40" i="41"/>
  <c r="H14" i="298"/>
  <c r="H53" i="89"/>
  <c r="H37" i="66"/>
  <c r="H63" i="78"/>
  <c r="H36" i="8"/>
  <c r="H53" i="17"/>
  <c r="H42" i="134"/>
  <c r="H66" i="118"/>
  <c r="H33" i="80"/>
  <c r="H29" i="16"/>
  <c r="H57" i="147"/>
  <c r="H54" i="64"/>
  <c r="H84" i="6"/>
  <c r="H19" i="340"/>
  <c r="C12" i="301" a="1"/>
  <c r="C12" i="301" s="1"/>
  <c r="H31" i="155"/>
  <c r="H20" i="285"/>
  <c r="J10" i="155"/>
  <c r="J11" i="155"/>
  <c r="J12" i="155" s="1"/>
  <c r="J13" i="155" s="1"/>
  <c r="J14" i="155" s="1"/>
  <c r="J15" i="155" s="1"/>
  <c r="J16" i="155" s="1"/>
  <c r="J17" i="155" s="1"/>
  <c r="J18" i="155" s="1"/>
  <c r="J19" i="155" s="1"/>
  <c r="J20" i="155" s="1"/>
  <c r="J21" i="155" s="1"/>
  <c r="J22" i="155" s="1"/>
  <c r="J23" i="155" s="1"/>
  <c r="J24" i="155" s="1"/>
  <c r="J25" i="155" s="1"/>
  <c r="J26" i="155" s="1"/>
  <c r="J27" i="155" s="1"/>
  <c r="J28" i="155" s="1"/>
  <c r="J29" i="155" s="1"/>
  <c r="J30" i="155" s="1"/>
  <c r="J31" i="155" s="1"/>
  <c r="H23" i="152" l="1"/>
  <c r="H87" i="19"/>
  <c r="H58" i="43"/>
  <c r="H26" i="119"/>
  <c r="H62" i="78"/>
  <c r="H65" i="118"/>
  <c r="H88" i="25"/>
  <c r="H78" i="44"/>
  <c r="H22" i="190"/>
  <c r="H14" i="359"/>
  <c r="H12" i="359"/>
  <c r="H13" i="359"/>
  <c r="H11" i="359"/>
  <c r="H10" i="359"/>
  <c r="H29" i="191"/>
  <c r="H79" i="34"/>
  <c r="H36" i="66"/>
  <c r="H87" i="25"/>
  <c r="H28" i="191"/>
  <c r="H146" i="1"/>
  <c r="H145" i="1"/>
  <c r="H144" i="1"/>
  <c r="H143" i="1"/>
  <c r="H142" i="1"/>
  <c r="H62" i="12"/>
  <c r="H141" i="1"/>
  <c r="H140" i="1"/>
  <c r="H139" i="1"/>
  <c r="H138" i="1"/>
  <c r="H137" i="1"/>
  <c r="H136" i="1"/>
  <c r="B210" i="327" a="1"/>
  <c r="J10" i="359"/>
  <c r="J11" i="359" s="1"/>
  <c r="B210" i="327" l="1"/>
  <c r="H22" i="156"/>
  <c r="H27" i="146"/>
  <c r="F17" i="143" l="1"/>
  <c r="H17" i="143" s="1"/>
  <c r="H10" i="143"/>
  <c r="H11" i="143"/>
  <c r="H12" i="143"/>
  <c r="H13" i="143"/>
  <c r="H14" i="143"/>
  <c r="H16" i="143"/>
  <c r="H18" i="143"/>
  <c r="H19" i="143"/>
  <c r="H20" i="143"/>
  <c r="H21" i="143"/>
  <c r="H22" i="143"/>
  <c r="H23" i="143"/>
  <c r="H24" i="143"/>
  <c r="H25" i="143"/>
  <c r="H26" i="143"/>
  <c r="H27" i="143"/>
  <c r="H28" i="143"/>
  <c r="H29" i="143"/>
  <c r="H30" i="143"/>
  <c r="H31" i="143"/>
  <c r="H32" i="143"/>
  <c r="H33" i="143"/>
  <c r="H34" i="143"/>
  <c r="H35" i="143"/>
  <c r="H36" i="143"/>
  <c r="H37" i="143"/>
  <c r="H38" i="143"/>
  <c r="H39" i="143"/>
  <c r="H40" i="143"/>
  <c r="H41" i="143"/>
  <c r="H42" i="143"/>
  <c r="H43" i="143"/>
  <c r="H44" i="143"/>
  <c r="H45" i="143"/>
  <c r="H47" i="143"/>
  <c r="H48" i="143"/>
  <c r="H49" i="143"/>
  <c r="H50" i="143"/>
  <c r="H51" i="143"/>
  <c r="H52" i="143"/>
  <c r="H46" i="143"/>
  <c r="H62" i="123" l="1"/>
  <c r="H55" i="123"/>
  <c r="H60" i="123"/>
  <c r="H59" i="123"/>
  <c r="H58" i="123"/>
  <c r="H153" i="2"/>
  <c r="H152" i="2"/>
  <c r="H151" i="2"/>
  <c r="H706" i="40"/>
  <c r="H705" i="40"/>
  <c r="H209" i="49"/>
  <c r="H33" i="104"/>
  <c r="H56" i="115"/>
  <c r="H704" i="40"/>
  <c r="H703" i="40"/>
  <c r="H55" i="115"/>
  <c r="H150" i="2"/>
  <c r="H702" i="40"/>
  <c r="H701" i="40"/>
  <c r="H100" i="110"/>
  <c r="H99" i="110"/>
  <c r="H98" i="110"/>
  <c r="H700" i="40"/>
  <c r="H699" i="40"/>
  <c r="H149" i="2"/>
  <c r="H698" i="40"/>
  <c r="H697" i="40"/>
  <c r="H54" i="115"/>
  <c r="H696" i="40"/>
  <c r="H59" i="172"/>
  <c r="H695" i="40"/>
  <c r="H694" i="40"/>
  <c r="H693" i="40"/>
  <c r="H692" i="40"/>
  <c r="H691" i="40"/>
  <c r="H97" i="110"/>
  <c r="H690" i="40"/>
  <c r="H689" i="40"/>
  <c r="H688" i="40"/>
  <c r="H687" i="40"/>
  <c r="H686" i="40"/>
  <c r="H685" i="40"/>
  <c r="H684" i="40"/>
  <c r="H683" i="40"/>
  <c r="H208" i="49"/>
  <c r="H58" i="172"/>
  <c r="H148" i="2"/>
  <c r="H44" i="194"/>
  <c r="H682" i="40"/>
  <c r="H147" i="2"/>
  <c r="H681" i="40"/>
  <c r="H680" i="40"/>
  <c r="H679" i="40"/>
  <c r="H40" i="135"/>
  <c r="H678" i="40"/>
  <c r="H677" i="40"/>
  <c r="H676" i="40"/>
  <c r="H675" i="40"/>
  <c r="H674" i="40"/>
  <c r="H673" i="40"/>
  <c r="H53" i="115"/>
  <c r="H146" i="2"/>
  <c r="H71" i="40"/>
  <c r="H96" i="110"/>
  <c r="H43" i="194"/>
  <c r="H70" i="40"/>
  <c r="H69" i="40"/>
  <c r="H52" i="115"/>
  <c r="H57" i="172"/>
  <c r="H672" i="40"/>
  <c r="H664" i="40"/>
  <c r="H667" i="40"/>
  <c r="H666" i="40"/>
  <c r="H665" i="40"/>
  <c r="H663" i="40"/>
  <c r="H57" i="43"/>
  <c r="H56" i="43"/>
  <c r="H140" i="56"/>
  <c r="H139" i="56"/>
  <c r="H138" i="56"/>
  <c r="H137" i="56"/>
  <c r="H39" i="135"/>
  <c r="H17" i="284"/>
  <c r="H16" i="284"/>
  <c r="H160" i="5"/>
  <c r="H15" i="284" l="1"/>
  <c r="H92" i="47"/>
  <c r="H91" i="47"/>
  <c r="H101" i="13"/>
  <c r="H48" i="7"/>
  <c r="H53" i="64"/>
  <c r="H104" i="92"/>
  <c r="H103" i="92"/>
  <c r="H102" i="92"/>
  <c r="H101" i="92"/>
  <c r="H26" i="125"/>
  <c r="H23" i="168"/>
  <c r="H42" i="21"/>
  <c r="H16" i="290"/>
  <c r="H15" i="290"/>
  <c r="H14" i="290"/>
  <c r="H36" i="150"/>
  <c r="H94" i="59"/>
  <c r="H25" i="150"/>
  <c r="H10" i="358"/>
  <c r="F207" i="49"/>
  <c r="H207" i="49" s="1"/>
  <c r="H70" i="24"/>
  <c r="I70" i="24" s="1"/>
  <c r="H51" i="115"/>
  <c r="H70" i="123"/>
  <c r="H16" i="173"/>
  <c r="H49" i="94"/>
  <c r="H100" i="92"/>
  <c r="H99" i="92"/>
  <c r="H78" i="34"/>
  <c r="H77" i="34"/>
  <c r="H671" i="40"/>
  <c r="H670" i="40"/>
  <c r="H669" i="40"/>
  <c r="H16" i="174"/>
  <c r="H15" i="174"/>
  <c r="H14" i="174"/>
  <c r="H13" i="174"/>
  <c r="H69" i="24"/>
  <c r="I69" i="24" s="1"/>
  <c r="H18" i="340"/>
  <c r="H12" i="357"/>
  <c r="H11" i="357"/>
  <c r="H10" i="357"/>
  <c r="H668" i="40"/>
  <c r="H15" i="145"/>
  <c r="H47" i="11"/>
  <c r="H42" i="133"/>
  <c r="H41" i="133"/>
  <c r="B87" i="327" a="1"/>
  <c r="B209" i="327" a="1"/>
  <c r="B57" i="327" a="1"/>
  <c r="J10" i="357"/>
  <c r="J10" i="358"/>
  <c r="B87" i="327" l="1"/>
  <c r="B57" i="327"/>
  <c r="B209" i="327"/>
  <c r="J11" i="357"/>
  <c r="H47" i="176" l="1"/>
  <c r="H46" i="176"/>
  <c r="H136" i="56"/>
  <c r="H135" i="56"/>
  <c r="H134" i="56"/>
  <c r="H133" i="56"/>
  <c r="H132" i="56"/>
  <c r="H93" i="59"/>
  <c r="H92" i="59"/>
  <c r="H91" i="59"/>
  <c r="H90" i="59"/>
  <c r="F90" i="47"/>
  <c r="H90" i="47" s="1"/>
  <c r="I16" i="44"/>
  <c r="F36" i="41"/>
  <c r="H50" i="115"/>
  <c r="H431" i="40"/>
  <c r="H430" i="40"/>
  <c r="H277" i="40"/>
  <c r="H511" i="40"/>
  <c r="H510" i="40"/>
  <c r="H434" i="40"/>
  <c r="H314" i="40"/>
  <c r="H286" i="40"/>
  <c r="H272" i="40"/>
  <c r="H261" i="40"/>
  <c r="H235" i="40"/>
  <c r="H234" i="40"/>
  <c r="H233" i="40"/>
  <c r="H223" i="40"/>
  <c r="H168" i="40"/>
  <c r="H200" i="40"/>
  <c r="H210" i="40"/>
  <c r="H179" i="40"/>
  <c r="H174" i="40"/>
  <c r="H172" i="40"/>
  <c r="H136" i="40"/>
  <c r="H187" i="49"/>
  <c r="H163" i="49"/>
  <c r="H46" i="49"/>
  <c r="H74" i="40"/>
  <c r="H73" i="40"/>
  <c r="H75" i="19"/>
  <c r="H76" i="19"/>
  <c r="H77" i="19"/>
  <c r="H78" i="19"/>
  <c r="H32" i="104"/>
  <c r="H31" i="104"/>
  <c r="H658" i="40"/>
  <c r="H661" i="40"/>
  <c r="H660" i="40"/>
  <c r="H659" i="40"/>
  <c r="H95" i="110"/>
  <c r="H94" i="110"/>
  <c r="H68" i="24"/>
  <c r="I68" i="24" s="1"/>
  <c r="H77" i="44"/>
  <c r="H131" i="56"/>
  <c r="H130" i="56"/>
  <c r="H129" i="56"/>
  <c r="H128" i="56"/>
  <c r="H52" i="17"/>
  <c r="H61" i="78"/>
  <c r="H60" i="78"/>
  <c r="H59" i="78"/>
  <c r="H26" i="170"/>
  <c r="H17" i="340"/>
  <c r="H47" i="91"/>
  <c r="H46" i="91"/>
  <c r="H69" i="14"/>
  <c r="H52" i="89"/>
  <c r="H51" i="89"/>
  <c r="H14" i="284"/>
  <c r="H662" i="40"/>
  <c r="H14" i="355"/>
  <c r="H13" i="355"/>
  <c r="H35" i="66"/>
  <c r="H40" i="133"/>
  <c r="H39" i="133"/>
  <c r="H38" i="133"/>
  <c r="H30" i="104"/>
  <c r="H27" i="191"/>
  <c r="H17" i="179"/>
  <c r="H93" i="110"/>
  <c r="H37" i="144"/>
  <c r="H36" i="144"/>
  <c r="H35" i="144"/>
  <c r="H98" i="92"/>
  <c r="H97" i="92"/>
  <c r="H96" i="92"/>
  <c r="H95" i="92"/>
  <c r="H94" i="92"/>
  <c r="H93" i="92"/>
  <c r="H92" i="92"/>
  <c r="H16" i="339"/>
  <c r="H27" i="280"/>
  <c r="H91" i="92"/>
  <c r="H21" i="166"/>
  <c r="H42" i="194"/>
  <c r="H59" i="159"/>
  <c r="H56" i="172"/>
  <c r="H29" i="122"/>
  <c r="H30" i="175"/>
  <c r="H80" i="57"/>
  <c r="H12" i="311"/>
  <c r="H25" i="170"/>
  <c r="H89" i="59"/>
  <c r="H86" i="19"/>
  <c r="H41" i="68"/>
  <c r="H35" i="8"/>
  <c r="H45" i="120"/>
  <c r="H15" i="352"/>
  <c r="H24" i="9"/>
  <c r="H50" i="89"/>
  <c r="H35" i="150"/>
  <c r="H19" i="22"/>
  <c r="H64" i="118"/>
  <c r="H41" i="134"/>
  <c r="H32" i="80"/>
  <c r="H68" i="14"/>
  <c r="H83" i="6"/>
  <c r="H15" i="160"/>
  <c r="H52" i="64"/>
  <c r="H203" i="49"/>
  <c r="H204" i="49"/>
  <c r="H205" i="49"/>
  <c r="H206" i="49"/>
  <c r="H202" i="49"/>
  <c r="H55" i="172"/>
  <c r="H92" i="110"/>
  <c r="H655" i="40"/>
  <c r="H656" i="40"/>
  <c r="H22" i="152"/>
  <c r="H51" i="117"/>
  <c r="H36" i="87"/>
  <c r="H21" i="62"/>
  <c r="H20" i="62"/>
  <c r="H89" i="47"/>
  <c r="H20" i="51"/>
  <c r="H657" i="40"/>
  <c r="H27" i="98"/>
  <c r="H12" i="356"/>
  <c r="H11" i="356"/>
  <c r="H10" i="356"/>
  <c r="H18" i="185"/>
  <c r="H17" i="185"/>
  <c r="H16" i="185"/>
  <c r="H15" i="185"/>
  <c r="H201" i="49"/>
  <c r="H13" i="354"/>
  <c r="H100" i="13"/>
  <c r="H51" i="64"/>
  <c r="H50" i="64"/>
  <c r="H47" i="7"/>
  <c r="H46" i="7"/>
  <c r="H56" i="147"/>
  <c r="H55" i="147"/>
  <c r="H54" i="147"/>
  <c r="H77" i="85"/>
  <c r="H60" i="159"/>
  <c r="H76" i="34"/>
  <c r="H90" i="92"/>
  <c r="H12" i="355"/>
  <c r="H11" i="355"/>
  <c r="H10" i="355"/>
  <c r="H58" i="78"/>
  <c r="H85" i="19"/>
  <c r="H145" i="2"/>
  <c r="H144" i="2"/>
  <c r="H91" i="110"/>
  <c r="H90" i="110"/>
  <c r="H30" i="183"/>
  <c r="H29" i="183"/>
  <c r="H86" i="25"/>
  <c r="H89" i="110"/>
  <c r="H34" i="70"/>
  <c r="H33" i="70"/>
  <c r="H22" i="187"/>
  <c r="H21" i="187"/>
  <c r="H26" i="35"/>
  <c r="H44" i="124"/>
  <c r="H89" i="92"/>
  <c r="H88" i="92"/>
  <c r="H87" i="92"/>
  <c r="H51" i="17"/>
  <c r="H654" i="40"/>
  <c r="H653" i="40"/>
  <c r="H53" i="147"/>
  <c r="H52" i="147"/>
  <c r="H51" i="147"/>
  <c r="H50" i="147"/>
  <c r="H82" i="6"/>
  <c r="H81" i="6"/>
  <c r="H80" i="6"/>
  <c r="H79" i="6"/>
  <c r="H12" i="354"/>
  <c r="H11" i="354"/>
  <c r="H10" i="354"/>
  <c r="H67" i="14"/>
  <c r="H652" i="40"/>
  <c r="H42" i="189"/>
  <c r="H38" i="77"/>
  <c r="H99" i="13"/>
  <c r="H98" i="13"/>
  <c r="H49" i="89"/>
  <c r="H143" i="2"/>
  <c r="H41" i="194"/>
  <c r="H19" i="121"/>
  <c r="H200" i="49"/>
  <c r="H643" i="40"/>
  <c r="H646" i="40"/>
  <c r="H644" i="40"/>
  <c r="H49" i="147"/>
  <c r="H57" i="78"/>
  <c r="H56" i="78"/>
  <c r="H55" i="78"/>
  <c r="H142" i="2"/>
  <c r="H141" i="2"/>
  <c r="H19" i="20"/>
  <c r="H18" i="20"/>
  <c r="H17" i="20"/>
  <c r="H76" i="85"/>
  <c r="H75" i="85"/>
  <c r="H74" i="85"/>
  <c r="H14" i="352"/>
  <c r="H13" i="352"/>
  <c r="H651" i="40"/>
  <c r="H650" i="40"/>
  <c r="H22" i="73"/>
  <c r="H199" i="49"/>
  <c r="H198" i="49"/>
  <c r="H649" i="40"/>
  <c r="H71" i="96"/>
  <c r="H14" i="171"/>
  <c r="H25" i="125"/>
  <c r="H24" i="125"/>
  <c r="H126" i="56"/>
  <c r="H125" i="56"/>
  <c r="H124" i="56"/>
  <c r="H123" i="56"/>
  <c r="H39" i="41"/>
  <c r="H31" i="18"/>
  <c r="H23" i="9"/>
  <c r="H648" i="40"/>
  <c r="H647" i="40"/>
  <c r="H66" i="14"/>
  <c r="H65" i="14"/>
  <c r="H157" i="5"/>
  <c r="H156" i="5"/>
  <c r="H35" i="87"/>
  <c r="H50" i="117"/>
  <c r="H49" i="117"/>
  <c r="H48" i="117"/>
  <c r="H47" i="117"/>
  <c r="H73" i="112"/>
  <c r="H72" i="112"/>
  <c r="H71" i="112"/>
  <c r="H70" i="112"/>
  <c r="H12" i="353"/>
  <c r="H11" i="353"/>
  <c r="J11" i="353" s="1"/>
  <c r="H10" i="353"/>
  <c r="H34" i="87"/>
  <c r="H68" i="40"/>
  <c r="H67" i="40"/>
  <c r="H66" i="40"/>
  <c r="H26" i="49"/>
  <c r="H140" i="2"/>
  <c r="H65" i="40"/>
  <c r="H64" i="40"/>
  <c r="H63" i="40"/>
  <c r="H62" i="40"/>
  <c r="H61" i="40"/>
  <c r="H60" i="40"/>
  <c r="H139" i="2"/>
  <c r="H138" i="2"/>
  <c r="H59" i="40"/>
  <c r="H40" i="194"/>
  <c r="H58" i="40"/>
  <c r="H57" i="40"/>
  <c r="H39" i="194"/>
  <c r="H56" i="40"/>
  <c r="H55" i="40"/>
  <c r="H88" i="110"/>
  <c r="H54" i="40"/>
  <c r="H53" i="40"/>
  <c r="H52" i="40"/>
  <c r="H51" i="40"/>
  <c r="H50" i="40"/>
  <c r="H137" i="2"/>
  <c r="H49" i="40"/>
  <c r="H11" i="115"/>
  <c r="H48" i="40"/>
  <c r="H47" i="40"/>
  <c r="H46" i="40"/>
  <c r="H45" i="40"/>
  <c r="H44" i="40"/>
  <c r="H25" i="49"/>
  <c r="H24" i="2"/>
  <c r="H23" i="2"/>
  <c r="H43" i="40"/>
  <c r="H42" i="40"/>
  <c r="H22" i="2"/>
  <c r="H41" i="40"/>
  <c r="H40" i="40"/>
  <c r="H39" i="40"/>
  <c r="H38" i="40"/>
  <c r="H37" i="40"/>
  <c r="H21" i="2"/>
  <c r="H36" i="40"/>
  <c r="H35" i="40"/>
  <c r="H20" i="2"/>
  <c r="H19" i="2"/>
  <c r="H18" i="2"/>
  <c r="H34" i="40"/>
  <c r="H33" i="40"/>
  <c r="H38" i="194"/>
  <c r="H32" i="40"/>
  <c r="H37" i="194"/>
  <c r="H36" i="194"/>
  <c r="H31" i="40"/>
  <c r="H30" i="40"/>
  <c r="H29" i="40"/>
  <c r="H28" i="40"/>
  <c r="H35" i="194"/>
  <c r="H24" i="49"/>
  <c r="H34" i="194"/>
  <c r="H23" i="49"/>
  <c r="H13" i="157"/>
  <c r="H33" i="194"/>
  <c r="H17" i="2"/>
  <c r="H27" i="40"/>
  <c r="H26" i="40"/>
  <c r="H25" i="40"/>
  <c r="H22" i="49"/>
  <c r="H21" i="49"/>
  <c r="H20" i="49"/>
  <c r="H16" i="2"/>
  <c r="H10" i="115"/>
  <c r="H24" i="40"/>
  <c r="H19" i="49"/>
  <c r="H15" i="2"/>
  <c r="H14" i="2"/>
  <c r="H13" i="2"/>
  <c r="H18" i="49"/>
  <c r="H17" i="49"/>
  <c r="H16" i="49"/>
  <c r="H15" i="49"/>
  <c r="H14" i="49"/>
  <c r="H13" i="49"/>
  <c r="H12" i="49"/>
  <c r="H11" i="49"/>
  <c r="H10" i="49"/>
  <c r="H23" i="40"/>
  <c r="H22" i="40"/>
  <c r="H21" i="40"/>
  <c r="H20" i="40"/>
  <c r="H19" i="40"/>
  <c r="H12" i="2"/>
  <c r="H18" i="40"/>
  <c r="H11" i="2"/>
  <c r="H10" i="2"/>
  <c r="H17" i="40"/>
  <c r="H16" i="40"/>
  <c r="H15" i="40"/>
  <c r="H14" i="40"/>
  <c r="H13" i="40"/>
  <c r="H12" i="40"/>
  <c r="H11" i="40"/>
  <c r="H10" i="40"/>
  <c r="H48" i="94"/>
  <c r="H79" i="57"/>
  <c r="H34" i="66"/>
  <c r="H86" i="92"/>
  <c r="H78" i="57"/>
  <c r="H58" i="159"/>
  <c r="H32" i="194"/>
  <c r="H127" i="56"/>
  <c r="H19" i="285"/>
  <c r="H63" i="118"/>
  <c r="H48" i="147"/>
  <c r="H24" i="170"/>
  <c r="H48" i="89"/>
  <c r="H28" i="16"/>
  <c r="H55" i="43"/>
  <c r="H159" i="5"/>
  <c r="H155" i="5"/>
  <c r="H154" i="5"/>
  <c r="H69" i="123"/>
  <c r="H68" i="123"/>
  <c r="H67" i="123"/>
  <c r="H153" i="5"/>
  <c r="H66" i="123"/>
  <c r="H65" i="123"/>
  <c r="H152" i="5"/>
  <c r="H151" i="5"/>
  <c r="H149" i="5"/>
  <c r="H148" i="5"/>
  <c r="H147" i="5"/>
  <c r="H146" i="5"/>
  <c r="H145" i="5"/>
  <c r="H144" i="5"/>
  <c r="H143" i="5"/>
  <c r="H63" i="123"/>
  <c r="H158" i="5"/>
  <c r="H30" i="4"/>
  <c r="H43" i="124"/>
  <c r="H30" i="146"/>
  <c r="H37" i="77"/>
  <c r="H150" i="5"/>
  <c r="H31" i="194"/>
  <c r="H42" i="124"/>
  <c r="H88" i="47"/>
  <c r="H87" i="47"/>
  <c r="H21" i="156"/>
  <c r="H126" i="1"/>
  <c r="H125" i="1"/>
  <c r="H124" i="1"/>
  <c r="H36" i="77"/>
  <c r="H83" i="71"/>
  <c r="H73" i="85"/>
  <c r="H18" i="132"/>
  <c r="H20" i="187"/>
  <c r="H20" i="164"/>
  <c r="H28" i="50"/>
  <c r="H32" i="70"/>
  <c r="H15" i="337"/>
  <c r="H36" i="139"/>
  <c r="H12" i="350"/>
  <c r="H19" i="51"/>
  <c r="H45" i="176"/>
  <c r="H15" i="339"/>
  <c r="H25" i="72"/>
  <c r="H29" i="303"/>
  <c r="H45" i="115"/>
  <c r="H72" i="85"/>
  <c r="H43" i="115"/>
  <c r="H61" i="12"/>
  <c r="H135" i="1"/>
  <c r="H130" i="1"/>
  <c r="H129" i="1"/>
  <c r="H128" i="1"/>
  <c r="H127" i="1"/>
  <c r="H123" i="1"/>
  <c r="H122" i="1"/>
  <c r="H642" i="40"/>
  <c r="H18" i="121"/>
  <c r="H85" i="25"/>
  <c r="H136" i="2"/>
  <c r="H84" i="25"/>
  <c r="H87" i="110"/>
  <c r="H76" i="44"/>
  <c r="H641" i="40"/>
  <c r="H633" i="40"/>
  <c r="H23" i="305"/>
  <c r="H22" i="305"/>
  <c r="H86" i="110"/>
  <c r="H31" i="70"/>
  <c r="H30" i="70"/>
  <c r="H47" i="94"/>
  <c r="H85" i="92"/>
  <c r="H75" i="34"/>
  <c r="H135" i="2"/>
  <c r="H46" i="11"/>
  <c r="H45" i="11"/>
  <c r="H14" i="315"/>
  <c r="H13" i="315"/>
  <c r="H83" i="25"/>
  <c r="H41" i="124"/>
  <c r="H14" i="337"/>
  <c r="H27" i="177"/>
  <c r="H26" i="177"/>
  <c r="H25" i="177"/>
  <c r="H54" i="172"/>
  <c r="H82" i="25"/>
  <c r="H81" i="25"/>
  <c r="H80" i="25"/>
  <c r="H14" i="351"/>
  <c r="H75" i="44"/>
  <c r="H74" i="44"/>
  <c r="H73" i="44"/>
  <c r="H72" i="44"/>
  <c r="H71" i="44"/>
  <c r="H50" i="102"/>
  <c r="H645" i="40"/>
  <c r="H635" i="40"/>
  <c r="H634" i="40"/>
  <c r="H632" i="40"/>
  <c r="H33" i="66"/>
  <c r="H12" i="352"/>
  <c r="H11" i="352"/>
  <c r="J11" i="352" s="1"/>
  <c r="H10" i="352"/>
  <c r="H49" i="115"/>
  <c r="H13" i="284"/>
  <c r="H79" i="25"/>
  <c r="H78" i="25"/>
  <c r="H134" i="2"/>
  <c r="H640" i="40"/>
  <c r="H639" i="40"/>
  <c r="H13" i="351"/>
  <c r="H12" i="351"/>
  <c r="H11" i="351"/>
  <c r="J11" i="351" s="1"/>
  <c r="H10" i="351"/>
  <c r="H29" i="175"/>
  <c r="H28" i="175"/>
  <c r="H48" i="115"/>
  <c r="H21" i="152"/>
  <c r="H638" i="40"/>
  <c r="H637" i="40"/>
  <c r="H47" i="89"/>
  <c r="H13" i="337"/>
  <c r="H29" i="146"/>
  <c r="H97" i="13"/>
  <c r="H84" i="19"/>
  <c r="H83" i="19"/>
  <c r="H82" i="19"/>
  <c r="H81" i="19"/>
  <c r="H80" i="19"/>
  <c r="H79" i="19"/>
  <c r="H636" i="40"/>
  <c r="H70" i="44"/>
  <c r="H21" i="153"/>
  <c r="H197" i="49"/>
  <c r="H196" i="49"/>
  <c r="H195" i="49"/>
  <c r="H194" i="49"/>
  <c r="H121" i="56"/>
  <c r="H120" i="56"/>
  <c r="H57" i="159"/>
  <c r="H193" i="49"/>
  <c r="H192" i="49"/>
  <c r="H191" i="49"/>
  <c r="H84" i="110"/>
  <c r="H85" i="110"/>
  <c r="H83" i="110"/>
  <c r="H21" i="300"/>
  <c r="H20" i="300"/>
  <c r="H69" i="44"/>
  <c r="H631" i="40"/>
  <c r="H47" i="115"/>
  <c r="H44" i="11"/>
  <c r="H35" i="77"/>
  <c r="H86" i="47"/>
  <c r="H85" i="47"/>
  <c r="H34" i="77"/>
  <c r="H54" i="78"/>
  <c r="H53" i="78"/>
  <c r="H67" i="24"/>
  <c r="I67" i="24" s="1"/>
  <c r="H77" i="25"/>
  <c r="H41" i="21"/>
  <c r="H40" i="21"/>
  <c r="H39" i="21"/>
  <c r="H31" i="108"/>
  <c r="H30" i="108"/>
  <c r="H29" i="108"/>
  <c r="H28" i="108"/>
  <c r="H27" i="108"/>
  <c r="H26" i="108"/>
  <c r="H25" i="35"/>
  <c r="H20" i="279"/>
  <c r="H68" i="44"/>
  <c r="H35" i="61"/>
  <c r="H34" i="144"/>
  <c r="H24" i="177"/>
  <c r="H64" i="14"/>
  <c r="H63" i="14"/>
  <c r="H49" i="64"/>
  <c r="H78" i="6"/>
  <c r="H77" i="6"/>
  <c r="H19" i="187"/>
  <c r="H64" i="123"/>
  <c r="H50" i="17"/>
  <c r="H49" i="17"/>
  <c r="H48" i="17"/>
  <c r="H20" i="106"/>
  <c r="H82" i="110"/>
  <c r="H15" i="173"/>
  <c r="H19" i="342"/>
  <c r="H18" i="342"/>
  <c r="H17" i="342"/>
  <c r="H16" i="342"/>
  <c r="H15" i="342"/>
  <c r="H34" i="150"/>
  <c r="H47" i="17"/>
  <c r="H46" i="17"/>
  <c r="H19" i="300"/>
  <c r="H84" i="47"/>
  <c r="H81" i="110"/>
  <c r="H80" i="110"/>
  <c r="H79" i="110"/>
  <c r="H33" i="77"/>
  <c r="H13" i="338"/>
  <c r="H77" i="57"/>
  <c r="H84" i="92"/>
  <c r="H76" i="57"/>
  <c r="H74" i="34"/>
  <c r="H53" i="172"/>
  <c r="H46" i="94"/>
  <c r="H55" i="159"/>
  <c r="H30" i="194"/>
  <c r="H17" i="121"/>
  <c r="H83" i="92"/>
  <c r="H12" i="286"/>
  <c r="H75" i="57"/>
  <c r="H16" i="131"/>
  <c r="H52" i="172"/>
  <c r="H70" i="96"/>
  <c r="H51" i="159"/>
  <c r="H29" i="194"/>
  <c r="H14" i="299"/>
  <c r="H49" i="102"/>
  <c r="H38" i="135"/>
  <c r="H45" i="94"/>
  <c r="H82" i="92"/>
  <c r="H14" i="293"/>
  <c r="H51" i="172"/>
  <c r="H73" i="34"/>
  <c r="H50" i="172"/>
  <c r="H74" i="57"/>
  <c r="H17" i="291"/>
  <c r="H37" i="135"/>
  <c r="H32" i="66"/>
  <c r="H34" i="61"/>
  <c r="H45" i="91"/>
  <c r="H67" i="44"/>
  <c r="H41" i="189"/>
  <c r="H27" i="175"/>
  <c r="H38" i="41"/>
  <c r="H34" i="343"/>
  <c r="H33" i="343"/>
  <c r="H33" i="87"/>
  <c r="H81" i="92"/>
  <c r="H30" i="126"/>
  <c r="H28" i="303"/>
  <c r="H62" i="14"/>
  <c r="H46" i="117"/>
  <c r="H19" i="312"/>
  <c r="H12" i="337"/>
  <c r="H69" i="96"/>
  <c r="H78" i="110"/>
  <c r="H29" i="104"/>
  <c r="H23" i="99"/>
  <c r="H26" i="161"/>
  <c r="H26" i="137"/>
  <c r="H88" i="59"/>
  <c r="H18" i="32"/>
  <c r="H52" i="78"/>
  <c r="H34" i="8"/>
  <c r="H62" i="118"/>
  <c r="H96" i="13"/>
  <c r="H40" i="134"/>
  <c r="H44" i="120"/>
  <c r="H33" i="150"/>
  <c r="H45" i="17"/>
  <c r="H61" i="118"/>
  <c r="H31" i="80"/>
  <c r="H122" i="56"/>
  <c r="H45" i="7"/>
  <c r="H76" i="6"/>
  <c r="H47" i="147"/>
  <c r="H20" i="152"/>
  <c r="H48" i="64"/>
  <c r="H117" i="56"/>
  <c r="H25" i="161"/>
  <c r="H49" i="172"/>
  <c r="H48" i="172"/>
  <c r="H47" i="172"/>
  <c r="H624" i="40"/>
  <c r="H623" i="40"/>
  <c r="H622" i="40"/>
  <c r="H625" i="40"/>
  <c r="H630" i="40"/>
  <c r="H629" i="40"/>
  <c r="H628" i="40"/>
  <c r="H627" i="40"/>
  <c r="H11" i="284"/>
  <c r="H12" i="284"/>
  <c r="H35" i="139"/>
  <c r="H34" i="139"/>
  <c r="H33" i="61"/>
  <c r="H32" i="61"/>
  <c r="H31" i="61"/>
  <c r="H134" i="1"/>
  <c r="H133" i="1"/>
  <c r="H132" i="1"/>
  <c r="H131" i="1"/>
  <c r="H16" i="291"/>
  <c r="H46" i="147"/>
  <c r="H18" i="187"/>
  <c r="H75" i="6"/>
  <c r="H74" i="6"/>
  <c r="H73" i="6"/>
  <c r="H46" i="115"/>
  <c r="H626" i="40"/>
  <c r="H11" i="350"/>
  <c r="J11" i="350" s="1"/>
  <c r="H10" i="350"/>
  <c r="H19" i="106"/>
  <c r="H26" i="191"/>
  <c r="H133" i="2"/>
  <c r="H56" i="159"/>
  <c r="H616" i="40"/>
  <c r="H606" i="40"/>
  <c r="H605" i="40"/>
  <c r="H604" i="40"/>
  <c r="H601" i="40"/>
  <c r="H618" i="40"/>
  <c r="H76" i="25"/>
  <c r="H75" i="25"/>
  <c r="H74" i="25"/>
  <c r="H73" i="25"/>
  <c r="H72" i="25"/>
  <c r="H71" i="25"/>
  <c r="H617" i="40"/>
  <c r="H132" i="2"/>
  <c r="H77" i="110"/>
  <c r="H76" i="110"/>
  <c r="H75" i="110"/>
  <c r="H74" i="110"/>
  <c r="H27" i="303"/>
  <c r="H51" i="78"/>
  <c r="H73" i="57"/>
  <c r="H37" i="133"/>
  <c r="H36" i="133"/>
  <c r="H40" i="189"/>
  <c r="H24" i="161"/>
  <c r="H23" i="161"/>
  <c r="H22" i="161"/>
  <c r="H21" i="161"/>
  <c r="H20" i="161"/>
  <c r="H45" i="88"/>
  <c r="H18" i="106"/>
  <c r="H54" i="43"/>
  <c r="H23" i="177"/>
  <c r="H27" i="33"/>
  <c r="H40" i="124"/>
  <c r="H39" i="124"/>
  <c r="H38" i="124"/>
  <c r="H37" i="124"/>
  <c r="H36" i="124"/>
  <c r="H83" i="47"/>
  <c r="H621" i="40"/>
  <c r="H24" i="99"/>
  <c r="H66" i="44"/>
  <c r="H65" i="44"/>
  <c r="H22" i="9"/>
  <c r="H18" i="285"/>
  <c r="H30" i="155"/>
  <c r="H29" i="155"/>
  <c r="H28" i="155"/>
  <c r="H12" i="348"/>
  <c r="H13" i="299"/>
  <c r="H18" i="278"/>
  <c r="H12" i="277"/>
  <c r="H12" i="197"/>
  <c r="H14" i="195"/>
  <c r="H23" i="194"/>
  <c r="H10" i="191"/>
  <c r="H34" i="172"/>
  <c r="H16" i="172"/>
  <c r="H12" i="172"/>
  <c r="H34" i="159"/>
  <c r="H26" i="159"/>
  <c r="H20" i="159"/>
  <c r="H11" i="172"/>
  <c r="J11" i="172" s="1"/>
  <c r="H15" i="159"/>
  <c r="H10" i="159"/>
  <c r="H11" i="159"/>
  <c r="H12" i="159"/>
  <c r="H13" i="159"/>
  <c r="H14" i="159"/>
  <c r="H16" i="159"/>
  <c r="H17" i="159"/>
  <c r="H18" i="159"/>
  <c r="H19" i="159"/>
  <c r="H22" i="159"/>
  <c r="H23" i="159"/>
  <c r="H24" i="159"/>
  <c r="H25" i="159"/>
  <c r="H27" i="159"/>
  <c r="H28" i="159"/>
  <c r="H29" i="159"/>
  <c r="H30" i="159"/>
  <c r="H31" i="159"/>
  <c r="H33" i="159"/>
  <c r="H35" i="159"/>
  <c r="H36" i="159"/>
  <c r="H37" i="159"/>
  <c r="H38" i="159"/>
  <c r="H39" i="159"/>
  <c r="H40" i="159"/>
  <c r="H41" i="159"/>
  <c r="H42" i="159"/>
  <c r="H43" i="159"/>
  <c r="H44" i="159"/>
  <c r="H45" i="159"/>
  <c r="H46" i="159"/>
  <c r="H47" i="159"/>
  <c r="H48" i="159"/>
  <c r="H49" i="159"/>
  <c r="H50" i="159"/>
  <c r="H52" i="159"/>
  <c r="H53" i="159"/>
  <c r="H54" i="159"/>
  <c r="H24" i="144"/>
  <c r="H24" i="96"/>
  <c r="H26" i="96"/>
  <c r="H52" i="123"/>
  <c r="H48" i="123"/>
  <c r="H26" i="123"/>
  <c r="H18" i="123"/>
  <c r="H54" i="123"/>
  <c r="H53" i="123"/>
  <c r="H16" i="115"/>
  <c r="H48" i="85"/>
  <c r="H51" i="112"/>
  <c r="H21" i="83"/>
  <c r="F13" i="77"/>
  <c r="H620" i="40"/>
  <c r="H619" i="40"/>
  <c r="H29" i="70"/>
  <c r="H28" i="70"/>
  <c r="H80" i="92"/>
  <c r="H70" i="25"/>
  <c r="H69" i="25"/>
  <c r="H46" i="89"/>
  <c r="H45" i="89"/>
  <c r="H44" i="89"/>
  <c r="H15" i="182"/>
  <c r="H14" i="182"/>
  <c r="H119" i="56"/>
  <c r="H118" i="56"/>
  <c r="H603" i="40"/>
  <c r="H44" i="176"/>
  <c r="H43" i="176"/>
  <c r="H42" i="176"/>
  <c r="H41" i="176"/>
  <c r="H40" i="176"/>
  <c r="H39" i="176"/>
  <c r="H38" i="176"/>
  <c r="H37" i="176"/>
  <c r="H602" i="40"/>
  <c r="H131" i="2"/>
  <c r="H612" i="40"/>
  <c r="H611" i="40"/>
  <c r="H610" i="40"/>
  <c r="H609" i="40"/>
  <c r="H608" i="40"/>
  <c r="H607" i="40"/>
  <c r="H79" i="92"/>
  <c r="H46" i="172"/>
  <c r="H17" i="106"/>
  <c r="H33" i="144"/>
  <c r="H142" i="5"/>
  <c r="H29" i="4"/>
  <c r="H28" i="4"/>
  <c r="H69" i="112"/>
  <c r="H39" i="189"/>
  <c r="H43" i="120"/>
  <c r="H68" i="96"/>
  <c r="H67" i="96"/>
  <c r="H66" i="96"/>
  <c r="H65" i="96"/>
  <c r="H11" i="348"/>
  <c r="J11" i="348" s="1"/>
  <c r="H10" i="348"/>
  <c r="H27" i="50"/>
  <c r="H615" i="40"/>
  <c r="H614" i="40"/>
  <c r="H613" i="40"/>
  <c r="H50" i="78"/>
  <c r="H49" i="78"/>
  <c r="H48" i="78"/>
  <c r="H47" i="78"/>
  <c r="H46" i="78"/>
  <c r="H45" i="78"/>
  <c r="H44" i="78"/>
  <c r="H23" i="138"/>
  <c r="H13" i="171"/>
  <c r="H130" i="2"/>
  <c r="H129" i="2"/>
  <c r="H33" i="136"/>
  <c r="H32" i="136"/>
  <c r="H19" i="161"/>
  <c r="H18" i="161"/>
  <c r="H43" i="11"/>
  <c r="H116" i="56"/>
  <c r="H115" i="56"/>
  <c r="H114" i="56"/>
  <c r="H113" i="56"/>
  <c r="H112" i="56"/>
  <c r="H19" i="152"/>
  <c r="H40" i="68"/>
  <c r="H39" i="68"/>
  <c r="H38" i="68"/>
  <c r="H26" i="303"/>
  <c r="H25" i="303"/>
  <c r="H44" i="88"/>
  <c r="H43" i="88"/>
  <c r="H42" i="88"/>
  <c r="H72" i="57"/>
  <c r="H16" i="106"/>
  <c r="H78" i="92"/>
  <c r="H77" i="92"/>
  <c r="H28" i="146"/>
  <c r="H95" i="13"/>
  <c r="H94" i="13"/>
  <c r="H61" i="14"/>
  <c r="H60" i="14"/>
  <c r="H59" i="14"/>
  <c r="H19" i="164"/>
  <c r="H26" i="175"/>
  <c r="H25" i="175"/>
  <c r="H17" i="285"/>
  <c r="H16" i="285"/>
  <c r="H15" i="285"/>
  <c r="H16" i="44"/>
  <c r="H17" i="44"/>
  <c r="H18" i="44"/>
  <c r="H19" i="44"/>
  <c r="H20" i="44"/>
  <c r="H21" i="44"/>
  <c r="H22" i="44"/>
  <c r="H24" i="44"/>
  <c r="H25" i="44"/>
  <c r="H26" i="44"/>
  <c r="H27" i="44"/>
  <c r="H28" i="44"/>
  <c r="H29" i="44"/>
  <c r="H30" i="44"/>
  <c r="H31" i="44"/>
  <c r="H32" i="44"/>
  <c r="H33" i="44"/>
  <c r="H34" i="44"/>
  <c r="H35" i="44"/>
  <c r="H36" i="44"/>
  <c r="H37" i="44"/>
  <c r="H38" i="44"/>
  <c r="H39" i="44"/>
  <c r="H40" i="44"/>
  <c r="H41" i="44"/>
  <c r="H42" i="44"/>
  <c r="H43" i="44"/>
  <c r="H44" i="44"/>
  <c r="H45" i="44"/>
  <c r="H46" i="44"/>
  <c r="H47" i="44"/>
  <c r="H48" i="44"/>
  <c r="H49" i="44"/>
  <c r="H50" i="44"/>
  <c r="H51" i="44"/>
  <c r="H52" i="44"/>
  <c r="H53" i="44"/>
  <c r="H54" i="44"/>
  <c r="H55" i="44"/>
  <c r="H56" i="44"/>
  <c r="H57" i="44"/>
  <c r="H58" i="44"/>
  <c r="H59" i="44"/>
  <c r="H60" i="44"/>
  <c r="H61" i="44"/>
  <c r="H62" i="44"/>
  <c r="H63" i="44"/>
  <c r="H64" i="44"/>
  <c r="H15" i="44"/>
  <c r="H12" i="44"/>
  <c r="A1" i="301"/>
  <c r="H66" i="24"/>
  <c r="I66" i="24" s="1"/>
  <c r="H591" i="40"/>
  <c r="H590" i="40"/>
  <c r="H588" i="40"/>
  <c r="H582" i="40"/>
  <c r="H581" i="40"/>
  <c r="H44" i="115"/>
  <c r="H128" i="2"/>
  <c r="H127" i="2"/>
  <c r="H126" i="2"/>
  <c r="H125" i="2"/>
  <c r="H68" i="25"/>
  <c r="H75" i="92"/>
  <c r="H24" i="72"/>
  <c r="H23" i="72"/>
  <c r="H24" i="303"/>
  <c r="H23" i="303"/>
  <c r="H38" i="189"/>
  <c r="H73" i="110"/>
  <c r="H72" i="110"/>
  <c r="H71" i="110"/>
  <c r="H70" i="110"/>
  <c r="H20" i="156"/>
  <c r="H29" i="126"/>
  <c r="H35" i="124"/>
  <c r="H36" i="135"/>
  <c r="H60" i="12"/>
  <c r="H45" i="117"/>
  <c r="H44" i="117"/>
  <c r="H43" i="117"/>
  <c r="H141" i="5"/>
  <c r="H140" i="5"/>
  <c r="H139" i="5"/>
  <c r="H600" i="40"/>
  <c r="H124" i="2"/>
  <c r="H67" i="25"/>
  <c r="H28" i="104"/>
  <c r="H27" i="104"/>
  <c r="H599" i="40"/>
  <c r="H22" i="303"/>
  <c r="H136" i="5"/>
  <c r="H121" i="1"/>
  <c r="H138" i="5"/>
  <c r="H137" i="5"/>
  <c r="H135" i="5"/>
  <c r="H134" i="5"/>
  <c r="H133" i="5"/>
  <c r="H132" i="5"/>
  <c r="H131" i="5"/>
  <c r="H82" i="47"/>
  <c r="H82" i="71"/>
  <c r="H23" i="170"/>
  <c r="H53" i="43"/>
  <c r="H17" i="161"/>
  <c r="H31" i="66"/>
  <c r="H587" i="40"/>
  <c r="H586" i="40"/>
  <c r="H585" i="40"/>
  <c r="H584" i="40"/>
  <c r="H583" i="40"/>
  <c r="H589" i="40"/>
  <c r="H66" i="25"/>
  <c r="H45" i="172"/>
  <c r="H44" i="172"/>
  <c r="H43" i="172"/>
  <c r="H42" i="172"/>
  <c r="H32" i="343"/>
  <c r="H31" i="343"/>
  <c r="H35" i="133"/>
  <c r="H34" i="133"/>
  <c r="H32" i="87"/>
  <c r="H32" i="142"/>
  <c r="H76" i="92"/>
  <c r="H45" i="147"/>
  <c r="H44" i="147"/>
  <c r="H64" i="96"/>
  <c r="H63" i="96"/>
  <c r="H62" i="96"/>
  <c r="H21" i="305"/>
  <c r="H72" i="6"/>
  <c r="H44" i="91"/>
  <c r="H44" i="94"/>
  <c r="H43" i="94"/>
  <c r="H42" i="94"/>
  <c r="H27" i="16"/>
  <c r="H26" i="16"/>
  <c r="H24" i="175"/>
  <c r="H23" i="175"/>
  <c r="H22" i="175"/>
  <c r="H14" i="342"/>
  <c r="H13" i="342"/>
  <c r="H598" i="40"/>
  <c r="H38" i="21"/>
  <c r="H37" i="21"/>
  <c r="H36" i="21"/>
  <c r="H71" i="57"/>
  <c r="H70" i="57"/>
  <c r="H24" i="35"/>
  <c r="H23" i="35"/>
  <c r="H22" i="35"/>
  <c r="H21" i="35"/>
  <c r="H74" i="92"/>
  <c r="H73" i="92"/>
  <c r="H52" i="43"/>
  <c r="H51" i="43"/>
  <c r="H50" i="43"/>
  <c r="H119" i="1"/>
  <c r="H118" i="1"/>
  <c r="H117" i="1"/>
  <c r="H116" i="1"/>
  <c r="H115" i="1"/>
  <c r="H114" i="1"/>
  <c r="H25" i="137"/>
  <c r="H597" i="40"/>
  <c r="H596" i="40"/>
  <c r="H37" i="41"/>
  <c r="H36" i="41"/>
  <c r="H595" i="40"/>
  <c r="H594" i="40"/>
  <c r="H13" i="347"/>
  <c r="H12" i="347"/>
  <c r="H11" i="347"/>
  <c r="J11" i="347" s="1"/>
  <c r="H10" i="347"/>
  <c r="H20" i="343"/>
  <c r="H19" i="343"/>
  <c r="H18" i="343"/>
  <c r="H17" i="343"/>
  <c r="H16" i="343"/>
  <c r="H543" i="40"/>
  <c r="H33" i="135"/>
  <c r="H535" i="40"/>
  <c r="H537" i="40"/>
  <c r="H536" i="40"/>
  <c r="H534" i="40"/>
  <c r="H533" i="40"/>
  <c r="H15" i="343"/>
  <c r="H14" i="343"/>
  <c r="H13" i="343"/>
  <c r="H12" i="343"/>
  <c r="H11" i="343"/>
  <c r="H109" i="2"/>
  <c r="H16" i="300"/>
  <c r="H15" i="300"/>
  <c r="I11" i="300"/>
  <c r="H14" i="300"/>
  <c r="H47" i="110"/>
  <c r="H528" i="40"/>
  <c r="H527" i="40"/>
  <c r="H526" i="40"/>
  <c r="H525" i="40"/>
  <c r="H524" i="40"/>
  <c r="H523" i="40"/>
  <c r="H522" i="40"/>
  <c r="H172" i="49"/>
  <c r="H171" i="49"/>
  <c r="H170" i="49"/>
  <c r="H169" i="49"/>
  <c r="H168" i="49"/>
  <c r="H17" i="279"/>
  <c r="H16" i="279"/>
  <c r="H108" i="2"/>
  <c r="H107" i="2"/>
  <c r="H28" i="194"/>
  <c r="H518" i="40"/>
  <c r="H593" i="40"/>
  <c r="H592" i="40"/>
  <c r="H71" i="85"/>
  <c r="H70" i="85"/>
  <c r="H23" i="133"/>
  <c r="H10" i="1"/>
  <c r="H11" i="1"/>
  <c r="H13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20" i="1"/>
  <c r="H88" i="13"/>
  <c r="H87" i="13"/>
  <c r="H86" i="13"/>
  <c r="H85" i="13"/>
  <c r="H130" i="5"/>
  <c r="H57" i="123"/>
  <c r="H34" i="83"/>
  <c r="H14" i="339"/>
  <c r="H22" i="72"/>
  <c r="H12" i="338"/>
  <c r="H13" i="336"/>
  <c r="H59" i="12"/>
  <c r="H31" i="83"/>
  <c r="H68" i="112"/>
  <c r="H79" i="71"/>
  <c r="H24" i="146"/>
  <c r="H64" i="112"/>
  <c r="H80" i="47"/>
  <c r="H79" i="47"/>
  <c r="H63" i="112"/>
  <c r="H71" i="47"/>
  <c r="H19" i="188"/>
  <c r="H70" i="47"/>
  <c r="H12" i="336"/>
  <c r="H11" i="344"/>
  <c r="J11" i="344" s="1"/>
  <c r="H10" i="344"/>
  <c r="H15" i="198"/>
  <c r="H13" i="339"/>
  <c r="H36" i="176"/>
  <c r="H65" i="25"/>
  <c r="H27" i="15"/>
  <c r="H30" i="61"/>
  <c r="H37" i="189"/>
  <c r="H43" i="91"/>
  <c r="H44" i="17"/>
  <c r="H26" i="33"/>
  <c r="H58" i="14"/>
  <c r="H35" i="21"/>
  <c r="H16" i="340"/>
  <c r="H20" i="305"/>
  <c r="H11" i="305"/>
  <c r="H12" i="305"/>
  <c r="H20" i="153"/>
  <c r="H69" i="57"/>
  <c r="H12" i="342"/>
  <c r="H35" i="41"/>
  <c r="H89" i="13"/>
  <c r="H12" i="315"/>
  <c r="H111" i="56"/>
  <c r="H25" i="191"/>
  <c r="H72" i="34"/>
  <c r="H24" i="191"/>
  <c r="H15" i="63"/>
  <c r="H40" i="57"/>
  <c r="H30" i="343"/>
  <c r="H574" i="40"/>
  <c r="H573" i="40"/>
  <c r="H190" i="49"/>
  <c r="H189" i="49"/>
  <c r="H188" i="49"/>
  <c r="H186" i="49"/>
  <c r="H185" i="49"/>
  <c r="H184" i="49"/>
  <c r="H183" i="49"/>
  <c r="H29" i="343"/>
  <c r="H28" i="343"/>
  <c r="H27" i="343"/>
  <c r="H26" i="343"/>
  <c r="H36" i="189"/>
  <c r="H572" i="40"/>
  <c r="H158" i="40"/>
  <c r="H25" i="343"/>
  <c r="H24" i="343"/>
  <c r="H23" i="343"/>
  <c r="H22" i="343"/>
  <c r="H10" i="343"/>
  <c r="H21" i="343"/>
  <c r="H120" i="2"/>
  <c r="H563" i="40"/>
  <c r="H69" i="110"/>
  <c r="H68" i="110"/>
  <c r="H67" i="110"/>
  <c r="H19" i="279"/>
  <c r="H18" i="279"/>
  <c r="H39" i="172"/>
  <c r="H26" i="280"/>
  <c r="H16" i="121"/>
  <c r="F14" i="41"/>
  <c r="H14" i="41" s="1"/>
  <c r="H20" i="41"/>
  <c r="I405" i="40"/>
  <c r="H31" i="136"/>
  <c r="H30" i="136"/>
  <c r="H29" i="136"/>
  <c r="H41" i="172"/>
  <c r="H43" i="78"/>
  <c r="H42" i="78"/>
  <c r="H41" i="78"/>
  <c r="H58" i="12"/>
  <c r="H34" i="41"/>
  <c r="H22" i="168"/>
  <c r="H21" i="168"/>
  <c r="H123" i="2"/>
  <c r="H122" i="2"/>
  <c r="H121" i="2"/>
  <c r="H42" i="11"/>
  <c r="H18" i="312"/>
  <c r="H17" i="312"/>
  <c r="H16" i="312"/>
  <c r="H42" i="115"/>
  <c r="H41" i="115"/>
  <c r="H39" i="134"/>
  <c r="H18" i="164"/>
  <c r="H17" i="164"/>
  <c r="H68" i="57"/>
  <c r="H67" i="57"/>
  <c r="H93" i="13"/>
  <c r="H92" i="13"/>
  <c r="H91" i="13"/>
  <c r="H90" i="13"/>
  <c r="H17" i="187"/>
  <c r="H43" i="17"/>
  <c r="H22" i="170"/>
  <c r="H41" i="11"/>
  <c r="H31" i="87"/>
  <c r="H27" i="4"/>
  <c r="H33" i="83"/>
  <c r="H32" i="83"/>
  <c r="H87" i="59"/>
  <c r="H580" i="40"/>
  <c r="H579" i="40"/>
  <c r="H578" i="40"/>
  <c r="H38" i="134"/>
  <c r="H21" i="175"/>
  <c r="H20" i="175"/>
  <c r="H11" i="342"/>
  <c r="J11" i="342" s="1"/>
  <c r="H10" i="342"/>
  <c r="H72" i="92"/>
  <c r="H71" i="92"/>
  <c r="H70" i="92"/>
  <c r="H15" i="340"/>
  <c r="H14" i="340"/>
  <c r="H13" i="340"/>
  <c r="H12" i="340"/>
  <c r="H11" i="340"/>
  <c r="J11" i="340" s="1"/>
  <c r="H10" i="340"/>
  <c r="H33" i="133"/>
  <c r="H12" i="339"/>
  <c r="H40" i="115"/>
  <c r="H64" i="111"/>
  <c r="H63" i="111"/>
  <c r="H21" i="72"/>
  <c r="H571" i="40"/>
  <c r="H570" i="40"/>
  <c r="H21" i="73"/>
  <c r="H11" i="339"/>
  <c r="J11" i="339" s="1"/>
  <c r="H10" i="339"/>
  <c r="H577" i="40"/>
  <c r="H576" i="40"/>
  <c r="H575" i="40"/>
  <c r="H40" i="172"/>
  <c r="H19" i="156"/>
  <c r="H18" i="156"/>
  <c r="H17" i="156"/>
  <c r="H30" i="87"/>
  <c r="H29" i="87"/>
  <c r="H28" i="87"/>
  <c r="H27" i="87"/>
  <c r="H26" i="87"/>
  <c r="H25" i="87"/>
  <c r="H42" i="117"/>
  <c r="H65" i="24"/>
  <c r="I65" i="24" s="1"/>
  <c r="H64" i="24"/>
  <c r="I64" i="24" s="1"/>
  <c r="H36" i="134"/>
  <c r="H40" i="11"/>
  <c r="H11" i="338"/>
  <c r="J11" i="338" s="1"/>
  <c r="H10" i="338"/>
  <c r="H35" i="135"/>
  <c r="H66" i="110"/>
  <c r="H65" i="110"/>
  <c r="H569" i="40"/>
  <c r="H568" i="40"/>
  <c r="H567" i="40"/>
  <c r="H566" i="40"/>
  <c r="H565" i="40"/>
  <c r="H564" i="40"/>
  <c r="H24" i="137"/>
  <c r="H37" i="68"/>
  <c r="H66" i="57"/>
  <c r="H57" i="14"/>
  <c r="H26" i="146"/>
  <c r="H25" i="146"/>
  <c r="H69" i="92"/>
  <c r="H11" i="337"/>
  <c r="J11" i="337" s="1"/>
  <c r="H10" i="337"/>
  <c r="H40" i="78"/>
  <c r="H39" i="78"/>
  <c r="H64" i="25"/>
  <c r="H33" i="41"/>
  <c r="H181" i="49"/>
  <c r="H16" i="35"/>
  <c r="H33" i="25"/>
  <c r="H60" i="13"/>
  <c r="H10" i="13"/>
  <c r="H11" i="13"/>
  <c r="J11" i="13" s="1"/>
  <c r="H12" i="13"/>
  <c r="H14" i="13"/>
  <c r="H15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2" i="13"/>
  <c r="H33" i="13"/>
  <c r="H34" i="13"/>
  <c r="H35" i="13"/>
  <c r="H36" i="13"/>
  <c r="H37" i="13"/>
  <c r="H38" i="13"/>
  <c r="H39" i="13"/>
  <c r="H40" i="13"/>
  <c r="H41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13" i="13"/>
  <c r="H31" i="13"/>
  <c r="H42" i="13"/>
  <c r="H43" i="13"/>
  <c r="H44" i="13"/>
  <c r="H62" i="13"/>
  <c r="H63" i="13"/>
  <c r="H64" i="13"/>
  <c r="H65" i="13"/>
  <c r="H66" i="13"/>
  <c r="H67" i="13"/>
  <c r="H68" i="13"/>
  <c r="H69" i="13"/>
  <c r="H70" i="13"/>
  <c r="H59" i="13"/>
  <c r="H61" i="13"/>
  <c r="H72" i="13"/>
  <c r="H73" i="13"/>
  <c r="H74" i="13"/>
  <c r="H75" i="13"/>
  <c r="H71" i="13"/>
  <c r="H76" i="13"/>
  <c r="H77" i="13"/>
  <c r="H78" i="13"/>
  <c r="H79" i="13"/>
  <c r="H80" i="13"/>
  <c r="H81" i="13"/>
  <c r="H82" i="13"/>
  <c r="H84" i="13"/>
  <c r="H83" i="13"/>
  <c r="H45" i="12"/>
  <c r="F12" i="8"/>
  <c r="H17" i="7"/>
  <c r="H116" i="5"/>
  <c r="I55" i="2"/>
  <c r="H55" i="2"/>
  <c r="H68" i="47"/>
  <c r="H53" i="47"/>
  <c r="H28" i="136"/>
  <c r="H20" i="168"/>
  <c r="H33" i="8"/>
  <c r="H32" i="150"/>
  <c r="H36" i="68"/>
  <c r="H43" i="89"/>
  <c r="H27" i="155"/>
  <c r="H60" i="118"/>
  <c r="H38" i="78"/>
  <c r="H37" i="134"/>
  <c r="H42" i="120"/>
  <c r="H18" i="22"/>
  <c r="H40" i="64"/>
  <c r="H44" i="7"/>
  <c r="H43" i="147"/>
  <c r="H47" i="64"/>
  <c r="H30" i="80"/>
  <c r="H71" i="6"/>
  <c r="H25" i="16"/>
  <c r="H86" i="59"/>
  <c r="H18" i="152"/>
  <c r="H25" i="119"/>
  <c r="H20" i="73"/>
  <c r="H119" i="2"/>
  <c r="H25" i="108"/>
  <c r="H21" i="9"/>
  <c r="H37" i="78"/>
  <c r="H12" i="180"/>
  <c r="H84" i="59"/>
  <c r="H29" i="134"/>
  <c r="H49" i="43"/>
  <c r="H32" i="8"/>
  <c r="H18" i="168"/>
  <c r="H31" i="150"/>
  <c r="H35" i="68"/>
  <c r="H58" i="118"/>
  <c r="H42" i="89"/>
  <c r="H42" i="147"/>
  <c r="H13" i="290"/>
  <c r="H17" i="22"/>
  <c r="H23" i="119"/>
  <c r="H38" i="7"/>
  <c r="H29" i="80"/>
  <c r="H16" i="319"/>
  <c r="H25" i="280"/>
  <c r="H70" i="6"/>
  <c r="H16" i="164"/>
  <c r="H17" i="152"/>
  <c r="H18" i="69"/>
  <c r="H15" i="319"/>
  <c r="H21" i="170"/>
  <c r="H24" i="136"/>
  <c r="H27" i="134"/>
  <c r="H46" i="43"/>
  <c r="H15" i="168"/>
  <c r="H52" i="118"/>
  <c r="H22" i="138"/>
  <c r="H68" i="19"/>
  <c r="H101" i="56"/>
  <c r="H12" i="290"/>
  <c r="H37" i="7"/>
  <c r="H24" i="280"/>
  <c r="H23" i="280"/>
  <c r="H62" i="111"/>
  <c r="H31" i="142"/>
  <c r="H27" i="70"/>
  <c r="H16" i="187"/>
  <c r="H61" i="111"/>
  <c r="H15" i="154"/>
  <c r="H60" i="111"/>
  <c r="H24" i="87"/>
  <c r="H33" i="139"/>
  <c r="H32" i="23"/>
  <c r="H29" i="61"/>
  <c r="H38" i="17"/>
  <c r="H34" i="189"/>
  <c r="H26" i="15"/>
  <c r="H42" i="91"/>
  <c r="H56" i="12"/>
  <c r="H30" i="66"/>
  <c r="H29" i="18"/>
  <c r="H16" i="179"/>
  <c r="H21" i="303"/>
  <c r="H61" i="25"/>
  <c r="H15" i="312"/>
  <c r="H15" i="156"/>
  <c r="H19" i="302"/>
  <c r="H12" i="316"/>
  <c r="H22" i="177"/>
  <c r="H54" i="14"/>
  <c r="H21" i="138"/>
  <c r="H11" i="138"/>
  <c r="H42" i="71"/>
  <c r="H129" i="5"/>
  <c r="H61" i="123"/>
  <c r="H81" i="71"/>
  <c r="H80" i="71"/>
  <c r="H128" i="5"/>
  <c r="H78" i="71"/>
  <c r="H76" i="47"/>
  <c r="H125" i="5"/>
  <c r="H56" i="123"/>
  <c r="H124" i="5"/>
  <c r="H17" i="300"/>
  <c r="H123" i="5"/>
  <c r="H62" i="112"/>
  <c r="H122" i="5"/>
  <c r="H16" i="132"/>
  <c r="H121" i="5"/>
  <c r="H119" i="5"/>
  <c r="H115" i="5"/>
  <c r="H500" i="40"/>
  <c r="H114" i="5"/>
  <c r="H110" i="5"/>
  <c r="H109" i="5"/>
  <c r="H26" i="172"/>
  <c r="H108" i="5"/>
  <c r="H51" i="123"/>
  <c r="H107" i="5"/>
  <c r="H67" i="71"/>
  <c r="H106" i="5"/>
  <c r="H66" i="71"/>
  <c r="H104" i="5"/>
  <c r="H103" i="5"/>
  <c r="H102" i="5"/>
  <c r="H50" i="112"/>
  <c r="H101" i="5"/>
  <c r="H94" i="5"/>
  <c r="H93" i="5"/>
  <c r="H92" i="5"/>
  <c r="H44" i="123"/>
  <c r="H59" i="71"/>
  <c r="H40" i="25"/>
  <c r="H91" i="5"/>
  <c r="H90" i="5"/>
  <c r="H28" i="115"/>
  <c r="H43" i="112"/>
  <c r="H89" i="5"/>
  <c r="H42" i="112"/>
  <c r="H88" i="5"/>
  <c r="H28" i="11"/>
  <c r="H43" i="123"/>
  <c r="H57" i="71"/>
  <c r="H56" i="71"/>
  <c r="H55" i="71"/>
  <c r="H34" i="47"/>
  <c r="H86" i="5"/>
  <c r="H17" i="190"/>
  <c r="H42" i="123"/>
  <c r="H64" i="110"/>
  <c r="H63" i="110"/>
  <c r="H561" i="40"/>
  <c r="H560" i="40"/>
  <c r="H559" i="40"/>
  <c r="H558" i="40"/>
  <c r="H34" i="135"/>
  <c r="H11" i="336"/>
  <c r="J11" i="336" s="1"/>
  <c r="H10" i="336"/>
  <c r="H15" i="106"/>
  <c r="H562" i="40"/>
  <c r="H74" i="19"/>
  <c r="H73" i="19"/>
  <c r="H32" i="41"/>
  <c r="H16" i="156"/>
  <c r="H35" i="134"/>
  <c r="H34" i="134"/>
  <c r="H33" i="134"/>
  <c r="H35" i="189"/>
  <c r="H63" i="24"/>
  <c r="I63" i="24" s="1"/>
  <c r="H62" i="24"/>
  <c r="I62" i="24" s="1"/>
  <c r="H61" i="24"/>
  <c r="I61" i="24" s="1"/>
  <c r="H19" i="305"/>
  <c r="H18" i="305"/>
  <c r="H26" i="70"/>
  <c r="H25" i="70"/>
  <c r="H42" i="17"/>
  <c r="H41" i="17"/>
  <c r="H36" i="78"/>
  <c r="H35" i="78"/>
  <c r="H24" i="16"/>
  <c r="H22" i="99"/>
  <c r="H21" i="99"/>
  <c r="H182" i="49"/>
  <c r="H30" i="18"/>
  <c r="H85" i="59"/>
  <c r="H81" i="47"/>
  <c r="H30" i="83"/>
  <c r="H34" i="124"/>
  <c r="H28" i="122"/>
  <c r="H14" i="173"/>
  <c r="H69" i="85"/>
  <c r="H31" i="41"/>
  <c r="H74" i="47"/>
  <c r="H46" i="64"/>
  <c r="H33" i="124"/>
  <c r="H12" i="317"/>
  <c r="H32" i="77"/>
  <c r="H32" i="124"/>
  <c r="H27" i="194"/>
  <c r="H12" i="196"/>
  <c r="H31" i="77"/>
  <c r="H26" i="4"/>
  <c r="H59" i="112"/>
  <c r="H67" i="47"/>
  <c r="H74" i="71"/>
  <c r="H22" i="146"/>
  <c r="H72" i="71"/>
  <c r="H73" i="71"/>
  <c r="H15" i="306"/>
  <c r="H63" i="47"/>
  <c r="H34" i="11"/>
  <c r="H39" i="64"/>
  <c r="H54" i="47"/>
  <c r="H30" i="77"/>
  <c r="H66" i="85"/>
  <c r="H24" i="83"/>
  <c r="H59" i="59"/>
  <c r="H31" i="124"/>
  <c r="H26" i="41"/>
  <c r="H27" i="77"/>
  <c r="H30" i="124"/>
  <c r="H33" i="94"/>
  <c r="H63" i="85"/>
  <c r="H52" i="47"/>
  <c r="H57" i="59"/>
  <c r="H12" i="306"/>
  <c r="H10" i="306"/>
  <c r="H13" i="306"/>
  <c r="H14" i="306"/>
  <c r="H11" i="306"/>
  <c r="J11" i="306" s="1"/>
  <c r="H59" i="85"/>
  <c r="H24" i="77"/>
  <c r="H45" i="47"/>
  <c r="H25" i="41"/>
  <c r="H14" i="292"/>
  <c r="H36" i="47"/>
  <c r="H13" i="173"/>
  <c r="H29" i="124"/>
  <c r="H22" i="77"/>
  <c r="H14" i="288"/>
  <c r="H29" i="94"/>
  <c r="H41" i="112"/>
  <c r="H20" i="83"/>
  <c r="H29" i="12"/>
  <c r="H20" i="77"/>
  <c r="H23" i="94"/>
  <c r="H23" i="4"/>
  <c r="H14" i="145"/>
  <c r="H21" i="41"/>
  <c r="H13" i="146"/>
  <c r="H19" i="130"/>
  <c r="H14" i="47"/>
  <c r="H10" i="335"/>
  <c r="H10" i="334"/>
  <c r="H10" i="333"/>
  <c r="H99" i="2"/>
  <c r="H20" i="56"/>
  <c r="H43" i="56"/>
  <c r="H56" i="56"/>
  <c r="H92" i="56"/>
  <c r="H102" i="56"/>
  <c r="H38" i="147"/>
  <c r="H10" i="332"/>
  <c r="H10" i="331"/>
  <c r="H21" i="111"/>
  <c r="H15" i="111"/>
  <c r="H16" i="111"/>
  <c r="H13" i="111"/>
  <c r="H25" i="89"/>
  <c r="H10" i="330"/>
  <c r="H65" i="6"/>
  <c r="H10" i="329"/>
  <c r="H10" i="328"/>
  <c r="H23" i="16"/>
  <c r="H28" i="78"/>
  <c r="H10" i="166"/>
  <c r="H25" i="115"/>
  <c r="H10" i="44"/>
  <c r="H11" i="44"/>
  <c r="H13" i="44"/>
  <c r="H14" i="44"/>
  <c r="H10" i="43"/>
  <c r="H11" i="43"/>
  <c r="J11" i="43" s="1"/>
  <c r="H12" i="43"/>
  <c r="H14" i="43"/>
  <c r="H15" i="43"/>
  <c r="H16" i="43"/>
  <c r="H17" i="43"/>
  <c r="H18" i="43"/>
  <c r="H19" i="43"/>
  <c r="H20" i="43"/>
  <c r="H21" i="43"/>
  <c r="H23" i="43"/>
  <c r="H24" i="43"/>
  <c r="H25" i="43"/>
  <c r="H22" i="43"/>
  <c r="H26" i="43"/>
  <c r="H28" i="43"/>
  <c r="H29" i="43"/>
  <c r="H30" i="43"/>
  <c r="H31" i="43"/>
  <c r="H32" i="43"/>
  <c r="H33" i="43"/>
  <c r="H34" i="43"/>
  <c r="H27" i="43"/>
  <c r="H35" i="43"/>
  <c r="H36" i="43"/>
  <c r="H37" i="43"/>
  <c r="H38" i="43"/>
  <c r="H39" i="43"/>
  <c r="H40" i="43"/>
  <c r="H41" i="43"/>
  <c r="H42" i="43"/>
  <c r="H43" i="43"/>
  <c r="H44" i="43"/>
  <c r="H45" i="43"/>
  <c r="H47" i="43"/>
  <c r="H48" i="43"/>
  <c r="H10" i="41"/>
  <c r="H16" i="41"/>
  <c r="H12" i="41"/>
  <c r="H17" i="41"/>
  <c r="H13" i="41"/>
  <c r="H22" i="41"/>
  <c r="H24" i="41"/>
  <c r="H23" i="41"/>
  <c r="H27" i="41"/>
  <c r="H29" i="41"/>
  <c r="H28" i="41"/>
  <c r="H30" i="41"/>
  <c r="H12" i="36"/>
  <c r="H10" i="35"/>
  <c r="H11" i="35"/>
  <c r="J11" i="35" s="1"/>
  <c r="H19" i="35"/>
  <c r="H14" i="35"/>
  <c r="H15" i="35"/>
  <c r="H17" i="35"/>
  <c r="H12" i="35"/>
  <c r="H13" i="35"/>
  <c r="H20" i="35"/>
  <c r="H18" i="35"/>
  <c r="H10" i="32"/>
  <c r="H11" i="32"/>
  <c r="J11" i="32" s="1"/>
  <c r="H13" i="32"/>
  <c r="H14" i="32"/>
  <c r="H15" i="32"/>
  <c r="H16" i="32"/>
  <c r="H17" i="32"/>
  <c r="H10" i="23"/>
  <c r="H11" i="23"/>
  <c r="J11" i="23" s="1"/>
  <c r="H13" i="23"/>
  <c r="H16" i="23"/>
  <c r="H18" i="23"/>
  <c r="H20" i="23"/>
  <c r="H21" i="23"/>
  <c r="H22" i="23"/>
  <c r="H23" i="23"/>
  <c r="H24" i="23"/>
  <c r="H26" i="23"/>
  <c r="H27" i="23"/>
  <c r="H28" i="23"/>
  <c r="H29" i="23"/>
  <c r="H19" i="23"/>
  <c r="H25" i="23"/>
  <c r="H30" i="23"/>
  <c r="H31" i="23"/>
  <c r="H10" i="22"/>
  <c r="H12" i="22"/>
  <c r="H13" i="22"/>
  <c r="H14" i="22"/>
  <c r="H15" i="22"/>
  <c r="H16" i="22"/>
  <c r="H10" i="14"/>
  <c r="H12" i="14"/>
  <c r="H13" i="14"/>
  <c r="H14" i="14"/>
  <c r="H15" i="14"/>
  <c r="H16" i="14"/>
  <c r="H18" i="14"/>
  <c r="H19" i="14"/>
  <c r="H20" i="14"/>
  <c r="H22" i="14"/>
  <c r="H24" i="14"/>
  <c r="H25" i="14"/>
  <c r="H26" i="14"/>
  <c r="H28" i="14"/>
  <c r="H29" i="14"/>
  <c r="H30" i="14"/>
  <c r="H31" i="14"/>
  <c r="H17" i="14"/>
  <c r="H23" i="14"/>
  <c r="H27" i="14"/>
  <c r="H32" i="14"/>
  <c r="H33" i="14"/>
  <c r="H35" i="14"/>
  <c r="H36" i="14"/>
  <c r="H37" i="14"/>
  <c r="H39" i="14"/>
  <c r="H40" i="14"/>
  <c r="H41" i="14"/>
  <c r="H42" i="14"/>
  <c r="H43" i="14"/>
  <c r="H45" i="14"/>
  <c r="H46" i="14"/>
  <c r="H47" i="14"/>
  <c r="H48" i="14"/>
  <c r="H49" i="14"/>
  <c r="H50" i="14"/>
  <c r="H51" i="14"/>
  <c r="H34" i="14"/>
  <c r="H38" i="14"/>
  <c r="H44" i="14"/>
  <c r="H53" i="14"/>
  <c r="H52" i="14"/>
  <c r="H55" i="14"/>
  <c r="H56" i="14"/>
  <c r="H10" i="12"/>
  <c r="H11" i="12"/>
  <c r="J11" i="12" s="1"/>
  <c r="H12" i="12"/>
  <c r="H13" i="12"/>
  <c r="H14" i="12"/>
  <c r="H15" i="12"/>
  <c r="H16" i="12"/>
  <c r="H19" i="12"/>
  <c r="H20" i="12"/>
  <c r="H21" i="12"/>
  <c r="H22" i="12"/>
  <c r="H23" i="12"/>
  <c r="H25" i="12"/>
  <c r="H26" i="12"/>
  <c r="H27" i="12"/>
  <c r="H28" i="12"/>
  <c r="H24" i="12"/>
  <c r="H30" i="12"/>
  <c r="H31" i="12"/>
  <c r="H32" i="12"/>
  <c r="H34" i="12"/>
  <c r="H35" i="12"/>
  <c r="H36" i="12"/>
  <c r="H37" i="12"/>
  <c r="H39" i="12"/>
  <c r="H40" i="12"/>
  <c r="H41" i="12"/>
  <c r="H38" i="12"/>
  <c r="H33" i="12"/>
  <c r="H42" i="12"/>
  <c r="H46" i="12"/>
  <c r="H43" i="12"/>
  <c r="H44" i="12"/>
  <c r="H47" i="12"/>
  <c r="H48" i="12"/>
  <c r="H49" i="12"/>
  <c r="H50" i="12"/>
  <c r="H51" i="12"/>
  <c r="H52" i="12"/>
  <c r="H53" i="12"/>
  <c r="H54" i="12"/>
  <c r="H55" i="12"/>
  <c r="H57" i="12"/>
  <c r="H11" i="9"/>
  <c r="J11" i="9" s="1"/>
  <c r="H10" i="7"/>
  <c r="H11" i="7"/>
  <c r="J11" i="7" s="1"/>
  <c r="H14" i="7"/>
  <c r="H15" i="7"/>
  <c r="H16" i="7"/>
  <c r="H18" i="7"/>
  <c r="H19" i="7"/>
  <c r="H20" i="7"/>
  <c r="H21" i="7"/>
  <c r="H22" i="7"/>
  <c r="H27" i="7"/>
  <c r="H28" i="7"/>
  <c r="H23" i="7"/>
  <c r="H25" i="7"/>
  <c r="H26" i="7"/>
  <c r="H29" i="7"/>
  <c r="H30" i="7"/>
  <c r="H31" i="7"/>
  <c r="H32" i="7"/>
  <c r="H33" i="7"/>
  <c r="H34" i="7"/>
  <c r="H36" i="7"/>
  <c r="H35" i="7"/>
  <c r="H39" i="7"/>
  <c r="H40" i="7"/>
  <c r="H41" i="7"/>
  <c r="H42" i="7"/>
  <c r="H43" i="7"/>
  <c r="H10" i="4"/>
  <c r="H11" i="4"/>
  <c r="J11" i="4" s="1"/>
  <c r="H12" i="4"/>
  <c r="H13" i="4"/>
  <c r="H14" i="4"/>
  <c r="H18" i="4"/>
  <c r="H19" i="4"/>
  <c r="H20" i="4"/>
  <c r="H21" i="4"/>
  <c r="H22" i="4"/>
  <c r="H15" i="4"/>
  <c r="H16" i="4"/>
  <c r="H24" i="4"/>
  <c r="H25" i="4"/>
  <c r="H106" i="2"/>
  <c r="H10" i="21"/>
  <c r="H11" i="21"/>
  <c r="H12" i="21"/>
  <c r="H13" i="21"/>
  <c r="H14" i="21"/>
  <c r="H15" i="21"/>
  <c r="H16" i="21"/>
  <c r="H17" i="21"/>
  <c r="H19" i="21"/>
  <c r="H20" i="21"/>
  <c r="H21" i="21"/>
  <c r="H22" i="21"/>
  <c r="H23" i="21"/>
  <c r="H24" i="21"/>
  <c r="H18" i="21"/>
  <c r="H26" i="21"/>
  <c r="H27" i="21"/>
  <c r="H28" i="21"/>
  <c r="H29" i="21"/>
  <c r="H31" i="21"/>
  <c r="H32" i="21"/>
  <c r="H33" i="21"/>
  <c r="H25" i="21"/>
  <c r="H30" i="21"/>
  <c r="H34" i="21"/>
  <c r="H10" i="20"/>
  <c r="H11" i="20"/>
  <c r="J11" i="20" s="1"/>
  <c r="H14" i="20"/>
  <c r="H15" i="20"/>
  <c r="H16" i="20"/>
  <c r="H10" i="18"/>
  <c r="H11" i="18"/>
  <c r="J11" i="18" s="1"/>
  <c r="H12" i="18"/>
  <c r="H13" i="18"/>
  <c r="H14" i="18"/>
  <c r="H16" i="18"/>
  <c r="H17" i="18"/>
  <c r="H15" i="18"/>
  <c r="H18" i="18"/>
  <c r="H19" i="18"/>
  <c r="H21" i="18"/>
  <c r="H22" i="18"/>
  <c r="H23" i="18"/>
  <c r="H20" i="18"/>
  <c r="H24" i="18"/>
  <c r="H25" i="18"/>
  <c r="H26" i="18"/>
  <c r="H27" i="18"/>
  <c r="H28" i="18"/>
  <c r="H10" i="15"/>
  <c r="H12" i="15"/>
  <c r="H14" i="15"/>
  <c r="H15" i="15"/>
  <c r="H16" i="15"/>
  <c r="H13" i="15"/>
  <c r="H17" i="15"/>
  <c r="H18" i="15"/>
  <c r="H21" i="15"/>
  <c r="H22" i="15"/>
  <c r="H23" i="15"/>
  <c r="H24" i="15"/>
  <c r="H19" i="15"/>
  <c r="H25" i="15"/>
  <c r="H20" i="15"/>
  <c r="H10" i="8"/>
  <c r="H11" i="8"/>
  <c r="J11" i="8" s="1"/>
  <c r="H15" i="8"/>
  <c r="H16" i="8"/>
  <c r="H18" i="8"/>
  <c r="H17" i="8"/>
  <c r="H19" i="8"/>
  <c r="H20" i="8"/>
  <c r="H22" i="8"/>
  <c r="H21" i="8"/>
  <c r="H23" i="8"/>
  <c r="H24" i="8"/>
  <c r="H25" i="8"/>
  <c r="H26" i="8"/>
  <c r="H27" i="8"/>
  <c r="H28" i="8"/>
  <c r="H29" i="8"/>
  <c r="H30" i="8"/>
  <c r="H31" i="8"/>
  <c r="H10" i="9"/>
  <c r="H14" i="9"/>
  <c r="H15" i="9"/>
  <c r="H16" i="9"/>
  <c r="H17" i="9"/>
  <c r="H18" i="9"/>
  <c r="H19" i="9"/>
  <c r="H20" i="9"/>
  <c r="H10" i="17"/>
  <c r="H11" i="17"/>
  <c r="J11" i="17" s="1"/>
  <c r="H13" i="17"/>
  <c r="H14" i="17"/>
  <c r="H15" i="17"/>
  <c r="H16" i="17"/>
  <c r="H17" i="17"/>
  <c r="H19" i="17"/>
  <c r="H20" i="17"/>
  <c r="H21" i="17"/>
  <c r="H22" i="17"/>
  <c r="H12" i="17"/>
  <c r="H18" i="17"/>
  <c r="H23" i="17"/>
  <c r="H25" i="17"/>
  <c r="H26" i="17"/>
  <c r="H27" i="17"/>
  <c r="H28" i="17"/>
  <c r="H24" i="17"/>
  <c r="H29" i="17"/>
  <c r="H30" i="17"/>
  <c r="H31" i="17"/>
  <c r="H33" i="17"/>
  <c r="H34" i="17"/>
  <c r="H32" i="17"/>
  <c r="H35" i="17"/>
  <c r="H36" i="17"/>
  <c r="H37" i="17"/>
  <c r="H39" i="17"/>
  <c r="H40" i="17"/>
  <c r="H118" i="2"/>
  <c r="H117" i="2"/>
  <c r="H180" i="49"/>
  <c r="H179" i="49"/>
  <c r="H178" i="49"/>
  <c r="H177" i="49"/>
  <c r="H176" i="49"/>
  <c r="H175" i="49"/>
  <c r="H554" i="40"/>
  <c r="A10" i="275"/>
  <c r="H555" i="40"/>
  <c r="H38" i="172"/>
  <c r="H37" i="172"/>
  <c r="H36" i="172"/>
  <c r="H48" i="102"/>
  <c r="H47" i="102"/>
  <c r="H20" i="162"/>
  <c r="H19" i="162"/>
  <c r="H41" i="120"/>
  <c r="H40" i="120"/>
  <c r="H16" i="152"/>
  <c r="H28" i="124"/>
  <c r="H32" i="134"/>
  <c r="H31" i="134"/>
  <c r="H34" i="68"/>
  <c r="H61" i="96"/>
  <c r="H60" i="96"/>
  <c r="H59" i="96"/>
  <c r="H58" i="96"/>
  <c r="H57" i="96"/>
  <c r="H56" i="96"/>
  <c r="H29" i="83"/>
  <c r="H28" i="83"/>
  <c r="H67" i="112"/>
  <c r="H66" i="112"/>
  <c r="H65" i="112"/>
  <c r="H14" i="154"/>
  <c r="H557" i="40"/>
  <c r="H41" i="147"/>
  <c r="H69" i="6"/>
  <c r="H68" i="6"/>
  <c r="H15" i="187"/>
  <c r="H14" i="187"/>
  <c r="H24" i="119"/>
  <c r="H116" i="2"/>
  <c r="H556" i="40"/>
  <c r="H28" i="126"/>
  <c r="H551" i="40"/>
  <c r="H41" i="88"/>
  <c r="H40" i="88"/>
  <c r="H39" i="88"/>
  <c r="H38" i="88"/>
  <c r="H37" i="88"/>
  <c r="H36" i="88"/>
  <c r="H35" i="88"/>
  <c r="H552" i="40"/>
  <c r="H26" i="104"/>
  <c r="H16" i="161"/>
  <c r="H15" i="161"/>
  <c r="H60" i="24"/>
  <c r="I60" i="24" s="1"/>
  <c r="H553" i="40"/>
  <c r="H19" i="168"/>
  <c r="H30" i="134"/>
  <c r="H62" i="110"/>
  <c r="H61" i="110"/>
  <c r="H59" i="24"/>
  <c r="I59" i="24" s="1"/>
  <c r="H58" i="24"/>
  <c r="I58" i="24" s="1"/>
  <c r="H57" i="24"/>
  <c r="I57" i="24" s="1"/>
  <c r="H32" i="133"/>
  <c r="H18" i="51"/>
  <c r="H59" i="118"/>
  <c r="H30" i="142"/>
  <c r="H29" i="142"/>
  <c r="H28" i="142"/>
  <c r="H83" i="59"/>
  <c r="H82" i="59"/>
  <c r="H81" i="59"/>
  <c r="H80" i="59"/>
  <c r="H79" i="59"/>
  <c r="H78" i="59"/>
  <c r="H77" i="59"/>
  <c r="H59" i="111"/>
  <c r="H78" i="47"/>
  <c r="H77" i="47"/>
  <c r="H41" i="117"/>
  <c r="H40" i="117"/>
  <c r="H127" i="5"/>
  <c r="H126" i="5"/>
  <c r="H25" i="104"/>
  <c r="H41" i="94"/>
  <c r="H110" i="56"/>
  <c r="H109" i="56"/>
  <c r="H108" i="56"/>
  <c r="H539" i="40"/>
  <c r="H60" i="110"/>
  <c r="H59" i="110"/>
  <c r="H58" i="110"/>
  <c r="H57" i="110"/>
  <c r="H56" i="110"/>
  <c r="H115" i="2"/>
  <c r="H114" i="2"/>
  <c r="H549" i="40"/>
  <c r="H548" i="40"/>
  <c r="H107" i="56"/>
  <c r="H106" i="56"/>
  <c r="H105" i="56"/>
  <c r="H104" i="56"/>
  <c r="H103" i="56"/>
  <c r="H31" i="133"/>
  <c r="H113" i="2"/>
  <c r="H17" i="132"/>
  <c r="H112" i="2"/>
  <c r="H75" i="47"/>
  <c r="H56" i="24"/>
  <c r="I56" i="24" s="1"/>
  <c r="H39" i="120"/>
  <c r="H111" i="2"/>
  <c r="H40" i="147"/>
  <c r="H39" i="147"/>
  <c r="H68" i="92"/>
  <c r="H41" i="91"/>
  <c r="H72" i="19"/>
  <c r="H20" i="166"/>
  <c r="H19" i="166"/>
  <c r="H18" i="166"/>
  <c r="H17" i="166"/>
  <c r="H27" i="136"/>
  <c r="H67" i="92"/>
  <c r="H30" i="150"/>
  <c r="H29" i="150"/>
  <c r="H28" i="150"/>
  <c r="H547" i="40"/>
  <c r="H174" i="49"/>
  <c r="H173" i="49"/>
  <c r="H55" i="110"/>
  <c r="H54" i="110"/>
  <c r="H542" i="40"/>
  <c r="H545" i="40"/>
  <c r="H544" i="40"/>
  <c r="H541" i="40"/>
  <c r="H540" i="40"/>
  <c r="H63" i="25"/>
  <c r="H39" i="11"/>
  <c r="H550" i="40"/>
  <c r="H53" i="110"/>
  <c r="H52" i="110"/>
  <c r="H51" i="110"/>
  <c r="H50" i="110"/>
  <c r="H62" i="25"/>
  <c r="H33" i="68"/>
  <c r="H26" i="136"/>
  <c r="H30" i="133"/>
  <c r="H29" i="133"/>
  <c r="H28" i="61"/>
  <c r="H17" i="168"/>
  <c r="H28" i="134"/>
  <c r="H66" i="92"/>
  <c r="H33" i="189"/>
  <c r="H28" i="133"/>
  <c r="H73" i="47"/>
  <c r="H11" i="320"/>
  <c r="J11" i="320" s="1"/>
  <c r="H10" i="320"/>
  <c r="H34" i="78"/>
  <c r="H33" i="78"/>
  <c r="H32" i="78"/>
  <c r="H72" i="47"/>
  <c r="H546" i="40"/>
  <c r="H58" i="111"/>
  <c r="H57" i="111"/>
  <c r="H49" i="110"/>
  <c r="H48" i="110"/>
  <c r="H14" i="319"/>
  <c r="H13" i="319"/>
  <c r="H12" i="319"/>
  <c r="H11" i="319"/>
  <c r="J11" i="319" s="1"/>
  <c r="H10" i="319"/>
  <c r="H18" i="188"/>
  <c r="H17" i="188"/>
  <c r="H16" i="188"/>
  <c r="H15" i="188"/>
  <c r="H14" i="188"/>
  <c r="H55" i="24"/>
  <c r="I55" i="24" s="1"/>
  <c r="H20" i="303"/>
  <c r="H19" i="303"/>
  <c r="H11" i="317"/>
  <c r="J11" i="317" s="1"/>
  <c r="H10" i="317"/>
  <c r="H16" i="168"/>
  <c r="H27" i="142"/>
  <c r="H26" i="142"/>
  <c r="H60" i="25"/>
  <c r="H40" i="94"/>
  <c r="H27" i="124"/>
  <c r="H19" i="175"/>
  <c r="H18" i="175"/>
  <c r="H17" i="175"/>
  <c r="H32" i="189"/>
  <c r="H31" i="189"/>
  <c r="H45" i="64"/>
  <c r="H41" i="89"/>
  <c r="H40" i="89"/>
  <c r="H46" i="102"/>
  <c r="H45" i="102"/>
  <c r="H17" i="69"/>
  <c r="H21" i="190"/>
  <c r="H20" i="190"/>
  <c r="H19" i="190"/>
  <c r="H71" i="19"/>
  <c r="H32" i="135"/>
  <c r="H31" i="135"/>
  <c r="H25" i="142"/>
  <c r="H538" i="40"/>
  <c r="H59" i="25"/>
  <c r="H28" i="80"/>
  <c r="H27" i="80"/>
  <c r="H110" i="2"/>
  <c r="H14" i="285"/>
  <c r="H532" i="40"/>
  <c r="H57" i="118"/>
  <c r="H17" i="305"/>
  <c r="H54" i="24"/>
  <c r="I54" i="24" s="1"/>
  <c r="H53" i="24"/>
  <c r="I53" i="24" s="1"/>
  <c r="H56" i="111"/>
  <c r="H55" i="111"/>
  <c r="H38" i="120"/>
  <c r="H76" i="59"/>
  <c r="H75" i="59"/>
  <c r="H30" i="189"/>
  <c r="H34" i="88"/>
  <c r="H33" i="88"/>
  <c r="H32" i="88"/>
  <c r="H25" i="136"/>
  <c r="H15" i="179"/>
  <c r="H14" i="179"/>
  <c r="H17" i="51"/>
  <c r="H56" i="118"/>
  <c r="H11" i="316"/>
  <c r="J11" i="316" s="1"/>
  <c r="H10" i="316"/>
  <c r="H38" i="11"/>
  <c r="H37" i="11"/>
  <c r="H21" i="177"/>
  <c r="H11" i="315"/>
  <c r="J11" i="315" s="1"/>
  <c r="H10" i="315"/>
  <c r="H46" i="110"/>
  <c r="H24" i="70"/>
  <c r="H18" i="300"/>
  <c r="H12" i="314"/>
  <c r="H11" i="314"/>
  <c r="J11" i="314" s="1"/>
  <c r="H10" i="314"/>
  <c r="H531" i="40"/>
  <c r="H530" i="40"/>
  <c r="H529" i="40"/>
  <c r="H521" i="40"/>
  <c r="H19" i="73"/>
  <c r="H18" i="73"/>
  <c r="H55" i="96"/>
  <c r="H54" i="96"/>
  <c r="H53" i="96"/>
  <c r="H52" i="96"/>
  <c r="H14" i="296"/>
  <c r="H58" i="25"/>
  <c r="H57" i="25"/>
  <c r="H24" i="108"/>
  <c r="H23" i="108"/>
  <c r="H26" i="124"/>
  <c r="H22" i="119"/>
  <c r="H21" i="119"/>
  <c r="H67" i="6"/>
  <c r="H18" i="303"/>
  <c r="H17" i="303"/>
  <c r="H29" i="66"/>
  <c r="H55" i="118"/>
  <c r="H54" i="118"/>
  <c r="H53" i="118"/>
  <c r="H520" i="40"/>
  <c r="H519" i="40"/>
  <c r="H32" i="68"/>
  <c r="H31" i="68"/>
  <c r="H167" i="49"/>
  <c r="H166" i="49"/>
  <c r="H165" i="49"/>
  <c r="H164" i="49"/>
  <c r="H70" i="19"/>
  <c r="H69" i="19"/>
  <c r="H105" i="2"/>
  <c r="H16" i="305"/>
  <c r="H13" i="179"/>
  <c r="H31" i="88"/>
  <c r="H30" i="88"/>
  <c r="H73" i="59"/>
  <c r="H23" i="191"/>
  <c r="H22" i="137"/>
  <c r="H91" i="56"/>
  <c r="H70" i="34"/>
  <c r="H22" i="191"/>
  <c r="H23" i="128"/>
  <c r="H20" i="191"/>
  <c r="H83" i="56"/>
  <c r="H18" i="191"/>
  <c r="H57" i="47"/>
  <c r="H13" i="297"/>
  <c r="H62" i="85"/>
  <c r="H12" i="313"/>
  <c r="H11" i="197"/>
  <c r="J11" i="197" s="1"/>
  <c r="J12" i="197" s="1"/>
  <c r="H11" i="313"/>
  <c r="J11" i="313" s="1"/>
  <c r="H10" i="313"/>
  <c r="H20" i="72"/>
  <c r="H13" i="288"/>
  <c r="H27" i="126"/>
  <c r="H16" i="303"/>
  <c r="H22" i="128"/>
  <c r="H51" i="96"/>
  <c r="H54" i="111"/>
  <c r="H50" i="96"/>
  <c r="H32" i="139"/>
  <c r="H28" i="66"/>
  <c r="H53" i="111"/>
  <c r="H24" i="142"/>
  <c r="H40" i="91"/>
  <c r="H56" i="25"/>
  <c r="H45" i="110"/>
  <c r="H52" i="111"/>
  <c r="H18" i="158"/>
  <c r="H23" i="125"/>
  <c r="H35" i="176"/>
  <c r="H27" i="133"/>
  <c r="H25" i="124"/>
  <c r="H63" i="57"/>
  <c r="H18" i="302"/>
  <c r="H46" i="96"/>
  <c r="H12" i="304"/>
  <c r="H48" i="111"/>
  <c r="H20" i="177"/>
  <c r="H15" i="303"/>
  <c r="H66" i="59"/>
  <c r="H90" i="56"/>
  <c r="H62" i="92"/>
  <c r="H14" i="303"/>
  <c r="H27" i="61"/>
  <c r="H26" i="50"/>
  <c r="H25" i="155"/>
  <c r="H39" i="91"/>
  <c r="H52" i="25"/>
  <c r="H16" i="166"/>
  <c r="H15" i="131"/>
  <c r="H26" i="66"/>
  <c r="H19" i="88"/>
  <c r="H16" i="51"/>
  <c r="H517" i="40"/>
  <c r="H49" i="96"/>
  <c r="H52" i="24"/>
  <c r="I52" i="24" s="1"/>
  <c r="H26" i="155"/>
  <c r="H31" i="78"/>
  <c r="H30" i="78"/>
  <c r="H100" i="56"/>
  <c r="H99" i="56"/>
  <c r="H98" i="56"/>
  <c r="H97" i="56"/>
  <c r="H96" i="56"/>
  <c r="H95" i="56"/>
  <c r="H94" i="56"/>
  <c r="H93" i="56"/>
  <c r="H14" i="312"/>
  <c r="H13" i="312"/>
  <c r="H12" i="312"/>
  <c r="H11" i="312"/>
  <c r="J11" i="312" s="1"/>
  <c r="H10" i="312"/>
  <c r="H11" i="311"/>
  <c r="J11" i="311" s="1"/>
  <c r="H10" i="311"/>
  <c r="H65" i="57"/>
  <c r="H27" i="83"/>
  <c r="H74" i="59"/>
  <c r="H39" i="117"/>
  <c r="H38" i="117"/>
  <c r="H37" i="117"/>
  <c r="H36" i="117"/>
  <c r="H120" i="5"/>
  <c r="H31" i="139"/>
  <c r="H30" i="139"/>
  <c r="H44" i="64"/>
  <c r="H43" i="64"/>
  <c r="H42" i="64"/>
  <c r="H41" i="64"/>
  <c r="H65" i="92"/>
  <c r="H66" i="6"/>
  <c r="H37" i="147"/>
  <c r="H36" i="147"/>
  <c r="H48" i="96"/>
  <c r="H47" i="96"/>
  <c r="H29" i="88"/>
  <c r="H28" i="88"/>
  <c r="H27" i="88"/>
  <c r="H26" i="88"/>
  <c r="H25" i="88"/>
  <c r="H24" i="88"/>
  <c r="H23" i="88"/>
  <c r="H23" i="137"/>
  <c r="H36" i="11"/>
  <c r="H35" i="11"/>
  <c r="H67" i="19"/>
  <c r="H66" i="19"/>
  <c r="H65" i="19"/>
  <c r="H12" i="179"/>
  <c r="H51" i="111"/>
  <c r="H50" i="111"/>
  <c r="H29" i="78"/>
  <c r="H516" i="40"/>
  <c r="H515" i="40"/>
  <c r="H514" i="40"/>
  <c r="H513" i="40"/>
  <c r="H512" i="40"/>
  <c r="H20" i="99"/>
  <c r="H15" i="305"/>
  <c r="H14" i="132"/>
  <c r="H46" i="111"/>
  <c r="H13" i="303"/>
  <c r="H54" i="57"/>
  <c r="H20" i="193"/>
  <c r="H29" i="139"/>
  <c r="H19" i="72"/>
  <c r="H18" i="72"/>
  <c r="H19" i="177"/>
  <c r="H43" i="111"/>
  <c r="H53" i="57"/>
  <c r="H28" i="144"/>
  <c r="H14" i="127"/>
  <c r="H15" i="291"/>
  <c r="H50" i="123"/>
  <c r="H41" i="111"/>
  <c r="H11" i="302"/>
  <c r="J11" i="302" s="1"/>
  <c r="H18" i="190"/>
  <c r="H14" i="161"/>
  <c r="H24" i="104"/>
  <c r="H36" i="91"/>
  <c r="H25" i="189"/>
  <c r="H39" i="111"/>
  <c r="H38" i="111"/>
  <c r="H18" i="153"/>
  <c r="H19" i="193"/>
  <c r="H24" i="126"/>
  <c r="H35" i="111"/>
  <c r="H28" i="139"/>
  <c r="H19" i="144"/>
  <c r="H17" i="104"/>
  <c r="H82" i="56"/>
  <c r="H33" i="91"/>
  <c r="H44" i="47"/>
  <c r="H32" i="111"/>
  <c r="H17" i="158"/>
  <c r="H17" i="184"/>
  <c r="H14" i="51"/>
  <c r="H13" i="289"/>
  <c r="H14" i="291"/>
  <c r="H27" i="139"/>
  <c r="H30" i="91"/>
  <c r="H21" i="189"/>
  <c r="H31" i="110"/>
  <c r="H12" i="289"/>
  <c r="H72" i="56"/>
  <c r="H30" i="111"/>
  <c r="H12" i="193"/>
  <c r="H66" i="47"/>
  <c r="H65" i="47"/>
  <c r="H21" i="128"/>
  <c r="H20" i="128"/>
  <c r="H77" i="71"/>
  <c r="H76" i="71"/>
  <c r="H75" i="71"/>
  <c r="H49" i="111"/>
  <c r="H32" i="144"/>
  <c r="H31" i="144"/>
  <c r="H29" i="189"/>
  <c r="H162" i="49"/>
  <c r="H161" i="49"/>
  <c r="H23" i="87"/>
  <c r="H22" i="87"/>
  <c r="H21" i="87"/>
  <c r="H118" i="5"/>
  <c r="H117" i="5"/>
  <c r="H30" i="68"/>
  <c r="H29" i="68"/>
  <c r="H22" i="125"/>
  <c r="H509" i="40"/>
  <c r="H15" i="132"/>
  <c r="H64" i="19"/>
  <c r="H26" i="98"/>
  <c r="H25" i="98"/>
  <c r="H24" i="98"/>
  <c r="H23" i="98"/>
  <c r="H37" i="120"/>
  <c r="H30" i="135"/>
  <c r="H29" i="135"/>
  <c r="H104" i="2"/>
  <c r="H103" i="2"/>
  <c r="H26" i="134"/>
  <c r="H72" i="59"/>
  <c r="H71" i="59"/>
  <c r="H70" i="59"/>
  <c r="H69" i="59"/>
  <c r="H58" i="112"/>
  <c r="H57" i="112"/>
  <c r="H14" i="156"/>
  <c r="H20" i="170"/>
  <c r="H14" i="198"/>
  <c r="H26" i="80"/>
  <c r="H27" i="150"/>
  <c r="H26" i="150"/>
  <c r="H26" i="194"/>
  <c r="H45" i="96"/>
  <c r="H44" i="96"/>
  <c r="H43" i="96"/>
  <c r="H42" i="96"/>
  <c r="H22" i="88"/>
  <c r="H21" i="88"/>
  <c r="H20" i="88"/>
  <c r="H63" i="19"/>
  <c r="H62" i="19"/>
  <c r="H61" i="19"/>
  <c r="H60" i="19"/>
  <c r="H62" i="47"/>
  <c r="H61" i="47"/>
  <c r="H62" i="57"/>
  <c r="H61" i="57"/>
  <c r="H24" i="150"/>
  <c r="H17" i="302"/>
  <c r="H16" i="302"/>
  <c r="H34" i="176"/>
  <c r="H33" i="176"/>
  <c r="H32" i="176"/>
  <c r="H31" i="176"/>
  <c r="H30" i="176"/>
  <c r="H68" i="59"/>
  <c r="H67" i="59"/>
  <c r="H51" i="118"/>
  <c r="H50" i="118"/>
  <c r="H24" i="124"/>
  <c r="H15" i="302"/>
  <c r="H23" i="146"/>
  <c r="H25" i="80"/>
  <c r="H24" i="80"/>
  <c r="H27" i="78"/>
  <c r="H12" i="288"/>
  <c r="H55" i="25"/>
  <c r="H54" i="25"/>
  <c r="H25" i="134"/>
  <c r="H14" i="302"/>
  <c r="H59" i="19"/>
  <c r="H22" i="16"/>
  <c r="H63" i="92"/>
  <c r="H44" i="102"/>
  <c r="H19" i="170"/>
  <c r="H21" i="137"/>
  <c r="H53" i="25"/>
  <c r="H28" i="135"/>
  <c r="H27" i="135"/>
  <c r="H26" i="135"/>
  <c r="H36" i="120"/>
  <c r="H35" i="120"/>
  <c r="H65" i="59"/>
  <c r="H64" i="59"/>
  <c r="H113" i="5"/>
  <c r="H112" i="5"/>
  <c r="H111" i="5"/>
  <c r="H25" i="83"/>
  <c r="H26" i="139"/>
  <c r="H25" i="139"/>
  <c r="H60" i="47"/>
  <c r="H39" i="89"/>
  <c r="H38" i="89"/>
  <c r="H37" i="89"/>
  <c r="H36" i="89"/>
  <c r="H35" i="89"/>
  <c r="H28" i="68"/>
  <c r="H34" i="120"/>
  <c r="H12" i="303"/>
  <c r="H27" i="66"/>
  <c r="H14" i="305"/>
  <c r="H13" i="305"/>
  <c r="H10" i="305"/>
  <c r="H31" i="172"/>
  <c r="H43" i="102"/>
  <c r="H494" i="40"/>
  <c r="H493" i="40"/>
  <c r="H492" i="40"/>
  <c r="H11" i="304"/>
  <c r="J11" i="304" s="1"/>
  <c r="H10" i="304"/>
  <c r="H13" i="298"/>
  <c r="H482" i="40"/>
  <c r="H51" i="24"/>
  <c r="I51" i="24" s="1"/>
  <c r="H33" i="120"/>
  <c r="H11" i="303"/>
  <c r="J11" i="303" s="1"/>
  <c r="H10" i="303"/>
  <c r="H47" i="111"/>
  <c r="H19" i="128"/>
  <c r="H22" i="70"/>
  <c r="H481" i="40"/>
  <c r="H15" i="166"/>
  <c r="H14" i="166"/>
  <c r="H13" i="166"/>
  <c r="H60" i="57"/>
  <c r="H59" i="57"/>
  <c r="H58" i="57"/>
  <c r="H57" i="57"/>
  <c r="H56" i="57"/>
  <c r="H61" i="92"/>
  <c r="H13" i="302"/>
  <c r="H12" i="302"/>
  <c r="H10" i="302"/>
  <c r="H38" i="64"/>
  <c r="H39" i="94"/>
  <c r="H38" i="94"/>
  <c r="H480" i="40"/>
  <c r="H58" i="47"/>
  <c r="H15" i="51"/>
  <c r="H26" i="61"/>
  <c r="H25" i="61"/>
  <c r="H18" i="88"/>
  <c r="H58" i="19"/>
  <c r="H25" i="66"/>
  <c r="H33" i="11"/>
  <c r="H24" i="66"/>
  <c r="H23" i="66"/>
  <c r="H12" i="300"/>
  <c r="H479" i="40"/>
  <c r="H478" i="40"/>
  <c r="H35" i="147"/>
  <c r="H34" i="147"/>
  <c r="H471" i="40"/>
  <c r="H23" i="136"/>
  <c r="H22" i="136"/>
  <c r="H470" i="40"/>
  <c r="H50" i="24"/>
  <c r="I50" i="24" s="1"/>
  <c r="H26" i="133"/>
  <c r="H25" i="133"/>
  <c r="H24" i="133"/>
  <c r="H45" i="111"/>
  <c r="H44" i="111"/>
  <c r="H22" i="150"/>
  <c r="H56" i="47"/>
  <c r="H57" i="19"/>
  <c r="H56" i="19"/>
  <c r="H55" i="19"/>
  <c r="H21" i="150"/>
  <c r="H15" i="152"/>
  <c r="H469" i="40"/>
  <c r="H38" i="91"/>
  <c r="H37" i="91"/>
  <c r="H64" i="6"/>
  <c r="H63" i="6"/>
  <c r="H468" i="40"/>
  <c r="H467" i="40"/>
  <c r="H466" i="40"/>
  <c r="H465" i="40"/>
  <c r="H464" i="40"/>
  <c r="H463" i="40"/>
  <c r="H29" i="144"/>
  <c r="H156" i="49"/>
  <c r="H155" i="49"/>
  <c r="H154" i="49"/>
  <c r="H153" i="49"/>
  <c r="H152" i="49"/>
  <c r="H151" i="49"/>
  <c r="H150" i="49"/>
  <c r="H149" i="49"/>
  <c r="H148" i="49"/>
  <c r="H21" i="136"/>
  <c r="H35" i="117"/>
  <c r="H34" i="117"/>
  <c r="H459" i="40"/>
  <c r="H52" i="57"/>
  <c r="H51" i="57"/>
  <c r="H50" i="57"/>
  <c r="H63" i="59"/>
  <c r="H19" i="153"/>
  <c r="H20" i="150"/>
  <c r="H458" i="40"/>
  <c r="H457" i="40"/>
  <c r="H456" i="40"/>
  <c r="H60" i="92"/>
  <c r="H59" i="92"/>
  <c r="H58" i="92"/>
  <c r="H57" i="92"/>
  <c r="H56" i="92"/>
  <c r="H33" i="89"/>
  <c r="H32" i="89"/>
  <c r="H31" i="89"/>
  <c r="H62" i="6"/>
  <c r="H17" i="72"/>
  <c r="H16" i="72"/>
  <c r="H15" i="72"/>
  <c r="H14" i="72"/>
  <c r="H89" i="56"/>
  <c r="H88" i="56"/>
  <c r="H87" i="56"/>
  <c r="H86" i="56"/>
  <c r="H85" i="56"/>
  <c r="H28" i="189"/>
  <c r="H49" i="24"/>
  <c r="I49" i="24" s="1"/>
  <c r="H42" i="111"/>
  <c r="H70" i="71"/>
  <c r="H24" i="139"/>
  <c r="H19" i="62"/>
  <c r="H18" i="62"/>
  <c r="H68" i="85"/>
  <c r="H67" i="85"/>
  <c r="H21" i="146"/>
  <c r="H20" i="146"/>
  <c r="H49" i="57"/>
  <c r="H13" i="198"/>
  <c r="H55" i="92"/>
  <c r="H54" i="92"/>
  <c r="H53" i="92"/>
  <c r="H52" i="92"/>
  <c r="H48" i="118"/>
  <c r="H47" i="118"/>
  <c r="H46" i="118"/>
  <c r="H101" i="2"/>
  <c r="H22" i="194"/>
  <c r="H25" i="50"/>
  <c r="H13" i="291"/>
  <c r="H26" i="78"/>
  <c r="H25" i="78"/>
  <c r="H453" i="40"/>
  <c r="H18" i="177"/>
  <c r="H20" i="136"/>
  <c r="H445" i="40"/>
  <c r="H444" i="40"/>
  <c r="H62" i="59"/>
  <c r="H61" i="59"/>
  <c r="H60" i="59"/>
  <c r="H48" i="24"/>
  <c r="I48" i="24" s="1"/>
  <c r="H144" i="49"/>
  <c r="H143" i="49"/>
  <c r="H142" i="49"/>
  <c r="H141" i="49"/>
  <c r="H140" i="49"/>
  <c r="H443" i="40"/>
  <c r="H442" i="40"/>
  <c r="H441" i="40"/>
  <c r="H36" i="94"/>
  <c r="H51" i="92"/>
  <c r="H28" i="77"/>
  <c r="H18" i="193"/>
  <c r="H17" i="193"/>
  <c r="H16" i="193"/>
  <c r="H15" i="193"/>
  <c r="H54" i="19"/>
  <c r="H53" i="19"/>
  <c r="H52" i="19"/>
  <c r="H64" i="47"/>
  <c r="H26" i="83"/>
  <c r="H59" i="47"/>
  <c r="H29" i="77"/>
  <c r="H69" i="47"/>
  <c r="H61" i="112"/>
  <c r="H60" i="112"/>
  <c r="H18" i="130"/>
  <c r="H55" i="47"/>
  <c r="H71" i="71"/>
  <c r="H69" i="71"/>
  <c r="H23" i="83"/>
  <c r="H65" i="85"/>
  <c r="H56" i="112"/>
  <c r="H13" i="296"/>
  <c r="H17" i="62"/>
  <c r="H49" i="112"/>
  <c r="H48" i="112"/>
  <c r="H43" i="47"/>
  <c r="H47" i="112"/>
  <c r="H16" i="62"/>
  <c r="H12" i="198"/>
  <c r="H40" i="47"/>
  <c r="H17" i="195"/>
  <c r="H17" i="177"/>
  <c r="H18" i="146"/>
  <c r="H37" i="47"/>
  <c r="H19" i="278"/>
  <c r="H64" i="57"/>
  <c r="H64" i="92"/>
  <c r="H13" i="192"/>
  <c r="H30" i="144"/>
  <c r="H23" i="70"/>
  <c r="H71" i="34"/>
  <c r="H27" i="122"/>
  <c r="H30" i="172"/>
  <c r="H42" i="102"/>
  <c r="H55" i="57"/>
  <c r="H15" i="279"/>
  <c r="H15" i="277"/>
  <c r="H25" i="194"/>
  <c r="H13" i="182"/>
  <c r="H25" i="135"/>
  <c r="H17" i="130"/>
  <c r="H18" i="36"/>
  <c r="H37" i="94"/>
  <c r="H21" i="125"/>
  <c r="H12" i="174"/>
  <c r="H13" i="295"/>
  <c r="H27" i="189"/>
  <c r="H41" i="96"/>
  <c r="H24" i="61"/>
  <c r="H46" i="92"/>
  <c r="H47" i="57"/>
  <c r="H29" i="176"/>
  <c r="H14" i="106"/>
  <c r="H28" i="183"/>
  <c r="H22" i="66"/>
  <c r="H51" i="25"/>
  <c r="H23" i="144"/>
  <c r="H14" i="185"/>
  <c r="H16" i="175"/>
  <c r="H14" i="287"/>
  <c r="H69" i="34"/>
  <c r="H14" i="87"/>
  <c r="H22" i="98"/>
  <c r="H26" i="122"/>
  <c r="H36" i="96"/>
  <c r="H28" i="176"/>
  <c r="H18" i="144"/>
  <c r="H35" i="96"/>
  <c r="H20" i="141"/>
  <c r="H22" i="61"/>
  <c r="H14" i="131"/>
  <c r="H43" i="25"/>
  <c r="H29" i="96"/>
  <c r="H18" i="66"/>
  <c r="H40" i="118"/>
  <c r="H66" i="34"/>
  <c r="H39" i="118"/>
  <c r="H25" i="33"/>
  <c r="H27" i="183"/>
  <c r="H27" i="176"/>
  <c r="H20" i="70"/>
  <c r="H28" i="92"/>
  <c r="H16" i="144"/>
  <c r="H25" i="122"/>
  <c r="H15" i="140"/>
  <c r="H22" i="92"/>
  <c r="H35" i="25"/>
  <c r="H13" i="185"/>
  <c r="H16" i="66"/>
  <c r="H22" i="133"/>
  <c r="H21" i="61"/>
  <c r="H19" i="99"/>
  <c r="H32" i="57"/>
  <c r="H14" i="140"/>
  <c r="H12" i="148"/>
  <c r="H14" i="168"/>
  <c r="H27" i="68"/>
  <c r="H23" i="150"/>
  <c r="H32" i="120"/>
  <c r="H34" i="89"/>
  <c r="H24" i="134"/>
  <c r="H49" i="118"/>
  <c r="H23" i="80"/>
  <c r="H22" i="108"/>
  <c r="H37" i="64"/>
  <c r="H33" i="117"/>
  <c r="H16" i="181"/>
  <c r="H33" i="147"/>
  <c r="H51" i="19"/>
  <c r="H24" i="78"/>
  <c r="H14" i="160"/>
  <c r="H15" i="164"/>
  <c r="H13" i="285"/>
  <c r="H30" i="89"/>
  <c r="H36" i="64"/>
  <c r="H61" i="6"/>
  <c r="H26" i="77"/>
  <c r="H84" i="56"/>
  <c r="H45" i="118"/>
  <c r="H60" i="6"/>
  <c r="H20" i="119"/>
  <c r="H26" i="68"/>
  <c r="H22" i="80"/>
  <c r="H21" i="16"/>
  <c r="H31" i="120"/>
  <c r="H18" i="128"/>
  <c r="H20" i="137"/>
  <c r="H16" i="150"/>
  <c r="H29" i="147"/>
  <c r="H20" i="138"/>
  <c r="H23" i="142"/>
  <c r="H35" i="64"/>
  <c r="H13" i="145"/>
  <c r="H22" i="134"/>
  <c r="H20" i="78"/>
  <c r="H25" i="68"/>
  <c r="H20" i="155"/>
  <c r="H26" i="120"/>
  <c r="H32" i="64"/>
  <c r="H28" i="89"/>
  <c r="H21" i="80"/>
  <c r="H53" i="6"/>
  <c r="H23" i="147"/>
  <c r="H52" i="59"/>
  <c r="H17" i="128"/>
  <c r="H19" i="119"/>
  <c r="H31" i="102"/>
  <c r="H77" i="56"/>
  <c r="H32" i="117"/>
  <c r="H40" i="59"/>
  <c r="H26" i="89"/>
  <c r="H16" i="119"/>
  <c r="H18" i="134"/>
  <c r="H24" i="68"/>
  <c r="H15" i="73"/>
  <c r="H37" i="118"/>
  <c r="H48" i="6"/>
  <c r="H16" i="16"/>
  <c r="H20" i="80"/>
  <c r="H71" i="56"/>
  <c r="H21" i="147"/>
  <c r="H28" i="64"/>
  <c r="H160" i="49"/>
  <c r="H159" i="49"/>
  <c r="H158" i="49"/>
  <c r="H157" i="49"/>
  <c r="H35" i="172"/>
  <c r="H503" i="40"/>
  <c r="H502" i="40"/>
  <c r="H495" i="40"/>
  <c r="G213" i="40"/>
  <c r="H213" i="40" s="1"/>
  <c r="H508" i="40"/>
  <c r="H507" i="40"/>
  <c r="H506" i="40"/>
  <c r="H505" i="40"/>
  <c r="H504" i="40"/>
  <c r="H501" i="40"/>
  <c r="H33" i="172"/>
  <c r="H32" i="172"/>
  <c r="H498" i="40"/>
  <c r="H497" i="40"/>
  <c r="H496" i="40"/>
  <c r="H499" i="40"/>
  <c r="H491" i="40"/>
  <c r="H490" i="40"/>
  <c r="H489" i="40"/>
  <c r="H488" i="40"/>
  <c r="H487" i="40"/>
  <c r="H486" i="40"/>
  <c r="H485" i="40"/>
  <c r="H484" i="40"/>
  <c r="H483" i="40"/>
  <c r="H15" i="121"/>
  <c r="H24" i="194"/>
  <c r="H13" i="300"/>
  <c r="H11" i="300"/>
  <c r="H10" i="300"/>
  <c r="H12" i="299"/>
  <c r="H29" i="172"/>
  <c r="H477" i="40"/>
  <c r="H476" i="40"/>
  <c r="H475" i="40"/>
  <c r="H474" i="40"/>
  <c r="H473" i="40"/>
  <c r="H472" i="40"/>
  <c r="H455" i="40"/>
  <c r="H454" i="40"/>
  <c r="H451" i="40"/>
  <c r="H450" i="40"/>
  <c r="H102" i="2"/>
  <c r="H147" i="49"/>
  <c r="H146" i="49"/>
  <c r="H145" i="49"/>
  <c r="H28" i="172"/>
  <c r="H27" i="172"/>
  <c r="H462" i="40"/>
  <c r="H461" i="40"/>
  <c r="H460" i="40"/>
  <c r="H449" i="40"/>
  <c r="H448" i="40"/>
  <c r="H447" i="40"/>
  <c r="H446" i="40"/>
  <c r="H437" i="40"/>
  <c r="H436" i="40"/>
  <c r="H435" i="40"/>
  <c r="H433" i="40"/>
  <c r="H432" i="40"/>
  <c r="H452" i="40"/>
  <c r="H440" i="40"/>
  <c r="H439" i="40"/>
  <c r="H438" i="40"/>
  <c r="H14" i="121"/>
  <c r="H416" i="40"/>
  <c r="H39" i="115"/>
  <c r="H418" i="40"/>
  <c r="H410" i="40"/>
  <c r="H405" i="40"/>
  <c r="H413" i="40"/>
  <c r="H412" i="40"/>
  <c r="H411" i="40"/>
  <c r="H139" i="49"/>
  <c r="H138" i="49"/>
  <c r="H417" i="40"/>
  <c r="H415" i="40"/>
  <c r="H25" i="172"/>
  <c r="H24" i="172"/>
  <c r="H409" i="40"/>
  <c r="H408" i="40"/>
  <c r="H407" i="40"/>
  <c r="H406" i="40"/>
  <c r="H414" i="40"/>
  <c r="H19" i="104"/>
  <c r="H13" i="121"/>
  <c r="H395" i="40"/>
  <c r="H396" i="40"/>
  <c r="H393" i="40"/>
  <c r="H392" i="40"/>
  <c r="H394" i="40"/>
  <c r="H397" i="40"/>
  <c r="H100" i="2"/>
  <c r="H398" i="40"/>
  <c r="H387" i="40"/>
  <c r="H386" i="40"/>
  <c r="H389" i="40"/>
  <c r="H388" i="40"/>
  <c r="H97" i="2"/>
  <c r="H136" i="49"/>
  <c r="H135" i="49"/>
  <c r="H134" i="49"/>
  <c r="H133" i="49"/>
  <c r="H132" i="49"/>
  <c r="H12" i="298"/>
  <c r="H44" i="110"/>
  <c r="H43" i="110"/>
  <c r="H42" i="110"/>
  <c r="H41" i="110"/>
  <c r="H40" i="110"/>
  <c r="H22" i="280"/>
  <c r="H21" i="280"/>
  <c r="H20" i="280"/>
  <c r="H130" i="49"/>
  <c r="H129" i="49"/>
  <c r="H128" i="49"/>
  <c r="H127" i="49"/>
  <c r="H126" i="49"/>
  <c r="H125" i="49"/>
  <c r="H38" i="115"/>
  <c r="H37" i="115"/>
  <c r="H377" i="40"/>
  <c r="H380" i="40"/>
  <c r="H379" i="40"/>
  <c r="H378" i="40"/>
  <c r="H381" i="40"/>
  <c r="H359" i="40"/>
  <c r="H365" i="40"/>
  <c r="H364" i="40"/>
  <c r="H363" i="40"/>
  <c r="H48" i="25"/>
  <c r="H47" i="25"/>
  <c r="H46" i="25"/>
  <c r="H35" i="110"/>
  <c r="H357" i="40"/>
  <c r="H356" i="40"/>
  <c r="H376" i="40"/>
  <c r="H35" i="115"/>
  <c r="H34" i="115"/>
  <c r="H41" i="102"/>
  <c r="H40" i="102"/>
  <c r="H91" i="2"/>
  <c r="H96" i="2"/>
  <c r="H366" i="40"/>
  <c r="H362" i="40"/>
  <c r="H361" i="40"/>
  <c r="H360" i="40"/>
  <c r="H31" i="115"/>
  <c r="H30" i="115"/>
  <c r="H36" i="102"/>
  <c r="H122" i="49"/>
  <c r="H121" i="49"/>
  <c r="H120" i="49"/>
  <c r="H119" i="49"/>
  <c r="H118" i="49"/>
  <c r="H117" i="49"/>
  <c r="H346" i="40"/>
  <c r="H347" i="40"/>
  <c r="H349" i="40"/>
  <c r="H348" i="40"/>
  <c r="H339" i="40"/>
  <c r="H342" i="40"/>
  <c r="H32" i="102"/>
  <c r="H341" i="40"/>
  <c r="H340" i="40"/>
  <c r="H338" i="40"/>
  <c r="H337" i="40"/>
  <c r="H336" i="40"/>
  <c r="H344" i="40"/>
  <c r="H343" i="40"/>
  <c r="H16" i="104"/>
  <c r="H114" i="49"/>
  <c r="H113" i="49"/>
  <c r="H112" i="49"/>
  <c r="H111" i="49"/>
  <c r="H110" i="49"/>
  <c r="H11" i="299"/>
  <c r="J11" i="299" s="1"/>
  <c r="H10" i="299"/>
  <c r="H108" i="49"/>
  <c r="H107" i="49"/>
  <c r="H106" i="49"/>
  <c r="H105" i="49"/>
  <c r="H14" i="279"/>
  <c r="H328" i="40"/>
  <c r="H331" i="40"/>
  <c r="H330" i="40"/>
  <c r="H329" i="40"/>
  <c r="H321" i="40"/>
  <c r="H320" i="40"/>
  <c r="H89" i="2"/>
  <c r="H88" i="2"/>
  <c r="H21" i="194"/>
  <c r="H20" i="194"/>
  <c r="H19" i="194"/>
  <c r="H30" i="102"/>
  <c r="H319" i="40"/>
  <c r="H33" i="110"/>
  <c r="H22" i="278"/>
  <c r="H21" i="278"/>
  <c r="H20" i="278"/>
  <c r="H11" i="298"/>
  <c r="J11" i="298" s="1"/>
  <c r="J12" i="298" s="1"/>
  <c r="J13" i="298" s="1"/>
  <c r="J14" i="298" s="1"/>
  <c r="H10" i="298"/>
  <c r="H313" i="40"/>
  <c r="H312" i="40"/>
  <c r="H311" i="40"/>
  <c r="H310" i="40"/>
  <c r="H309" i="40"/>
  <c r="H101" i="49"/>
  <c r="H100" i="49"/>
  <c r="H99" i="49"/>
  <c r="H98" i="49"/>
  <c r="H97" i="49"/>
  <c r="H85" i="2"/>
  <c r="H84" i="2"/>
  <c r="H30" i="110"/>
  <c r="H93" i="49"/>
  <c r="H92" i="49"/>
  <c r="H91" i="49"/>
  <c r="H90" i="49"/>
  <c r="H89" i="49"/>
  <c r="H88" i="49"/>
  <c r="H87" i="49"/>
  <c r="H86" i="49"/>
  <c r="H296" i="40"/>
  <c r="H295" i="40"/>
  <c r="H284" i="40"/>
  <c r="H300" i="40"/>
  <c r="H299" i="40"/>
  <c r="H298" i="40"/>
  <c r="H297" i="40"/>
  <c r="H294" i="40"/>
  <c r="H293" i="40"/>
  <c r="H302" i="40"/>
  <c r="H301" i="40"/>
  <c r="H285" i="40"/>
  <c r="H27" i="115"/>
  <c r="H26" i="115"/>
  <c r="H283" i="40"/>
  <c r="H282" i="40"/>
  <c r="H83" i="2"/>
  <c r="H82" i="2"/>
  <c r="H81" i="2"/>
  <c r="H27" i="110"/>
  <c r="H22" i="115"/>
  <c r="H24" i="115"/>
  <c r="H270" i="40"/>
  <c r="H269" i="40"/>
  <c r="H268" i="40"/>
  <c r="H278" i="40"/>
  <c r="H273" i="40"/>
  <c r="H14" i="115"/>
  <c r="H11" i="126"/>
  <c r="J11" i="126" s="1"/>
  <c r="H95" i="40"/>
  <c r="H94" i="40"/>
  <c r="H267" i="40"/>
  <c r="H47" i="24"/>
  <c r="I47" i="24" s="1"/>
  <c r="H46" i="24"/>
  <c r="I46" i="24" s="1"/>
  <c r="H48" i="57"/>
  <c r="H64" i="85"/>
  <c r="H22" i="83"/>
  <c r="H58" i="59"/>
  <c r="H45" i="24"/>
  <c r="I45" i="24" s="1"/>
  <c r="H44" i="24"/>
  <c r="I44" i="24" s="1"/>
  <c r="H68" i="71"/>
  <c r="H40" i="111"/>
  <c r="H50" i="92"/>
  <c r="H49" i="92"/>
  <c r="H48" i="92"/>
  <c r="H47" i="92"/>
  <c r="H429" i="40"/>
  <c r="H23" i="124"/>
  <c r="H22" i="124"/>
  <c r="H49" i="123"/>
  <c r="H428" i="40"/>
  <c r="H22" i="142"/>
  <c r="H21" i="142"/>
  <c r="H20" i="142"/>
  <c r="H20" i="125"/>
  <c r="H19" i="125"/>
  <c r="H18" i="125"/>
  <c r="H40" i="96"/>
  <c r="H26" i="189"/>
  <c r="H20" i="87"/>
  <c r="H427" i="40"/>
  <c r="H426" i="40"/>
  <c r="H425" i="40"/>
  <c r="H424" i="40"/>
  <c r="H32" i="147"/>
  <c r="H31" i="147"/>
  <c r="H45" i="92"/>
  <c r="H44" i="92"/>
  <c r="H43" i="92"/>
  <c r="H46" i="57"/>
  <c r="H45" i="57"/>
  <c r="H44" i="57"/>
  <c r="H35" i="94"/>
  <c r="H34" i="94"/>
  <c r="H23" i="104"/>
  <c r="H22" i="104"/>
  <c r="H21" i="104"/>
  <c r="H12" i="297"/>
  <c r="H11" i="297"/>
  <c r="J11" i="297" s="1"/>
  <c r="H10" i="297"/>
  <c r="H423" i="40"/>
  <c r="H422" i="40"/>
  <c r="H421" i="40"/>
  <c r="J10" i="290"/>
  <c r="H137" i="49"/>
  <c r="H26" i="126"/>
  <c r="H27" i="144"/>
  <c r="H26" i="144"/>
  <c r="H25" i="144"/>
  <c r="H23" i="68"/>
  <c r="H22" i="68"/>
  <c r="H32" i="11"/>
  <c r="H25" i="77"/>
  <c r="H420" i="40"/>
  <c r="H419" i="40"/>
  <c r="H20" i="104"/>
  <c r="H12" i="157"/>
  <c r="H51" i="47"/>
  <c r="H50" i="47"/>
  <c r="H49" i="47"/>
  <c r="H48" i="47"/>
  <c r="H65" i="71"/>
  <c r="H64" i="71"/>
  <c r="H63" i="71"/>
  <c r="H62" i="71"/>
  <c r="H61" i="71"/>
  <c r="H50" i="25"/>
  <c r="H12" i="296"/>
  <c r="H11" i="296"/>
  <c r="J11" i="296" s="1"/>
  <c r="H10" i="296"/>
  <c r="H18" i="104"/>
  <c r="H61" i="85"/>
  <c r="H60" i="85"/>
  <c r="H404" i="40"/>
  <c r="H23" i="78"/>
  <c r="H22" i="78"/>
  <c r="H21" i="78"/>
  <c r="H47" i="47"/>
  <c r="H46" i="47"/>
  <c r="H43" i="57"/>
  <c r="H42" i="92"/>
  <c r="H30" i="147"/>
  <c r="H35" i="91"/>
  <c r="H34" i="91"/>
  <c r="H21" i="124"/>
  <c r="H21" i="68"/>
  <c r="H105" i="5"/>
  <c r="H55" i="112"/>
  <c r="H54" i="112"/>
  <c r="H53" i="112"/>
  <c r="H52" i="112"/>
  <c r="H17" i="88"/>
  <c r="H30" i="120"/>
  <c r="H98" i="2"/>
  <c r="H24" i="135"/>
  <c r="H403" i="40"/>
  <c r="H402" i="40"/>
  <c r="H401" i="40"/>
  <c r="H400" i="40"/>
  <c r="H399" i="40"/>
  <c r="H23" i="172"/>
  <c r="H18" i="162"/>
  <c r="H17" i="162"/>
  <c r="H42" i="57"/>
  <c r="H41" i="57"/>
  <c r="H43" i="24"/>
  <c r="I43" i="24" s="1"/>
  <c r="H19" i="87"/>
  <c r="H18" i="87"/>
  <c r="H17" i="87"/>
  <c r="H16" i="87"/>
  <c r="H15" i="87"/>
  <c r="H17" i="73"/>
  <c r="H131" i="49"/>
  <c r="H25" i="126"/>
  <c r="H391" i="40"/>
  <c r="H17" i="125"/>
  <c r="H18" i="170"/>
  <c r="H28" i="147"/>
  <c r="H27" i="147"/>
  <c r="H26" i="147"/>
  <c r="H19" i="150"/>
  <c r="H18" i="150"/>
  <c r="H17" i="150"/>
  <c r="H22" i="144"/>
  <c r="H23" i="135"/>
  <c r="H24" i="189"/>
  <c r="H23" i="189"/>
  <c r="H21" i="66"/>
  <c r="H21" i="191"/>
  <c r="H390" i="40"/>
  <c r="H21" i="144"/>
  <c r="H50" i="19"/>
  <c r="H49" i="19"/>
  <c r="H48" i="19"/>
  <c r="H13" i="140"/>
  <c r="H12" i="140"/>
  <c r="H31" i="117"/>
  <c r="H23" i="139"/>
  <c r="H22" i="139"/>
  <c r="H21" i="139"/>
  <c r="H39" i="96"/>
  <c r="H38" i="96"/>
  <c r="H37" i="96"/>
  <c r="H37" i="111"/>
  <c r="H36" i="111"/>
  <c r="H60" i="71"/>
  <c r="H39" i="110"/>
  <c r="H16" i="73"/>
  <c r="H385" i="40"/>
  <c r="H384" i="40"/>
  <c r="H59" i="6"/>
  <c r="H23" i="134"/>
  <c r="H23" i="126"/>
  <c r="H29" i="120"/>
  <c r="H28" i="120"/>
  <c r="H27" i="120"/>
  <c r="H36" i="115"/>
  <c r="H383" i="40"/>
  <c r="H19" i="142"/>
  <c r="H23" i="61"/>
  <c r="H31" i="11"/>
  <c r="H30" i="11"/>
  <c r="H20" i="16"/>
  <c r="H19" i="16"/>
  <c r="H18" i="16"/>
  <c r="H17" i="16"/>
  <c r="H20" i="144"/>
  <c r="H382" i="40"/>
  <c r="H12" i="92"/>
  <c r="H11" i="92"/>
  <c r="H41" i="92"/>
  <c r="H10" i="92"/>
  <c r="J10" i="92" s="1"/>
  <c r="H95" i="2"/>
  <c r="H94" i="2"/>
  <c r="H42" i="118"/>
  <c r="H41" i="118"/>
  <c r="H22" i="135"/>
  <c r="H21" i="135"/>
  <c r="H20" i="135"/>
  <c r="H19" i="135"/>
  <c r="H93" i="2"/>
  <c r="H34" i="96"/>
  <c r="H42" i="24"/>
  <c r="I42" i="24" s="1"/>
  <c r="H41" i="24"/>
  <c r="I41" i="24" s="1"/>
  <c r="H40" i="24"/>
  <c r="I40" i="24" s="1"/>
  <c r="H49" i="25"/>
  <c r="H33" i="96"/>
  <c r="H32" i="96"/>
  <c r="H31" i="96"/>
  <c r="H30" i="96"/>
  <c r="H34" i="64"/>
  <c r="H33" i="64"/>
  <c r="H25" i="147"/>
  <c r="H38" i="110"/>
  <c r="H37" i="110"/>
  <c r="H36" i="110"/>
  <c r="H16" i="128"/>
  <c r="H34" i="111"/>
  <c r="H33" i="111"/>
  <c r="H375" i="40"/>
  <c r="H374" i="40"/>
  <c r="H40" i="92"/>
  <c r="H39" i="92"/>
  <c r="H38" i="92"/>
  <c r="H37" i="92"/>
  <c r="H36" i="92"/>
  <c r="H58" i="6"/>
  <c r="H57" i="6"/>
  <c r="H20" i="66"/>
  <c r="H19" i="66"/>
  <c r="H17" i="36"/>
  <c r="H39" i="102"/>
  <c r="H38" i="102"/>
  <c r="H47" i="123"/>
  <c r="H46" i="123"/>
  <c r="H45" i="123"/>
  <c r="H30" i="117"/>
  <c r="H29" i="117"/>
  <c r="H100" i="5"/>
  <c r="H99" i="5"/>
  <c r="H98" i="5"/>
  <c r="H97" i="5"/>
  <c r="H96" i="5"/>
  <c r="H95" i="5"/>
  <c r="H373" i="40"/>
  <c r="H372" i="40"/>
  <c r="H33" i="115"/>
  <c r="H32" i="115"/>
  <c r="H92" i="2"/>
  <c r="H371" i="40"/>
  <c r="H370" i="40"/>
  <c r="H369" i="40"/>
  <c r="H368" i="40"/>
  <c r="H367" i="40"/>
  <c r="H18" i="142"/>
  <c r="H13" i="72"/>
  <c r="H124" i="49"/>
  <c r="H21" i="134"/>
  <c r="H20" i="134"/>
  <c r="H123" i="49"/>
  <c r="H37" i="102"/>
  <c r="H19" i="146"/>
  <c r="H35" i="92"/>
  <c r="H34" i="92"/>
  <c r="H33" i="92"/>
  <c r="H32" i="92"/>
  <c r="H58" i="85"/>
  <c r="H57" i="85"/>
  <c r="H28" i="117"/>
  <c r="H56" i="59"/>
  <c r="H45" i="25"/>
  <c r="H44" i="25"/>
  <c r="H24" i="122"/>
  <c r="H55" i="59"/>
  <c r="H54" i="59"/>
  <c r="H53" i="59"/>
  <c r="H24" i="155"/>
  <c r="H23" i="155"/>
  <c r="H22" i="155"/>
  <c r="H21" i="155"/>
  <c r="H358" i="40"/>
  <c r="H56" i="6"/>
  <c r="H55" i="6"/>
  <c r="H54" i="6"/>
  <c r="H29" i="89"/>
  <c r="H15" i="175"/>
  <c r="H42" i="25"/>
  <c r="H41" i="25"/>
  <c r="H17" i="144"/>
  <c r="H21" i="70"/>
  <c r="H12" i="295"/>
  <c r="H11" i="295"/>
  <c r="J11" i="295" s="1"/>
  <c r="H10" i="295"/>
  <c r="H68" i="34"/>
  <c r="H67" i="34"/>
  <c r="H31" i="92"/>
  <c r="H30" i="92"/>
  <c r="H42" i="47"/>
  <c r="H41" i="47"/>
  <c r="H32" i="91"/>
  <c r="H31" i="91"/>
  <c r="H24" i="147"/>
  <c r="H17" i="146"/>
  <c r="H16" i="146"/>
  <c r="H35" i="102"/>
  <c r="H34" i="102"/>
  <c r="H20" i="68"/>
  <c r="H25" i="120"/>
  <c r="H33" i="102"/>
  <c r="H16" i="195"/>
  <c r="H15" i="195"/>
  <c r="H39" i="25"/>
  <c r="H38" i="25"/>
  <c r="H355" i="40"/>
  <c r="H47" i="19"/>
  <c r="H46" i="19"/>
  <c r="H13" i="161"/>
  <c r="H81" i="56"/>
  <c r="H80" i="56"/>
  <c r="H79" i="56"/>
  <c r="H78" i="56"/>
  <c r="H116" i="49"/>
  <c r="H115" i="49"/>
  <c r="H90" i="2"/>
  <c r="H18" i="135"/>
  <c r="H26" i="176"/>
  <c r="H46" i="112"/>
  <c r="H45" i="112"/>
  <c r="H44" i="112"/>
  <c r="H51" i="59"/>
  <c r="H50" i="59"/>
  <c r="H49" i="59"/>
  <c r="H354" i="40"/>
  <c r="H23" i="77"/>
  <c r="H13" i="292"/>
  <c r="H353" i="40"/>
  <c r="H16" i="130"/>
  <c r="H39" i="47"/>
  <c r="H38" i="47"/>
  <c r="H13" i="293"/>
  <c r="H12" i="293"/>
  <c r="H11" i="293"/>
  <c r="J11" i="293" s="1"/>
  <c r="H10" i="293"/>
  <c r="H29" i="115"/>
  <c r="H352" i="40"/>
  <c r="H351" i="40"/>
  <c r="H350" i="40"/>
  <c r="H15" i="128"/>
  <c r="H31" i="111"/>
  <c r="H34" i="110"/>
  <c r="H22" i="189"/>
  <c r="H38" i="118"/>
  <c r="H19" i="134"/>
  <c r="H48" i="59"/>
  <c r="H47" i="59"/>
  <c r="H46" i="59"/>
  <c r="H45" i="59"/>
  <c r="H44" i="59"/>
  <c r="H20" i="139"/>
  <c r="H65" i="34"/>
  <c r="H64" i="34"/>
  <c r="H63" i="34"/>
  <c r="H62" i="34"/>
  <c r="H32" i="94"/>
  <c r="H31" i="64"/>
  <c r="H30" i="64"/>
  <c r="H29" i="64"/>
  <c r="H17" i="153"/>
  <c r="H16" i="153"/>
  <c r="H15" i="153"/>
  <c r="H22" i="147"/>
  <c r="H15" i="104"/>
  <c r="H17" i="170"/>
  <c r="H45" i="19"/>
  <c r="H44" i="19"/>
  <c r="H345" i="40"/>
  <c r="H29" i="11"/>
  <c r="H109" i="49"/>
  <c r="H24" i="50"/>
  <c r="H23" i="50"/>
  <c r="H19" i="191"/>
  <c r="H29" i="102"/>
  <c r="H39" i="24"/>
  <c r="I39" i="24" s="1"/>
  <c r="H16" i="184"/>
  <c r="H15" i="184"/>
  <c r="H38" i="24"/>
  <c r="I38" i="24" s="1"/>
  <c r="H23" i="122"/>
  <c r="H22" i="122"/>
  <c r="H43" i="59"/>
  <c r="H42" i="59"/>
  <c r="H41" i="59"/>
  <c r="H22" i="126"/>
  <c r="H16" i="170"/>
  <c r="H15" i="170"/>
  <c r="H14" i="170"/>
  <c r="H17" i="66"/>
  <c r="H37" i="24"/>
  <c r="I37" i="24" s="1"/>
  <c r="H335" i="40"/>
  <c r="H104" i="49"/>
  <c r="H103" i="49"/>
  <c r="H102" i="49"/>
  <c r="H52" i="6"/>
  <c r="H51" i="6"/>
  <c r="H50" i="6"/>
  <c r="H49" i="6"/>
  <c r="H334" i="40"/>
  <c r="H333" i="40"/>
  <c r="H13" i="87"/>
  <c r="H27" i="117"/>
  <c r="H26" i="117"/>
  <c r="H332" i="40"/>
  <c r="H14" i="193"/>
  <c r="H13" i="193"/>
  <c r="H12" i="292"/>
  <c r="H11" i="292"/>
  <c r="J11" i="292" s="1"/>
  <c r="H10" i="292"/>
  <c r="H76" i="56"/>
  <c r="H75" i="56"/>
  <c r="H74" i="56"/>
  <c r="H73" i="56"/>
  <c r="H20" i="124"/>
  <c r="H61" i="34"/>
  <c r="H60" i="34"/>
  <c r="H29" i="92"/>
  <c r="H39" i="57"/>
  <c r="H58" i="71"/>
  <c r="H32" i="110"/>
  <c r="H27" i="89"/>
  <c r="H327" i="40"/>
  <c r="H35" i="47"/>
  <c r="H326" i="40"/>
  <c r="H325" i="40"/>
  <c r="H324" i="40"/>
  <c r="H323" i="40"/>
  <c r="H37" i="25"/>
  <c r="H36" i="25"/>
  <c r="H87" i="2"/>
  <c r="H86" i="2"/>
  <c r="H17" i="135"/>
  <c r="H16" i="135"/>
  <c r="H322" i="40"/>
  <c r="H28" i="102"/>
  <c r="H36" i="24"/>
  <c r="I36" i="24" s="1"/>
  <c r="H12" i="291"/>
  <c r="H11" i="291"/>
  <c r="J11" i="291" s="1"/>
  <c r="H10" i="291"/>
  <c r="H21" i="108"/>
  <c r="H20" i="108"/>
  <c r="H16" i="177"/>
  <c r="H16" i="36"/>
  <c r="H11" i="290"/>
  <c r="H10" i="290"/>
  <c r="H87" i="5"/>
  <c r="H11" i="289"/>
  <c r="J11" i="289" s="1"/>
  <c r="H10" i="289"/>
  <c r="H15" i="62"/>
  <c r="H14" i="62"/>
  <c r="H22" i="50"/>
  <c r="H96" i="49"/>
  <c r="H95" i="49"/>
  <c r="H94" i="49"/>
  <c r="H38" i="57"/>
  <c r="H12" i="185"/>
  <c r="H27" i="92"/>
  <c r="H26" i="92"/>
  <c r="H25" i="92"/>
  <c r="H24" i="92"/>
  <c r="H23" i="92"/>
  <c r="H31" i="94"/>
  <c r="H30" i="94"/>
  <c r="H318" i="40"/>
  <c r="H317" i="40"/>
  <c r="H316" i="40"/>
  <c r="H12" i="145"/>
  <c r="H14" i="104"/>
  <c r="H22" i="172"/>
  <c r="H37" i="57"/>
  <c r="H36" i="57"/>
  <c r="H35" i="57"/>
  <c r="H34" i="57"/>
  <c r="H33" i="57"/>
  <c r="H11" i="288"/>
  <c r="J11" i="288" s="1"/>
  <c r="H10" i="288"/>
  <c r="H13" i="287"/>
  <c r="H12" i="287"/>
  <c r="H11" i="287"/>
  <c r="J11" i="287" s="1"/>
  <c r="H10" i="287"/>
  <c r="H21" i="172"/>
  <c r="H315" i="40"/>
  <c r="H33" i="47"/>
  <c r="H21" i="98"/>
  <c r="H308" i="40"/>
  <c r="H21" i="77"/>
  <c r="H307" i="40"/>
  <c r="H306" i="40"/>
  <c r="H305" i="40"/>
  <c r="H29" i="110"/>
  <c r="H28" i="110"/>
  <c r="H29" i="91"/>
  <c r="H47" i="6"/>
  <c r="H46" i="6"/>
  <c r="H14" i="164"/>
  <c r="H13" i="164"/>
  <c r="H39" i="59"/>
  <c r="H38" i="59"/>
  <c r="H27" i="11"/>
  <c r="H15" i="181"/>
  <c r="H14" i="181"/>
  <c r="H43" i="19"/>
  <c r="H42" i="19"/>
  <c r="H13" i="170"/>
  <c r="H11" i="286"/>
  <c r="J11" i="286" s="1"/>
  <c r="J12" i="286" s="1"/>
  <c r="H10" i="286"/>
  <c r="H304" i="40"/>
  <c r="H303" i="40"/>
  <c r="H19" i="136"/>
  <c r="H35" i="24"/>
  <c r="I35" i="24" s="1"/>
  <c r="H14" i="73"/>
  <c r="H13" i="73"/>
  <c r="H85" i="5"/>
  <c r="H84" i="5"/>
  <c r="H292" i="40"/>
  <c r="H19" i="139"/>
  <c r="H18" i="139"/>
  <c r="H25" i="176"/>
  <c r="H24" i="176"/>
  <c r="H23" i="176"/>
  <c r="H22" i="176"/>
  <c r="H21" i="176"/>
  <c r="H37" i="59"/>
  <c r="H20" i="189"/>
  <c r="H291" i="40"/>
  <c r="H19" i="68"/>
  <c r="H13" i="104"/>
  <c r="H290" i="40"/>
  <c r="H34" i="24"/>
  <c r="I34" i="24" s="1"/>
  <c r="H36" i="118"/>
  <c r="H45" i="6"/>
  <c r="H44" i="6"/>
  <c r="H43" i="6"/>
  <c r="H42" i="6"/>
  <c r="H41" i="6"/>
  <c r="H40" i="6"/>
  <c r="H59" i="34"/>
  <c r="H58" i="34"/>
  <c r="H28" i="94"/>
  <c r="H27" i="94"/>
  <c r="H26" i="94"/>
  <c r="H12" i="192"/>
  <c r="H289" i="40"/>
  <c r="H288" i="40"/>
  <c r="H287" i="40"/>
  <c r="H85" i="49"/>
  <c r="H21" i="126"/>
  <c r="H19" i="70"/>
  <c r="H26" i="110"/>
  <c r="H25" i="110"/>
  <c r="H21" i="133"/>
  <c r="H20" i="133"/>
  <c r="H19" i="133"/>
  <c r="H281" i="40"/>
  <c r="H280" i="40"/>
  <c r="H20" i="61"/>
  <c r="H23" i="115"/>
  <c r="H16" i="88"/>
  <c r="H15" i="88"/>
  <c r="H33" i="24"/>
  <c r="I33" i="24" s="1"/>
  <c r="H39" i="6"/>
  <c r="H38" i="6"/>
  <c r="H18" i="70"/>
  <c r="H20" i="147"/>
  <c r="H28" i="91"/>
  <c r="H27" i="91"/>
  <c r="H12" i="285"/>
  <c r="H11" i="285"/>
  <c r="J11" i="285" s="1"/>
  <c r="H10" i="285"/>
  <c r="H19" i="83"/>
  <c r="H18" i="83"/>
  <c r="H17" i="83"/>
  <c r="H20" i="172"/>
  <c r="H40" i="112"/>
  <c r="H17" i="142"/>
  <c r="H19" i="189"/>
  <c r="H26" i="11"/>
  <c r="H15" i="144"/>
  <c r="H14" i="144"/>
  <c r="H279" i="40"/>
  <c r="H41" i="123"/>
  <c r="H17" i="70"/>
  <c r="H27" i="102"/>
  <c r="H80" i="2"/>
  <c r="H18" i="194"/>
  <c r="H84" i="49"/>
  <c r="H83" i="49"/>
  <c r="H82" i="49"/>
  <c r="H81" i="49"/>
  <c r="H80" i="49"/>
  <c r="H79" i="49"/>
  <c r="H78" i="49"/>
  <c r="H23" i="110"/>
  <c r="H271" i="40"/>
  <c r="H260" i="40"/>
  <c r="H262" i="40"/>
  <c r="H257" i="40"/>
  <c r="H259" i="40"/>
  <c r="H258" i="40"/>
  <c r="H20" i="115"/>
  <c r="H32" i="25"/>
  <c r="H251" i="40"/>
  <c r="H250" i="40"/>
  <c r="H249" i="40"/>
  <c r="H77" i="2"/>
  <c r="H15" i="135"/>
  <c r="H17" i="278"/>
  <c r="H16" i="278"/>
  <c r="H15" i="278"/>
  <c r="H14" i="278"/>
  <c r="H245" i="40"/>
  <c r="H244" i="40"/>
  <c r="H246" i="40"/>
  <c r="H75" i="2"/>
  <c r="H241" i="40"/>
  <c r="H240" i="40"/>
  <c r="H72" i="49"/>
  <c r="H71" i="49"/>
  <c r="H14" i="277"/>
  <c r="H47" i="71"/>
  <c r="H236" i="40"/>
  <c r="H232" i="40"/>
  <c r="H231" i="40"/>
  <c r="H230" i="40"/>
  <c r="H21" i="110"/>
  <c r="H72" i="2"/>
  <c r="H71" i="2"/>
  <c r="H70" i="2"/>
  <c r="H69" i="2"/>
  <c r="H68" i="2"/>
  <c r="H67" i="2"/>
  <c r="H69" i="49"/>
  <c r="H68" i="49"/>
  <c r="H67" i="49"/>
  <c r="H66" i="49"/>
  <c r="H65" i="49"/>
  <c r="H64" i="49"/>
  <c r="H18" i="68"/>
  <c r="H222" i="40"/>
  <c r="H227" i="40"/>
  <c r="H226" i="40"/>
  <c r="H225" i="40"/>
  <c r="H224" i="40"/>
  <c r="H19" i="280"/>
  <c r="H18" i="280"/>
  <c r="H17" i="280"/>
  <c r="H16" i="280"/>
  <c r="H19" i="172"/>
  <c r="H18" i="172"/>
  <c r="H65" i="2"/>
  <c r="H27" i="25"/>
  <c r="H26" i="25"/>
  <c r="H21" i="25"/>
  <c r="H216" i="40"/>
  <c r="F32" i="159"/>
  <c r="H32" i="159" s="1"/>
  <c r="H15" i="172"/>
  <c r="H17" i="172"/>
  <c r="H72" i="40"/>
  <c r="H76" i="40"/>
  <c r="H77" i="40"/>
  <c r="H78" i="40"/>
  <c r="H80" i="40"/>
  <c r="H98" i="40"/>
  <c r="H99" i="40"/>
  <c r="H100" i="40"/>
  <c r="H101" i="40"/>
  <c r="H105" i="40"/>
  <c r="H112" i="40"/>
  <c r="H113" i="40"/>
  <c r="H114" i="40"/>
  <c r="H115" i="40"/>
  <c r="H116" i="40"/>
  <c r="H119" i="40"/>
  <c r="H120" i="40"/>
  <c r="H137" i="40"/>
  <c r="H138" i="40"/>
  <c r="H139" i="40"/>
  <c r="H140" i="40"/>
  <c r="H144" i="40"/>
  <c r="H145" i="40"/>
  <c r="H146" i="40"/>
  <c r="H155" i="40"/>
  <c r="H156" i="40"/>
  <c r="H157" i="40"/>
  <c r="H166" i="40"/>
  <c r="H175" i="40"/>
  <c r="H176" i="40"/>
  <c r="H177" i="40"/>
  <c r="H180" i="40"/>
  <c r="H182" i="40"/>
  <c r="H183" i="40"/>
  <c r="H184" i="40"/>
  <c r="H185" i="40"/>
  <c r="H187" i="40"/>
  <c r="H188" i="40"/>
  <c r="H189" i="40"/>
  <c r="H190" i="40"/>
  <c r="H201" i="40"/>
  <c r="H202" i="40"/>
  <c r="H203" i="40"/>
  <c r="H209" i="40"/>
  <c r="H217" i="40"/>
  <c r="H218" i="40"/>
  <c r="H219" i="40"/>
  <c r="H220" i="40"/>
  <c r="H221" i="40"/>
  <c r="H228" i="40"/>
  <c r="H229" i="40"/>
  <c r="H237" i="40"/>
  <c r="H238" i="40"/>
  <c r="H239" i="40"/>
  <c r="H242" i="40"/>
  <c r="H243" i="40"/>
  <c r="H247" i="40"/>
  <c r="H248" i="40"/>
  <c r="H252" i="40"/>
  <c r="H253" i="40"/>
  <c r="H254" i="40"/>
  <c r="H255" i="40"/>
  <c r="H256" i="40"/>
  <c r="H263" i="40"/>
  <c r="H264" i="40"/>
  <c r="H265" i="40"/>
  <c r="H266" i="40"/>
  <c r="H274" i="40"/>
  <c r="H275" i="40"/>
  <c r="H276" i="40"/>
  <c r="H75" i="40"/>
  <c r="H83" i="40"/>
  <c r="H84" i="40"/>
  <c r="H85" i="40"/>
  <c r="H86" i="40"/>
  <c r="H87" i="40"/>
  <c r="H81" i="40"/>
  <c r="H82" i="40"/>
  <c r="H88" i="40"/>
  <c r="H89" i="40"/>
  <c r="H90" i="40"/>
  <c r="H91" i="40"/>
  <c r="H92" i="40"/>
  <c r="H93" i="40"/>
  <c r="H109" i="40"/>
  <c r="H111" i="40"/>
  <c r="H106" i="40"/>
  <c r="H102" i="40"/>
  <c r="H103" i="40"/>
  <c r="H121" i="40"/>
  <c r="H134" i="40"/>
  <c r="H122" i="40"/>
  <c r="H123" i="40"/>
  <c r="H124" i="40"/>
  <c r="H125" i="40"/>
  <c r="H131" i="40"/>
  <c r="H132" i="40"/>
  <c r="H127" i="40"/>
  <c r="H128" i="40"/>
  <c r="H129" i="40"/>
  <c r="H130" i="40"/>
  <c r="H142" i="40"/>
  <c r="H141" i="40"/>
  <c r="H148" i="40"/>
  <c r="H152" i="40"/>
  <c r="H162" i="40"/>
  <c r="H163" i="40"/>
  <c r="H164" i="40"/>
  <c r="H159" i="40"/>
  <c r="H160" i="40"/>
  <c r="H167" i="40"/>
  <c r="H173" i="40"/>
  <c r="H169" i="40"/>
  <c r="H178" i="40"/>
  <c r="H186" i="40"/>
  <c r="H207" i="40"/>
  <c r="H208" i="40"/>
  <c r="H205" i="40"/>
  <c r="H206" i="40"/>
  <c r="H204" i="40"/>
  <c r="H193" i="40"/>
  <c r="H191" i="40"/>
  <c r="H192" i="40"/>
  <c r="H199" i="40"/>
  <c r="H194" i="40"/>
  <c r="H195" i="40"/>
  <c r="H211" i="40"/>
  <c r="H214" i="40"/>
  <c r="H215" i="40"/>
  <c r="F212" i="40"/>
  <c r="H212" i="40" s="1"/>
  <c r="H58" i="49"/>
  <c r="H59" i="49"/>
  <c r="H57" i="49"/>
  <c r="H19" i="110"/>
  <c r="F198" i="40"/>
  <c r="H198" i="40" s="1"/>
  <c r="F18" i="138"/>
  <c r="H18" i="138" s="1"/>
  <c r="F17" i="138"/>
  <c r="H17" i="138" s="1"/>
  <c r="H57" i="2"/>
  <c r="H58" i="2"/>
  <c r="H56" i="2"/>
  <c r="H62" i="49"/>
  <c r="H14" i="172"/>
  <c r="F197" i="40"/>
  <c r="H197" i="40" s="1"/>
  <c r="F196" i="40"/>
  <c r="H196" i="40" s="1"/>
  <c r="H15" i="194"/>
  <c r="H14" i="194"/>
  <c r="H13" i="279"/>
  <c r="H16" i="138"/>
  <c r="H55" i="49"/>
  <c r="H54" i="49"/>
  <c r="H53" i="49"/>
  <c r="H18" i="110"/>
  <c r="H24" i="102"/>
  <c r="H15" i="138"/>
  <c r="H13" i="194"/>
  <c r="H12" i="194"/>
  <c r="F171" i="40"/>
  <c r="H171" i="40" s="1"/>
  <c r="F170" i="40"/>
  <c r="H170" i="40" s="1"/>
  <c r="H17" i="115"/>
  <c r="H15" i="280"/>
  <c r="H14" i="280"/>
  <c r="H12" i="280"/>
  <c r="H13" i="280"/>
  <c r="H11" i="280"/>
  <c r="J11" i="280" s="1"/>
  <c r="H10" i="280"/>
  <c r="H13" i="277"/>
  <c r="F161" i="40"/>
  <c r="H161" i="40" s="1"/>
  <c r="F153" i="40"/>
  <c r="H153" i="40" s="1"/>
  <c r="F151" i="40"/>
  <c r="H151" i="40" s="1"/>
  <c r="F150" i="40"/>
  <c r="H150" i="40" s="1"/>
  <c r="F147" i="40"/>
  <c r="H147" i="40" s="1"/>
  <c r="F149" i="40"/>
  <c r="H149" i="40" s="1"/>
  <c r="H11" i="194"/>
  <c r="J11" i="194" s="1"/>
  <c r="H51" i="2"/>
  <c r="H14" i="138"/>
  <c r="H52" i="2"/>
  <c r="H16" i="91"/>
  <c r="H12" i="279"/>
  <c r="H11" i="279"/>
  <c r="J11" i="279" s="1"/>
  <c r="H10" i="279"/>
  <c r="F135" i="40"/>
  <c r="H135" i="40" s="1"/>
  <c r="H13" i="134"/>
  <c r="H49" i="2"/>
  <c r="F126" i="40"/>
  <c r="H126" i="40" s="1"/>
  <c r="F133" i="40"/>
  <c r="H133" i="40" s="1"/>
  <c r="H13" i="278"/>
  <c r="H12" i="278"/>
  <c r="H40" i="49"/>
  <c r="H41" i="49"/>
  <c r="H42" i="49"/>
  <c r="H43" i="49"/>
  <c r="H44" i="49"/>
  <c r="H39" i="49"/>
  <c r="F108" i="40"/>
  <c r="H108" i="40" s="1"/>
  <c r="F107" i="40"/>
  <c r="H107" i="40" s="1"/>
  <c r="F110" i="40"/>
  <c r="H110" i="40" s="1"/>
  <c r="H15" i="115"/>
  <c r="H16" i="102"/>
  <c r="H11" i="278"/>
  <c r="J11" i="278" s="1"/>
  <c r="H10" i="278"/>
  <c r="H11" i="277"/>
  <c r="J11" i="277" s="1"/>
  <c r="H10" i="277"/>
  <c r="H14" i="110"/>
  <c r="H15" i="102"/>
  <c r="H42" i="2"/>
  <c r="H43" i="2"/>
  <c r="H44" i="2"/>
  <c r="H45" i="2"/>
  <c r="H46" i="2"/>
  <c r="H41" i="2"/>
  <c r="H40" i="2"/>
  <c r="H15" i="25"/>
  <c r="H35" i="49"/>
  <c r="H36" i="49"/>
  <c r="H34" i="49"/>
  <c r="H33" i="49"/>
  <c r="H32" i="49"/>
  <c r="H31" i="49"/>
  <c r="H30" i="49"/>
  <c r="H30" i="2"/>
  <c r="H31" i="2"/>
  <c r="H29" i="2"/>
  <c r="H28" i="2"/>
  <c r="H19" i="80"/>
  <c r="H18" i="80"/>
  <c r="H29" i="111"/>
  <c r="H26" i="102"/>
  <c r="L20" i="284"/>
  <c r="F19" i="124"/>
  <c r="H19" i="124" s="1"/>
  <c r="F18" i="124"/>
  <c r="H18" i="124" s="1"/>
  <c r="H17" i="124"/>
  <c r="H16" i="124"/>
  <c r="H16" i="94"/>
  <c r="H14" i="83"/>
  <c r="H73" i="5"/>
  <c r="H56" i="85"/>
  <c r="H12" i="72"/>
  <c r="H17" i="5"/>
  <c r="H11" i="94"/>
  <c r="J11" i="94" s="1"/>
  <c r="H57" i="34"/>
  <c r="H39" i="112"/>
  <c r="H38" i="112"/>
  <c r="H40" i="123"/>
  <c r="H39" i="123"/>
  <c r="H38" i="123"/>
  <c r="H54" i="71"/>
  <c r="H52" i="71"/>
  <c r="H53" i="71"/>
  <c r="H51" i="71"/>
  <c r="H34" i="123"/>
  <c r="H35" i="123"/>
  <c r="H36" i="123"/>
  <c r="H37" i="123"/>
  <c r="H33" i="123"/>
  <c r="H53" i="34"/>
  <c r="H32" i="123"/>
  <c r="H31" i="123"/>
  <c r="H52" i="34"/>
  <c r="H30" i="123"/>
  <c r="H29" i="123"/>
  <c r="H50" i="34"/>
  <c r="H11" i="190"/>
  <c r="J11" i="190" s="1"/>
  <c r="H28" i="123"/>
  <c r="H37" i="112"/>
  <c r="H27" i="123"/>
  <c r="H36" i="112"/>
  <c r="H13" i="132"/>
  <c r="H79" i="5"/>
  <c r="H77" i="5"/>
  <c r="H78" i="5"/>
  <c r="H76" i="5"/>
  <c r="H75" i="5"/>
  <c r="H34" i="112"/>
  <c r="H74" i="5"/>
  <c r="H25" i="123"/>
  <c r="H33" i="112"/>
  <c r="H32" i="112"/>
  <c r="H24" i="123"/>
  <c r="H23" i="123"/>
  <c r="H48" i="34"/>
  <c r="H31" i="112"/>
  <c r="H45" i="34"/>
  <c r="H44" i="34"/>
  <c r="H71" i="5"/>
  <c r="H69" i="5"/>
  <c r="H22" i="123"/>
  <c r="H21" i="123"/>
  <c r="H20" i="123"/>
  <c r="H19" i="123"/>
  <c r="H30" i="112"/>
  <c r="H39" i="34"/>
  <c r="H17" i="123"/>
  <c r="H65" i="5"/>
  <c r="H64" i="5"/>
  <c r="H63" i="5"/>
  <c r="H62" i="5"/>
  <c r="H61" i="5"/>
  <c r="H16" i="123"/>
  <c r="H60" i="5"/>
  <c r="H59" i="5"/>
  <c r="H58" i="5"/>
  <c r="H55" i="5"/>
  <c r="H54" i="5"/>
  <c r="H15" i="123"/>
  <c r="H53" i="5"/>
  <c r="I52" i="5"/>
  <c r="H52" i="5"/>
  <c r="H29" i="112"/>
  <c r="H51" i="5"/>
  <c r="H32" i="34"/>
  <c r="H43" i="5"/>
  <c r="H31" i="34"/>
  <c r="H42" i="5"/>
  <c r="H41" i="5"/>
  <c r="H40" i="5"/>
  <c r="H14" i="123"/>
  <c r="H38" i="5"/>
  <c r="H28" i="34"/>
  <c r="H13" i="62"/>
  <c r="H37" i="5"/>
  <c r="H36" i="5"/>
  <c r="H35" i="5"/>
  <c r="H20" i="112"/>
  <c r="H27" i="5"/>
  <c r="H10" i="5"/>
  <c r="H21" i="5"/>
  <c r="H22" i="5"/>
  <c r="H30" i="5"/>
  <c r="H32" i="5"/>
  <c r="H34" i="5"/>
  <c r="H45" i="5"/>
  <c r="H46" i="5"/>
  <c r="H47" i="5"/>
  <c r="H48" i="5"/>
  <c r="H49" i="5"/>
  <c r="H50" i="5"/>
  <c r="H56" i="5"/>
  <c r="H57" i="5"/>
  <c r="H67" i="5"/>
  <c r="H72" i="5"/>
  <c r="H80" i="5"/>
  <c r="H81" i="5"/>
  <c r="H24" i="5"/>
  <c r="H28" i="5"/>
  <c r="H39" i="5"/>
  <c r="H68" i="5"/>
  <c r="H70" i="5"/>
  <c r="H82" i="5"/>
  <c r="H83" i="5"/>
  <c r="H13" i="5"/>
  <c r="H16" i="5"/>
  <c r="H18" i="5"/>
  <c r="H19" i="5"/>
  <c r="H20" i="5"/>
  <c r="H23" i="5"/>
  <c r="H25" i="5"/>
  <c r="H26" i="5"/>
  <c r="H12" i="62"/>
  <c r="H19" i="112"/>
  <c r="H24" i="34"/>
  <c r="H23" i="34"/>
  <c r="H19" i="85"/>
  <c r="H19" i="34"/>
  <c r="H18" i="34"/>
  <c r="H13" i="47"/>
  <c r="H12" i="112"/>
  <c r="H11" i="112"/>
  <c r="J11" i="112" s="1"/>
  <c r="H12" i="34"/>
  <c r="H11" i="34"/>
  <c r="J11" i="34" s="1"/>
  <c r="H19" i="137"/>
  <c r="H16" i="191"/>
  <c r="H16" i="190"/>
  <c r="H51" i="34"/>
  <c r="H13" i="191"/>
  <c r="I15" i="162"/>
  <c r="H15" i="162"/>
  <c r="H15" i="137"/>
  <c r="H40" i="34"/>
  <c r="H12" i="191"/>
  <c r="H11" i="191"/>
  <c r="J11" i="191" s="1"/>
  <c r="H27" i="34"/>
  <c r="H28" i="111"/>
  <c r="H13" i="127"/>
  <c r="H24" i="91"/>
  <c r="H16" i="158"/>
  <c r="H14" i="184"/>
  <c r="H13" i="184"/>
  <c r="H26" i="111"/>
  <c r="H12" i="161"/>
  <c r="H12" i="87"/>
  <c r="H17" i="139"/>
  <c r="H14" i="149"/>
  <c r="H12" i="189"/>
  <c r="H21" i="91"/>
  <c r="H16" i="69"/>
  <c r="H13" i="169"/>
  <c r="H12" i="169"/>
  <c r="H13" i="154"/>
  <c r="H46" i="71"/>
  <c r="H34" i="71"/>
  <c r="H33" i="71"/>
  <c r="H21" i="50"/>
  <c r="H18" i="91"/>
  <c r="H15" i="110"/>
  <c r="H16" i="139"/>
  <c r="H15" i="69"/>
  <c r="H13" i="91"/>
  <c r="H11" i="135"/>
  <c r="H13" i="110"/>
  <c r="H37" i="56"/>
  <c r="H12" i="127"/>
  <c r="H11" i="189"/>
  <c r="J11" i="189" s="1"/>
  <c r="H28" i="56"/>
  <c r="H11" i="153"/>
  <c r="J11" i="153" s="1"/>
  <c r="H14" i="69"/>
  <c r="H14" i="63"/>
  <c r="H32" i="47"/>
  <c r="H52" i="85"/>
  <c r="H13" i="156"/>
  <c r="H31" i="85"/>
  <c r="I17" i="77"/>
  <c r="H17" i="77"/>
  <c r="H17" i="47"/>
  <c r="H16" i="47"/>
  <c r="I28" i="47"/>
  <c r="H28" i="47"/>
  <c r="I25" i="47"/>
  <c r="H25" i="47"/>
  <c r="H40" i="85"/>
  <c r="H23" i="47"/>
  <c r="H33" i="85"/>
  <c r="H30" i="85"/>
  <c r="H15" i="47"/>
  <c r="H25" i="85"/>
  <c r="H21" i="85"/>
  <c r="H18" i="85"/>
  <c r="H12" i="47"/>
  <c r="I13" i="151"/>
  <c r="H13" i="151"/>
  <c r="H12" i="77"/>
  <c r="H13" i="188"/>
  <c r="H56" i="34"/>
  <c r="H19" i="141"/>
  <c r="H19" i="61"/>
  <c r="H25" i="102"/>
  <c r="H31" i="25"/>
  <c r="H28" i="57"/>
  <c r="H18" i="99"/>
  <c r="H20" i="126"/>
  <c r="H14" i="175"/>
  <c r="H15" i="130"/>
  <c r="H25" i="2"/>
  <c r="H26" i="2"/>
  <c r="H27" i="2"/>
  <c r="H32" i="2"/>
  <c r="H33" i="2"/>
  <c r="H34" i="2"/>
  <c r="H35" i="2"/>
  <c r="H36" i="2"/>
  <c r="H37" i="2"/>
  <c r="H38" i="2"/>
  <c r="H39" i="2"/>
  <c r="H47" i="2"/>
  <c r="H48" i="2"/>
  <c r="H50" i="2"/>
  <c r="H53" i="2"/>
  <c r="H54" i="2"/>
  <c r="H59" i="2"/>
  <c r="H60" i="2"/>
  <c r="H61" i="2"/>
  <c r="H62" i="2"/>
  <c r="H63" i="2"/>
  <c r="H64" i="2"/>
  <c r="H73" i="2"/>
  <c r="H74" i="2"/>
  <c r="H76" i="2"/>
  <c r="H78" i="2"/>
  <c r="H79" i="2"/>
  <c r="H66" i="2"/>
  <c r="H10" i="36"/>
  <c r="H11" i="36"/>
  <c r="J11" i="36" s="1"/>
  <c r="H13" i="36"/>
  <c r="H14" i="36"/>
  <c r="H15" i="36"/>
  <c r="H20" i="92"/>
  <c r="H18" i="61"/>
  <c r="H15" i="66"/>
  <c r="H14" i="99"/>
  <c r="H10" i="25"/>
  <c r="H11" i="25"/>
  <c r="J11" i="25" s="1"/>
  <c r="H13" i="25"/>
  <c r="H16" i="25"/>
  <c r="H17" i="25"/>
  <c r="H19" i="25"/>
  <c r="H20" i="25"/>
  <c r="H22" i="25"/>
  <c r="H23" i="25"/>
  <c r="H24" i="25"/>
  <c r="H25" i="25"/>
  <c r="H28" i="25"/>
  <c r="H29" i="25"/>
  <c r="H30" i="25"/>
  <c r="H34" i="25"/>
  <c r="H18" i="25"/>
  <c r="H14" i="126"/>
  <c r="H14" i="70"/>
  <c r="H19" i="92"/>
  <c r="H15" i="61"/>
  <c r="H15" i="158"/>
  <c r="H14" i="133"/>
  <c r="H21" i="96"/>
  <c r="H12" i="99"/>
  <c r="H16" i="92"/>
  <c r="H12" i="61"/>
  <c r="H13" i="131"/>
  <c r="H17" i="96"/>
  <c r="J11" i="143"/>
  <c r="H11" i="183"/>
  <c r="J11" i="183" s="1"/>
  <c r="H20" i="50"/>
  <c r="H13" i="160"/>
  <c r="H19" i="78"/>
  <c r="H14" i="150"/>
  <c r="H36" i="59"/>
  <c r="H11" i="56"/>
  <c r="H24" i="89"/>
  <c r="H17" i="134"/>
  <c r="H16" i="162"/>
  <c r="H19" i="155"/>
  <c r="H19" i="147"/>
  <c r="H27" i="64"/>
  <c r="H36" i="6"/>
  <c r="H28" i="118"/>
  <c r="H24" i="120"/>
  <c r="H17" i="80"/>
  <c r="H14" i="119"/>
  <c r="H38" i="19"/>
  <c r="H14" i="152"/>
  <c r="H16" i="78"/>
  <c r="H13" i="150"/>
  <c r="H64" i="56"/>
  <c r="H55" i="56"/>
  <c r="H18" i="120"/>
  <c r="H16" i="134"/>
  <c r="H33" i="6"/>
  <c r="H16" i="80"/>
  <c r="H21" i="89"/>
  <c r="H16" i="147"/>
  <c r="H22" i="64"/>
  <c r="H15" i="163"/>
  <c r="H13" i="152"/>
  <c r="H25" i="117"/>
  <c r="H14" i="163"/>
  <c r="H13" i="144"/>
  <c r="H19" i="108"/>
  <c r="H13" i="119"/>
  <c r="H25" i="59"/>
  <c r="H18" i="64"/>
  <c r="H26" i="6"/>
  <c r="H14" i="134"/>
  <c r="H12" i="78"/>
  <c r="H11" i="150"/>
  <c r="J11" i="150" s="1"/>
  <c r="H15" i="80"/>
  <c r="H11" i="155"/>
  <c r="H16" i="125"/>
  <c r="H12" i="147"/>
  <c r="H38" i="56"/>
  <c r="H14" i="128"/>
  <c r="H21" i="59"/>
  <c r="H15" i="177"/>
  <c r="H11" i="134"/>
  <c r="J11" i="134" s="1"/>
  <c r="H15" i="64"/>
  <c r="H17" i="6"/>
  <c r="H14" i="80"/>
  <c r="H14" i="89"/>
  <c r="H11" i="136"/>
  <c r="J11" i="136" s="1"/>
  <c r="H11" i="120"/>
  <c r="J11" i="120" s="1"/>
  <c r="H11" i="147"/>
  <c r="J11" i="147" s="1"/>
  <c r="H10" i="6"/>
  <c r="H11" i="6"/>
  <c r="J11" i="6" s="1"/>
  <c r="H12" i="6"/>
  <c r="H13" i="6"/>
  <c r="H14" i="6"/>
  <c r="H15" i="6"/>
  <c r="H16" i="6"/>
  <c r="H18" i="6"/>
  <c r="H19" i="6"/>
  <c r="H20" i="6"/>
  <c r="H21" i="6"/>
  <c r="H22" i="6"/>
  <c r="H23" i="6"/>
  <c r="H24" i="6"/>
  <c r="H25" i="6"/>
  <c r="H27" i="6"/>
  <c r="H30" i="6"/>
  <c r="H31" i="6"/>
  <c r="H32" i="6"/>
  <c r="H34" i="6"/>
  <c r="H35" i="6"/>
  <c r="H37" i="6"/>
  <c r="H11" i="119"/>
  <c r="J11" i="119" s="1"/>
  <c r="H32" i="24"/>
  <c r="I32" i="24" s="1"/>
  <c r="H70" i="56"/>
  <c r="H69" i="56"/>
  <c r="H68" i="56"/>
  <c r="H67" i="56"/>
  <c r="H66" i="56"/>
  <c r="H65" i="56"/>
  <c r="H17" i="191"/>
  <c r="H11" i="198"/>
  <c r="J11" i="198" s="1"/>
  <c r="H10" i="198"/>
  <c r="H41" i="19"/>
  <c r="H10" i="197"/>
  <c r="H55" i="85"/>
  <c r="H54" i="85"/>
  <c r="H53" i="85"/>
  <c r="H21" i="115"/>
  <c r="H18" i="189"/>
  <c r="H35" i="118"/>
  <c r="H34" i="118"/>
  <c r="H33" i="118"/>
  <c r="H32" i="118"/>
  <c r="H31" i="118"/>
  <c r="H30" i="118"/>
  <c r="H29" i="118"/>
  <c r="H31" i="24"/>
  <c r="I31" i="24" s="1"/>
  <c r="H13" i="128"/>
  <c r="H22" i="110"/>
  <c r="H15" i="119"/>
  <c r="H31" i="57"/>
  <c r="H30" i="57"/>
  <c r="H29" i="57"/>
  <c r="H19" i="77"/>
  <c r="H26" i="183"/>
  <c r="H22" i="183"/>
  <c r="H24" i="183"/>
  <c r="H25" i="183"/>
  <c r="H23" i="183"/>
  <c r="H21" i="183"/>
  <c r="H31" i="47"/>
  <c r="H30" i="47"/>
  <c r="H29" i="47"/>
  <c r="H77" i="49"/>
  <c r="H76" i="49"/>
  <c r="H75" i="49"/>
  <c r="H17" i="189"/>
  <c r="H13" i="195"/>
  <c r="H11" i="196"/>
  <c r="J11" i="196" s="1"/>
  <c r="H10" i="196"/>
  <c r="H30" i="24"/>
  <c r="I30" i="24" s="1"/>
  <c r="H12" i="195"/>
  <c r="H11" i="195"/>
  <c r="J11" i="195" s="1"/>
  <c r="H10" i="195"/>
  <c r="H29" i="24"/>
  <c r="I29" i="24" s="1"/>
  <c r="H24" i="117"/>
  <c r="H23" i="117"/>
  <c r="H25" i="94"/>
  <c r="H24" i="94"/>
  <c r="H15" i="124"/>
  <c r="H40" i="19"/>
  <c r="H39" i="19"/>
  <c r="H74" i="49"/>
  <c r="H73" i="49"/>
  <c r="H17" i="194"/>
  <c r="H16" i="194"/>
  <c r="H10" i="194"/>
  <c r="H26" i="91"/>
  <c r="H25" i="91"/>
  <c r="H11" i="193"/>
  <c r="J11" i="193" s="1"/>
  <c r="H10" i="193"/>
  <c r="H28" i="24"/>
  <c r="I28" i="24" s="1"/>
  <c r="H13" i="80"/>
  <c r="H49" i="71"/>
  <c r="H50" i="71"/>
  <c r="H48" i="71"/>
  <c r="H27" i="111"/>
  <c r="H11" i="192"/>
  <c r="J11" i="192" s="1"/>
  <c r="H10" i="192"/>
  <c r="H18" i="133"/>
  <c r="H15" i="139"/>
  <c r="H14" i="139"/>
  <c r="H10" i="139"/>
  <c r="H11" i="139"/>
  <c r="J11" i="139" s="1"/>
  <c r="H12" i="139"/>
  <c r="H13" i="139"/>
  <c r="H22" i="117"/>
  <c r="H21" i="117"/>
  <c r="H35" i="59"/>
  <c r="H34" i="59"/>
  <c r="H33" i="59"/>
  <c r="H51" i="85"/>
  <c r="H50" i="85"/>
  <c r="H49" i="85"/>
  <c r="H55" i="34"/>
  <c r="H54" i="34"/>
  <c r="F23" i="89"/>
  <c r="H23" i="89" s="1"/>
  <c r="H22" i="89"/>
  <c r="H27" i="57"/>
  <c r="H14" i="190"/>
  <c r="H15" i="190"/>
  <c r="H15" i="191"/>
  <c r="H14" i="191"/>
  <c r="H16" i="189"/>
  <c r="H23" i="120"/>
  <c r="H27" i="24"/>
  <c r="I27" i="24" s="1"/>
  <c r="H15" i="189"/>
  <c r="H28" i="96"/>
  <c r="H27" i="96"/>
  <c r="H14" i="135"/>
  <c r="F17" i="23"/>
  <c r="H17" i="23" s="1"/>
  <c r="H19" i="115"/>
  <c r="H22" i="94"/>
  <c r="H26" i="64"/>
  <c r="H25" i="64"/>
  <c r="H47" i="85"/>
  <c r="H46" i="85"/>
  <c r="H27" i="47"/>
  <c r="H26" i="47"/>
  <c r="H13" i="190"/>
  <c r="H12" i="190"/>
  <c r="H10" i="190"/>
  <c r="H26" i="24"/>
  <c r="I26" i="24" s="1"/>
  <c r="H25" i="24"/>
  <c r="I25" i="24" s="1"/>
  <c r="H15" i="16"/>
  <c r="H10" i="16"/>
  <c r="H12" i="16"/>
  <c r="H13" i="16"/>
  <c r="F14" i="16"/>
  <c r="H14" i="16" s="1"/>
  <c r="H18" i="137"/>
  <c r="H17" i="137"/>
  <c r="H16" i="137"/>
  <c r="H70" i="49"/>
  <c r="H37" i="19"/>
  <c r="H36" i="19"/>
  <c r="H35" i="19"/>
  <c r="H24" i="24"/>
  <c r="I24" i="24" s="1"/>
  <c r="H23" i="24"/>
  <c r="I23" i="24" s="1"/>
  <c r="H14" i="189"/>
  <c r="H13" i="189"/>
  <c r="H10" i="189"/>
  <c r="H22" i="24"/>
  <c r="I22" i="24" s="1"/>
  <c r="H26" i="57"/>
  <c r="H25" i="57"/>
  <c r="H24" i="57"/>
  <c r="H32" i="59"/>
  <c r="H31" i="59"/>
  <c r="H30" i="59"/>
  <c r="H29" i="59"/>
  <c r="H24" i="64"/>
  <c r="H22" i="120"/>
  <c r="H21" i="120"/>
  <c r="H20" i="120"/>
  <c r="H13" i="187"/>
  <c r="H12" i="188"/>
  <c r="H11" i="188"/>
  <c r="J11" i="188" s="1"/>
  <c r="H10" i="188"/>
  <c r="H15" i="146"/>
  <c r="H14" i="146"/>
  <c r="H16" i="70"/>
  <c r="H15" i="70"/>
  <c r="H44" i="71"/>
  <c r="H45" i="71"/>
  <c r="F43" i="71"/>
  <c r="H43" i="71" s="1"/>
  <c r="H12" i="187"/>
  <c r="H11" i="187"/>
  <c r="J11" i="187" s="1"/>
  <c r="H10" i="187"/>
  <c r="H34" i="19"/>
  <c r="H14" i="88"/>
  <c r="H14" i="158"/>
  <c r="H14" i="177"/>
  <c r="H24" i="47"/>
  <c r="H27" i="118"/>
  <c r="H26" i="118"/>
  <c r="H25" i="118"/>
  <c r="H11" i="185"/>
  <c r="J11" i="185" s="1"/>
  <c r="H10" i="185"/>
  <c r="H63" i="56"/>
  <c r="H62" i="56"/>
  <c r="H61" i="56"/>
  <c r="H60" i="56"/>
  <c r="H59" i="56"/>
  <c r="H58" i="56"/>
  <c r="H57" i="56"/>
  <c r="H23" i="57"/>
  <c r="H19" i="126"/>
  <c r="H18" i="126"/>
  <c r="H17" i="126"/>
  <c r="H28" i="59"/>
  <c r="H27" i="59"/>
  <c r="H26" i="59"/>
  <c r="H35" i="112"/>
  <c r="H18" i="155"/>
  <c r="H17" i="155"/>
  <c r="H16" i="155"/>
  <c r="H15" i="155"/>
  <c r="H20" i="183"/>
  <c r="H19" i="183"/>
  <c r="H18" i="183"/>
  <c r="H16" i="183"/>
  <c r="H17" i="183"/>
  <c r="H15" i="183"/>
  <c r="H14" i="183"/>
  <c r="H12" i="184"/>
  <c r="H11" i="184"/>
  <c r="J11" i="184" s="1"/>
  <c r="H10" i="184"/>
  <c r="H21" i="92"/>
  <c r="H23" i="64"/>
  <c r="G12" i="182"/>
  <c r="H12" i="182" s="1"/>
  <c r="G11" i="182"/>
  <c r="H11" i="182" s="1"/>
  <c r="J11" i="182" s="1"/>
  <c r="H13" i="183"/>
  <c r="H12" i="183"/>
  <c r="H10" i="183"/>
  <c r="H23" i="91"/>
  <c r="H22" i="91"/>
  <c r="H21" i="24"/>
  <c r="I21" i="24" s="1"/>
  <c r="H18" i="78"/>
  <c r="H17" i="78"/>
  <c r="H33" i="19"/>
  <c r="H32" i="19"/>
  <c r="H17" i="99"/>
  <c r="H16" i="99"/>
  <c r="H13" i="181"/>
  <c r="H10" i="182"/>
  <c r="H25" i="11"/>
  <c r="H24" i="11"/>
  <c r="H12" i="181"/>
  <c r="H11" i="181"/>
  <c r="J11" i="181" s="1"/>
  <c r="H10" i="181"/>
  <c r="H19" i="117"/>
  <c r="H20" i="117"/>
  <c r="H18" i="117"/>
  <c r="H17" i="117"/>
  <c r="H20" i="110"/>
  <c r="H25" i="111"/>
  <c r="H11" i="180"/>
  <c r="J11" i="180" s="1"/>
  <c r="H10" i="180"/>
  <c r="H45" i="85"/>
  <c r="H43" i="85"/>
  <c r="H44" i="85"/>
  <c r="H42" i="85"/>
  <c r="H41" i="85"/>
  <c r="H20" i="24"/>
  <c r="I20" i="24" s="1"/>
  <c r="H20" i="98"/>
  <c r="H49" i="34"/>
  <c r="H22" i="57"/>
  <c r="G14" i="124"/>
  <c r="H14" i="124" s="1"/>
  <c r="H18" i="147"/>
  <c r="H17" i="147"/>
  <c r="F14" i="137"/>
  <c r="H14" i="137" s="1"/>
  <c r="H11" i="179"/>
  <c r="J11" i="179" s="1"/>
  <c r="H10" i="179"/>
  <c r="H14" i="153"/>
  <c r="H63" i="49"/>
  <c r="H16" i="126"/>
  <c r="H39" i="85"/>
  <c r="H19" i="138"/>
  <c r="H19" i="120"/>
  <c r="H16" i="68"/>
  <c r="H17" i="68"/>
  <c r="H15" i="68"/>
  <c r="H13" i="175"/>
  <c r="H31" i="19"/>
  <c r="H30" i="19"/>
  <c r="H29" i="19"/>
  <c r="H28" i="19"/>
  <c r="H27" i="19"/>
  <c r="H13" i="177"/>
  <c r="H15" i="99"/>
  <c r="H12" i="175"/>
  <c r="H61" i="49"/>
  <c r="H60" i="49"/>
  <c r="H20" i="176"/>
  <c r="H19" i="176"/>
  <c r="H18" i="176"/>
  <c r="H17" i="176"/>
  <c r="H15" i="176"/>
  <c r="H16" i="176"/>
  <c r="H14" i="176"/>
  <c r="H13" i="176"/>
  <c r="H12" i="177"/>
  <c r="H11" i="177"/>
  <c r="J11" i="177" s="1"/>
  <c r="H10" i="177"/>
  <c r="H24" i="111"/>
  <c r="H23" i="111"/>
  <c r="H22" i="111"/>
  <c r="H21" i="57"/>
  <c r="H20" i="57"/>
  <c r="H19" i="57"/>
  <c r="H18" i="57"/>
  <c r="H13" i="168"/>
  <c r="H12" i="176"/>
  <c r="H11" i="176"/>
  <c r="J11" i="176" s="1"/>
  <c r="H10" i="176"/>
  <c r="H24" i="118"/>
  <c r="H23" i="118"/>
  <c r="H22" i="118"/>
  <c r="H21" i="118"/>
  <c r="H18" i="77"/>
  <c r="H11" i="175"/>
  <c r="J11" i="175" s="1"/>
  <c r="H10" i="175"/>
  <c r="H54" i="56"/>
  <c r="H53" i="56"/>
  <c r="H52" i="56"/>
  <c r="H51" i="56"/>
  <c r="H50" i="56"/>
  <c r="H11" i="174"/>
  <c r="J11" i="174" s="1"/>
  <c r="H10" i="174"/>
  <c r="H12" i="173"/>
  <c r="H11" i="173"/>
  <c r="J11" i="173" s="1"/>
  <c r="H10" i="173"/>
  <c r="H20" i="118"/>
  <c r="H19" i="118"/>
  <c r="H17" i="57"/>
  <c r="H47" i="34"/>
  <c r="H46" i="34"/>
  <c r="H21" i="64"/>
  <c r="H20" i="89"/>
  <c r="H19" i="89"/>
  <c r="H18" i="118"/>
  <c r="H17" i="118"/>
  <c r="H16" i="118"/>
  <c r="H15" i="118"/>
  <c r="H13" i="172"/>
  <c r="H10" i="172"/>
  <c r="H15" i="126"/>
  <c r="H14" i="162"/>
  <c r="H56" i="49"/>
  <c r="H21" i="122"/>
  <c r="H20" i="122"/>
  <c r="H19" i="122"/>
  <c r="H18" i="122"/>
  <c r="H17" i="122"/>
  <c r="H26" i="19"/>
  <c r="H25" i="19"/>
  <c r="H24" i="19"/>
  <c r="H23" i="19"/>
  <c r="H13" i="69"/>
  <c r="H12" i="171"/>
  <c r="H11" i="171"/>
  <c r="J11" i="171" s="1"/>
  <c r="H10" i="171"/>
  <c r="H12" i="170"/>
  <c r="H11" i="170"/>
  <c r="J11" i="170" s="1"/>
  <c r="H10" i="170"/>
  <c r="H23" i="11"/>
  <c r="H21" i="11"/>
  <c r="H22" i="11"/>
  <c r="H20" i="11"/>
  <c r="H19" i="11"/>
  <c r="H11" i="169"/>
  <c r="J11" i="169" s="1"/>
  <c r="H10" i="169"/>
  <c r="H12" i="168"/>
  <c r="H11" i="168"/>
  <c r="J11" i="168" s="1"/>
  <c r="H10" i="168"/>
  <c r="H21" i="94"/>
  <c r="H20" i="94"/>
  <c r="H19" i="94"/>
  <c r="H43" i="34"/>
  <c r="H42" i="34"/>
  <c r="H41" i="34"/>
  <c r="H12" i="166"/>
  <c r="H11" i="166"/>
  <c r="J11" i="166" s="1"/>
  <c r="H15" i="147"/>
  <c r="H49" i="56"/>
  <c r="H48" i="56"/>
  <c r="H47" i="56"/>
  <c r="H46" i="56"/>
  <c r="H45" i="56"/>
  <c r="H44" i="56"/>
  <c r="H17" i="120"/>
  <c r="H14" i="155"/>
  <c r="H13" i="163"/>
  <c r="H12" i="164"/>
  <c r="H11" i="164"/>
  <c r="J11" i="164" s="1"/>
  <c r="H10" i="164"/>
  <c r="F13" i="162"/>
  <c r="H13" i="162" s="1"/>
  <c r="H19" i="24"/>
  <c r="I19" i="24" s="1"/>
  <c r="F12" i="162"/>
  <c r="H12" i="162" s="1"/>
  <c r="F11" i="162"/>
  <c r="H11" i="162" s="1"/>
  <c r="J11" i="162" s="1"/>
  <c r="H12" i="163"/>
  <c r="H11" i="163"/>
  <c r="J11" i="163" s="1"/>
  <c r="H10" i="163"/>
  <c r="H16" i="142"/>
  <c r="F52" i="49"/>
  <c r="H52" i="49" s="1"/>
  <c r="H10" i="162"/>
  <c r="H25" i="96"/>
  <c r="H15" i="78"/>
  <c r="H14" i="78"/>
  <c r="F20" i="64"/>
  <c r="H20" i="64" s="1"/>
  <c r="H16" i="120"/>
  <c r="H13" i="51"/>
  <c r="F181" i="40"/>
  <c r="H181" i="40" s="1"/>
  <c r="H10" i="160"/>
  <c r="H12" i="160"/>
  <c r="F11" i="160"/>
  <c r="H11" i="160" s="1"/>
  <c r="J11" i="160" s="1"/>
  <c r="H11" i="161"/>
  <c r="J11" i="161" s="1"/>
  <c r="H10" i="161"/>
  <c r="H38" i="85"/>
  <c r="H37" i="85"/>
  <c r="H35" i="85"/>
  <c r="H36" i="85"/>
  <c r="F14" i="118"/>
  <c r="H14" i="118" s="1"/>
  <c r="H14" i="68"/>
  <c r="H13" i="68"/>
  <c r="H23" i="102"/>
  <c r="H21" i="102"/>
  <c r="H22" i="102"/>
  <c r="H20" i="102"/>
  <c r="F21" i="159"/>
  <c r="H21" i="159" s="1"/>
  <c r="H18" i="89"/>
  <c r="H17" i="89"/>
  <c r="H17" i="110"/>
  <c r="H16" i="110"/>
  <c r="H19" i="98"/>
  <c r="H18" i="98"/>
  <c r="H17" i="98"/>
  <c r="H16" i="98"/>
  <c r="H13" i="158"/>
  <c r="H42" i="56"/>
  <c r="F41" i="56"/>
  <c r="H41" i="56" s="1"/>
  <c r="F40" i="56"/>
  <c r="H40" i="56" s="1"/>
  <c r="H12" i="158"/>
  <c r="H11" i="158"/>
  <c r="J11" i="158" s="1"/>
  <c r="H10" i="158"/>
  <c r="H15" i="142"/>
  <c r="H14" i="142"/>
  <c r="H17" i="136"/>
  <c r="H18" i="136"/>
  <c r="H16" i="136"/>
  <c r="H15" i="136"/>
  <c r="H14" i="136"/>
  <c r="H44" i="118"/>
  <c r="H43" i="118"/>
  <c r="H20" i="111"/>
  <c r="F19" i="111"/>
  <c r="H19" i="111" s="1"/>
  <c r="H18" i="111"/>
  <c r="H41" i="71"/>
  <c r="H40" i="71"/>
  <c r="H39" i="71"/>
  <c r="H38" i="71"/>
  <c r="F66" i="5"/>
  <c r="H66" i="5" s="1"/>
  <c r="H16" i="83"/>
  <c r="H15" i="83"/>
  <c r="H11" i="157"/>
  <c r="J11" i="157" s="1"/>
  <c r="H10" i="157"/>
  <c r="H12" i="156"/>
  <c r="H11" i="156"/>
  <c r="J11" i="156" s="1"/>
  <c r="H10" i="156"/>
  <c r="H20" i="91"/>
  <c r="H19" i="91"/>
  <c r="H13" i="155"/>
  <c r="H12" i="155"/>
  <c r="H10" i="155"/>
  <c r="H51" i="49"/>
  <c r="H12" i="154"/>
  <c r="H11" i="154"/>
  <c r="J11" i="154" s="1"/>
  <c r="H10" i="154"/>
  <c r="F49" i="49"/>
  <c r="H49" i="49" s="1"/>
  <c r="H50" i="49"/>
  <c r="H48" i="49"/>
  <c r="H13" i="153"/>
  <c r="H12" i="153"/>
  <c r="H10" i="153"/>
  <c r="H12" i="152"/>
  <c r="H11" i="152"/>
  <c r="J11" i="152" s="1"/>
  <c r="H10" i="152"/>
  <c r="H12" i="151"/>
  <c r="H11" i="151"/>
  <c r="J11" i="151" s="1"/>
  <c r="H10" i="151"/>
  <c r="H34" i="85"/>
  <c r="H32" i="85"/>
  <c r="H22" i="19"/>
  <c r="H21" i="19"/>
  <c r="H20" i="19"/>
  <c r="H19" i="19"/>
  <c r="H19" i="64"/>
  <c r="H13" i="149"/>
  <c r="H15" i="150"/>
  <c r="H12" i="150"/>
  <c r="H10" i="150"/>
  <c r="F40" i="1"/>
  <c r="H40" i="1" s="1"/>
  <c r="H13" i="142"/>
  <c r="H10" i="47"/>
  <c r="H18" i="47"/>
  <c r="H19" i="47"/>
  <c r="H20" i="47"/>
  <c r="H21" i="47"/>
  <c r="H22" i="47"/>
  <c r="H17" i="61"/>
  <c r="H16" i="61"/>
  <c r="H12" i="149"/>
  <c r="H11" i="149"/>
  <c r="J11" i="149" s="1"/>
  <c r="H10" i="149"/>
  <c r="H15" i="125"/>
  <c r="F14" i="125"/>
  <c r="H14" i="125" s="1"/>
  <c r="H11" i="148"/>
  <c r="J11" i="148" s="1"/>
  <c r="H10" i="148"/>
  <c r="H14" i="147"/>
  <c r="H13" i="147"/>
  <c r="H10" i="147"/>
  <c r="F24" i="7"/>
  <c r="H24" i="7" s="1"/>
  <c r="F29" i="6"/>
  <c r="H29" i="6" s="1"/>
  <c r="F28" i="6"/>
  <c r="H28" i="6" s="1"/>
  <c r="F37" i="71"/>
  <c r="H37" i="71" s="1"/>
  <c r="F36" i="71"/>
  <c r="H36" i="71" s="1"/>
  <c r="H35" i="71"/>
  <c r="H38" i="34"/>
  <c r="H37" i="34"/>
  <c r="H10" i="34"/>
  <c r="H13" i="34"/>
  <c r="H14" i="34"/>
  <c r="H15" i="34"/>
  <c r="H16" i="34"/>
  <c r="H17" i="34"/>
  <c r="H20" i="34"/>
  <c r="H21" i="34"/>
  <c r="H25" i="34"/>
  <c r="H26" i="34"/>
  <c r="H29" i="34"/>
  <c r="H30" i="34"/>
  <c r="H33" i="34"/>
  <c r="H34" i="34"/>
  <c r="H35" i="34"/>
  <c r="H36" i="34"/>
  <c r="F11" i="145"/>
  <c r="H11" i="145" s="1"/>
  <c r="J11" i="145" s="1"/>
  <c r="H12" i="146"/>
  <c r="H11" i="146"/>
  <c r="H10" i="146"/>
  <c r="F165" i="40"/>
  <c r="H165" i="40" s="1"/>
  <c r="F15" i="23"/>
  <c r="H15" i="23" s="1"/>
  <c r="F14" i="23"/>
  <c r="H14" i="23" s="1"/>
  <c r="H32" i="71"/>
  <c r="H31" i="71"/>
  <c r="H10" i="145"/>
  <c r="H18" i="94"/>
  <c r="H24" i="33"/>
  <c r="H23" i="33"/>
  <c r="H22" i="33"/>
  <c r="H21" i="33"/>
  <c r="H20" i="33"/>
  <c r="F154" i="40"/>
  <c r="H154" i="40" s="1"/>
  <c r="F44" i="5"/>
  <c r="H44" i="5" s="1"/>
  <c r="F17" i="4"/>
  <c r="H17" i="4" s="1"/>
  <c r="H16" i="117"/>
  <c r="F15" i="143"/>
  <c r="H15" i="143" s="1"/>
  <c r="H12" i="144"/>
  <c r="H11" i="144"/>
  <c r="H10" i="144"/>
  <c r="H16" i="77"/>
  <c r="H17" i="91"/>
  <c r="H16" i="89"/>
  <c r="H15" i="89"/>
  <c r="F47" i="49"/>
  <c r="H47" i="49" s="1"/>
  <c r="H15" i="77"/>
  <c r="H14" i="77"/>
  <c r="F19" i="41"/>
  <c r="H19" i="41" s="1"/>
  <c r="H13" i="77"/>
  <c r="H17" i="133"/>
  <c r="H16" i="133"/>
  <c r="H15" i="133"/>
  <c r="F15" i="141"/>
  <c r="H15" i="141" s="1"/>
  <c r="H18" i="141"/>
  <c r="H17" i="141"/>
  <c r="F16" i="141"/>
  <c r="H16" i="141" s="1"/>
  <c r="F14" i="141"/>
  <c r="H14" i="141" s="1"/>
  <c r="F13" i="141"/>
  <c r="H13" i="141" s="1"/>
  <c r="F12" i="141"/>
  <c r="H12" i="141" s="1"/>
  <c r="F11" i="141"/>
  <c r="H11" i="141" s="1"/>
  <c r="J11" i="141" s="1"/>
  <c r="H12" i="142"/>
  <c r="H11" i="142"/>
  <c r="J11" i="142" s="1"/>
  <c r="H10" i="142"/>
  <c r="H10" i="141"/>
  <c r="H12" i="138"/>
  <c r="H13" i="138"/>
  <c r="H11" i="140"/>
  <c r="J11" i="140" s="1"/>
  <c r="H10" i="140"/>
  <c r="H13" i="88"/>
  <c r="F19" i="102"/>
  <c r="H19" i="102" s="1"/>
  <c r="H29" i="85"/>
  <c r="H28" i="85"/>
  <c r="H27" i="85"/>
  <c r="F26" i="85"/>
  <c r="H26" i="85" s="1"/>
  <c r="H12" i="68"/>
  <c r="H23" i="96"/>
  <c r="H22" i="96"/>
  <c r="H17" i="64"/>
  <c r="H16" i="64"/>
  <c r="H24" i="59"/>
  <c r="H23" i="59"/>
  <c r="H22" i="59"/>
  <c r="H28" i="112"/>
  <c r="H23" i="112"/>
  <c r="H24" i="112"/>
  <c r="H26" i="112"/>
  <c r="H22" i="112"/>
  <c r="H25" i="112"/>
  <c r="H27" i="112"/>
  <c r="H21" i="112"/>
  <c r="H19" i="33"/>
  <c r="H18" i="33"/>
  <c r="H13" i="124"/>
  <c r="H13" i="137"/>
  <c r="F12" i="137"/>
  <c r="H12" i="137" s="1"/>
  <c r="F11" i="137"/>
  <c r="H11" i="137" s="1"/>
  <c r="J11" i="137" s="1"/>
  <c r="H10" i="138"/>
  <c r="F14" i="130"/>
  <c r="H14" i="130" s="1"/>
  <c r="F18" i="41"/>
  <c r="H18" i="41" s="1"/>
  <c r="F13" i="130"/>
  <c r="H13" i="130" s="1"/>
  <c r="F143" i="40"/>
  <c r="H143" i="40" s="1"/>
  <c r="F45" i="49"/>
  <c r="H45" i="49" s="1"/>
  <c r="H14" i="61"/>
  <c r="H10" i="137"/>
  <c r="F33" i="5"/>
  <c r="H33" i="5" s="1"/>
  <c r="F31" i="5"/>
  <c r="H31" i="5" s="1"/>
  <c r="F29" i="5"/>
  <c r="H29" i="5" s="1"/>
  <c r="F18" i="19"/>
  <c r="H18" i="19" s="1"/>
  <c r="F30" i="71"/>
  <c r="H30" i="71" s="1"/>
  <c r="F29" i="71"/>
  <c r="H29" i="71" s="1"/>
  <c r="H28" i="71"/>
  <c r="F13" i="70"/>
  <c r="H13" i="70" s="1"/>
  <c r="H17" i="111"/>
  <c r="F21" i="14"/>
  <c r="H21" i="14" s="1"/>
  <c r="H15" i="91"/>
  <c r="H14" i="91"/>
  <c r="H18" i="11"/>
  <c r="H18" i="102"/>
  <c r="F17" i="102"/>
  <c r="H17" i="102" s="1"/>
  <c r="H39" i="56"/>
  <c r="H12" i="119"/>
  <c r="H24" i="85"/>
  <c r="F23" i="85"/>
  <c r="H23" i="85" s="1"/>
  <c r="H22" i="85"/>
  <c r="H13" i="136"/>
  <c r="H12" i="136"/>
  <c r="H10" i="136"/>
  <c r="H13" i="135"/>
  <c r="H12" i="135"/>
  <c r="H10" i="135"/>
  <c r="H13" i="133"/>
  <c r="H15" i="134"/>
  <c r="H12" i="134"/>
  <c r="H10" i="134"/>
  <c r="H12" i="98"/>
  <c r="H13" i="98"/>
  <c r="H14" i="98"/>
  <c r="H15" i="98"/>
  <c r="H12" i="133"/>
  <c r="H11" i="133"/>
  <c r="J11" i="133" s="1"/>
  <c r="H10" i="133"/>
  <c r="F27" i="71"/>
  <c r="H27" i="71" s="1"/>
  <c r="F26" i="71"/>
  <c r="H26" i="71" s="1"/>
  <c r="F25" i="71"/>
  <c r="H25" i="71" s="1"/>
  <c r="H24" i="71"/>
  <c r="H20" i="96"/>
  <c r="F19" i="96"/>
  <c r="H19" i="96" s="1"/>
  <c r="H18" i="96"/>
  <c r="H15" i="120"/>
  <c r="H17" i="11"/>
  <c r="H17" i="94"/>
  <c r="F14" i="66"/>
  <c r="H14" i="66" s="1"/>
  <c r="F13" i="66"/>
  <c r="H13" i="66" s="1"/>
  <c r="H18" i="92"/>
  <c r="H17" i="92"/>
  <c r="F11" i="131"/>
  <c r="H11" i="131" s="1"/>
  <c r="J11" i="131" s="1"/>
  <c r="H12" i="132"/>
  <c r="H11" i="132"/>
  <c r="J11" i="132" s="1"/>
  <c r="H10" i="132"/>
  <c r="F13" i="126"/>
  <c r="H13" i="126" s="1"/>
  <c r="F13" i="20"/>
  <c r="H13" i="20" s="1"/>
  <c r="F12" i="130"/>
  <c r="H12" i="130" s="1"/>
  <c r="F11" i="130"/>
  <c r="H11" i="130" s="1"/>
  <c r="J11" i="130" s="1"/>
  <c r="H12" i="131"/>
  <c r="H10" i="131"/>
  <c r="H10" i="130"/>
  <c r="H36" i="56"/>
  <c r="H35" i="56"/>
  <c r="H34" i="56"/>
  <c r="H33" i="56"/>
  <c r="H32" i="56"/>
  <c r="H31" i="56"/>
  <c r="H30" i="56"/>
  <c r="H29" i="56"/>
  <c r="F23" i="44"/>
  <c r="H23" i="44" s="1"/>
  <c r="H17" i="19"/>
  <c r="F16" i="19"/>
  <c r="H16" i="19" s="1"/>
  <c r="H15" i="19"/>
  <c r="H10" i="19"/>
  <c r="H11" i="19"/>
  <c r="J11" i="19" s="1"/>
  <c r="H12" i="19"/>
  <c r="H13" i="19"/>
  <c r="H14" i="19"/>
  <c r="F118" i="40"/>
  <c r="H118" i="40" s="1"/>
  <c r="F117" i="40"/>
  <c r="H117" i="40" s="1"/>
  <c r="H13" i="61"/>
  <c r="H23" i="71"/>
  <c r="H21" i="71"/>
  <c r="H22" i="71"/>
  <c r="F14" i="111"/>
  <c r="H14" i="111" s="1"/>
  <c r="F15" i="41"/>
  <c r="H15" i="41" s="1"/>
  <c r="H12" i="69"/>
  <c r="F11" i="127"/>
  <c r="H11" i="127" s="1"/>
  <c r="J11" i="127" s="1"/>
  <c r="H12" i="128"/>
  <c r="H11" i="128"/>
  <c r="J11" i="128" s="1"/>
  <c r="H10" i="128"/>
  <c r="H13" i="106"/>
  <c r="H13" i="63"/>
  <c r="F12" i="63"/>
  <c r="H12" i="63" s="1"/>
  <c r="F13" i="123"/>
  <c r="H13" i="123" s="1"/>
  <c r="H10" i="85"/>
  <c r="H11" i="85"/>
  <c r="J11" i="85" s="1"/>
  <c r="H12" i="85"/>
  <c r="H14" i="85"/>
  <c r="H15" i="85"/>
  <c r="H16" i="85"/>
  <c r="H17" i="85"/>
  <c r="F20" i="85"/>
  <c r="H20" i="85" s="1"/>
  <c r="F18" i="12"/>
  <c r="H18" i="12" s="1"/>
  <c r="F17" i="12"/>
  <c r="H17" i="12" s="1"/>
  <c r="H38" i="49"/>
  <c r="H37" i="49"/>
  <c r="H10" i="127"/>
  <c r="H18" i="108"/>
  <c r="F17" i="108"/>
  <c r="H17" i="108" s="1"/>
  <c r="H18" i="24"/>
  <c r="I18" i="24" s="1"/>
  <c r="H13" i="125"/>
  <c r="H12" i="126"/>
  <c r="H10" i="126"/>
  <c r="F11" i="124"/>
  <c r="H11" i="124" s="1"/>
  <c r="J11" i="124" s="1"/>
  <c r="H12" i="125"/>
  <c r="H11" i="125"/>
  <c r="J11" i="125" s="1"/>
  <c r="H10" i="125"/>
  <c r="H10" i="24"/>
  <c r="I10" i="24" s="1"/>
  <c r="H11" i="24"/>
  <c r="I11" i="24" s="1"/>
  <c r="J11" i="24" s="1"/>
  <c r="H12" i="24"/>
  <c r="I12" i="24" s="1"/>
  <c r="H13" i="24"/>
  <c r="I13" i="24" s="1"/>
  <c r="H14" i="24"/>
  <c r="I14" i="24" s="1"/>
  <c r="H15" i="24"/>
  <c r="I15" i="24" s="1"/>
  <c r="H16" i="24"/>
  <c r="I16" i="24" s="1"/>
  <c r="H17" i="24"/>
  <c r="I17" i="24" s="1"/>
  <c r="F12" i="123"/>
  <c r="H12" i="123" s="1"/>
  <c r="F11" i="123"/>
  <c r="H11" i="123" s="1"/>
  <c r="J11" i="123" s="1"/>
  <c r="H12" i="124"/>
  <c r="H10" i="124"/>
  <c r="H15" i="117"/>
  <c r="H14" i="117"/>
  <c r="F20" i="59"/>
  <c r="H20" i="59" s="1"/>
  <c r="H16" i="122"/>
  <c r="H15" i="122"/>
  <c r="H14" i="122"/>
  <c r="H13" i="122"/>
  <c r="H10" i="123"/>
  <c r="H13" i="118"/>
  <c r="H12" i="122"/>
  <c r="H11" i="122"/>
  <c r="J11" i="122" s="1"/>
  <c r="H10" i="122"/>
  <c r="F14" i="120"/>
  <c r="H14" i="120" s="1"/>
  <c r="H12" i="121"/>
  <c r="H11" i="121"/>
  <c r="J11" i="121" s="1"/>
  <c r="H10" i="121"/>
  <c r="H13" i="120"/>
  <c r="H12" i="120"/>
  <c r="H10" i="120"/>
  <c r="F15" i="94"/>
  <c r="H15" i="94" s="1"/>
  <c r="H14" i="94"/>
  <c r="H16" i="11"/>
  <c r="F19" i="50"/>
  <c r="H19" i="50" s="1"/>
  <c r="F18" i="50"/>
  <c r="H18" i="50" s="1"/>
  <c r="F104" i="40"/>
  <c r="H104" i="40" s="1"/>
  <c r="F12" i="32"/>
  <c r="H12" i="32" s="1"/>
  <c r="H18" i="119"/>
  <c r="H17" i="119"/>
  <c r="H10" i="119"/>
  <c r="F12" i="23"/>
  <c r="H12" i="23" s="1"/>
  <c r="H27" i="56"/>
  <c r="H26" i="56"/>
  <c r="H25" i="56"/>
  <c r="H24" i="56"/>
  <c r="F23" i="56"/>
  <c r="H23" i="56" s="1"/>
  <c r="F18" i="59"/>
  <c r="H18" i="59" s="1"/>
  <c r="H13" i="117"/>
  <c r="H12" i="118"/>
  <c r="H11" i="118"/>
  <c r="J11" i="118" s="1"/>
  <c r="H10" i="118"/>
  <c r="F13" i="115"/>
  <c r="H13" i="115" s="1"/>
  <c r="J13" i="115" s="1"/>
  <c r="H12" i="117"/>
  <c r="H11" i="117"/>
  <c r="J11" i="117" s="1"/>
  <c r="H10" i="117"/>
  <c r="H18" i="112"/>
  <c r="H17" i="112"/>
  <c r="H16" i="112"/>
  <c r="H15" i="112"/>
  <c r="H18" i="115"/>
  <c r="H12" i="115"/>
  <c r="F18" i="71"/>
  <c r="H18" i="71" s="1"/>
  <c r="F17" i="71"/>
  <c r="H17" i="71" s="1"/>
  <c r="F16" i="71"/>
  <c r="H16" i="71" s="1"/>
  <c r="F15" i="71"/>
  <c r="H15" i="71" s="1"/>
  <c r="F14" i="71"/>
  <c r="H14" i="71" s="1"/>
  <c r="H14" i="112"/>
  <c r="H13" i="112"/>
  <c r="H10" i="112"/>
  <c r="H12" i="111"/>
  <c r="H11" i="111"/>
  <c r="J11" i="111" s="1"/>
  <c r="H10" i="111"/>
  <c r="H16" i="108"/>
  <c r="F15" i="108"/>
  <c r="H15" i="108" s="1"/>
  <c r="F14" i="108"/>
  <c r="H14" i="108" s="1"/>
  <c r="H13" i="108"/>
  <c r="H12" i="110"/>
  <c r="H11" i="110"/>
  <c r="J11" i="110" s="1"/>
  <c r="H10" i="110"/>
  <c r="H12" i="108"/>
  <c r="H11" i="108"/>
  <c r="J11" i="108" s="1"/>
  <c r="H10" i="108"/>
  <c r="F12" i="104"/>
  <c r="H12" i="104" s="1"/>
  <c r="H12" i="106"/>
  <c r="H11" i="106"/>
  <c r="J11" i="106" s="1"/>
  <c r="H10" i="106"/>
  <c r="F11" i="102"/>
  <c r="H11" i="102" s="1"/>
  <c r="J11" i="102" s="1"/>
  <c r="H12" i="102"/>
  <c r="H13" i="102"/>
  <c r="H14" i="102"/>
  <c r="H11" i="104"/>
  <c r="J11" i="104" s="1"/>
  <c r="H10" i="104"/>
  <c r="F97" i="40"/>
  <c r="H97" i="40" s="1"/>
  <c r="F96" i="40"/>
  <c r="H96" i="40" s="1"/>
  <c r="F14" i="8"/>
  <c r="H14" i="8" s="1"/>
  <c r="H10" i="102"/>
  <c r="F16" i="96"/>
  <c r="H16" i="96" s="1"/>
  <c r="H11" i="98"/>
  <c r="J11" i="98" s="1"/>
  <c r="H13" i="99"/>
  <c r="H11" i="99"/>
  <c r="J11" i="99" s="1"/>
  <c r="H10" i="99"/>
  <c r="H15" i="96"/>
  <c r="H14" i="96"/>
  <c r="H13" i="96"/>
  <c r="H10" i="98"/>
  <c r="H13" i="11"/>
  <c r="H12" i="11"/>
  <c r="H15" i="11"/>
  <c r="H14" i="11"/>
  <c r="H10" i="11"/>
  <c r="H11" i="11"/>
  <c r="J11" i="11" s="1"/>
  <c r="F22" i="34"/>
  <c r="H22" i="34" s="1"/>
  <c r="H12" i="96"/>
  <c r="H11" i="96"/>
  <c r="J11" i="96" s="1"/>
  <c r="H10" i="96"/>
  <c r="F14" i="92"/>
  <c r="H14" i="92" s="1"/>
  <c r="J14" i="92" s="1"/>
  <c r="H13" i="94"/>
  <c r="H12" i="94"/>
  <c r="H10" i="94"/>
  <c r="H13" i="89"/>
  <c r="H15" i="92"/>
  <c r="H13" i="92"/>
  <c r="H12" i="91"/>
  <c r="H11" i="91"/>
  <c r="J11" i="91" s="1"/>
  <c r="H10" i="91"/>
  <c r="H12" i="89"/>
  <c r="H11" i="89"/>
  <c r="J11" i="89" s="1"/>
  <c r="H10" i="89"/>
  <c r="H12" i="88"/>
  <c r="H11" i="88"/>
  <c r="J11" i="88" s="1"/>
  <c r="H10" i="88"/>
  <c r="F13" i="85"/>
  <c r="H13" i="85" s="1"/>
  <c r="H11" i="87"/>
  <c r="J11" i="87" s="1"/>
  <c r="H10" i="87"/>
  <c r="H13" i="83"/>
  <c r="F11" i="83"/>
  <c r="H11" i="83" s="1"/>
  <c r="J11" i="83" s="1"/>
  <c r="H12" i="83"/>
  <c r="H10" i="83"/>
  <c r="H11" i="80"/>
  <c r="J11" i="80" s="1"/>
  <c r="H12" i="80"/>
  <c r="H10" i="80"/>
  <c r="H13" i="78"/>
  <c r="H11" i="78"/>
  <c r="J11" i="78" s="1"/>
  <c r="H10" i="78"/>
  <c r="H11" i="77"/>
  <c r="J11" i="77" s="1"/>
  <c r="H10" i="77"/>
  <c r="H12" i="73"/>
  <c r="H11" i="73"/>
  <c r="J11" i="73" s="1"/>
  <c r="H10" i="73"/>
  <c r="H16" i="57"/>
  <c r="H15" i="57"/>
  <c r="H14" i="57"/>
  <c r="F14" i="25"/>
  <c r="H14" i="25" s="1"/>
  <c r="F13" i="71"/>
  <c r="H13" i="71" s="1"/>
  <c r="H11" i="72"/>
  <c r="J11" i="72" s="1"/>
  <c r="H10" i="72"/>
  <c r="F11" i="70"/>
  <c r="H11" i="70" s="1"/>
  <c r="J11" i="70" s="1"/>
  <c r="H10" i="70"/>
  <c r="H12" i="70"/>
  <c r="H20" i="71"/>
  <c r="H19" i="71"/>
  <c r="H12" i="71"/>
  <c r="H11" i="71"/>
  <c r="J11" i="71" s="1"/>
  <c r="H10" i="71"/>
  <c r="F17" i="50"/>
  <c r="H17" i="50" s="1"/>
  <c r="F11" i="69"/>
  <c r="H11" i="69" s="1"/>
  <c r="J11" i="69" s="1"/>
  <c r="H10" i="69"/>
  <c r="H11" i="68"/>
  <c r="J11" i="68" s="1"/>
  <c r="H10" i="68"/>
  <c r="F15" i="50"/>
  <c r="H15" i="50" s="1"/>
  <c r="F14" i="50"/>
  <c r="H14" i="50" s="1"/>
  <c r="F13" i="8"/>
  <c r="H13" i="8" s="1"/>
  <c r="F14" i="64"/>
  <c r="H14" i="64" s="1"/>
  <c r="F13" i="64"/>
  <c r="H13" i="64" s="1"/>
  <c r="F11" i="64"/>
  <c r="H11" i="64" s="1"/>
  <c r="J11" i="64" s="1"/>
  <c r="H12" i="64"/>
  <c r="H12" i="66"/>
  <c r="H11" i="66"/>
  <c r="J11" i="66" s="1"/>
  <c r="H10" i="66"/>
  <c r="F16" i="13"/>
  <c r="H16" i="13" s="1"/>
  <c r="F11" i="63"/>
  <c r="H11" i="63" s="1"/>
  <c r="J11" i="63" s="1"/>
  <c r="H10" i="64"/>
  <c r="F13" i="9"/>
  <c r="H13" i="9" s="1"/>
  <c r="F12" i="9"/>
  <c r="H12" i="9" s="1"/>
  <c r="H10" i="63"/>
  <c r="H11" i="62"/>
  <c r="J11" i="62" s="1"/>
  <c r="H10" i="62"/>
  <c r="H11" i="61"/>
  <c r="J11" i="61" s="1"/>
  <c r="H10" i="61"/>
  <c r="F12" i="57"/>
  <c r="H12" i="57" s="1"/>
  <c r="H19" i="59"/>
  <c r="H17" i="59"/>
  <c r="H16" i="59"/>
  <c r="H15" i="59"/>
  <c r="H14" i="59"/>
  <c r="H13" i="59"/>
  <c r="H12" i="59"/>
  <c r="H11" i="59"/>
  <c r="J11" i="59" s="1"/>
  <c r="H10" i="59"/>
  <c r="F12" i="20"/>
  <c r="H12" i="20" s="1"/>
  <c r="H13" i="57"/>
  <c r="H11" i="57"/>
  <c r="J11" i="57" s="1"/>
  <c r="H10" i="57"/>
  <c r="H22" i="56"/>
  <c r="H21" i="56"/>
  <c r="H19" i="56"/>
  <c r="H18" i="56"/>
  <c r="H17" i="56"/>
  <c r="H16" i="56"/>
  <c r="H15" i="56"/>
  <c r="H14" i="56"/>
  <c r="H13" i="56"/>
  <c r="H12" i="56"/>
  <c r="H10" i="56"/>
  <c r="F79" i="40"/>
  <c r="H79" i="40" s="1"/>
  <c r="F15" i="5"/>
  <c r="H15" i="5" s="1"/>
  <c r="F14" i="5"/>
  <c r="H14" i="5" s="1"/>
  <c r="H12" i="51"/>
  <c r="H11" i="51"/>
  <c r="J11" i="51" s="1"/>
  <c r="H10" i="51"/>
  <c r="F13" i="50"/>
  <c r="H13" i="50" s="1"/>
  <c r="F12" i="50"/>
  <c r="H12" i="50" s="1"/>
  <c r="F11" i="50"/>
  <c r="H11" i="50" s="1"/>
  <c r="J11" i="50" s="1"/>
  <c r="H16" i="50"/>
  <c r="H10" i="50"/>
  <c r="H29" i="49"/>
  <c r="H27" i="49"/>
  <c r="F28" i="49"/>
  <c r="H28" i="49" s="1"/>
  <c r="F11" i="47"/>
  <c r="H11" i="47" s="1"/>
  <c r="F13" i="43"/>
  <c r="H13" i="43" s="1"/>
  <c r="F11" i="41"/>
  <c r="H11" i="41" s="1"/>
  <c r="J11" i="41" s="1"/>
  <c r="H17" i="33"/>
  <c r="H16" i="33"/>
  <c r="H15" i="33"/>
  <c r="H14" i="33"/>
  <c r="H13" i="33"/>
  <c r="H12" i="33"/>
  <c r="H11" i="33"/>
  <c r="J11" i="33" s="1"/>
  <c r="H10" i="33"/>
  <c r="F12" i="25"/>
  <c r="H12" i="25" s="1"/>
  <c r="H11" i="22"/>
  <c r="J11" i="22" s="1"/>
  <c r="J11" i="21"/>
  <c r="F11" i="16"/>
  <c r="H11" i="16" s="1"/>
  <c r="F11" i="15"/>
  <c r="H11" i="15" s="1"/>
  <c r="J11" i="15" s="1"/>
  <c r="F11" i="14"/>
  <c r="H11" i="14" s="1"/>
  <c r="J11" i="14" s="1"/>
  <c r="F13" i="7"/>
  <c r="H13" i="7" s="1"/>
  <c r="H12" i="8"/>
  <c r="F12" i="7"/>
  <c r="H12" i="7" s="1"/>
  <c r="F12" i="5"/>
  <c r="H12" i="5" s="1"/>
  <c r="F11" i="5"/>
  <c r="H11" i="5" s="1"/>
  <c r="F16" i="1"/>
  <c r="H16" i="1" s="1"/>
  <c r="F15" i="1"/>
  <c r="H15" i="1" s="1"/>
  <c r="F14" i="1"/>
  <c r="H14" i="1" s="1"/>
  <c r="F12" i="1"/>
  <c r="H12" i="1" s="1"/>
  <c r="H24" i="110"/>
  <c r="J11" i="138"/>
  <c r="J11" i="305"/>
  <c r="J11" i="343"/>
  <c r="J12" i="343" s="1"/>
  <c r="J13" i="343" s="1"/>
  <c r="J11" i="159"/>
  <c r="J10" i="115"/>
  <c r="B34" i="327" a="1"/>
  <c r="B183" i="327" a="1"/>
  <c r="B19" i="327" a="1"/>
  <c r="B119" i="327" a="1"/>
  <c r="B146" i="327" a="1"/>
  <c r="B123" i="327" a="1"/>
  <c r="B98" i="327" a="1"/>
  <c r="B120" i="327" a="1"/>
  <c r="B93" i="327" a="1"/>
  <c r="B168" i="327" a="1"/>
  <c r="B71" i="327" a="1"/>
  <c r="B181" i="327" a="1"/>
  <c r="B185" i="327" a="1"/>
  <c r="B143" i="327" a="1"/>
  <c r="B206" i="327" a="1"/>
  <c r="B36" i="327" a="1"/>
  <c r="B7" i="327" a="1"/>
  <c r="B198" i="327" a="1"/>
  <c r="B139" i="327" a="1"/>
  <c r="B141" i="327" a="1"/>
  <c r="B140" i="327" a="1"/>
  <c r="B6" i="327" a="1"/>
  <c r="B21" i="327" a="1"/>
  <c r="B117" i="327" a="1"/>
  <c r="B180" i="327" a="1"/>
  <c r="B189" i="327" a="1"/>
  <c r="B9" i="327" a="1"/>
  <c r="B128" i="327" a="1"/>
  <c r="B88" i="327" a="1"/>
  <c r="B49" i="327" a="1"/>
  <c r="B78" i="327" a="1"/>
  <c r="B113" i="327" a="1"/>
  <c r="F5" i="275" a="1"/>
  <c r="B151" i="327" a="1"/>
  <c r="B131" i="327" a="1"/>
  <c r="B152" i="327" a="1"/>
  <c r="B205" i="327" a="1"/>
  <c r="B15" i="327" a="1"/>
  <c r="B83" i="327" a="1"/>
  <c r="B102" i="327" a="1"/>
  <c r="B207" i="327" a="1"/>
  <c r="B39" i="327" a="1"/>
  <c r="B40" i="327" a="1"/>
  <c r="B31" i="327" a="1"/>
  <c r="B107" i="327" a="1"/>
  <c r="B69" i="327" a="1"/>
  <c r="B99" i="327" a="1"/>
  <c r="B54" i="327" a="1"/>
  <c r="B175" i="327" a="1"/>
  <c r="B14" i="327" a="1"/>
  <c r="B116" i="327" a="1"/>
  <c r="B159" i="327" a="1"/>
  <c r="B186" i="327" a="1"/>
  <c r="B163" i="327" a="1"/>
  <c r="B196" i="327" a="1"/>
  <c r="B23" i="327" a="1"/>
  <c r="B16" i="327" a="1"/>
  <c r="B11" i="327" a="1"/>
  <c r="B148" i="327" a="1"/>
  <c r="B66" i="327" a="1"/>
  <c r="B20" i="327" a="1"/>
  <c r="B104" i="327" a="1"/>
  <c r="B174" i="327" a="1"/>
  <c r="B82" i="327" a="1"/>
  <c r="B51" i="327" a="1"/>
  <c r="B43" i="327" a="1"/>
  <c r="B138" i="327" a="1"/>
  <c r="B137" i="327" a="1"/>
  <c r="B70" i="327" a="1"/>
  <c r="B56" i="327" a="1"/>
  <c r="B122" i="327" a="1"/>
  <c r="B144" i="327" a="1"/>
  <c r="B170" i="327" a="1"/>
  <c r="B2" i="327" a="1"/>
  <c r="B201" i="327" a="1"/>
  <c r="B171" i="327" a="1"/>
  <c r="B195" i="327" a="1"/>
  <c r="B50" i="327" a="1"/>
  <c r="B55" i="327" a="1"/>
  <c r="B176" i="327" a="1"/>
  <c r="B134" i="327" a="1"/>
  <c r="B3" i="327" a="1"/>
  <c r="B132" i="327" a="1"/>
  <c r="B74" i="327" a="1"/>
  <c r="B169" i="327" a="1"/>
  <c r="B154" i="327" a="1"/>
  <c r="B79" i="327" a="1"/>
  <c r="B26" i="327" a="1"/>
  <c r="B136" i="327" a="1"/>
  <c r="B46" i="327" a="1"/>
  <c r="B142" i="327" a="1"/>
  <c r="B52" i="327" a="1"/>
  <c r="B12" i="327" a="1"/>
  <c r="B13" i="327" a="1"/>
  <c r="B47" i="327" a="1"/>
  <c r="B35" i="327" a="1"/>
  <c r="B100" i="327" a="1"/>
  <c r="B124" i="327" a="1"/>
  <c r="B166" i="327" a="1"/>
  <c r="B25" i="327" a="1"/>
  <c r="B109" i="327" a="1"/>
  <c r="B160" i="327" a="1"/>
  <c r="B179" i="327" a="1"/>
  <c r="B177" i="327" a="1"/>
  <c r="I5" i="275" a="1"/>
  <c r="B22" i="327" a="1"/>
  <c r="B129" i="327" a="1"/>
  <c r="B59" i="327" a="1"/>
  <c r="B48" i="327" a="1"/>
  <c r="B147" i="327" a="1"/>
  <c r="B187" i="327" a="1"/>
  <c r="B64" i="327" a="1"/>
  <c r="B172" i="327" a="1"/>
  <c r="B165" i="327" a="1"/>
  <c r="B178" i="327" a="1"/>
  <c r="B91" i="327" a="1"/>
  <c r="B114" i="327" a="1"/>
  <c r="B97" i="327" a="1"/>
  <c r="B85" i="327" a="1"/>
  <c r="B44" i="327" a="1"/>
  <c r="B5" i="327" a="1"/>
  <c r="B30" i="327" a="1"/>
  <c r="B65" i="327" a="1"/>
  <c r="B188" i="327" a="1"/>
  <c r="B192" i="327" a="1"/>
  <c r="B158" i="327" a="1"/>
  <c r="B29" i="327" a="1"/>
  <c r="B203" i="327" a="1"/>
  <c r="B193" i="327" a="1"/>
  <c r="B204" i="327" a="1"/>
  <c r="B42" i="327" a="1"/>
  <c r="B110" i="327" a="1"/>
  <c r="B24" i="327" a="1"/>
  <c r="B84" i="327" a="1"/>
  <c r="B153" i="327" a="1"/>
  <c r="B105" i="327" a="1"/>
  <c r="B194" i="327" a="1"/>
  <c r="B37" i="327" a="1"/>
  <c r="B81" i="327" a="1"/>
  <c r="B149" i="327" a="1"/>
  <c r="B121" i="327" a="1"/>
  <c r="B161" i="327" a="1"/>
  <c r="B112" i="327" a="1"/>
  <c r="B38" i="327" a="1"/>
  <c r="B118" i="327" a="1"/>
  <c r="B164" i="327" a="1"/>
  <c r="B162" i="327" a="1"/>
  <c r="B190" i="327" a="1"/>
  <c r="B200" i="327" a="1"/>
  <c r="B33" i="327" a="1"/>
  <c r="B80" i="327" a="1"/>
  <c r="B18" i="327" a="1"/>
  <c r="B103" i="327" a="1"/>
  <c r="B94" i="327" a="1"/>
  <c r="B58" i="327" a="1"/>
  <c r="B157" i="327" a="1"/>
  <c r="B86" i="327" a="1"/>
  <c r="B41" i="327" a="1"/>
  <c r="B126" i="327" a="1"/>
  <c r="B32" i="327" a="1"/>
  <c r="B173" i="327" a="1"/>
  <c r="B61" i="327" a="1"/>
  <c r="B28" i="327" a="1"/>
  <c r="B67" i="327" a="1"/>
  <c r="B125" i="327" a="1"/>
  <c r="B4" i="327" a="1"/>
  <c r="B27" i="327" a="1"/>
  <c r="B197" i="327" a="1"/>
  <c r="B10" i="327" a="1"/>
  <c r="B184" i="327" a="1"/>
  <c r="B96" i="327" a="1"/>
  <c r="B202" i="327" a="1"/>
  <c r="B72" i="327" a="1"/>
  <c r="B127" i="327" a="1"/>
  <c r="B150" i="327" a="1"/>
  <c r="B63" i="327" a="1"/>
  <c r="B17" i="327" a="1"/>
  <c r="B60" i="327" a="1"/>
  <c r="B89" i="327" a="1"/>
  <c r="B208" i="327" a="1"/>
  <c r="B62" i="327" a="1"/>
  <c r="B108" i="327" a="1"/>
  <c r="B111" i="327" a="1"/>
  <c r="B68" i="327" a="1"/>
  <c r="B145" i="327" a="1"/>
  <c r="B155" i="327" a="1"/>
  <c r="B191" i="327" a="1"/>
  <c r="B106" i="327" a="1"/>
  <c r="B8" i="327" a="1"/>
  <c r="B199" i="327" a="1"/>
  <c r="B73" i="327" a="1"/>
  <c r="B76" i="327" a="1"/>
  <c r="B53" i="327" a="1"/>
  <c r="B167" i="327" a="1"/>
  <c r="B90" i="327" a="1"/>
  <c r="B133" i="327" a="1"/>
  <c r="B130" i="327" a="1"/>
  <c r="B95" i="327" a="1"/>
  <c r="B135" i="327" a="1"/>
  <c r="B156" i="327" a="1"/>
  <c r="B115" i="327" a="1"/>
  <c r="B101" i="327" a="1"/>
  <c r="B77" i="327" a="1"/>
  <c r="B182" i="327" a="1"/>
  <c r="B92" i="327" a="1"/>
  <c r="B75" i="327" a="1"/>
  <c r="B45" i="327" a="1"/>
  <c r="I5" i="301" a="1"/>
  <c r="J10" i="356"/>
  <c r="J10" i="135"/>
  <c r="J11" i="135" s="1"/>
  <c r="J12" i="135" s="1"/>
  <c r="J13" i="135" s="1"/>
  <c r="J14" i="135" s="1"/>
  <c r="J10" i="44"/>
  <c r="J10" i="354"/>
  <c r="J10" i="2"/>
  <c r="J10" i="47"/>
  <c r="J10" i="56"/>
  <c r="J10" i="5"/>
  <c r="J10" i="144"/>
  <c r="J11" i="144" s="1"/>
  <c r="J10" i="1"/>
  <c r="J10" i="49"/>
  <c r="J10" i="355"/>
  <c r="J10" i="16"/>
  <c r="J12" i="357"/>
  <c r="J12" i="140" l="1"/>
  <c r="J13" i="140" s="1"/>
  <c r="J14" i="140" s="1"/>
  <c r="J15" i="140" s="1"/>
  <c r="J12" i="21"/>
  <c r="J13" i="21" s="1"/>
  <c r="J14" i="21" s="1"/>
  <c r="J15" i="21" s="1"/>
  <c r="J16" i="21" s="1"/>
  <c r="J17" i="21" s="1"/>
  <c r="J18" i="21" s="1"/>
  <c r="J19" i="21" s="1"/>
  <c r="J20" i="21" s="1"/>
  <c r="J21" i="21" s="1"/>
  <c r="J22" i="21" s="1"/>
  <c r="J23" i="21" s="1"/>
  <c r="J24" i="21" s="1"/>
  <c r="J25" i="21" s="1"/>
  <c r="J26" i="21" s="1"/>
  <c r="J27" i="21" s="1"/>
  <c r="J28" i="21" s="1"/>
  <c r="J29" i="21" s="1"/>
  <c r="J30" i="21" s="1"/>
  <c r="J31" i="21" s="1"/>
  <c r="J32" i="21" s="1"/>
  <c r="J33" i="21" s="1"/>
  <c r="J34" i="21" s="1"/>
  <c r="J35" i="21" s="1"/>
  <c r="J36" i="21" s="1"/>
  <c r="J37" i="21" s="1"/>
  <c r="J38" i="21" s="1"/>
  <c r="J39" i="21" s="1"/>
  <c r="J40" i="21" s="1"/>
  <c r="J41" i="21" s="1"/>
  <c r="J42" i="21" s="1"/>
  <c r="J12" i="147"/>
  <c r="J13" i="147" s="1"/>
  <c r="J14" i="147" s="1"/>
  <c r="J15" i="147" s="1"/>
  <c r="J16" i="147" s="1"/>
  <c r="J17" i="147" s="1"/>
  <c r="J18" i="147" s="1"/>
  <c r="J19" i="147" s="1"/>
  <c r="J20" i="147" s="1"/>
  <c r="J21" i="147" s="1"/>
  <c r="J22" i="147" s="1"/>
  <c r="J23" i="147" s="1"/>
  <c r="J24" i="147" s="1"/>
  <c r="J25" i="147" s="1"/>
  <c r="J26" i="147" s="1"/>
  <c r="J27" i="147" s="1"/>
  <c r="J28" i="147" s="1"/>
  <c r="J29" i="147" s="1"/>
  <c r="J30" i="147" s="1"/>
  <c r="J31" i="147" s="1"/>
  <c r="J32" i="147" s="1"/>
  <c r="J33" i="147" s="1"/>
  <c r="J34" i="147" s="1"/>
  <c r="J35" i="147" s="1"/>
  <c r="J36" i="147" s="1"/>
  <c r="J37" i="147" s="1"/>
  <c r="J38" i="147" s="1"/>
  <c r="J39" i="147" s="1"/>
  <c r="J40" i="147" s="1"/>
  <c r="J41" i="147" s="1"/>
  <c r="J42" i="147" s="1"/>
  <c r="J43" i="147" s="1"/>
  <c r="J44" i="147" s="1"/>
  <c r="J45" i="147" s="1"/>
  <c r="J46" i="147" s="1"/>
  <c r="J47" i="147" s="1"/>
  <c r="J48" i="147" s="1"/>
  <c r="J49" i="147" s="1"/>
  <c r="J50" i="147" s="1"/>
  <c r="J51" i="147" s="1"/>
  <c r="J52" i="147" s="1"/>
  <c r="J53" i="147" s="1"/>
  <c r="J54" i="147" s="1"/>
  <c r="J55" i="147" s="1"/>
  <c r="J56" i="147" s="1"/>
  <c r="J57" i="147" s="1"/>
  <c r="J12" i="305"/>
  <c r="J12" i="22"/>
  <c r="J13" i="22" s="1"/>
  <c r="J14" i="22" s="1"/>
  <c r="J15" i="22" s="1"/>
  <c r="J16" i="22" s="1"/>
  <c r="J17" i="22" s="1"/>
  <c r="J18" i="22" s="1"/>
  <c r="J19" i="22" s="1"/>
  <c r="J12" i="193"/>
  <c r="J12" i="7"/>
  <c r="J12" i="277"/>
  <c r="J13" i="277" s="1"/>
  <c r="J14" i="277" s="1"/>
  <c r="J15" i="277" s="1"/>
  <c r="J12" i="35"/>
  <c r="J13" i="35" s="1"/>
  <c r="J14" i="35" s="1"/>
  <c r="J15" i="35" s="1"/>
  <c r="J16" i="35" s="1"/>
  <c r="J17" i="35" s="1"/>
  <c r="J18" i="35" s="1"/>
  <c r="J19" i="35" s="1"/>
  <c r="J20" i="35" s="1"/>
  <c r="J21" i="35" s="1"/>
  <c r="J22" i="35" s="1"/>
  <c r="J23" i="35" s="1"/>
  <c r="J24" i="35" s="1"/>
  <c r="J25" i="35" s="1"/>
  <c r="J26" i="35" s="1"/>
  <c r="J12" i="41"/>
  <c r="J13" i="41" s="1"/>
  <c r="J14" i="41" s="1"/>
  <c r="J15" i="41" s="1"/>
  <c r="J16" i="41" s="1"/>
  <c r="J17" i="41" s="1"/>
  <c r="J18" i="41" s="1"/>
  <c r="J19" i="41" s="1"/>
  <c r="J20" i="41" s="1"/>
  <c r="J21" i="41" s="1"/>
  <c r="J22" i="41" s="1"/>
  <c r="J23" i="41" s="1"/>
  <c r="J24" i="41" s="1"/>
  <c r="J25" i="41" s="1"/>
  <c r="J26" i="41" s="1"/>
  <c r="J27" i="41" s="1"/>
  <c r="J28" i="41" s="1"/>
  <c r="J29" i="41" s="1"/>
  <c r="J30" i="41" s="1"/>
  <c r="J31" i="41" s="1"/>
  <c r="J32" i="41" s="1"/>
  <c r="J33" i="41" s="1"/>
  <c r="J34" i="41" s="1"/>
  <c r="J35" i="41" s="1"/>
  <c r="J36" i="41" s="1"/>
  <c r="J37" i="41" s="1"/>
  <c r="J38" i="41" s="1"/>
  <c r="J39" i="41" s="1"/>
  <c r="J40" i="41" s="1"/>
  <c r="J12" i="127"/>
  <c r="J13" i="127" s="1"/>
  <c r="J14" i="127" s="1"/>
  <c r="J12" i="13"/>
  <c r="J13" i="13" s="1"/>
  <c r="J14" i="13" s="1"/>
  <c r="J15" i="13" s="1"/>
  <c r="J16" i="13" s="1"/>
  <c r="J17" i="13" s="1"/>
  <c r="J18" i="13" s="1"/>
  <c r="J19" i="13" s="1"/>
  <c r="J20" i="13" s="1"/>
  <c r="J21" i="13" s="1"/>
  <c r="J22" i="13" s="1"/>
  <c r="J23" i="13" s="1"/>
  <c r="J24" i="13" s="1"/>
  <c r="J25" i="13" s="1"/>
  <c r="J26" i="13" s="1"/>
  <c r="J27" i="13" s="1"/>
  <c r="J28" i="13" s="1"/>
  <c r="J29" i="13" s="1"/>
  <c r="J30" i="13" s="1"/>
  <c r="J31" i="13" s="1"/>
  <c r="J32" i="13" s="1"/>
  <c r="J33" i="13" s="1"/>
  <c r="J34" i="13" s="1"/>
  <c r="J35" i="13" s="1"/>
  <c r="J36" i="13" s="1"/>
  <c r="J37" i="13" s="1"/>
  <c r="J38" i="13" s="1"/>
  <c r="J39" i="13" s="1"/>
  <c r="J40" i="13" s="1"/>
  <c r="J41" i="13" s="1"/>
  <c r="J42" i="13" s="1"/>
  <c r="J43" i="13" s="1"/>
  <c r="J44" i="13" s="1"/>
  <c r="J45" i="13" s="1"/>
  <c r="J46" i="13" s="1"/>
  <c r="J47" i="13" s="1"/>
  <c r="J48" i="13" s="1"/>
  <c r="J49" i="13" s="1"/>
  <c r="J50" i="13" s="1"/>
  <c r="J51" i="13" s="1"/>
  <c r="J52" i="13" s="1"/>
  <c r="J53" i="13" s="1"/>
  <c r="J54" i="13" s="1"/>
  <c r="J55" i="13" s="1"/>
  <c r="J56" i="13" s="1"/>
  <c r="J57" i="13" s="1"/>
  <c r="J58" i="13" s="1"/>
  <c r="J59" i="13" s="1"/>
  <c r="J60" i="13" s="1"/>
  <c r="J61" i="13" s="1"/>
  <c r="J62" i="13" s="1"/>
  <c r="J63" i="13" s="1"/>
  <c r="J64" i="13" s="1"/>
  <c r="J65" i="13" s="1"/>
  <c r="J66" i="13" s="1"/>
  <c r="J67" i="13" s="1"/>
  <c r="J68" i="13" s="1"/>
  <c r="J69" i="13" s="1"/>
  <c r="J70" i="13" s="1"/>
  <c r="J71" i="13" s="1"/>
  <c r="J72" i="13" s="1"/>
  <c r="J73" i="13" s="1"/>
  <c r="J74" i="13" s="1"/>
  <c r="J75" i="13" s="1"/>
  <c r="J76" i="13" s="1"/>
  <c r="J77" i="13" s="1"/>
  <c r="J78" i="13" s="1"/>
  <c r="J79" i="13" s="1"/>
  <c r="J80" i="13" s="1"/>
  <c r="J81" i="13" s="1"/>
  <c r="J82" i="13" s="1"/>
  <c r="J83" i="13" s="1"/>
  <c r="J84" i="13" s="1"/>
  <c r="J85" i="13" s="1"/>
  <c r="J86" i="13" s="1"/>
  <c r="J87" i="13" s="1"/>
  <c r="J88" i="13" s="1"/>
  <c r="J89" i="13" s="1"/>
  <c r="J90" i="13" s="1"/>
  <c r="J91" i="13" s="1"/>
  <c r="J92" i="13" s="1"/>
  <c r="J93" i="13" s="1"/>
  <c r="J94" i="13" s="1"/>
  <c r="J95" i="13" s="1"/>
  <c r="J96" i="13" s="1"/>
  <c r="J97" i="13" s="1"/>
  <c r="J98" i="13" s="1"/>
  <c r="J99" i="13" s="1"/>
  <c r="J100" i="13" s="1"/>
  <c r="J101" i="13" s="1"/>
  <c r="J11" i="300"/>
  <c r="J12" i="300" s="1"/>
  <c r="J13" i="300" s="1"/>
  <c r="J14" i="300" s="1"/>
  <c r="J15" i="300" s="1"/>
  <c r="J16" i="300" s="1"/>
  <c r="J17" i="300" s="1"/>
  <c r="J18" i="300" s="1"/>
  <c r="J19" i="300" s="1"/>
  <c r="J20" i="300" s="1"/>
  <c r="J21" i="300" s="1"/>
  <c r="J12" i="289"/>
  <c r="J13" i="289" s="1"/>
  <c r="J12" i="43"/>
  <c r="J13" i="43" s="1"/>
  <c r="J14" i="43" s="1"/>
  <c r="J15" i="43" s="1"/>
  <c r="J16" i="43" s="1"/>
  <c r="J17" i="43" s="1"/>
  <c r="J18" i="43" s="1"/>
  <c r="J19" i="43" s="1"/>
  <c r="J20" i="43" s="1"/>
  <c r="J21" i="43" s="1"/>
  <c r="J22" i="43" s="1"/>
  <c r="J23" i="43" s="1"/>
  <c r="J24" i="43" s="1"/>
  <c r="J25" i="43" s="1"/>
  <c r="J26" i="43" s="1"/>
  <c r="J27" i="43" s="1"/>
  <c r="J28" i="43" s="1"/>
  <c r="J29" i="43" s="1"/>
  <c r="J30" i="43" s="1"/>
  <c r="J31" i="43" s="1"/>
  <c r="J32" i="43" s="1"/>
  <c r="J33" i="43" s="1"/>
  <c r="J34" i="43" s="1"/>
  <c r="J35" i="43" s="1"/>
  <c r="J36" i="43" s="1"/>
  <c r="J37" i="43" s="1"/>
  <c r="J38" i="43" s="1"/>
  <c r="J39" i="43" s="1"/>
  <c r="J40" i="43" s="1"/>
  <c r="J41" i="43" s="1"/>
  <c r="J42" i="43" s="1"/>
  <c r="J43" i="43" s="1"/>
  <c r="J44" i="43" s="1"/>
  <c r="J45" i="43" s="1"/>
  <c r="J46" i="43" s="1"/>
  <c r="J47" i="43" s="1"/>
  <c r="J48" i="43" s="1"/>
  <c r="J49" i="43" s="1"/>
  <c r="J50" i="43" s="1"/>
  <c r="J51" i="43" s="1"/>
  <c r="J52" i="43" s="1"/>
  <c r="J53" i="43" s="1"/>
  <c r="J54" i="43" s="1"/>
  <c r="J55" i="43" s="1"/>
  <c r="J56" i="43" s="1"/>
  <c r="J57" i="43" s="1"/>
  <c r="J58" i="43" s="1"/>
  <c r="J12" i="306"/>
  <c r="J13" i="306" s="1"/>
  <c r="J14" i="306" s="1"/>
  <c r="J15" i="306" s="1"/>
  <c r="J12" i="72"/>
  <c r="J13" i="72" s="1"/>
  <c r="J14" i="72" s="1"/>
  <c r="J15" i="72" s="1"/>
  <c r="J16" i="72" s="1"/>
  <c r="J17" i="72" s="1"/>
  <c r="J18" i="72" s="1"/>
  <c r="J19" i="72" s="1"/>
  <c r="J20" i="72" s="1"/>
  <c r="J21" i="72" s="1"/>
  <c r="J22" i="72" s="1"/>
  <c r="J23" i="72" s="1"/>
  <c r="J24" i="72" s="1"/>
  <c r="J25" i="72" s="1"/>
  <c r="J12" i="145"/>
  <c r="J13" i="145" s="1"/>
  <c r="J14" i="145" s="1"/>
  <c r="J15" i="145" s="1"/>
  <c r="J12" i="18"/>
  <c r="J13" i="18" s="1"/>
  <c r="J14" i="18" s="1"/>
  <c r="J15" i="18" s="1"/>
  <c r="J16" i="18" s="1"/>
  <c r="J17" i="18" s="1"/>
  <c r="J18" i="18" s="1"/>
  <c r="J19" i="18" s="1"/>
  <c r="J20" i="18" s="1"/>
  <c r="J21" i="18" s="1"/>
  <c r="J22" i="18" s="1"/>
  <c r="J23" i="18" s="1"/>
  <c r="J24" i="18" s="1"/>
  <c r="J25" i="18" s="1"/>
  <c r="J26" i="18" s="1"/>
  <c r="J27" i="18" s="1"/>
  <c r="J28" i="18" s="1"/>
  <c r="J29" i="18" s="1"/>
  <c r="J30" i="18" s="1"/>
  <c r="J31" i="18" s="1"/>
  <c r="J12" i="14"/>
  <c r="J13" i="14" s="1"/>
  <c r="J14" i="14" s="1"/>
  <c r="J15" i="14" s="1"/>
  <c r="J16" i="14" s="1"/>
  <c r="J17" i="14" s="1"/>
  <c r="J18" i="14" s="1"/>
  <c r="J19" i="14" s="1"/>
  <c r="J20" i="14" s="1"/>
  <c r="J21" i="14" s="1"/>
  <c r="J22" i="14" s="1"/>
  <c r="J23" i="14" s="1"/>
  <c r="J24" i="14" s="1"/>
  <c r="J25" i="14" s="1"/>
  <c r="J26" i="14" s="1"/>
  <c r="J27" i="14" s="1"/>
  <c r="J28" i="14" s="1"/>
  <c r="J29" i="14" s="1"/>
  <c r="J30" i="14" s="1"/>
  <c r="J31" i="14" s="1"/>
  <c r="J32" i="14" s="1"/>
  <c r="J33" i="14" s="1"/>
  <c r="J34" i="14" s="1"/>
  <c r="J35" i="14" s="1"/>
  <c r="J36" i="14" s="1"/>
  <c r="J37" i="14" s="1"/>
  <c r="J38" i="14" s="1"/>
  <c r="J39" i="14" s="1"/>
  <c r="J40" i="14" s="1"/>
  <c r="J41" i="14" s="1"/>
  <c r="J42" i="14" s="1"/>
  <c r="J43" i="14" s="1"/>
  <c r="J44" i="14" s="1"/>
  <c r="J45" i="14" s="1"/>
  <c r="J46" i="14" s="1"/>
  <c r="J47" i="14" s="1"/>
  <c r="J48" i="14" s="1"/>
  <c r="J49" i="14" s="1"/>
  <c r="J50" i="14" s="1"/>
  <c r="J51" i="14" s="1"/>
  <c r="J52" i="14" s="1"/>
  <c r="J53" i="14" s="1"/>
  <c r="J54" i="14" s="1"/>
  <c r="J55" i="14" s="1"/>
  <c r="J56" i="14" s="1"/>
  <c r="J57" i="14" s="1"/>
  <c r="J58" i="14" s="1"/>
  <c r="J59" i="14" s="1"/>
  <c r="J60" i="14" s="1"/>
  <c r="J61" i="14" s="1"/>
  <c r="J62" i="14" s="1"/>
  <c r="J63" i="14" s="1"/>
  <c r="J64" i="14" s="1"/>
  <c r="J65" i="14" s="1"/>
  <c r="J66" i="14" s="1"/>
  <c r="J67" i="14" s="1"/>
  <c r="J68" i="14" s="1"/>
  <c r="J69" i="14" s="1"/>
  <c r="J12" i="15"/>
  <c r="J13" i="15" s="1"/>
  <c r="J14" i="15" s="1"/>
  <c r="J15" i="15" s="1"/>
  <c r="J16" i="15" s="1"/>
  <c r="J17" i="15" s="1"/>
  <c r="J18" i="15" s="1"/>
  <c r="J19" i="15" s="1"/>
  <c r="J20" i="15" s="1"/>
  <c r="J21" i="15" s="1"/>
  <c r="J22" i="15" s="1"/>
  <c r="J23" i="15" s="1"/>
  <c r="J24" i="15" s="1"/>
  <c r="J25" i="15" s="1"/>
  <c r="J26" i="15" s="1"/>
  <c r="J27" i="15" s="1"/>
  <c r="J12" i="17"/>
  <c r="J13" i="17" s="1"/>
  <c r="J14" i="17" s="1"/>
  <c r="J15" i="17" s="1"/>
  <c r="J16" i="17" s="1"/>
  <c r="J17" i="17" s="1"/>
  <c r="J18" i="17" s="1"/>
  <c r="J19" i="17" s="1"/>
  <c r="J20" i="17" s="1"/>
  <c r="J21" i="17" s="1"/>
  <c r="J22" i="17" s="1"/>
  <c r="J23" i="17" s="1"/>
  <c r="J24" i="17" s="1"/>
  <c r="J25" i="17" s="1"/>
  <c r="J26" i="17" s="1"/>
  <c r="J27" i="17" s="1"/>
  <c r="J28" i="17" s="1"/>
  <c r="J29" i="17" s="1"/>
  <c r="J30" i="17" s="1"/>
  <c r="J31" i="17" s="1"/>
  <c r="J32" i="17" s="1"/>
  <c r="J33" i="17" s="1"/>
  <c r="J34" i="17" s="1"/>
  <c r="J35" i="17" s="1"/>
  <c r="J36" i="17" s="1"/>
  <c r="J37" i="17" s="1"/>
  <c r="J38" i="17" s="1"/>
  <c r="J39" i="17" s="1"/>
  <c r="J40" i="17" s="1"/>
  <c r="J41" i="17" s="1"/>
  <c r="J42" i="17" s="1"/>
  <c r="J43" i="17" s="1"/>
  <c r="J44" i="17" s="1"/>
  <c r="J45" i="17" s="1"/>
  <c r="J46" i="17" s="1"/>
  <c r="J47" i="17" s="1"/>
  <c r="J48" i="17" s="1"/>
  <c r="J49" i="17" s="1"/>
  <c r="J50" i="17" s="1"/>
  <c r="J51" i="17" s="1"/>
  <c r="J52" i="17" s="1"/>
  <c r="J53" i="17" s="1"/>
  <c r="J12" i="175"/>
  <c r="J13" i="175" s="1"/>
  <c r="J14" i="175" s="1"/>
  <c r="J15" i="175" s="1"/>
  <c r="J16" i="175" s="1"/>
  <c r="J17" i="175" s="1"/>
  <c r="J18" i="175" s="1"/>
  <c r="J19" i="175" s="1"/>
  <c r="J20" i="175" s="1"/>
  <c r="J21" i="175" s="1"/>
  <c r="J22" i="175" s="1"/>
  <c r="J23" i="175" s="1"/>
  <c r="J24" i="175" s="1"/>
  <c r="J25" i="175" s="1"/>
  <c r="J26" i="175" s="1"/>
  <c r="J27" i="175" s="1"/>
  <c r="J28" i="175" s="1"/>
  <c r="J29" i="175" s="1"/>
  <c r="J30" i="175" s="1"/>
  <c r="J12" i="188"/>
  <c r="J13" i="188" s="1"/>
  <c r="J14" i="188" s="1"/>
  <c r="J15" i="188" s="1"/>
  <c r="J16" i="188" s="1"/>
  <c r="J17" i="188" s="1"/>
  <c r="J18" i="188" s="1"/>
  <c r="J19" i="188" s="1"/>
  <c r="J12" i="190"/>
  <c r="J13" i="190" s="1"/>
  <c r="J14" i="190" s="1"/>
  <c r="J15" i="190" s="1"/>
  <c r="J16" i="190" s="1"/>
  <c r="J17" i="190" s="1"/>
  <c r="J18" i="190" s="1"/>
  <c r="J19" i="190" s="1"/>
  <c r="J20" i="190" s="1"/>
  <c r="J21" i="190" s="1"/>
  <c r="J22" i="190" s="1"/>
  <c r="J12" i="174"/>
  <c r="J13" i="174" s="1"/>
  <c r="J14" i="174" s="1"/>
  <c r="J15" i="174" s="1"/>
  <c r="J16" i="174" s="1"/>
  <c r="J12" i="91"/>
  <c r="J13" i="91" s="1"/>
  <c r="J14" i="91" s="1"/>
  <c r="J15" i="91" s="1"/>
  <c r="J16" i="91" s="1"/>
  <c r="J17" i="91" s="1"/>
  <c r="J18" i="91" s="1"/>
  <c r="J19" i="91" s="1"/>
  <c r="J20" i="91" s="1"/>
  <c r="J21" i="91" s="1"/>
  <c r="J22" i="91" s="1"/>
  <c r="J23" i="91" s="1"/>
  <c r="J24" i="91" s="1"/>
  <c r="J25" i="91" s="1"/>
  <c r="J26" i="91" s="1"/>
  <c r="J27" i="91" s="1"/>
  <c r="J28" i="91" s="1"/>
  <c r="J29" i="91" s="1"/>
  <c r="J30" i="91" s="1"/>
  <c r="J31" i="91" s="1"/>
  <c r="J32" i="91" s="1"/>
  <c r="J33" i="91" s="1"/>
  <c r="J34" i="91" s="1"/>
  <c r="J35" i="91" s="1"/>
  <c r="J36" i="91" s="1"/>
  <c r="J37" i="91" s="1"/>
  <c r="J38" i="91" s="1"/>
  <c r="J39" i="91" s="1"/>
  <c r="J40" i="91" s="1"/>
  <c r="J41" i="91" s="1"/>
  <c r="J42" i="91" s="1"/>
  <c r="J43" i="91" s="1"/>
  <c r="J44" i="91" s="1"/>
  <c r="J45" i="91" s="1"/>
  <c r="J46" i="91" s="1"/>
  <c r="J47" i="91" s="1"/>
  <c r="J12" i="313"/>
  <c r="J12" i="338"/>
  <c r="J13" i="338" s="1"/>
  <c r="J12" i="157"/>
  <c r="J13" i="157" s="1"/>
  <c r="J12" i="314"/>
  <c r="L17" i="284"/>
  <c r="J12" i="288"/>
  <c r="J13" i="288" s="1"/>
  <c r="J14" i="288" s="1"/>
  <c r="J12" i="285"/>
  <c r="J13" i="285" s="1"/>
  <c r="J14" i="285" s="1"/>
  <c r="J15" i="285" s="1"/>
  <c r="J16" i="285" s="1"/>
  <c r="J17" i="285" s="1"/>
  <c r="J18" i="285" s="1"/>
  <c r="J19" i="285" s="1"/>
  <c r="J20" i="285" s="1"/>
  <c r="J12" i="33"/>
  <c r="J13" i="33" s="1"/>
  <c r="J14" i="33" s="1"/>
  <c r="J15" i="33" s="1"/>
  <c r="J16" i="33" s="1"/>
  <c r="J17" i="33" s="1"/>
  <c r="J18" i="33" s="1"/>
  <c r="J19" i="33" s="1"/>
  <c r="J20" i="33" s="1"/>
  <c r="J21" i="33" s="1"/>
  <c r="J22" i="33" s="1"/>
  <c r="J23" i="33" s="1"/>
  <c r="J24" i="33" s="1"/>
  <c r="J25" i="33" s="1"/>
  <c r="J26" i="33" s="1"/>
  <c r="J27" i="33" s="1"/>
  <c r="J12" i="195"/>
  <c r="J13" i="195" s="1"/>
  <c r="J14" i="195" s="1"/>
  <c r="J15" i="195" s="1"/>
  <c r="J16" i="195" s="1"/>
  <c r="J17" i="195" s="1"/>
  <c r="J13" i="305"/>
  <c r="J14" i="305" s="1"/>
  <c r="J15" i="305" s="1"/>
  <c r="J16" i="305" s="1"/>
  <c r="J17" i="305" s="1"/>
  <c r="J18" i="305" s="1"/>
  <c r="J19" i="305" s="1"/>
  <c r="J20" i="305" s="1"/>
  <c r="J21" i="305" s="1"/>
  <c r="J22" i="305" s="1"/>
  <c r="J23" i="305" s="1"/>
  <c r="J12" i="99"/>
  <c r="J13" i="99" s="1"/>
  <c r="J14" i="99" s="1"/>
  <c r="J15" i="99" s="1"/>
  <c r="J16" i="99" s="1"/>
  <c r="J17" i="99" s="1"/>
  <c r="J18" i="99" s="1"/>
  <c r="J19" i="99" s="1"/>
  <c r="J20" i="99" s="1"/>
  <c r="J21" i="99" s="1"/>
  <c r="J22" i="99" s="1"/>
  <c r="J23" i="99" s="1"/>
  <c r="J24" i="99" s="1"/>
  <c r="J14" i="115"/>
  <c r="J15" i="115" s="1"/>
  <c r="J16" i="115" s="1"/>
  <c r="J17" i="115" s="1"/>
  <c r="J18" i="115" s="1"/>
  <c r="J19" i="115" s="1"/>
  <c r="J20" i="115" s="1"/>
  <c r="J21" i="115" s="1"/>
  <c r="J22" i="115" s="1"/>
  <c r="J23" i="115" s="1"/>
  <c r="J24" i="115" s="1"/>
  <c r="J25" i="115" s="1"/>
  <c r="J26" i="115" s="1"/>
  <c r="J27" i="115" s="1"/>
  <c r="J28" i="115" s="1"/>
  <c r="J29" i="115" s="1"/>
  <c r="J30" i="115" s="1"/>
  <c r="J31" i="115" s="1"/>
  <c r="J32" i="115" s="1"/>
  <c r="J33" i="115" s="1"/>
  <c r="J34" i="115" s="1"/>
  <c r="J35" i="115" s="1"/>
  <c r="J36" i="115" s="1"/>
  <c r="J37" i="115" s="1"/>
  <c r="J38" i="115" s="1"/>
  <c r="J39" i="115" s="1"/>
  <c r="J40" i="115" s="1"/>
  <c r="J41" i="115" s="1"/>
  <c r="J42" i="115" s="1"/>
  <c r="J43" i="115" s="1"/>
  <c r="J44" i="115" s="1"/>
  <c r="J45" i="115" s="1"/>
  <c r="J46" i="115" s="1"/>
  <c r="J47" i="115" s="1"/>
  <c r="J48" i="115" s="1"/>
  <c r="J49" i="115" s="1"/>
  <c r="J50" i="115" s="1"/>
  <c r="J51" i="115" s="1"/>
  <c r="J52" i="115" s="1"/>
  <c r="J53" i="115" s="1"/>
  <c r="J54" i="115" s="1"/>
  <c r="J55" i="115" s="1"/>
  <c r="J56" i="115" s="1"/>
  <c r="J12" i="77"/>
  <c r="J13" i="77" s="1"/>
  <c r="J14" i="77" s="1"/>
  <c r="J15" i="77" s="1"/>
  <c r="J16" i="77" s="1"/>
  <c r="J17" i="77" s="1"/>
  <c r="J18" i="77" s="1"/>
  <c r="J19" i="77" s="1"/>
  <c r="J20" i="77" s="1"/>
  <c r="J21" i="77" s="1"/>
  <c r="J22" i="77" s="1"/>
  <c r="J23" i="77" s="1"/>
  <c r="J24" i="77" s="1"/>
  <c r="J25" i="77" s="1"/>
  <c r="J26" i="77" s="1"/>
  <c r="J27" i="77" s="1"/>
  <c r="J28" i="77" s="1"/>
  <c r="J29" i="77" s="1"/>
  <c r="J30" i="77" s="1"/>
  <c r="J31" i="77" s="1"/>
  <c r="J32" i="77" s="1"/>
  <c r="J33" i="77" s="1"/>
  <c r="J34" i="77" s="1"/>
  <c r="J35" i="77" s="1"/>
  <c r="J36" i="77" s="1"/>
  <c r="J37" i="77" s="1"/>
  <c r="J38" i="77" s="1"/>
  <c r="J12" i="98"/>
  <c r="J13" i="98" s="1"/>
  <c r="J14" i="98" s="1"/>
  <c r="J15" i="98" s="1"/>
  <c r="J16" i="98" s="1"/>
  <c r="J17" i="98" s="1"/>
  <c r="J18" i="98" s="1"/>
  <c r="J19" i="98" s="1"/>
  <c r="J20" i="98" s="1"/>
  <c r="J21" i="98" s="1"/>
  <c r="J22" i="98" s="1"/>
  <c r="J23" i="98" s="1"/>
  <c r="J24" i="98" s="1"/>
  <c r="J25" i="98" s="1"/>
  <c r="J26" i="98" s="1"/>
  <c r="J27" i="98" s="1"/>
  <c r="J12" i="36"/>
  <c r="J13" i="36" s="1"/>
  <c r="J14" i="36" s="1"/>
  <c r="J15" i="36" s="1"/>
  <c r="J16" i="36" s="1"/>
  <c r="J17" i="36" s="1"/>
  <c r="J18" i="36" s="1"/>
  <c r="J12" i="136"/>
  <c r="J13" i="136" s="1"/>
  <c r="J14" i="136" s="1"/>
  <c r="J15" i="136" s="1"/>
  <c r="J16" i="136" s="1"/>
  <c r="J17" i="136" s="1"/>
  <c r="J18" i="136" s="1"/>
  <c r="J19" i="136" s="1"/>
  <c r="J20" i="136" s="1"/>
  <c r="J21" i="136" s="1"/>
  <c r="J22" i="136" s="1"/>
  <c r="J23" i="136" s="1"/>
  <c r="J24" i="136" s="1"/>
  <c r="J25" i="136" s="1"/>
  <c r="J26" i="136" s="1"/>
  <c r="J27" i="136" s="1"/>
  <c r="J28" i="136" s="1"/>
  <c r="J29" i="136" s="1"/>
  <c r="J30" i="136" s="1"/>
  <c r="J31" i="136" s="1"/>
  <c r="J32" i="136" s="1"/>
  <c r="J33" i="136" s="1"/>
  <c r="J34" i="136" s="1"/>
  <c r="J12" i="131"/>
  <c r="J13" i="131" s="1"/>
  <c r="J14" i="131" s="1"/>
  <c r="J15" i="131" s="1"/>
  <c r="J16" i="131" s="1"/>
  <c r="J12" i="119"/>
  <c r="J13" i="119" s="1"/>
  <c r="J14" i="119" s="1"/>
  <c r="J15" i="119" s="1"/>
  <c r="J16" i="119" s="1"/>
  <c r="J17" i="119" s="1"/>
  <c r="J18" i="119" s="1"/>
  <c r="J19" i="119" s="1"/>
  <c r="J20" i="119" s="1"/>
  <c r="J21" i="119" s="1"/>
  <c r="J22" i="119" s="1"/>
  <c r="J23" i="119" s="1"/>
  <c r="J24" i="119" s="1"/>
  <c r="J25" i="119" s="1"/>
  <c r="J26" i="119" s="1"/>
  <c r="J12" i="179"/>
  <c r="J13" i="179" s="1"/>
  <c r="J14" i="179" s="1"/>
  <c r="J15" i="179" s="1"/>
  <c r="J16" i="179" s="1"/>
  <c r="J17" i="179" s="1"/>
  <c r="J12" i="180"/>
  <c r="J12" i="169"/>
  <c r="J13" i="169" s="1"/>
  <c r="J12" i="189"/>
  <c r="J13" i="189" s="1"/>
  <c r="J14" i="189" s="1"/>
  <c r="J15" i="189" s="1"/>
  <c r="J16" i="189" s="1"/>
  <c r="J17" i="189" s="1"/>
  <c r="J18" i="189" s="1"/>
  <c r="J19" i="189" s="1"/>
  <c r="J20" i="189" s="1"/>
  <c r="J21" i="189" s="1"/>
  <c r="J22" i="189" s="1"/>
  <c r="J23" i="189" s="1"/>
  <c r="J24" i="189" s="1"/>
  <c r="J25" i="189" s="1"/>
  <c r="J26" i="189" s="1"/>
  <c r="J27" i="189" s="1"/>
  <c r="J28" i="189" s="1"/>
  <c r="J29" i="189" s="1"/>
  <c r="J30" i="189" s="1"/>
  <c r="J31" i="189" s="1"/>
  <c r="J32" i="189" s="1"/>
  <c r="J33" i="189" s="1"/>
  <c r="J34" i="189" s="1"/>
  <c r="J35" i="189" s="1"/>
  <c r="J36" i="189" s="1"/>
  <c r="J37" i="189" s="1"/>
  <c r="J38" i="189" s="1"/>
  <c r="J39" i="189" s="1"/>
  <c r="J40" i="189" s="1"/>
  <c r="J41" i="189" s="1"/>
  <c r="J42" i="189" s="1"/>
  <c r="J12" i="302"/>
  <c r="J13" i="302" s="1"/>
  <c r="J14" i="302" s="1"/>
  <c r="J15" i="302" s="1"/>
  <c r="J16" i="302" s="1"/>
  <c r="J17" i="302" s="1"/>
  <c r="J18" i="302" s="1"/>
  <c r="J19" i="302" s="1"/>
  <c r="J12" i="66"/>
  <c r="J13" i="66" s="1"/>
  <c r="J14" i="66" s="1"/>
  <c r="J15" i="66" s="1"/>
  <c r="J16" i="66" s="1"/>
  <c r="J17" i="66" s="1"/>
  <c r="J18" i="66" s="1"/>
  <c r="J19" i="66" s="1"/>
  <c r="J20" i="66" s="1"/>
  <c r="J21" i="66" s="1"/>
  <c r="J22" i="66" s="1"/>
  <c r="J23" i="66" s="1"/>
  <c r="J24" i="66" s="1"/>
  <c r="J25" i="66" s="1"/>
  <c r="J26" i="66" s="1"/>
  <c r="J27" i="66" s="1"/>
  <c r="J28" i="66" s="1"/>
  <c r="J29" i="66" s="1"/>
  <c r="J30" i="66" s="1"/>
  <c r="J31" i="66" s="1"/>
  <c r="J32" i="66" s="1"/>
  <c r="J33" i="66" s="1"/>
  <c r="J34" i="66" s="1"/>
  <c r="J35" i="66" s="1"/>
  <c r="J36" i="66" s="1"/>
  <c r="J37" i="66" s="1"/>
  <c r="J12" i="87"/>
  <c r="J13" i="87" s="1"/>
  <c r="J14" i="87" s="1"/>
  <c r="J15" i="87" s="1"/>
  <c r="J16" i="87" s="1"/>
  <c r="J17" i="87" s="1"/>
  <c r="J18" i="87" s="1"/>
  <c r="J19" i="87" s="1"/>
  <c r="J20" i="87" s="1"/>
  <c r="J21" i="87" s="1"/>
  <c r="J22" i="87" s="1"/>
  <c r="J23" i="87" s="1"/>
  <c r="J24" i="87" s="1"/>
  <c r="J25" i="87" s="1"/>
  <c r="J26" i="87" s="1"/>
  <c r="J27" i="87" s="1"/>
  <c r="J28" i="87" s="1"/>
  <c r="J29" i="87" s="1"/>
  <c r="J30" i="87" s="1"/>
  <c r="J31" i="87" s="1"/>
  <c r="J32" i="87" s="1"/>
  <c r="J33" i="87" s="1"/>
  <c r="J34" i="87" s="1"/>
  <c r="J35" i="87" s="1"/>
  <c r="J36" i="87" s="1"/>
  <c r="J12" i="68"/>
  <c r="J13" i="68" s="1"/>
  <c r="J14" i="68" s="1"/>
  <c r="J15" i="68" s="1"/>
  <c r="J16" i="68" s="1"/>
  <c r="J17" i="68" s="1"/>
  <c r="J18" i="68" s="1"/>
  <c r="J19" i="68" s="1"/>
  <c r="J20" i="68" s="1"/>
  <c r="J21" i="68" s="1"/>
  <c r="J22" i="68" s="1"/>
  <c r="J23" i="68" s="1"/>
  <c r="J24" i="68" s="1"/>
  <c r="J25" i="68" s="1"/>
  <c r="J26" i="68" s="1"/>
  <c r="J27" i="68" s="1"/>
  <c r="J28" i="68" s="1"/>
  <c r="J29" i="68" s="1"/>
  <c r="J30" i="68" s="1"/>
  <c r="J31" i="68" s="1"/>
  <c r="J32" i="68" s="1"/>
  <c r="J33" i="68" s="1"/>
  <c r="J34" i="68" s="1"/>
  <c r="J35" i="68" s="1"/>
  <c r="J36" i="68" s="1"/>
  <c r="J37" i="68" s="1"/>
  <c r="J38" i="68" s="1"/>
  <c r="J39" i="68" s="1"/>
  <c r="J40" i="68" s="1"/>
  <c r="J41" i="68" s="1"/>
  <c r="J42" i="68" s="1"/>
  <c r="J12" i="191"/>
  <c r="J13" i="191" s="1"/>
  <c r="J14" i="191" s="1"/>
  <c r="J15" i="191" s="1"/>
  <c r="J16" i="191" s="1"/>
  <c r="J17" i="191" s="1"/>
  <c r="J18" i="191" s="1"/>
  <c r="J19" i="191" s="1"/>
  <c r="J20" i="191" s="1"/>
  <c r="J21" i="191" s="1"/>
  <c r="J22" i="191" s="1"/>
  <c r="J23" i="191" s="1"/>
  <c r="J24" i="191" s="1"/>
  <c r="J25" i="191" s="1"/>
  <c r="J26" i="191" s="1"/>
  <c r="J27" i="191" s="1"/>
  <c r="J28" i="191" s="1"/>
  <c r="J29" i="191" s="1"/>
  <c r="J12" i="78"/>
  <c r="J13" i="78" s="1"/>
  <c r="J14" i="78" s="1"/>
  <c r="J15" i="78" s="1"/>
  <c r="J16" i="78" s="1"/>
  <c r="J17" i="78" s="1"/>
  <c r="J18" i="78" s="1"/>
  <c r="J19" i="78" s="1"/>
  <c r="J20" i="78" s="1"/>
  <c r="J21" i="78" s="1"/>
  <c r="J22" i="78" s="1"/>
  <c r="J23" i="78" s="1"/>
  <c r="J24" i="78" s="1"/>
  <c r="J25" i="78" s="1"/>
  <c r="J26" i="78" s="1"/>
  <c r="J27" i="78" s="1"/>
  <c r="J28" i="78" s="1"/>
  <c r="J29" i="78" s="1"/>
  <c r="J30" i="78" s="1"/>
  <c r="J31" i="78" s="1"/>
  <c r="J32" i="78" s="1"/>
  <c r="J33" i="78" s="1"/>
  <c r="J34" i="78" s="1"/>
  <c r="J35" i="78" s="1"/>
  <c r="J36" i="78" s="1"/>
  <c r="J37" i="78" s="1"/>
  <c r="J38" i="78" s="1"/>
  <c r="J39" i="78" s="1"/>
  <c r="J40" i="78" s="1"/>
  <c r="J41" i="78" s="1"/>
  <c r="J42" i="78" s="1"/>
  <c r="J43" i="78" s="1"/>
  <c r="J44" i="78" s="1"/>
  <c r="J45" i="78" s="1"/>
  <c r="J46" i="78" s="1"/>
  <c r="J47" i="78" s="1"/>
  <c r="J48" i="78" s="1"/>
  <c r="J49" i="78" s="1"/>
  <c r="J50" i="78" s="1"/>
  <c r="J51" i="78" s="1"/>
  <c r="J52" i="78" s="1"/>
  <c r="J53" i="78" s="1"/>
  <c r="J54" i="78" s="1"/>
  <c r="J55" i="78" s="1"/>
  <c r="J56" i="78" s="1"/>
  <c r="J57" i="78" s="1"/>
  <c r="J58" i="78" s="1"/>
  <c r="J59" i="78" s="1"/>
  <c r="J60" i="78" s="1"/>
  <c r="J61" i="78" s="1"/>
  <c r="J62" i="78" s="1"/>
  <c r="J63" i="78" s="1"/>
  <c r="J12" i="172"/>
  <c r="J13" i="172" s="1"/>
  <c r="J14" i="172" s="1"/>
  <c r="J15" i="172" s="1"/>
  <c r="J16" i="172" s="1"/>
  <c r="J17" i="172" s="1"/>
  <c r="J18" i="172" s="1"/>
  <c r="J19" i="172" s="1"/>
  <c r="J20" i="172" s="1"/>
  <c r="J21" i="172" s="1"/>
  <c r="J22" i="172" s="1"/>
  <c r="J23" i="172" s="1"/>
  <c r="J24" i="172" s="1"/>
  <c r="J25" i="172" s="1"/>
  <c r="J26" i="172" s="1"/>
  <c r="J27" i="172" s="1"/>
  <c r="J28" i="172" s="1"/>
  <c r="J29" i="172" s="1"/>
  <c r="J30" i="172" s="1"/>
  <c r="J31" i="172" s="1"/>
  <c r="J32" i="172" s="1"/>
  <c r="J33" i="172" s="1"/>
  <c r="J34" i="172" s="1"/>
  <c r="J35" i="172" s="1"/>
  <c r="J36" i="172" s="1"/>
  <c r="J37" i="172" s="1"/>
  <c r="J38" i="172" s="1"/>
  <c r="J39" i="172" s="1"/>
  <c r="J40" i="172" s="1"/>
  <c r="J41" i="172" s="1"/>
  <c r="J42" i="172" s="1"/>
  <c r="J43" i="172" s="1"/>
  <c r="J44" i="172" s="1"/>
  <c r="J45" i="172" s="1"/>
  <c r="J46" i="172" s="1"/>
  <c r="J47" i="172" s="1"/>
  <c r="J48" i="172" s="1"/>
  <c r="J49" i="172" s="1"/>
  <c r="J50" i="172" s="1"/>
  <c r="J51" i="172" s="1"/>
  <c r="J52" i="172" s="1"/>
  <c r="J53" i="172" s="1"/>
  <c r="J54" i="172" s="1"/>
  <c r="J55" i="172" s="1"/>
  <c r="J56" i="172" s="1"/>
  <c r="J57" i="172" s="1"/>
  <c r="J58" i="172" s="1"/>
  <c r="J59" i="172" s="1"/>
  <c r="J12" i="62"/>
  <c r="J13" i="62" s="1"/>
  <c r="J14" i="62" s="1"/>
  <c r="J15" i="62" s="1"/>
  <c r="J16" i="62" s="1"/>
  <c r="J17" i="62" s="1"/>
  <c r="J18" i="62" s="1"/>
  <c r="J19" i="62" s="1"/>
  <c r="J20" i="62" s="1"/>
  <c r="J21" i="62" s="1"/>
  <c r="J12" i="64"/>
  <c r="J13" i="64" s="1"/>
  <c r="J14" i="64" s="1"/>
  <c r="J15" i="64" s="1"/>
  <c r="J16" i="64" s="1"/>
  <c r="J17" i="64" s="1"/>
  <c r="J18" i="64" s="1"/>
  <c r="J19" i="64" s="1"/>
  <c r="J20" i="64" s="1"/>
  <c r="J21" i="64" s="1"/>
  <c r="J22" i="64" s="1"/>
  <c r="J23" i="64" s="1"/>
  <c r="J24" i="64" s="1"/>
  <c r="J25" i="64" s="1"/>
  <c r="J26" i="64" s="1"/>
  <c r="J27" i="64" s="1"/>
  <c r="J28" i="64" s="1"/>
  <c r="J29" i="64" s="1"/>
  <c r="J30" i="64" s="1"/>
  <c r="J31" i="64" s="1"/>
  <c r="J32" i="64" s="1"/>
  <c r="J33" i="64" s="1"/>
  <c r="J34" i="64" s="1"/>
  <c r="J35" i="64" s="1"/>
  <c r="J36" i="64" s="1"/>
  <c r="J37" i="64" s="1"/>
  <c r="J38" i="64" s="1"/>
  <c r="J39" i="64" s="1"/>
  <c r="J40" i="64" s="1"/>
  <c r="J41" i="64" s="1"/>
  <c r="J42" i="64" s="1"/>
  <c r="J43" i="64" s="1"/>
  <c r="J44" i="64" s="1"/>
  <c r="J45" i="64" s="1"/>
  <c r="J46" i="64" s="1"/>
  <c r="J47" i="64" s="1"/>
  <c r="J48" i="64" s="1"/>
  <c r="J49" i="64" s="1"/>
  <c r="J50" i="64" s="1"/>
  <c r="J51" i="64" s="1"/>
  <c r="J52" i="64" s="1"/>
  <c r="J53" i="64" s="1"/>
  <c r="J54" i="64" s="1"/>
  <c r="J12" i="88"/>
  <c r="J13" i="88" s="1"/>
  <c r="J14" i="88" s="1"/>
  <c r="J15" i="88" s="1"/>
  <c r="J16" i="88" s="1"/>
  <c r="J17" i="88" s="1"/>
  <c r="J18" i="88" s="1"/>
  <c r="J19" i="88" s="1"/>
  <c r="J20" i="88" s="1"/>
  <c r="J21" i="88" s="1"/>
  <c r="J22" i="88" s="1"/>
  <c r="J23" i="88" s="1"/>
  <c r="J24" i="88" s="1"/>
  <c r="J25" i="88" s="1"/>
  <c r="J26" i="88" s="1"/>
  <c r="J27" i="88" s="1"/>
  <c r="J28" i="88" s="1"/>
  <c r="J29" i="88" s="1"/>
  <c r="J30" i="88" s="1"/>
  <c r="J31" i="88" s="1"/>
  <c r="J32" i="88" s="1"/>
  <c r="J33" i="88" s="1"/>
  <c r="J34" i="88" s="1"/>
  <c r="J35" i="88" s="1"/>
  <c r="J36" i="88" s="1"/>
  <c r="J37" i="88" s="1"/>
  <c r="J38" i="88" s="1"/>
  <c r="J39" i="88" s="1"/>
  <c r="J40" i="88" s="1"/>
  <c r="J41" i="88" s="1"/>
  <c r="J42" i="88" s="1"/>
  <c r="J43" i="88" s="1"/>
  <c r="J44" i="88" s="1"/>
  <c r="J45" i="88" s="1"/>
  <c r="J12" i="85"/>
  <c r="J13" i="85" s="1"/>
  <c r="J14" i="85" s="1"/>
  <c r="J15" i="85" s="1"/>
  <c r="J16" i="85" s="1"/>
  <c r="J17" i="85" s="1"/>
  <c r="J18" i="85" s="1"/>
  <c r="J19" i="85" s="1"/>
  <c r="J20" i="85" s="1"/>
  <c r="J21" i="85" s="1"/>
  <c r="J22" i="85" s="1"/>
  <c r="J23" i="85" s="1"/>
  <c r="J24" i="85" s="1"/>
  <c r="J25" i="85" s="1"/>
  <c r="J26" i="85" s="1"/>
  <c r="J27" i="85" s="1"/>
  <c r="J28" i="85" s="1"/>
  <c r="J29" i="85" s="1"/>
  <c r="J30" i="85" s="1"/>
  <c r="J31" i="85" s="1"/>
  <c r="J32" i="85" s="1"/>
  <c r="J33" i="85" s="1"/>
  <c r="J34" i="85" s="1"/>
  <c r="J35" i="85" s="1"/>
  <c r="J36" i="85" s="1"/>
  <c r="J37" i="85" s="1"/>
  <c r="J38" i="85" s="1"/>
  <c r="J39" i="85" s="1"/>
  <c r="J40" i="85" s="1"/>
  <c r="J41" i="85" s="1"/>
  <c r="J42" i="85" s="1"/>
  <c r="J43" i="85" s="1"/>
  <c r="J44" i="85" s="1"/>
  <c r="J45" i="85" s="1"/>
  <c r="J46" i="85" s="1"/>
  <c r="J47" i="85" s="1"/>
  <c r="J48" i="85" s="1"/>
  <c r="J49" i="85" s="1"/>
  <c r="J50" i="85" s="1"/>
  <c r="J51" i="85" s="1"/>
  <c r="J52" i="85" s="1"/>
  <c r="J53" i="85" s="1"/>
  <c r="J54" i="85" s="1"/>
  <c r="J55" i="85" s="1"/>
  <c r="J56" i="85" s="1"/>
  <c r="J57" i="85" s="1"/>
  <c r="J58" i="85" s="1"/>
  <c r="J59" i="85" s="1"/>
  <c r="J60" i="85" s="1"/>
  <c r="J61" i="85" s="1"/>
  <c r="J62" i="85" s="1"/>
  <c r="J63" i="85" s="1"/>
  <c r="J64" i="85" s="1"/>
  <c r="J65" i="85" s="1"/>
  <c r="J66" i="85" s="1"/>
  <c r="J67" i="85" s="1"/>
  <c r="J68" i="85" s="1"/>
  <c r="J69" i="85" s="1"/>
  <c r="J70" i="85" s="1"/>
  <c r="J71" i="85" s="1"/>
  <c r="J72" i="85" s="1"/>
  <c r="J73" i="85" s="1"/>
  <c r="J74" i="85" s="1"/>
  <c r="J75" i="85" s="1"/>
  <c r="J76" i="85" s="1"/>
  <c r="J77" i="85" s="1"/>
  <c r="J12" i="311"/>
  <c r="J12" i="23"/>
  <c r="J13" i="23" s="1"/>
  <c r="J14" i="23" s="1"/>
  <c r="J15" i="23" s="1"/>
  <c r="J16" i="23" s="1"/>
  <c r="J17" i="23" s="1"/>
  <c r="J18" i="23" s="1"/>
  <c r="J19" i="23" s="1"/>
  <c r="J20" i="23" s="1"/>
  <c r="J21" i="23" s="1"/>
  <c r="J22" i="23" s="1"/>
  <c r="J23" i="23" s="1"/>
  <c r="J24" i="23" s="1"/>
  <c r="J25" i="23" s="1"/>
  <c r="J26" i="23" s="1"/>
  <c r="J27" i="23" s="1"/>
  <c r="J28" i="23" s="1"/>
  <c r="J29" i="23" s="1"/>
  <c r="J30" i="23" s="1"/>
  <c r="J31" i="23" s="1"/>
  <c r="J32" i="23" s="1"/>
  <c r="J12" i="96"/>
  <c r="J13" i="96" s="1"/>
  <c r="J14" i="96" s="1"/>
  <c r="J15" i="96" s="1"/>
  <c r="J16" i="96" s="1"/>
  <c r="J17" i="96" s="1"/>
  <c r="J18" i="96" s="1"/>
  <c r="J19" i="96" s="1"/>
  <c r="J20" i="96" s="1"/>
  <c r="J21" i="96" s="1"/>
  <c r="J22" i="96" s="1"/>
  <c r="J23" i="96" s="1"/>
  <c r="J24" i="96" s="1"/>
  <c r="J25" i="96" s="1"/>
  <c r="J26" i="96" s="1"/>
  <c r="J27" i="96" s="1"/>
  <c r="J28" i="96" s="1"/>
  <c r="J29" i="96" s="1"/>
  <c r="J30" i="96" s="1"/>
  <c r="J31" i="96" s="1"/>
  <c r="J32" i="96" s="1"/>
  <c r="J33" i="96" s="1"/>
  <c r="J34" i="96" s="1"/>
  <c r="J35" i="96" s="1"/>
  <c r="J36" i="96" s="1"/>
  <c r="J37" i="96" s="1"/>
  <c r="J38" i="96" s="1"/>
  <c r="J39" i="96" s="1"/>
  <c r="J40" i="96" s="1"/>
  <c r="J41" i="96" s="1"/>
  <c r="J42" i="96" s="1"/>
  <c r="J43" i="96" s="1"/>
  <c r="J44" i="96" s="1"/>
  <c r="J45" i="96" s="1"/>
  <c r="J46" i="96" s="1"/>
  <c r="J47" i="96" s="1"/>
  <c r="J48" i="96" s="1"/>
  <c r="J49" i="96" s="1"/>
  <c r="J50" i="96" s="1"/>
  <c r="J51" i="96" s="1"/>
  <c r="J52" i="96" s="1"/>
  <c r="J53" i="96" s="1"/>
  <c r="J54" i="96" s="1"/>
  <c r="J55" i="96" s="1"/>
  <c r="J56" i="96" s="1"/>
  <c r="J57" i="96" s="1"/>
  <c r="J58" i="96" s="1"/>
  <c r="J59" i="96" s="1"/>
  <c r="J60" i="96" s="1"/>
  <c r="J61" i="96" s="1"/>
  <c r="J62" i="96" s="1"/>
  <c r="J63" i="96" s="1"/>
  <c r="J64" i="96" s="1"/>
  <c r="J65" i="96" s="1"/>
  <c r="J66" i="96" s="1"/>
  <c r="J67" i="96" s="1"/>
  <c r="J68" i="96" s="1"/>
  <c r="J69" i="96" s="1"/>
  <c r="J70" i="96" s="1"/>
  <c r="J71" i="96" s="1"/>
  <c r="J12" i="293"/>
  <c r="J13" i="293" s="1"/>
  <c r="J14" i="293" s="1"/>
  <c r="J12" i="139"/>
  <c r="J13" i="139" s="1"/>
  <c r="J14" i="139" s="1"/>
  <c r="J15" i="139" s="1"/>
  <c r="J16" i="139" s="1"/>
  <c r="J17" i="139" s="1"/>
  <c r="J18" i="139" s="1"/>
  <c r="J19" i="139" s="1"/>
  <c r="J20" i="139" s="1"/>
  <c r="J21" i="139" s="1"/>
  <c r="J22" i="139" s="1"/>
  <c r="J23" i="139" s="1"/>
  <c r="J24" i="139" s="1"/>
  <c r="J25" i="139" s="1"/>
  <c r="J26" i="139" s="1"/>
  <c r="J27" i="139" s="1"/>
  <c r="J28" i="139" s="1"/>
  <c r="J29" i="139" s="1"/>
  <c r="J30" i="139" s="1"/>
  <c r="J31" i="139" s="1"/>
  <c r="J32" i="139" s="1"/>
  <c r="J33" i="139" s="1"/>
  <c r="J34" i="139" s="1"/>
  <c r="J35" i="139" s="1"/>
  <c r="J36" i="139" s="1"/>
  <c r="J12" i="198"/>
  <c r="J13" i="198" s="1"/>
  <c r="J14" i="198" s="1"/>
  <c r="J15" i="198" s="1"/>
  <c r="J12" i="11"/>
  <c r="J13" i="11" s="1"/>
  <c r="J14" i="11" s="1"/>
  <c r="J15" i="11" s="1"/>
  <c r="J16" i="11" s="1"/>
  <c r="J17" i="11" s="1"/>
  <c r="J18" i="11" s="1"/>
  <c r="J19" i="11" s="1"/>
  <c r="J20" i="11" s="1"/>
  <c r="J21" i="11" s="1"/>
  <c r="J22" i="11" s="1"/>
  <c r="J23" i="11" s="1"/>
  <c r="J24" i="11" s="1"/>
  <c r="J25" i="11" s="1"/>
  <c r="J26" i="11" s="1"/>
  <c r="J27" i="11" s="1"/>
  <c r="J28" i="11" s="1"/>
  <c r="J29" i="11" s="1"/>
  <c r="J30" i="11" s="1"/>
  <c r="J31" i="11" s="1"/>
  <c r="J32" i="11" s="1"/>
  <c r="J33" i="11" s="1"/>
  <c r="J34" i="11" s="1"/>
  <c r="J35" i="11" s="1"/>
  <c r="J36" i="11" s="1"/>
  <c r="J37" i="11" s="1"/>
  <c r="J38" i="11" s="1"/>
  <c r="J39" i="11" s="1"/>
  <c r="J40" i="11" s="1"/>
  <c r="J41" i="11" s="1"/>
  <c r="J42" i="11" s="1"/>
  <c r="J43" i="11" s="1"/>
  <c r="J44" i="11" s="1"/>
  <c r="J45" i="11" s="1"/>
  <c r="J46" i="11" s="1"/>
  <c r="J47" i="11" s="1"/>
  <c r="J12" i="110"/>
  <c r="J13" i="110" s="1"/>
  <c r="J14" i="110" s="1"/>
  <c r="J15" i="110" s="1"/>
  <c r="J16" i="110" s="1"/>
  <c r="J17" i="110" s="1"/>
  <c r="J18" i="110" s="1"/>
  <c r="J19" i="110" s="1"/>
  <c r="J20" i="110" s="1"/>
  <c r="J21" i="110" s="1"/>
  <c r="J22" i="110" s="1"/>
  <c r="J23" i="110" s="1"/>
  <c r="J24" i="110" s="1"/>
  <c r="J25" i="110" s="1"/>
  <c r="J26" i="110" s="1"/>
  <c r="J27" i="110" s="1"/>
  <c r="J28" i="110" s="1"/>
  <c r="J29" i="110" s="1"/>
  <c r="J30" i="110" s="1"/>
  <c r="J31" i="110" s="1"/>
  <c r="J32" i="110" s="1"/>
  <c r="J33" i="110" s="1"/>
  <c r="J34" i="110" s="1"/>
  <c r="J35" i="110" s="1"/>
  <c r="J36" i="110" s="1"/>
  <c r="J37" i="110" s="1"/>
  <c r="J38" i="110" s="1"/>
  <c r="J39" i="110" s="1"/>
  <c r="J40" i="110" s="1"/>
  <c r="J41" i="110" s="1"/>
  <c r="J42" i="110" s="1"/>
  <c r="J43" i="110" s="1"/>
  <c r="J44" i="110" s="1"/>
  <c r="J45" i="110" s="1"/>
  <c r="J46" i="110" s="1"/>
  <c r="J47" i="110" s="1"/>
  <c r="J48" i="110" s="1"/>
  <c r="J49" i="110" s="1"/>
  <c r="J50" i="110" s="1"/>
  <c r="J51" i="110" s="1"/>
  <c r="J52" i="110" s="1"/>
  <c r="J53" i="110" s="1"/>
  <c r="J54" i="110" s="1"/>
  <c r="J55" i="110" s="1"/>
  <c r="J56" i="110" s="1"/>
  <c r="J57" i="110" s="1"/>
  <c r="J58" i="110" s="1"/>
  <c r="J59" i="110" s="1"/>
  <c r="J60" i="110" s="1"/>
  <c r="J61" i="110" s="1"/>
  <c r="J62" i="110" s="1"/>
  <c r="J63" i="110" s="1"/>
  <c r="J64" i="110" s="1"/>
  <c r="J65" i="110" s="1"/>
  <c r="J66" i="110" s="1"/>
  <c r="J67" i="110" s="1"/>
  <c r="J68" i="110" s="1"/>
  <c r="J69" i="110" s="1"/>
  <c r="J70" i="110" s="1"/>
  <c r="J71" i="110" s="1"/>
  <c r="J72" i="110" s="1"/>
  <c r="J73" i="110" s="1"/>
  <c r="J74" i="110" s="1"/>
  <c r="J75" i="110" s="1"/>
  <c r="J76" i="110" s="1"/>
  <c r="J77" i="110" s="1"/>
  <c r="J78" i="110" s="1"/>
  <c r="J79" i="110" s="1"/>
  <c r="J80" i="110" s="1"/>
  <c r="J81" i="110" s="1"/>
  <c r="J82" i="110" s="1"/>
  <c r="J83" i="110" s="1"/>
  <c r="J84" i="110" s="1"/>
  <c r="J85" i="110" s="1"/>
  <c r="J86" i="110" s="1"/>
  <c r="J87" i="110" s="1"/>
  <c r="J88" i="110" s="1"/>
  <c r="J89" i="110" s="1"/>
  <c r="J90" i="110" s="1"/>
  <c r="J91" i="110" s="1"/>
  <c r="J92" i="110" s="1"/>
  <c r="J93" i="110" s="1"/>
  <c r="J94" i="110" s="1"/>
  <c r="J95" i="110" s="1"/>
  <c r="J96" i="110" s="1"/>
  <c r="J97" i="110" s="1"/>
  <c r="J98" i="110" s="1"/>
  <c r="J99" i="110" s="1"/>
  <c r="J100" i="110" s="1"/>
  <c r="J12" i="137"/>
  <c r="J13" i="137" s="1"/>
  <c r="J14" i="137" s="1"/>
  <c r="J15" i="137" s="1"/>
  <c r="J16" i="137" s="1"/>
  <c r="J17" i="137" s="1"/>
  <c r="J18" i="137" s="1"/>
  <c r="J19" i="137" s="1"/>
  <c r="J20" i="137" s="1"/>
  <c r="J21" i="137" s="1"/>
  <c r="J22" i="137" s="1"/>
  <c r="J23" i="137" s="1"/>
  <c r="J24" i="137" s="1"/>
  <c r="J25" i="137" s="1"/>
  <c r="J26" i="137" s="1"/>
  <c r="J12" i="168"/>
  <c r="J13" i="168" s="1"/>
  <c r="J14" i="168" s="1"/>
  <c r="J15" i="168" s="1"/>
  <c r="J16" i="168" s="1"/>
  <c r="J17" i="168" s="1"/>
  <c r="J18" i="168" s="1"/>
  <c r="J19" i="168" s="1"/>
  <c r="J20" i="168" s="1"/>
  <c r="J21" i="168" s="1"/>
  <c r="J22" i="168" s="1"/>
  <c r="J23" i="168" s="1"/>
  <c r="J12" i="4"/>
  <c r="J13" i="4" s="1"/>
  <c r="J14" i="4" s="1"/>
  <c r="J15" i="4" s="1"/>
  <c r="J16" i="4" s="1"/>
  <c r="J17" i="4" s="1"/>
  <c r="J18" i="4" s="1"/>
  <c r="J19" i="4" s="1"/>
  <c r="J20" i="4" s="1"/>
  <c r="J21" i="4" s="1"/>
  <c r="J22" i="4" s="1"/>
  <c r="J23" i="4" s="1"/>
  <c r="J24" i="4" s="1"/>
  <c r="J25" i="4" s="1"/>
  <c r="J26" i="4" s="1"/>
  <c r="J27" i="4" s="1"/>
  <c r="J28" i="4" s="1"/>
  <c r="J29" i="4" s="1"/>
  <c r="J30" i="4" s="1"/>
  <c r="J12" i="156"/>
  <c r="J13" i="156" s="1"/>
  <c r="J14" i="156" s="1"/>
  <c r="J15" i="156" s="1"/>
  <c r="J16" i="156" s="1"/>
  <c r="J17" i="156" s="1"/>
  <c r="J18" i="156" s="1"/>
  <c r="J19" i="156" s="1"/>
  <c r="J20" i="156" s="1"/>
  <c r="J21" i="156" s="1"/>
  <c r="J22" i="156" s="1"/>
  <c r="J12" i="158"/>
  <c r="J13" i="158" s="1"/>
  <c r="J14" i="158" s="1"/>
  <c r="J15" i="158" s="1"/>
  <c r="J16" i="158" s="1"/>
  <c r="J17" i="158" s="1"/>
  <c r="J18" i="158" s="1"/>
  <c r="J12" i="185"/>
  <c r="J13" i="185" s="1"/>
  <c r="J14" i="185" s="1"/>
  <c r="J15" i="185" s="1"/>
  <c r="J16" i="185" s="1"/>
  <c r="J17" i="185" s="1"/>
  <c r="J18" i="185" s="1"/>
  <c r="J12" i="34"/>
  <c r="J13" i="34" s="1"/>
  <c r="J14" i="34" s="1"/>
  <c r="J15" i="34" s="1"/>
  <c r="J16" i="34" s="1"/>
  <c r="J17" i="34" s="1"/>
  <c r="J18" i="34" s="1"/>
  <c r="J19" i="34" s="1"/>
  <c r="J20" i="34" s="1"/>
  <c r="J21" i="34" s="1"/>
  <c r="J22" i="34" s="1"/>
  <c r="J23" i="34" s="1"/>
  <c r="J24" i="34" s="1"/>
  <c r="J25" i="34" s="1"/>
  <c r="J26" i="34" s="1"/>
  <c r="J27" i="34" s="1"/>
  <c r="J28" i="34" s="1"/>
  <c r="J29" i="34" s="1"/>
  <c r="J30" i="34" s="1"/>
  <c r="J31" i="34" s="1"/>
  <c r="J32" i="34" s="1"/>
  <c r="J33" i="34" s="1"/>
  <c r="J34" i="34" s="1"/>
  <c r="J35" i="34" s="1"/>
  <c r="J36" i="34" s="1"/>
  <c r="J37" i="34" s="1"/>
  <c r="J38" i="34" s="1"/>
  <c r="J39" i="34" s="1"/>
  <c r="J40" i="34" s="1"/>
  <c r="J41" i="34" s="1"/>
  <c r="J42" i="34" s="1"/>
  <c r="J43" i="34" s="1"/>
  <c r="J44" i="34" s="1"/>
  <c r="J45" i="34" s="1"/>
  <c r="J46" i="34" s="1"/>
  <c r="J47" i="34" s="1"/>
  <c r="J48" i="34" s="1"/>
  <c r="J49" i="34" s="1"/>
  <c r="J50" i="34" s="1"/>
  <c r="J51" i="34" s="1"/>
  <c r="J52" i="34" s="1"/>
  <c r="J53" i="34" s="1"/>
  <c r="J54" i="34" s="1"/>
  <c r="J55" i="34" s="1"/>
  <c r="J56" i="34" s="1"/>
  <c r="J57" i="34" s="1"/>
  <c r="J58" i="34" s="1"/>
  <c r="J59" i="34" s="1"/>
  <c r="J60" i="34" s="1"/>
  <c r="J61" i="34" s="1"/>
  <c r="J62" i="34" s="1"/>
  <c r="J63" i="34" s="1"/>
  <c r="J64" i="34" s="1"/>
  <c r="J65" i="34" s="1"/>
  <c r="J66" i="34" s="1"/>
  <c r="J67" i="34" s="1"/>
  <c r="J68" i="34" s="1"/>
  <c r="J69" i="34" s="1"/>
  <c r="J70" i="34" s="1"/>
  <c r="J71" i="34" s="1"/>
  <c r="J72" i="34" s="1"/>
  <c r="J73" i="34" s="1"/>
  <c r="J74" i="34" s="1"/>
  <c r="J75" i="34" s="1"/>
  <c r="J76" i="34" s="1"/>
  <c r="J77" i="34" s="1"/>
  <c r="J78" i="34" s="1"/>
  <c r="J79" i="34" s="1"/>
  <c r="J80" i="34" s="1"/>
  <c r="J12" i="348"/>
  <c r="J12" i="317"/>
  <c r="J12" i="94"/>
  <c r="J13" i="94" s="1"/>
  <c r="J14" i="94" s="1"/>
  <c r="J15" i="94" s="1"/>
  <c r="J16" i="94" s="1"/>
  <c r="J17" i="94" s="1"/>
  <c r="J18" i="94" s="1"/>
  <c r="J19" i="94" s="1"/>
  <c r="J20" i="94" s="1"/>
  <c r="J21" i="94" s="1"/>
  <c r="J22" i="94" s="1"/>
  <c r="J23" i="94" s="1"/>
  <c r="J24" i="94" s="1"/>
  <c r="J25" i="94" s="1"/>
  <c r="J26" i="94" s="1"/>
  <c r="J27" i="94" s="1"/>
  <c r="J28" i="94" s="1"/>
  <c r="J29" i="94" s="1"/>
  <c r="J30" i="94" s="1"/>
  <c r="J31" i="94" s="1"/>
  <c r="J32" i="94" s="1"/>
  <c r="J33" i="94" s="1"/>
  <c r="J34" i="94" s="1"/>
  <c r="J35" i="94" s="1"/>
  <c r="J36" i="94" s="1"/>
  <c r="J37" i="94" s="1"/>
  <c r="J38" i="94" s="1"/>
  <c r="J39" i="94" s="1"/>
  <c r="J40" i="94" s="1"/>
  <c r="J41" i="94" s="1"/>
  <c r="J42" i="94" s="1"/>
  <c r="J43" i="94" s="1"/>
  <c r="J44" i="94" s="1"/>
  <c r="J45" i="94" s="1"/>
  <c r="J46" i="94" s="1"/>
  <c r="J47" i="94" s="1"/>
  <c r="J48" i="94" s="1"/>
  <c r="J49" i="94" s="1"/>
  <c r="J50" i="94" s="1"/>
  <c r="J12" i="118"/>
  <c r="J13" i="118" s="1"/>
  <c r="J14" i="118" s="1"/>
  <c r="J15" i="118" s="1"/>
  <c r="J16" i="118" s="1"/>
  <c r="J17" i="118" s="1"/>
  <c r="J18" i="118" s="1"/>
  <c r="J19" i="118" s="1"/>
  <c r="J20" i="118" s="1"/>
  <c r="J21" i="118" s="1"/>
  <c r="J22" i="118" s="1"/>
  <c r="J23" i="118" s="1"/>
  <c r="J24" i="118" s="1"/>
  <c r="J25" i="118" s="1"/>
  <c r="J26" i="118" s="1"/>
  <c r="J27" i="118" s="1"/>
  <c r="J28" i="118" s="1"/>
  <c r="J29" i="118" s="1"/>
  <c r="J30" i="118" s="1"/>
  <c r="J31" i="118" s="1"/>
  <c r="J32" i="118" s="1"/>
  <c r="J33" i="118" s="1"/>
  <c r="J34" i="118" s="1"/>
  <c r="J35" i="118" s="1"/>
  <c r="J36" i="118" s="1"/>
  <c r="J37" i="118" s="1"/>
  <c r="J38" i="118" s="1"/>
  <c r="J39" i="118" s="1"/>
  <c r="J40" i="118" s="1"/>
  <c r="J41" i="118" s="1"/>
  <c r="J42" i="118" s="1"/>
  <c r="J43" i="118" s="1"/>
  <c r="J44" i="118" s="1"/>
  <c r="J45" i="118" s="1"/>
  <c r="J46" i="118" s="1"/>
  <c r="J47" i="118" s="1"/>
  <c r="J48" i="118" s="1"/>
  <c r="J49" i="118" s="1"/>
  <c r="J50" i="118" s="1"/>
  <c r="J51" i="118" s="1"/>
  <c r="J52" i="118" s="1"/>
  <c r="J53" i="118" s="1"/>
  <c r="J54" i="118" s="1"/>
  <c r="J55" i="118" s="1"/>
  <c r="J56" i="118" s="1"/>
  <c r="J57" i="118" s="1"/>
  <c r="J58" i="118" s="1"/>
  <c r="J59" i="118" s="1"/>
  <c r="J60" i="118" s="1"/>
  <c r="J61" i="118" s="1"/>
  <c r="J62" i="118" s="1"/>
  <c r="J63" i="118" s="1"/>
  <c r="J64" i="118" s="1"/>
  <c r="J65" i="118" s="1"/>
  <c r="J66" i="118" s="1"/>
  <c r="J12" i="128"/>
  <c r="J13" i="128" s="1"/>
  <c r="J14" i="128" s="1"/>
  <c r="J15" i="128" s="1"/>
  <c r="J16" i="128" s="1"/>
  <c r="J17" i="128" s="1"/>
  <c r="J18" i="128" s="1"/>
  <c r="J19" i="128" s="1"/>
  <c r="J20" i="128" s="1"/>
  <c r="J21" i="128" s="1"/>
  <c r="J22" i="128" s="1"/>
  <c r="J23" i="128" s="1"/>
  <c r="J12" i="166"/>
  <c r="J13" i="166" s="1"/>
  <c r="J14" i="166" s="1"/>
  <c r="J15" i="166" s="1"/>
  <c r="J16" i="166" s="1"/>
  <c r="J17" i="166" s="1"/>
  <c r="J18" i="166" s="1"/>
  <c r="J19" i="166" s="1"/>
  <c r="J20" i="166" s="1"/>
  <c r="J21" i="166" s="1"/>
  <c r="J12" i="171"/>
  <c r="J13" i="171" s="1"/>
  <c r="J14" i="171" s="1"/>
  <c r="J12" i="295"/>
  <c r="J13" i="295" s="1"/>
  <c r="J12" i="71"/>
  <c r="J13" i="71" s="1"/>
  <c r="J14" i="71" s="1"/>
  <c r="J15" i="71" s="1"/>
  <c r="J16" i="71" s="1"/>
  <c r="J17" i="71" s="1"/>
  <c r="J18" i="71" s="1"/>
  <c r="J19" i="71" s="1"/>
  <c r="J20" i="71" s="1"/>
  <c r="J21" i="71" s="1"/>
  <c r="J22" i="71" s="1"/>
  <c r="J23" i="71" s="1"/>
  <c r="J24" i="71" s="1"/>
  <c r="J25" i="71" s="1"/>
  <c r="J26" i="71" s="1"/>
  <c r="J27" i="71" s="1"/>
  <c r="J28" i="71" s="1"/>
  <c r="J29" i="71" s="1"/>
  <c r="J30" i="71" s="1"/>
  <c r="J31" i="71" s="1"/>
  <c r="J32" i="71" s="1"/>
  <c r="J33" i="71" s="1"/>
  <c r="J34" i="71" s="1"/>
  <c r="J35" i="71" s="1"/>
  <c r="J36" i="71" s="1"/>
  <c r="J37" i="71" s="1"/>
  <c r="J38" i="71" s="1"/>
  <c r="J39" i="71" s="1"/>
  <c r="J40" i="71" s="1"/>
  <c r="J41" i="71" s="1"/>
  <c r="J42" i="71" s="1"/>
  <c r="J43" i="71" s="1"/>
  <c r="J44" i="71" s="1"/>
  <c r="J45" i="71" s="1"/>
  <c r="J46" i="71" s="1"/>
  <c r="J47" i="71" s="1"/>
  <c r="J48" i="71" s="1"/>
  <c r="J49" i="71" s="1"/>
  <c r="J50" i="71" s="1"/>
  <c r="J51" i="71" s="1"/>
  <c r="J52" i="71" s="1"/>
  <c r="J53" i="71" s="1"/>
  <c r="J54" i="71" s="1"/>
  <c r="J55" i="71" s="1"/>
  <c r="J56" i="71" s="1"/>
  <c r="J57" i="71" s="1"/>
  <c r="J58" i="71" s="1"/>
  <c r="J59" i="71" s="1"/>
  <c r="J60" i="71" s="1"/>
  <c r="J61" i="71" s="1"/>
  <c r="J62" i="71" s="1"/>
  <c r="J63" i="71" s="1"/>
  <c r="J64" i="71" s="1"/>
  <c r="J65" i="71" s="1"/>
  <c r="J66" i="71" s="1"/>
  <c r="J67" i="71" s="1"/>
  <c r="J68" i="71" s="1"/>
  <c r="J69" i="71" s="1"/>
  <c r="J70" i="71" s="1"/>
  <c r="J71" i="71" s="1"/>
  <c r="J72" i="71" s="1"/>
  <c r="J73" i="71" s="1"/>
  <c r="J74" i="71" s="1"/>
  <c r="J75" i="71" s="1"/>
  <c r="J76" i="71" s="1"/>
  <c r="J77" i="71" s="1"/>
  <c r="J78" i="71" s="1"/>
  <c r="J79" i="71" s="1"/>
  <c r="J80" i="71" s="1"/>
  <c r="J81" i="71" s="1"/>
  <c r="J82" i="71" s="1"/>
  <c r="J83" i="71" s="1"/>
  <c r="J12" i="143"/>
  <c r="J13" i="143" s="1"/>
  <c r="J14" i="143" s="1"/>
  <c r="J15" i="143" s="1"/>
  <c r="J16" i="143" s="1"/>
  <c r="J12" i="304"/>
  <c r="J12" i="132"/>
  <c r="J13" i="132" s="1"/>
  <c r="J14" i="132" s="1"/>
  <c r="J15" i="132" s="1"/>
  <c r="J16" i="132" s="1"/>
  <c r="J17" i="132" s="1"/>
  <c r="J18" i="132" s="1"/>
  <c r="J12" i="173"/>
  <c r="J13" i="173" s="1"/>
  <c r="J14" i="173" s="1"/>
  <c r="J15" i="173" s="1"/>
  <c r="J16" i="173" s="1"/>
  <c r="J11" i="92"/>
  <c r="J12" i="92" s="1"/>
  <c r="J12" i="24"/>
  <c r="J13" i="24" s="1"/>
  <c r="J14" i="24" s="1"/>
  <c r="J15" i="24" s="1"/>
  <c r="J16" i="24" s="1"/>
  <c r="J17" i="24" s="1"/>
  <c r="J18" i="24" s="1"/>
  <c r="J19" i="24" s="1"/>
  <c r="J20" i="24" s="1"/>
  <c r="J21" i="24" s="1"/>
  <c r="J22" i="24" s="1"/>
  <c r="J23" i="24" s="1"/>
  <c r="J24" i="24" s="1"/>
  <c r="J25" i="24" s="1"/>
  <c r="J26" i="24" s="1"/>
  <c r="J27" i="24" s="1"/>
  <c r="J28" i="24" s="1"/>
  <c r="J29" i="24" s="1"/>
  <c r="J30" i="24" s="1"/>
  <c r="J31" i="24" s="1"/>
  <c r="J32" i="24" s="1"/>
  <c r="J33" i="24" s="1"/>
  <c r="J34" i="24" s="1"/>
  <c r="J35" i="24" s="1"/>
  <c r="J36" i="24" s="1"/>
  <c r="J37" i="24" s="1"/>
  <c r="J38" i="24" s="1"/>
  <c r="J39" i="24" s="1"/>
  <c r="J40" i="24" s="1"/>
  <c r="J41" i="24" s="1"/>
  <c r="J42" i="24" s="1"/>
  <c r="J43" i="24" s="1"/>
  <c r="J44" i="24" s="1"/>
  <c r="J45" i="24" s="1"/>
  <c r="J46" i="24" s="1"/>
  <c r="J47" i="24" s="1"/>
  <c r="J48" i="24" s="1"/>
  <c r="J49" i="24" s="1"/>
  <c r="J50" i="24" s="1"/>
  <c r="J51" i="24" s="1"/>
  <c r="J52" i="24" s="1"/>
  <c r="J53" i="24" s="1"/>
  <c r="J54" i="24" s="1"/>
  <c r="J55" i="24" s="1"/>
  <c r="J56" i="24" s="1"/>
  <c r="J57" i="24" s="1"/>
  <c r="J58" i="24" s="1"/>
  <c r="J59" i="24" s="1"/>
  <c r="J60" i="24" s="1"/>
  <c r="J61" i="24" s="1"/>
  <c r="J62" i="24" s="1"/>
  <c r="J63" i="24" s="1"/>
  <c r="J64" i="24" s="1"/>
  <c r="J65" i="24" s="1"/>
  <c r="J66" i="24" s="1"/>
  <c r="J67" i="24" s="1"/>
  <c r="J68" i="24" s="1"/>
  <c r="J69" i="24" s="1"/>
  <c r="J70" i="24" s="1"/>
  <c r="J12" i="102"/>
  <c r="J13" i="102" s="1"/>
  <c r="J14" i="102" s="1"/>
  <c r="J15" i="102" s="1"/>
  <c r="J16" i="102" s="1"/>
  <c r="J17" i="102" s="1"/>
  <c r="J18" i="102" s="1"/>
  <c r="J19" i="102" s="1"/>
  <c r="J20" i="102" s="1"/>
  <c r="J21" i="102" s="1"/>
  <c r="J22" i="102" s="1"/>
  <c r="J23" i="102" s="1"/>
  <c r="J24" i="102" s="1"/>
  <c r="J25" i="102" s="1"/>
  <c r="J26" i="102" s="1"/>
  <c r="J27" i="102" s="1"/>
  <c r="J28" i="102" s="1"/>
  <c r="J29" i="102" s="1"/>
  <c r="J30" i="102" s="1"/>
  <c r="J31" i="102" s="1"/>
  <c r="J32" i="102" s="1"/>
  <c r="J33" i="102" s="1"/>
  <c r="J34" i="102" s="1"/>
  <c r="J35" i="102" s="1"/>
  <c r="J36" i="102" s="1"/>
  <c r="J37" i="102" s="1"/>
  <c r="J38" i="102" s="1"/>
  <c r="J39" i="102" s="1"/>
  <c r="J40" i="102" s="1"/>
  <c r="J41" i="102" s="1"/>
  <c r="J42" i="102" s="1"/>
  <c r="J43" i="102" s="1"/>
  <c r="J44" i="102" s="1"/>
  <c r="J45" i="102" s="1"/>
  <c r="J46" i="102" s="1"/>
  <c r="J47" i="102" s="1"/>
  <c r="J48" i="102" s="1"/>
  <c r="J49" i="102" s="1"/>
  <c r="J50" i="102" s="1"/>
  <c r="J51" i="102" s="1"/>
  <c r="J52" i="102" s="1"/>
  <c r="J12" i="182"/>
  <c r="J13" i="182" s="1"/>
  <c r="J14" i="182" s="1"/>
  <c r="J15" i="182" s="1"/>
  <c r="J12" i="340"/>
  <c r="J13" i="340" s="1"/>
  <c r="J14" i="340" s="1"/>
  <c r="J15" i="340" s="1"/>
  <c r="J16" i="340" s="1"/>
  <c r="J17" i="340" s="1"/>
  <c r="J18" i="340" s="1"/>
  <c r="J19" i="340" s="1"/>
  <c r="J12" i="80"/>
  <c r="J13" i="80" s="1"/>
  <c r="J14" i="80" s="1"/>
  <c r="J15" i="80" s="1"/>
  <c r="J16" i="80" s="1"/>
  <c r="J17" i="80" s="1"/>
  <c r="J18" i="80" s="1"/>
  <c r="J19" i="80" s="1"/>
  <c r="J20" i="80" s="1"/>
  <c r="J21" i="80" s="1"/>
  <c r="J22" i="80" s="1"/>
  <c r="J23" i="80" s="1"/>
  <c r="J24" i="80" s="1"/>
  <c r="J25" i="80" s="1"/>
  <c r="J26" i="80" s="1"/>
  <c r="J27" i="80" s="1"/>
  <c r="J28" i="80" s="1"/>
  <c r="J29" i="80" s="1"/>
  <c r="J30" i="80" s="1"/>
  <c r="J31" i="80" s="1"/>
  <c r="J32" i="80" s="1"/>
  <c r="J33" i="80" s="1"/>
  <c r="J12" i="106"/>
  <c r="J13" i="106" s="1"/>
  <c r="J14" i="106" s="1"/>
  <c r="J15" i="106" s="1"/>
  <c r="J16" i="106" s="1"/>
  <c r="J17" i="106" s="1"/>
  <c r="J18" i="106" s="1"/>
  <c r="J19" i="106" s="1"/>
  <c r="J20" i="106" s="1"/>
  <c r="J12" i="154"/>
  <c r="J13" i="154" s="1"/>
  <c r="J14" i="154" s="1"/>
  <c r="J15" i="154" s="1"/>
  <c r="J12" i="150"/>
  <c r="J13" i="150" s="1"/>
  <c r="J14" i="150" s="1"/>
  <c r="J15" i="150" s="1"/>
  <c r="J16" i="150" s="1"/>
  <c r="J17" i="150" s="1"/>
  <c r="J18" i="150" s="1"/>
  <c r="J19" i="150" s="1"/>
  <c r="J20" i="150" s="1"/>
  <c r="J21" i="150" s="1"/>
  <c r="J22" i="150" s="1"/>
  <c r="J23" i="150" s="1"/>
  <c r="J24" i="150" s="1"/>
  <c r="J12" i="351"/>
  <c r="J13" i="351" s="1"/>
  <c r="J14" i="351" s="1"/>
  <c r="J12" i="352"/>
  <c r="J13" i="352" s="1"/>
  <c r="J14" i="352" s="1"/>
  <c r="J15" i="352" s="1"/>
  <c r="J12" i="279"/>
  <c r="J13" i="279" s="1"/>
  <c r="J14" i="279" s="1"/>
  <c r="J15" i="279" s="1"/>
  <c r="J16" i="279" s="1"/>
  <c r="J17" i="279" s="1"/>
  <c r="J18" i="279" s="1"/>
  <c r="J19" i="279" s="1"/>
  <c r="J20" i="279" s="1"/>
  <c r="J21" i="279" s="1"/>
  <c r="J12" i="287"/>
  <c r="J13" i="287" s="1"/>
  <c r="J14" i="287" s="1"/>
  <c r="J12" i="316"/>
  <c r="J12" i="61"/>
  <c r="J13" i="61" s="1"/>
  <c r="J14" i="61" s="1"/>
  <c r="J15" i="61" s="1"/>
  <c r="J16" i="61" s="1"/>
  <c r="J17" i="61" s="1"/>
  <c r="J18" i="61" s="1"/>
  <c r="J19" i="61" s="1"/>
  <c r="J20" i="61" s="1"/>
  <c r="J21" i="61" s="1"/>
  <c r="J22" i="61" s="1"/>
  <c r="J23" i="61" s="1"/>
  <c r="J24" i="61" s="1"/>
  <c r="J25" i="61" s="1"/>
  <c r="J26" i="61" s="1"/>
  <c r="J27" i="61" s="1"/>
  <c r="J28" i="61" s="1"/>
  <c r="J29" i="61" s="1"/>
  <c r="J30" i="61" s="1"/>
  <c r="J31" i="61" s="1"/>
  <c r="J32" i="61" s="1"/>
  <c r="J33" i="61" s="1"/>
  <c r="J34" i="61" s="1"/>
  <c r="J35" i="61" s="1"/>
  <c r="J12" i="89"/>
  <c r="J13" i="89" s="1"/>
  <c r="J14" i="89" s="1"/>
  <c r="J15" i="89" s="1"/>
  <c r="J16" i="89" s="1"/>
  <c r="J17" i="89" s="1"/>
  <c r="J18" i="89" s="1"/>
  <c r="J19" i="89" s="1"/>
  <c r="J20" i="89" s="1"/>
  <c r="J21" i="89" s="1"/>
  <c r="J22" i="89" s="1"/>
  <c r="J23" i="89" s="1"/>
  <c r="J24" i="89" s="1"/>
  <c r="J25" i="89" s="1"/>
  <c r="J26" i="89" s="1"/>
  <c r="J27" i="89" s="1"/>
  <c r="J28" i="89" s="1"/>
  <c r="J29" i="89" s="1"/>
  <c r="J30" i="89" s="1"/>
  <c r="J31" i="89" s="1"/>
  <c r="J32" i="89" s="1"/>
  <c r="J33" i="89" s="1"/>
  <c r="J34" i="89" s="1"/>
  <c r="J35" i="89" s="1"/>
  <c r="J36" i="89" s="1"/>
  <c r="J37" i="89" s="1"/>
  <c r="J38" i="89" s="1"/>
  <c r="J39" i="89" s="1"/>
  <c r="J40" i="89" s="1"/>
  <c r="J41" i="89" s="1"/>
  <c r="J42" i="89" s="1"/>
  <c r="J43" i="89" s="1"/>
  <c r="J44" i="89" s="1"/>
  <c r="J45" i="89" s="1"/>
  <c r="J46" i="89" s="1"/>
  <c r="J47" i="89" s="1"/>
  <c r="J48" i="89" s="1"/>
  <c r="J49" i="89" s="1"/>
  <c r="J50" i="89" s="1"/>
  <c r="J51" i="89" s="1"/>
  <c r="J52" i="89" s="1"/>
  <c r="J53" i="89" s="1"/>
  <c r="J12" i="73"/>
  <c r="J13" i="73" s="1"/>
  <c r="J14" i="73" s="1"/>
  <c r="J15" i="73" s="1"/>
  <c r="J16" i="73" s="1"/>
  <c r="J17" i="73" s="1"/>
  <c r="J18" i="73" s="1"/>
  <c r="J19" i="73" s="1"/>
  <c r="J20" i="73" s="1"/>
  <c r="J21" i="73" s="1"/>
  <c r="J22" i="73" s="1"/>
  <c r="J12" i="70"/>
  <c r="J13" i="70" s="1"/>
  <c r="J14" i="70" s="1"/>
  <c r="J15" i="70" s="1"/>
  <c r="J16" i="70" s="1"/>
  <c r="J17" i="70" s="1"/>
  <c r="J18" i="70" s="1"/>
  <c r="J19" i="70" s="1"/>
  <c r="J20" i="70" s="1"/>
  <c r="J21" i="70" s="1"/>
  <c r="J22" i="70" s="1"/>
  <c r="J23" i="70" s="1"/>
  <c r="J24" i="70" s="1"/>
  <c r="J25" i="70" s="1"/>
  <c r="J26" i="70" s="1"/>
  <c r="J27" i="70" s="1"/>
  <c r="J28" i="70" s="1"/>
  <c r="J29" i="70" s="1"/>
  <c r="J30" i="70" s="1"/>
  <c r="J31" i="70" s="1"/>
  <c r="J32" i="70" s="1"/>
  <c r="J33" i="70" s="1"/>
  <c r="J34" i="70" s="1"/>
  <c r="J12" i="133"/>
  <c r="J13" i="133" s="1"/>
  <c r="J14" i="133" s="1"/>
  <c r="J15" i="133" s="1"/>
  <c r="J16" i="133" s="1"/>
  <c r="J17" i="133" s="1"/>
  <c r="J18" i="133" s="1"/>
  <c r="J19" i="133" s="1"/>
  <c r="J20" i="133" s="1"/>
  <c r="J21" i="133" s="1"/>
  <c r="J22" i="133" s="1"/>
  <c r="J23" i="133" s="1"/>
  <c r="J24" i="133" s="1"/>
  <c r="J25" i="133" s="1"/>
  <c r="J26" i="133" s="1"/>
  <c r="J27" i="133" s="1"/>
  <c r="J28" i="133" s="1"/>
  <c r="J29" i="133" s="1"/>
  <c r="J30" i="133" s="1"/>
  <c r="J31" i="133" s="1"/>
  <c r="J32" i="133" s="1"/>
  <c r="J33" i="133" s="1"/>
  <c r="J34" i="133" s="1"/>
  <c r="J35" i="133" s="1"/>
  <c r="J36" i="133" s="1"/>
  <c r="J37" i="133" s="1"/>
  <c r="J38" i="133" s="1"/>
  <c r="J39" i="133" s="1"/>
  <c r="J40" i="133" s="1"/>
  <c r="J41" i="133" s="1"/>
  <c r="J42" i="133" s="1"/>
  <c r="J12" i="148"/>
  <c r="J12" i="278"/>
  <c r="J13" i="278" s="1"/>
  <c r="J14" i="278" s="1"/>
  <c r="J15" i="278" s="1"/>
  <c r="J16" i="278" s="1"/>
  <c r="J17" i="278" s="1"/>
  <c r="J18" i="278" s="1"/>
  <c r="J19" i="278" s="1"/>
  <c r="J20" i="278" s="1"/>
  <c r="J21" i="278" s="1"/>
  <c r="J22" i="278" s="1"/>
  <c r="J12" i="25"/>
  <c r="J13" i="25" s="1"/>
  <c r="J14" i="25" s="1"/>
  <c r="J15" i="25" s="1"/>
  <c r="J16" i="25" s="1"/>
  <c r="J17" i="25" s="1"/>
  <c r="J18" i="25" s="1"/>
  <c r="J19" i="25" s="1"/>
  <c r="J20" i="25" s="1"/>
  <c r="J21" i="25" s="1"/>
  <c r="J22" i="25" s="1"/>
  <c r="J23" i="25" s="1"/>
  <c r="J24" i="25" s="1"/>
  <c r="J25" i="25" s="1"/>
  <c r="J26" i="25" s="1"/>
  <c r="J27" i="25" s="1"/>
  <c r="J28" i="25" s="1"/>
  <c r="J29" i="25" s="1"/>
  <c r="J30" i="25" s="1"/>
  <c r="J31" i="25" s="1"/>
  <c r="J32" i="25" s="1"/>
  <c r="J33" i="25" s="1"/>
  <c r="J34" i="25" s="1"/>
  <c r="J35" i="25" s="1"/>
  <c r="J36" i="25" s="1"/>
  <c r="J37" i="25" s="1"/>
  <c r="J38" i="25" s="1"/>
  <c r="J39" i="25" s="1"/>
  <c r="J40" i="25" s="1"/>
  <c r="J41" i="25" s="1"/>
  <c r="J42" i="25" s="1"/>
  <c r="J43" i="25" s="1"/>
  <c r="J44" i="25" s="1"/>
  <c r="J45" i="25" s="1"/>
  <c r="J46" i="25" s="1"/>
  <c r="J47" i="25" s="1"/>
  <c r="J48" i="25" s="1"/>
  <c r="J49" i="25" s="1"/>
  <c r="J50" i="25" s="1"/>
  <c r="J51" i="25" s="1"/>
  <c r="J52" i="25" s="1"/>
  <c r="J53" i="25" s="1"/>
  <c r="J54" i="25" s="1"/>
  <c r="J55" i="25" s="1"/>
  <c r="J56" i="25" s="1"/>
  <c r="J57" i="25" s="1"/>
  <c r="J58" i="25" s="1"/>
  <c r="J59" i="25" s="1"/>
  <c r="J60" i="25" s="1"/>
  <c r="J61" i="25" s="1"/>
  <c r="J62" i="25" s="1"/>
  <c r="J63" i="25" s="1"/>
  <c r="J64" i="25" s="1"/>
  <c r="J65" i="25" s="1"/>
  <c r="J66" i="25" s="1"/>
  <c r="J67" i="25" s="1"/>
  <c r="J68" i="25" s="1"/>
  <c r="J69" i="25" s="1"/>
  <c r="J70" i="25" s="1"/>
  <c r="J71" i="25" s="1"/>
  <c r="J72" i="25" s="1"/>
  <c r="J73" i="25" s="1"/>
  <c r="J74" i="25" s="1"/>
  <c r="J75" i="25" s="1"/>
  <c r="J76" i="25" s="1"/>
  <c r="J77" i="25" s="1"/>
  <c r="J78" i="25" s="1"/>
  <c r="J79" i="25" s="1"/>
  <c r="J80" i="25" s="1"/>
  <c r="J81" i="25" s="1"/>
  <c r="J82" i="25" s="1"/>
  <c r="J83" i="25" s="1"/>
  <c r="J84" i="25" s="1"/>
  <c r="J85" i="25" s="1"/>
  <c r="J86" i="25" s="1"/>
  <c r="J87" i="25" s="1"/>
  <c r="J88" i="25" s="1"/>
  <c r="J12" i="153"/>
  <c r="J13" i="153" s="1"/>
  <c r="J14" i="153" s="1"/>
  <c r="J15" i="153" s="1"/>
  <c r="J16" i="153" s="1"/>
  <c r="J17" i="153" s="1"/>
  <c r="J18" i="153" s="1"/>
  <c r="J19" i="153" s="1"/>
  <c r="J20" i="153" s="1"/>
  <c r="J21" i="153" s="1"/>
  <c r="J12" i="122"/>
  <c r="J13" i="122" s="1"/>
  <c r="J14" i="122" s="1"/>
  <c r="J15" i="122" s="1"/>
  <c r="J16" i="122" s="1"/>
  <c r="J17" i="122" s="1"/>
  <c r="J18" i="122" s="1"/>
  <c r="J19" i="122" s="1"/>
  <c r="J20" i="122" s="1"/>
  <c r="J21" i="122" s="1"/>
  <c r="J22" i="122" s="1"/>
  <c r="J23" i="122" s="1"/>
  <c r="J24" i="122" s="1"/>
  <c r="J25" i="122" s="1"/>
  <c r="J26" i="122" s="1"/>
  <c r="J27" i="122" s="1"/>
  <c r="J28" i="122" s="1"/>
  <c r="J29" i="122" s="1"/>
  <c r="J12" i="187"/>
  <c r="J13" i="187" s="1"/>
  <c r="J14" i="187" s="1"/>
  <c r="J15" i="187" s="1"/>
  <c r="J16" i="187" s="1"/>
  <c r="J17" i="187" s="1"/>
  <c r="J18" i="187" s="1"/>
  <c r="J19" i="187" s="1"/>
  <c r="J20" i="187" s="1"/>
  <c r="J21" i="187" s="1"/>
  <c r="J22" i="187" s="1"/>
  <c r="J12" i="319"/>
  <c r="J13" i="319" s="1"/>
  <c r="J14" i="319" s="1"/>
  <c r="J15" i="319" s="1"/>
  <c r="J16" i="319" s="1"/>
  <c r="J12" i="12"/>
  <c r="J13" i="12" s="1"/>
  <c r="J14" i="12" s="1"/>
  <c r="J15" i="12" s="1"/>
  <c r="J16" i="12" s="1"/>
  <c r="J17" i="12" s="1"/>
  <c r="J18" i="12" s="1"/>
  <c r="J19" i="12" s="1"/>
  <c r="J20" i="12" s="1"/>
  <c r="J21" i="12" s="1"/>
  <c r="J22" i="12" s="1"/>
  <c r="J23" i="12" s="1"/>
  <c r="J24" i="12" s="1"/>
  <c r="J25" i="12" s="1"/>
  <c r="J26" i="12" s="1"/>
  <c r="J27" i="12" s="1"/>
  <c r="J28" i="12" s="1"/>
  <c r="J29" i="12" s="1"/>
  <c r="J30" i="12" s="1"/>
  <c r="J31" i="12" s="1"/>
  <c r="J32" i="12" s="1"/>
  <c r="J33" i="12" s="1"/>
  <c r="J34" i="12" s="1"/>
  <c r="J35" i="12" s="1"/>
  <c r="J36" i="12" s="1"/>
  <c r="J37" i="12" s="1"/>
  <c r="J38" i="12" s="1"/>
  <c r="J39" i="12" s="1"/>
  <c r="J40" i="12" s="1"/>
  <c r="J41" i="12" s="1"/>
  <c r="J42" i="12" s="1"/>
  <c r="J43" i="12" s="1"/>
  <c r="J44" i="12" s="1"/>
  <c r="J45" i="12" s="1"/>
  <c r="J46" i="12" s="1"/>
  <c r="J47" i="12" s="1"/>
  <c r="J48" i="12" s="1"/>
  <c r="J49" i="12" s="1"/>
  <c r="J50" i="12" s="1"/>
  <c r="J51" i="12" s="1"/>
  <c r="J52" i="12" s="1"/>
  <c r="J53" i="12" s="1"/>
  <c r="J54" i="12" s="1"/>
  <c r="J55" i="12" s="1"/>
  <c r="J56" i="12" s="1"/>
  <c r="J57" i="12" s="1"/>
  <c r="J58" i="12" s="1"/>
  <c r="J59" i="12" s="1"/>
  <c r="J60" i="12" s="1"/>
  <c r="J61" i="12" s="1"/>
  <c r="J62" i="12" s="1"/>
  <c r="J12" i="342"/>
  <c r="J13" i="342" s="1"/>
  <c r="J14" i="342" s="1"/>
  <c r="J15" i="342" s="1"/>
  <c r="J16" i="342" s="1"/>
  <c r="J17" i="342" s="1"/>
  <c r="J18" i="342" s="1"/>
  <c r="J19" i="342" s="1"/>
  <c r="J12" i="176"/>
  <c r="J13" i="176" s="1"/>
  <c r="J14" i="176" s="1"/>
  <c r="J15" i="176" s="1"/>
  <c r="J16" i="176" s="1"/>
  <c r="J17" i="176" s="1"/>
  <c r="J18" i="176" s="1"/>
  <c r="J19" i="176" s="1"/>
  <c r="J20" i="176" s="1"/>
  <c r="J21" i="176" s="1"/>
  <c r="J22" i="176" s="1"/>
  <c r="J23" i="176" s="1"/>
  <c r="J24" i="176" s="1"/>
  <c r="J25" i="176" s="1"/>
  <c r="J26" i="176" s="1"/>
  <c r="J27" i="176" s="1"/>
  <c r="J28" i="176" s="1"/>
  <c r="J29" i="176" s="1"/>
  <c r="J30" i="176" s="1"/>
  <c r="J31" i="176" s="1"/>
  <c r="J32" i="176" s="1"/>
  <c r="J33" i="176" s="1"/>
  <c r="J34" i="176" s="1"/>
  <c r="J35" i="176" s="1"/>
  <c r="J36" i="176" s="1"/>
  <c r="J37" i="176" s="1"/>
  <c r="J38" i="176" s="1"/>
  <c r="J39" i="176" s="1"/>
  <c r="J40" i="176" s="1"/>
  <c r="J41" i="176" s="1"/>
  <c r="J42" i="176" s="1"/>
  <c r="J43" i="176" s="1"/>
  <c r="J44" i="176" s="1"/>
  <c r="J45" i="176" s="1"/>
  <c r="J46" i="176" s="1"/>
  <c r="J47" i="176" s="1"/>
  <c r="J12" i="59"/>
  <c r="J13" i="59" s="1"/>
  <c r="J14" i="59" s="1"/>
  <c r="J15" i="59" s="1"/>
  <c r="J16" i="59" s="1"/>
  <c r="J17" i="59" s="1"/>
  <c r="J18" i="59" s="1"/>
  <c r="J19" i="59" s="1"/>
  <c r="J20" i="59" s="1"/>
  <c r="J21" i="59" s="1"/>
  <c r="J22" i="59" s="1"/>
  <c r="J23" i="59" s="1"/>
  <c r="J24" i="59" s="1"/>
  <c r="J25" i="59" s="1"/>
  <c r="J26" i="59" s="1"/>
  <c r="J27" i="59" s="1"/>
  <c r="J28" i="59" s="1"/>
  <c r="J29" i="59" s="1"/>
  <c r="J30" i="59" s="1"/>
  <c r="J31" i="59" s="1"/>
  <c r="J32" i="59" s="1"/>
  <c r="J33" i="59" s="1"/>
  <c r="J34" i="59" s="1"/>
  <c r="J35" i="59" s="1"/>
  <c r="J36" i="59" s="1"/>
  <c r="J37" i="59" s="1"/>
  <c r="J38" i="59" s="1"/>
  <c r="J39" i="59" s="1"/>
  <c r="J40" i="59" s="1"/>
  <c r="J41" i="59" s="1"/>
  <c r="J42" i="59" s="1"/>
  <c r="J43" i="59" s="1"/>
  <c r="J44" i="59" s="1"/>
  <c r="J45" i="59" s="1"/>
  <c r="J46" i="59" s="1"/>
  <c r="J47" i="59" s="1"/>
  <c r="J48" i="59" s="1"/>
  <c r="J49" i="59" s="1"/>
  <c r="J50" i="59" s="1"/>
  <c r="J51" i="59" s="1"/>
  <c r="J52" i="59" s="1"/>
  <c r="J53" i="59" s="1"/>
  <c r="J54" i="59" s="1"/>
  <c r="J55" i="59" s="1"/>
  <c r="J56" i="59" s="1"/>
  <c r="J57" i="59" s="1"/>
  <c r="J58" i="59" s="1"/>
  <c r="J59" i="59" s="1"/>
  <c r="J60" i="59" s="1"/>
  <c r="J61" i="59" s="1"/>
  <c r="J62" i="59" s="1"/>
  <c r="J63" i="59" s="1"/>
  <c r="J64" i="59" s="1"/>
  <c r="J65" i="59" s="1"/>
  <c r="J66" i="59" s="1"/>
  <c r="J67" i="59" s="1"/>
  <c r="J68" i="59" s="1"/>
  <c r="J69" i="59" s="1"/>
  <c r="J70" i="59" s="1"/>
  <c r="J71" i="59" s="1"/>
  <c r="J72" i="59" s="1"/>
  <c r="J73" i="59" s="1"/>
  <c r="J74" i="59" s="1"/>
  <c r="J75" i="59" s="1"/>
  <c r="J76" i="59" s="1"/>
  <c r="J77" i="59" s="1"/>
  <c r="J78" i="59" s="1"/>
  <c r="J79" i="59" s="1"/>
  <c r="J80" i="59" s="1"/>
  <c r="J81" i="59" s="1"/>
  <c r="J82" i="59" s="1"/>
  <c r="J83" i="59" s="1"/>
  <c r="J84" i="59" s="1"/>
  <c r="J85" i="59" s="1"/>
  <c r="J86" i="59" s="1"/>
  <c r="J87" i="59" s="1"/>
  <c r="J88" i="59" s="1"/>
  <c r="J89" i="59" s="1"/>
  <c r="J90" i="59" s="1"/>
  <c r="J91" i="59" s="1"/>
  <c r="J92" i="59" s="1"/>
  <c r="J93" i="59" s="1"/>
  <c r="J94" i="59" s="1"/>
  <c r="J12" i="57"/>
  <c r="J13" i="57" s="1"/>
  <c r="J14" i="57" s="1"/>
  <c r="J15" i="57" s="1"/>
  <c r="J16" i="57" s="1"/>
  <c r="J17" i="57" s="1"/>
  <c r="J18" i="57" s="1"/>
  <c r="J19" i="57" s="1"/>
  <c r="J20" i="57" s="1"/>
  <c r="J21" i="57" s="1"/>
  <c r="J22" i="57" s="1"/>
  <c r="J23" i="57" s="1"/>
  <c r="J24" i="57" s="1"/>
  <c r="J25" i="57" s="1"/>
  <c r="J26" i="57" s="1"/>
  <c r="J27" i="57" s="1"/>
  <c r="J28" i="57" s="1"/>
  <c r="J29" i="57" s="1"/>
  <c r="J30" i="57" s="1"/>
  <c r="J31" i="57" s="1"/>
  <c r="J32" i="57" s="1"/>
  <c r="J33" i="57" s="1"/>
  <c r="J34" i="57" s="1"/>
  <c r="J35" i="57" s="1"/>
  <c r="J36" i="57" s="1"/>
  <c r="J37" i="57" s="1"/>
  <c r="J38" i="57" s="1"/>
  <c r="J39" i="57" s="1"/>
  <c r="J40" i="57" s="1"/>
  <c r="J41" i="57" s="1"/>
  <c r="J42" i="57" s="1"/>
  <c r="J43" i="57" s="1"/>
  <c r="J44" i="57" s="1"/>
  <c r="J45" i="57" s="1"/>
  <c r="J46" i="57" s="1"/>
  <c r="J47" i="57" s="1"/>
  <c r="J48" i="57" s="1"/>
  <c r="J49" i="57" s="1"/>
  <c r="J50" i="57" s="1"/>
  <c r="J51" i="57" s="1"/>
  <c r="J52" i="57" s="1"/>
  <c r="J53" i="57" s="1"/>
  <c r="J54" i="57" s="1"/>
  <c r="J55" i="57" s="1"/>
  <c r="J56" i="57" s="1"/>
  <c r="J57" i="57" s="1"/>
  <c r="J58" i="57" s="1"/>
  <c r="J59" i="57" s="1"/>
  <c r="J60" i="57" s="1"/>
  <c r="J61" i="57" s="1"/>
  <c r="J62" i="57" s="1"/>
  <c r="J63" i="57" s="1"/>
  <c r="J64" i="57" s="1"/>
  <c r="J65" i="57" s="1"/>
  <c r="J66" i="57" s="1"/>
  <c r="J67" i="57" s="1"/>
  <c r="J68" i="57" s="1"/>
  <c r="J69" i="57" s="1"/>
  <c r="J70" i="57" s="1"/>
  <c r="J71" i="57" s="1"/>
  <c r="J72" i="57" s="1"/>
  <c r="J73" i="57" s="1"/>
  <c r="J74" i="57" s="1"/>
  <c r="J75" i="57" s="1"/>
  <c r="J76" i="57" s="1"/>
  <c r="J77" i="57" s="1"/>
  <c r="J78" i="57" s="1"/>
  <c r="J79" i="57" s="1"/>
  <c r="J80" i="57" s="1"/>
  <c r="J12" i="183"/>
  <c r="J13" i="183" s="1"/>
  <c r="J14" i="183" s="1"/>
  <c r="J15" i="183" s="1"/>
  <c r="J16" i="183" s="1"/>
  <c r="J17" i="183" s="1"/>
  <c r="J18" i="183" s="1"/>
  <c r="J19" i="183" s="1"/>
  <c r="J20" i="183" s="1"/>
  <c r="J21" i="183" s="1"/>
  <c r="J22" i="183" s="1"/>
  <c r="J23" i="183" s="1"/>
  <c r="J24" i="183" s="1"/>
  <c r="J25" i="183" s="1"/>
  <c r="J26" i="183" s="1"/>
  <c r="J27" i="183" s="1"/>
  <c r="J28" i="183" s="1"/>
  <c r="J29" i="183" s="1"/>
  <c r="J30" i="183" s="1"/>
  <c r="J31" i="183" s="1"/>
  <c r="J12" i="162"/>
  <c r="J13" i="162" s="1"/>
  <c r="J14" i="162" s="1"/>
  <c r="J15" i="162" s="1"/>
  <c r="J16" i="162" s="1"/>
  <c r="J17" i="162" s="1"/>
  <c r="J18" i="162" s="1"/>
  <c r="J19" i="162" s="1"/>
  <c r="J20" i="162" s="1"/>
  <c r="J12" i="120"/>
  <c r="J13" i="120" s="1"/>
  <c r="J14" i="120" s="1"/>
  <c r="J15" i="120" s="1"/>
  <c r="J16" i="120" s="1"/>
  <c r="J17" i="120" s="1"/>
  <c r="J18" i="120" s="1"/>
  <c r="J19" i="120" s="1"/>
  <c r="J20" i="120" s="1"/>
  <c r="J21" i="120" s="1"/>
  <c r="J22" i="120" s="1"/>
  <c r="J23" i="120" s="1"/>
  <c r="J24" i="120" s="1"/>
  <c r="J25" i="120" s="1"/>
  <c r="J26" i="120" s="1"/>
  <c r="J27" i="120" s="1"/>
  <c r="J28" i="120" s="1"/>
  <c r="J29" i="120" s="1"/>
  <c r="J30" i="120" s="1"/>
  <c r="J31" i="120" s="1"/>
  <c r="J32" i="120" s="1"/>
  <c r="J33" i="120" s="1"/>
  <c r="J34" i="120" s="1"/>
  <c r="J35" i="120" s="1"/>
  <c r="J36" i="120" s="1"/>
  <c r="J37" i="120" s="1"/>
  <c r="J38" i="120" s="1"/>
  <c r="J39" i="120" s="1"/>
  <c r="J40" i="120" s="1"/>
  <c r="J41" i="120" s="1"/>
  <c r="J42" i="120" s="1"/>
  <c r="J43" i="120" s="1"/>
  <c r="J44" i="120" s="1"/>
  <c r="J45" i="120" s="1"/>
  <c r="J12" i="194"/>
  <c r="J13" i="194" s="1"/>
  <c r="J14" i="194" s="1"/>
  <c r="J15" i="194" s="1"/>
  <c r="J16" i="194" s="1"/>
  <c r="J17" i="194" s="1"/>
  <c r="J18" i="194" s="1"/>
  <c r="J19" i="194" s="1"/>
  <c r="J20" i="194" s="1"/>
  <c r="J21" i="194" s="1"/>
  <c r="J22" i="194" s="1"/>
  <c r="J23" i="194" s="1"/>
  <c r="J24" i="194" s="1"/>
  <c r="J25" i="194" s="1"/>
  <c r="J26" i="194" s="1"/>
  <c r="J27" i="194" s="1"/>
  <c r="J28" i="194" s="1"/>
  <c r="J29" i="194" s="1"/>
  <c r="J30" i="194" s="1"/>
  <c r="J31" i="194" s="1"/>
  <c r="J32" i="194" s="1"/>
  <c r="J33" i="194" s="1"/>
  <c r="J34" i="194" s="1"/>
  <c r="J35" i="194" s="1"/>
  <c r="J36" i="194" s="1"/>
  <c r="J37" i="194" s="1"/>
  <c r="J38" i="194" s="1"/>
  <c r="J39" i="194" s="1"/>
  <c r="J40" i="194" s="1"/>
  <c r="J41" i="194" s="1"/>
  <c r="J42" i="194" s="1"/>
  <c r="J43" i="194" s="1"/>
  <c r="J44" i="194" s="1"/>
  <c r="J12" i="159"/>
  <c r="J13" i="159" s="1"/>
  <c r="J14" i="159" s="1"/>
  <c r="J15" i="159" s="1"/>
  <c r="J16" i="159" s="1"/>
  <c r="J17" i="159" s="1"/>
  <c r="J18" i="159" s="1"/>
  <c r="J19" i="159" s="1"/>
  <c r="J20" i="159" s="1"/>
  <c r="J21" i="159" s="1"/>
  <c r="J22" i="159" s="1"/>
  <c r="J23" i="159" s="1"/>
  <c r="J24" i="159" s="1"/>
  <c r="J25" i="159" s="1"/>
  <c r="J26" i="159" s="1"/>
  <c r="J27" i="159" s="1"/>
  <c r="J28" i="159" s="1"/>
  <c r="J29" i="159" s="1"/>
  <c r="J30" i="159" s="1"/>
  <c r="J31" i="159" s="1"/>
  <c r="J32" i="159" s="1"/>
  <c r="J33" i="159" s="1"/>
  <c r="J34" i="159" s="1"/>
  <c r="J35" i="159" s="1"/>
  <c r="J36" i="159" s="1"/>
  <c r="J37" i="159" s="1"/>
  <c r="J38" i="159" s="1"/>
  <c r="J39" i="159" s="1"/>
  <c r="J40" i="159" s="1"/>
  <c r="J41" i="159" s="1"/>
  <c r="J42" i="159" s="1"/>
  <c r="J43" i="159" s="1"/>
  <c r="J44" i="159" s="1"/>
  <c r="J45" i="159" s="1"/>
  <c r="J46" i="159" s="1"/>
  <c r="J47" i="159" s="1"/>
  <c r="J48" i="159" s="1"/>
  <c r="J49" i="159" s="1"/>
  <c r="J50" i="159" s="1"/>
  <c r="J51" i="159" s="1"/>
  <c r="J52" i="159" s="1"/>
  <c r="J53" i="159" s="1"/>
  <c r="J54" i="159" s="1"/>
  <c r="J55" i="159" s="1"/>
  <c r="J56" i="159" s="1"/>
  <c r="J57" i="159" s="1"/>
  <c r="J58" i="159" s="1"/>
  <c r="J59" i="159" s="1"/>
  <c r="J60" i="159" s="1"/>
  <c r="J61" i="159" s="1"/>
  <c r="J12" i="32"/>
  <c r="J13" i="32" s="1"/>
  <c r="J14" i="32" s="1"/>
  <c r="J15" i="32" s="1"/>
  <c r="J16" i="32" s="1"/>
  <c r="J17" i="32" s="1"/>
  <c r="J18" i="32" s="1"/>
  <c r="J12" i="51"/>
  <c r="J13" i="51" s="1"/>
  <c r="J14" i="51" s="1"/>
  <c r="J15" i="51" s="1"/>
  <c r="J16" i="51" s="1"/>
  <c r="J17" i="51" s="1"/>
  <c r="J18" i="51" s="1"/>
  <c r="J19" i="51" s="1"/>
  <c r="J20" i="51" s="1"/>
  <c r="J15" i="92"/>
  <c r="J16" i="92" s="1"/>
  <c r="J17" i="92" s="1"/>
  <c r="J18" i="92" s="1"/>
  <c r="J19" i="92" s="1"/>
  <c r="J20" i="92" s="1"/>
  <c r="J21" i="92" s="1"/>
  <c r="J22" i="92" s="1"/>
  <c r="J23" i="92" s="1"/>
  <c r="J24" i="92" s="1"/>
  <c r="J25" i="92" s="1"/>
  <c r="J26" i="92" s="1"/>
  <c r="J27" i="92" s="1"/>
  <c r="J28" i="92" s="1"/>
  <c r="J29" i="92" s="1"/>
  <c r="J30" i="92" s="1"/>
  <c r="J31" i="92" s="1"/>
  <c r="J32" i="92" s="1"/>
  <c r="J33" i="92" s="1"/>
  <c r="J34" i="92" s="1"/>
  <c r="J35" i="92" s="1"/>
  <c r="J36" i="92" s="1"/>
  <c r="J37" i="92" s="1"/>
  <c r="J38" i="92" s="1"/>
  <c r="J39" i="92" s="1"/>
  <c r="J40" i="92" s="1"/>
  <c r="J41" i="92" s="1"/>
  <c r="J42" i="92" s="1"/>
  <c r="J43" i="92" s="1"/>
  <c r="J44" i="92" s="1"/>
  <c r="J45" i="92" s="1"/>
  <c r="J46" i="92" s="1"/>
  <c r="J47" i="92" s="1"/>
  <c r="J48" i="92" s="1"/>
  <c r="J49" i="92" s="1"/>
  <c r="J50" i="92" s="1"/>
  <c r="J51" i="92" s="1"/>
  <c r="J52" i="92" s="1"/>
  <c r="J53" i="92" s="1"/>
  <c r="J54" i="92" s="1"/>
  <c r="J55" i="92" s="1"/>
  <c r="J56" i="92" s="1"/>
  <c r="J57" i="92" s="1"/>
  <c r="J58" i="92" s="1"/>
  <c r="J59" i="92" s="1"/>
  <c r="J60" i="92" s="1"/>
  <c r="J61" i="92" s="1"/>
  <c r="J62" i="92" s="1"/>
  <c r="J63" i="92" s="1"/>
  <c r="J64" i="92" s="1"/>
  <c r="J65" i="92" s="1"/>
  <c r="J66" i="92" s="1"/>
  <c r="J67" i="92" s="1"/>
  <c r="J68" i="92" s="1"/>
  <c r="J69" i="92" s="1"/>
  <c r="J70" i="92" s="1"/>
  <c r="J71" i="92" s="1"/>
  <c r="J72" i="92" s="1"/>
  <c r="J73" i="92" s="1"/>
  <c r="J74" i="92" s="1"/>
  <c r="J75" i="92" s="1"/>
  <c r="J76" i="92" s="1"/>
  <c r="J77" i="92" s="1"/>
  <c r="J78" i="92" s="1"/>
  <c r="J79" i="92" s="1"/>
  <c r="J80" i="92" s="1"/>
  <c r="J81" i="92" s="1"/>
  <c r="J82" i="92" s="1"/>
  <c r="J83" i="92" s="1"/>
  <c r="J84" i="92" s="1"/>
  <c r="J85" i="92" s="1"/>
  <c r="J86" i="92" s="1"/>
  <c r="J87" i="92" s="1"/>
  <c r="J88" i="92" s="1"/>
  <c r="J89" i="92" s="1"/>
  <c r="J90" i="92" s="1"/>
  <c r="J91" i="92" s="1"/>
  <c r="J92" i="92" s="1"/>
  <c r="J93" i="92" s="1"/>
  <c r="J94" i="92" s="1"/>
  <c r="J95" i="92" s="1"/>
  <c r="J96" i="92" s="1"/>
  <c r="J97" i="92" s="1"/>
  <c r="J98" i="92" s="1"/>
  <c r="J99" i="92" s="1"/>
  <c r="J100" i="92" s="1"/>
  <c r="J101" i="92" s="1"/>
  <c r="J102" i="92" s="1"/>
  <c r="J103" i="92" s="1"/>
  <c r="J104" i="92" s="1"/>
  <c r="J105" i="92" s="1"/>
  <c r="J106" i="92" s="1"/>
  <c r="J12" i="104"/>
  <c r="J13" i="104" s="1"/>
  <c r="J14" i="104" s="1"/>
  <c r="J15" i="104" s="1"/>
  <c r="J16" i="104" s="1"/>
  <c r="J17" i="104" s="1"/>
  <c r="J18" i="104" s="1"/>
  <c r="J19" i="104" s="1"/>
  <c r="J20" i="104" s="1"/>
  <c r="J21" i="104" s="1"/>
  <c r="J22" i="104" s="1"/>
  <c r="J23" i="104" s="1"/>
  <c r="J24" i="104" s="1"/>
  <c r="J25" i="104" s="1"/>
  <c r="J26" i="104" s="1"/>
  <c r="J27" i="104" s="1"/>
  <c r="J28" i="104" s="1"/>
  <c r="J29" i="104" s="1"/>
  <c r="J30" i="104" s="1"/>
  <c r="J31" i="104" s="1"/>
  <c r="J32" i="104" s="1"/>
  <c r="J33" i="104" s="1"/>
  <c r="J12" i="125"/>
  <c r="J13" i="125" s="1"/>
  <c r="J14" i="125" s="1"/>
  <c r="J15" i="125" s="1"/>
  <c r="J16" i="125" s="1"/>
  <c r="J17" i="125" s="1"/>
  <c r="J18" i="125" s="1"/>
  <c r="J19" i="125" s="1"/>
  <c r="J20" i="125" s="1"/>
  <c r="J21" i="125" s="1"/>
  <c r="J22" i="125" s="1"/>
  <c r="J23" i="125" s="1"/>
  <c r="J24" i="125" s="1"/>
  <c r="J25" i="125" s="1"/>
  <c r="J26" i="125" s="1"/>
  <c r="J12" i="170"/>
  <c r="J13" i="170" s="1"/>
  <c r="J14" i="170" s="1"/>
  <c r="J15" i="170" s="1"/>
  <c r="J16" i="170" s="1"/>
  <c r="J17" i="170" s="1"/>
  <c r="J18" i="170" s="1"/>
  <c r="J19" i="170" s="1"/>
  <c r="J20" i="170" s="1"/>
  <c r="J21" i="170" s="1"/>
  <c r="J22" i="170" s="1"/>
  <c r="J23" i="170" s="1"/>
  <c r="J24" i="170" s="1"/>
  <c r="J25" i="170" s="1"/>
  <c r="J26" i="170" s="1"/>
  <c r="J12" i="312"/>
  <c r="J13" i="312" s="1"/>
  <c r="J14" i="312" s="1"/>
  <c r="J15" i="312" s="1"/>
  <c r="J16" i="312" s="1"/>
  <c r="J17" i="312" s="1"/>
  <c r="J18" i="312" s="1"/>
  <c r="J19" i="312" s="1"/>
  <c r="J12" i="339"/>
  <c r="J13" i="339" s="1"/>
  <c r="J14" i="339" s="1"/>
  <c r="J15" i="339" s="1"/>
  <c r="J16" i="339" s="1"/>
  <c r="J12" i="350"/>
  <c r="J12" i="9"/>
  <c r="J13" i="9" s="1"/>
  <c r="J14" i="9" s="1"/>
  <c r="J15" i="9" s="1"/>
  <c r="J16" i="9" s="1"/>
  <c r="J17" i="9" s="1"/>
  <c r="J18" i="9" s="1"/>
  <c r="J19" i="9" s="1"/>
  <c r="J20" i="9" s="1"/>
  <c r="J21" i="9" s="1"/>
  <c r="J22" i="9" s="1"/>
  <c r="J23" i="9" s="1"/>
  <c r="J24" i="9" s="1"/>
  <c r="J25" i="9" s="1"/>
  <c r="J12" i="111"/>
  <c r="J13" i="111" s="1"/>
  <c r="J14" i="111" s="1"/>
  <c r="J15" i="111" s="1"/>
  <c r="J16" i="111" s="1"/>
  <c r="J17" i="111" s="1"/>
  <c r="J18" i="111" s="1"/>
  <c r="J19" i="111" s="1"/>
  <c r="J20" i="111" s="1"/>
  <c r="J21" i="111" s="1"/>
  <c r="J22" i="111" s="1"/>
  <c r="J23" i="111" s="1"/>
  <c r="J24" i="111" s="1"/>
  <c r="J25" i="111" s="1"/>
  <c r="J26" i="111" s="1"/>
  <c r="J27" i="111" s="1"/>
  <c r="J28" i="111" s="1"/>
  <c r="J29" i="111" s="1"/>
  <c r="J30" i="111" s="1"/>
  <c r="J31" i="111" s="1"/>
  <c r="J32" i="111" s="1"/>
  <c r="J33" i="111" s="1"/>
  <c r="J34" i="111" s="1"/>
  <c r="J35" i="111" s="1"/>
  <c r="J36" i="111" s="1"/>
  <c r="J37" i="111" s="1"/>
  <c r="J38" i="111" s="1"/>
  <c r="J39" i="111" s="1"/>
  <c r="J40" i="111" s="1"/>
  <c r="J41" i="111" s="1"/>
  <c r="J42" i="111" s="1"/>
  <c r="J43" i="111" s="1"/>
  <c r="J44" i="111" s="1"/>
  <c r="J45" i="111" s="1"/>
  <c r="J46" i="111" s="1"/>
  <c r="J47" i="111" s="1"/>
  <c r="J48" i="111" s="1"/>
  <c r="J49" i="111" s="1"/>
  <c r="J50" i="111" s="1"/>
  <c r="J51" i="111" s="1"/>
  <c r="J52" i="111" s="1"/>
  <c r="J53" i="111" s="1"/>
  <c r="J54" i="111" s="1"/>
  <c r="J55" i="111" s="1"/>
  <c r="J56" i="111" s="1"/>
  <c r="J57" i="111" s="1"/>
  <c r="J58" i="111" s="1"/>
  <c r="J59" i="111" s="1"/>
  <c r="J60" i="111" s="1"/>
  <c r="J61" i="111" s="1"/>
  <c r="J62" i="111" s="1"/>
  <c r="J63" i="111" s="1"/>
  <c r="J64" i="111" s="1"/>
  <c r="J12" i="152"/>
  <c r="J13" i="152" s="1"/>
  <c r="J14" i="152" s="1"/>
  <c r="J15" i="152" s="1"/>
  <c r="J16" i="152" s="1"/>
  <c r="J17" i="152" s="1"/>
  <c r="J18" i="152" s="1"/>
  <c r="J19" i="152" s="1"/>
  <c r="J20" i="152" s="1"/>
  <c r="J21" i="152" s="1"/>
  <c r="J22" i="152" s="1"/>
  <c r="J23" i="152" s="1"/>
  <c r="J12" i="161"/>
  <c r="J13" i="161" s="1"/>
  <c r="J14" i="161" s="1"/>
  <c r="J15" i="161" s="1"/>
  <c r="J16" i="161" s="1"/>
  <c r="J17" i="161" s="1"/>
  <c r="J18" i="161" s="1"/>
  <c r="J19" i="161" s="1"/>
  <c r="J20" i="161" s="1"/>
  <c r="J21" i="161" s="1"/>
  <c r="J22" i="161" s="1"/>
  <c r="J23" i="161" s="1"/>
  <c r="J24" i="161" s="1"/>
  <c r="J25" i="161" s="1"/>
  <c r="J26" i="161" s="1"/>
  <c r="J12" i="303"/>
  <c r="J13" i="303" s="1"/>
  <c r="J14" i="303" s="1"/>
  <c r="J15" i="303" s="1"/>
  <c r="J16" i="303" s="1"/>
  <c r="J17" i="303" s="1"/>
  <c r="J18" i="303" s="1"/>
  <c r="J19" i="303" s="1"/>
  <c r="J20" i="303" s="1"/>
  <c r="J21" i="303" s="1"/>
  <c r="J22" i="303" s="1"/>
  <c r="J23" i="303" s="1"/>
  <c r="J24" i="303" s="1"/>
  <c r="J25" i="303" s="1"/>
  <c r="J26" i="303" s="1"/>
  <c r="J27" i="303" s="1"/>
  <c r="J28" i="303" s="1"/>
  <c r="J29" i="303" s="1"/>
  <c r="J12" i="296"/>
  <c r="J13" i="296" s="1"/>
  <c r="J14" i="296" s="1"/>
  <c r="J11" i="290"/>
  <c r="J12" i="290" s="1"/>
  <c r="J13" i="290" s="1"/>
  <c r="J14" i="290" s="1"/>
  <c r="J15" i="290" s="1"/>
  <c r="J16" i="290" s="1"/>
  <c r="J12" i="108"/>
  <c r="J13" i="108" s="1"/>
  <c r="J14" i="108" s="1"/>
  <c r="J15" i="108" s="1"/>
  <c r="J16" i="108" s="1"/>
  <c r="J17" i="108" s="1"/>
  <c r="J18" i="108" s="1"/>
  <c r="J19" i="108" s="1"/>
  <c r="J20" i="108" s="1"/>
  <c r="J21" i="108" s="1"/>
  <c r="J22" i="108" s="1"/>
  <c r="J23" i="108" s="1"/>
  <c r="J24" i="108" s="1"/>
  <c r="J25" i="108" s="1"/>
  <c r="J26" i="108" s="1"/>
  <c r="J27" i="108" s="1"/>
  <c r="J28" i="108" s="1"/>
  <c r="J29" i="108" s="1"/>
  <c r="J30" i="108" s="1"/>
  <c r="J31" i="108" s="1"/>
  <c r="J12" i="160"/>
  <c r="J13" i="160" s="1"/>
  <c r="J14" i="160" s="1"/>
  <c r="J15" i="160" s="1"/>
  <c r="J12" i="280"/>
  <c r="J13" i="280" s="1"/>
  <c r="J14" i="280" s="1"/>
  <c r="J15" i="280" s="1"/>
  <c r="J16" i="280" s="1"/>
  <c r="J17" i="280" s="1"/>
  <c r="J18" i="280" s="1"/>
  <c r="J19" i="280" s="1"/>
  <c r="J20" i="280" s="1"/>
  <c r="J21" i="280" s="1"/>
  <c r="J22" i="280" s="1"/>
  <c r="J23" i="280" s="1"/>
  <c r="J24" i="280" s="1"/>
  <c r="J25" i="280" s="1"/>
  <c r="J26" i="280" s="1"/>
  <c r="J27" i="280" s="1"/>
  <c r="J12" i="292"/>
  <c r="J13" i="292" s="1"/>
  <c r="J14" i="292" s="1"/>
  <c r="J12" i="299"/>
  <c r="J13" i="299" s="1"/>
  <c r="J14" i="299" s="1"/>
  <c r="J12" i="124"/>
  <c r="J13" i="124" s="1"/>
  <c r="J14" i="124" s="1"/>
  <c r="J15" i="124" s="1"/>
  <c r="J16" i="124" s="1"/>
  <c r="J17" i="124" s="1"/>
  <c r="J18" i="124" s="1"/>
  <c r="J19" i="124" s="1"/>
  <c r="J20" i="124" s="1"/>
  <c r="J21" i="124" s="1"/>
  <c r="J22" i="124" s="1"/>
  <c r="J23" i="124" s="1"/>
  <c r="J24" i="124" s="1"/>
  <c r="J25" i="124" s="1"/>
  <c r="J26" i="124" s="1"/>
  <c r="J27" i="124" s="1"/>
  <c r="J28" i="124" s="1"/>
  <c r="J29" i="124" s="1"/>
  <c r="J30" i="124" s="1"/>
  <c r="J31" i="124" s="1"/>
  <c r="J32" i="124" s="1"/>
  <c r="J33" i="124" s="1"/>
  <c r="J34" i="124" s="1"/>
  <c r="J35" i="124" s="1"/>
  <c r="J36" i="124" s="1"/>
  <c r="J37" i="124" s="1"/>
  <c r="J38" i="124" s="1"/>
  <c r="J39" i="124" s="1"/>
  <c r="J40" i="124" s="1"/>
  <c r="J41" i="124" s="1"/>
  <c r="J42" i="124" s="1"/>
  <c r="J43" i="124" s="1"/>
  <c r="J44" i="124" s="1"/>
  <c r="J12" i="138"/>
  <c r="J13" i="138" s="1"/>
  <c r="J14" i="138" s="1"/>
  <c r="J15" i="138" s="1"/>
  <c r="J16" i="138" s="1"/>
  <c r="J17" i="138" s="1"/>
  <c r="J18" i="138" s="1"/>
  <c r="J19" i="138" s="1"/>
  <c r="J20" i="138" s="1"/>
  <c r="J21" i="138" s="1"/>
  <c r="J22" i="138" s="1"/>
  <c r="J23" i="138" s="1"/>
  <c r="J13" i="193"/>
  <c r="J14" i="193" s="1"/>
  <c r="J15" i="193" s="1"/>
  <c r="J16" i="193" s="1"/>
  <c r="J17" i="193" s="1"/>
  <c r="J18" i="193" s="1"/>
  <c r="J19" i="193" s="1"/>
  <c r="J20" i="193" s="1"/>
  <c r="J12" i="112"/>
  <c r="J13" i="112" s="1"/>
  <c r="J14" i="112" s="1"/>
  <c r="J15" i="112" s="1"/>
  <c r="J16" i="112" s="1"/>
  <c r="J17" i="112" s="1"/>
  <c r="J18" i="112" s="1"/>
  <c r="J19" i="112" s="1"/>
  <c r="J20" i="112" s="1"/>
  <c r="J21" i="112" s="1"/>
  <c r="J22" i="112" s="1"/>
  <c r="J23" i="112" s="1"/>
  <c r="J24" i="112" s="1"/>
  <c r="J25" i="112" s="1"/>
  <c r="J26" i="112" s="1"/>
  <c r="J27" i="112" s="1"/>
  <c r="J28" i="112" s="1"/>
  <c r="J29" i="112" s="1"/>
  <c r="J30" i="112" s="1"/>
  <c r="J31" i="112" s="1"/>
  <c r="J32" i="112" s="1"/>
  <c r="J33" i="112" s="1"/>
  <c r="J34" i="112" s="1"/>
  <c r="J35" i="112" s="1"/>
  <c r="J36" i="112" s="1"/>
  <c r="J37" i="112" s="1"/>
  <c r="J38" i="112" s="1"/>
  <c r="J39" i="112" s="1"/>
  <c r="J40" i="112" s="1"/>
  <c r="J41" i="112" s="1"/>
  <c r="J42" i="112" s="1"/>
  <c r="J43" i="112" s="1"/>
  <c r="J44" i="112" s="1"/>
  <c r="J45" i="112" s="1"/>
  <c r="J46" i="112" s="1"/>
  <c r="J47" i="112" s="1"/>
  <c r="J48" i="112" s="1"/>
  <c r="J49" i="112" s="1"/>
  <c r="J50" i="112" s="1"/>
  <c r="J51" i="112" s="1"/>
  <c r="J52" i="112" s="1"/>
  <c r="J53" i="112" s="1"/>
  <c r="J54" i="112" s="1"/>
  <c r="J55" i="112" s="1"/>
  <c r="J56" i="112" s="1"/>
  <c r="J57" i="112" s="1"/>
  <c r="J58" i="112" s="1"/>
  <c r="J59" i="112" s="1"/>
  <c r="J60" i="112" s="1"/>
  <c r="J61" i="112" s="1"/>
  <c r="J62" i="112" s="1"/>
  <c r="J63" i="112" s="1"/>
  <c r="J64" i="112" s="1"/>
  <c r="J65" i="112" s="1"/>
  <c r="J66" i="112" s="1"/>
  <c r="J67" i="112" s="1"/>
  <c r="J68" i="112" s="1"/>
  <c r="J69" i="112" s="1"/>
  <c r="J70" i="112" s="1"/>
  <c r="J71" i="112" s="1"/>
  <c r="J72" i="112" s="1"/>
  <c r="J73" i="112" s="1"/>
  <c r="J12" i="50"/>
  <c r="J13" i="50" s="1"/>
  <c r="J14" i="50" s="1"/>
  <c r="J15" i="50" s="1"/>
  <c r="J16" i="50" s="1"/>
  <c r="J17" i="50" s="1"/>
  <c r="J18" i="50" s="1"/>
  <c r="J19" i="50" s="1"/>
  <c r="J20" i="50" s="1"/>
  <c r="J21" i="50" s="1"/>
  <c r="J22" i="50" s="1"/>
  <c r="J23" i="50" s="1"/>
  <c r="J24" i="50" s="1"/>
  <c r="J25" i="50" s="1"/>
  <c r="J26" i="50" s="1"/>
  <c r="J27" i="50" s="1"/>
  <c r="J28" i="50" s="1"/>
  <c r="J12" i="130"/>
  <c r="J13" i="130" s="1"/>
  <c r="J14" i="130" s="1"/>
  <c r="J15" i="130" s="1"/>
  <c r="J16" i="130" s="1"/>
  <c r="J17" i="130" s="1"/>
  <c r="J18" i="130" s="1"/>
  <c r="J19" i="130" s="1"/>
  <c r="J12" i="353"/>
  <c r="J12" i="297"/>
  <c r="J13" i="297" s="1"/>
  <c r="J12" i="151"/>
  <c r="J13" i="151" s="1"/>
  <c r="J12" i="291"/>
  <c r="J13" i="291" s="1"/>
  <c r="J14" i="291" s="1"/>
  <c r="J15" i="291" s="1"/>
  <c r="J16" i="291" s="1"/>
  <c r="J17" i="291" s="1"/>
  <c r="J12" i="117"/>
  <c r="J13" i="117" s="1"/>
  <c r="J14" i="117" s="1"/>
  <c r="J15" i="117" s="1"/>
  <c r="J16" i="117" s="1"/>
  <c r="J17" i="117" s="1"/>
  <c r="J18" i="117" s="1"/>
  <c r="J19" i="117" s="1"/>
  <c r="J20" i="117" s="1"/>
  <c r="J21" i="117" s="1"/>
  <c r="J22" i="117" s="1"/>
  <c r="J23" i="117" s="1"/>
  <c r="J24" i="117" s="1"/>
  <c r="J25" i="117" s="1"/>
  <c r="J26" i="117" s="1"/>
  <c r="J27" i="117" s="1"/>
  <c r="J28" i="117" s="1"/>
  <c r="J29" i="117" s="1"/>
  <c r="J30" i="117" s="1"/>
  <c r="J31" i="117" s="1"/>
  <c r="J32" i="117" s="1"/>
  <c r="J33" i="117" s="1"/>
  <c r="J34" i="117" s="1"/>
  <c r="J35" i="117" s="1"/>
  <c r="J36" i="117" s="1"/>
  <c r="J37" i="117" s="1"/>
  <c r="J38" i="117" s="1"/>
  <c r="J39" i="117" s="1"/>
  <c r="J40" i="117" s="1"/>
  <c r="J41" i="117" s="1"/>
  <c r="J42" i="117" s="1"/>
  <c r="J43" i="117" s="1"/>
  <c r="J44" i="117" s="1"/>
  <c r="J45" i="117" s="1"/>
  <c r="J46" i="117" s="1"/>
  <c r="J47" i="117" s="1"/>
  <c r="J48" i="117" s="1"/>
  <c r="J49" i="117" s="1"/>
  <c r="J50" i="117" s="1"/>
  <c r="J51" i="117" s="1"/>
  <c r="J13" i="7"/>
  <c r="J14" i="7" s="1"/>
  <c r="J15" i="7" s="1"/>
  <c r="J16" i="7" s="1"/>
  <c r="J17" i="7" s="1"/>
  <c r="J18" i="7" s="1"/>
  <c r="J19" i="7" s="1"/>
  <c r="J20" i="7" s="1"/>
  <c r="J21" i="7" s="1"/>
  <c r="J22" i="7" s="1"/>
  <c r="J23" i="7" s="1"/>
  <c r="J24" i="7" s="1"/>
  <c r="J25" i="7" s="1"/>
  <c r="J26" i="7" s="1"/>
  <c r="J27" i="7" s="1"/>
  <c r="J28" i="7" s="1"/>
  <c r="J29" i="7" s="1"/>
  <c r="J30" i="7" s="1"/>
  <c r="J31" i="7" s="1"/>
  <c r="J32" i="7" s="1"/>
  <c r="J33" i="7" s="1"/>
  <c r="J34" i="7" s="1"/>
  <c r="J35" i="7" s="1"/>
  <c r="J36" i="7" s="1"/>
  <c r="J37" i="7" s="1"/>
  <c r="J38" i="7" s="1"/>
  <c r="J39" i="7" s="1"/>
  <c r="J40" i="7" s="1"/>
  <c r="J41" i="7" s="1"/>
  <c r="J42" i="7" s="1"/>
  <c r="J43" i="7" s="1"/>
  <c r="J44" i="7" s="1"/>
  <c r="J45" i="7" s="1"/>
  <c r="J46" i="7" s="1"/>
  <c r="J47" i="7" s="1"/>
  <c r="J48" i="7" s="1"/>
  <c r="J49" i="7" s="1"/>
  <c r="J12" i="134"/>
  <c r="J13" i="134" s="1"/>
  <c r="J14" i="134" s="1"/>
  <c r="J15" i="134" s="1"/>
  <c r="J16" i="134" s="1"/>
  <c r="J17" i="134" s="1"/>
  <c r="J18" i="134" s="1"/>
  <c r="J19" i="134" s="1"/>
  <c r="J20" i="134" s="1"/>
  <c r="J21" i="134" s="1"/>
  <c r="J22" i="134" s="1"/>
  <c r="J23" i="134" s="1"/>
  <c r="J24" i="134" s="1"/>
  <c r="J25" i="134" s="1"/>
  <c r="J26" i="134" s="1"/>
  <c r="J27" i="134" s="1"/>
  <c r="J28" i="134" s="1"/>
  <c r="J29" i="134" s="1"/>
  <c r="J30" i="134" s="1"/>
  <c r="J31" i="134" s="1"/>
  <c r="J32" i="134" s="1"/>
  <c r="J33" i="134" s="1"/>
  <c r="J34" i="134" s="1"/>
  <c r="J35" i="134" s="1"/>
  <c r="J36" i="134" s="1"/>
  <c r="J37" i="134" s="1"/>
  <c r="J38" i="134" s="1"/>
  <c r="J39" i="134" s="1"/>
  <c r="J40" i="134" s="1"/>
  <c r="J41" i="134" s="1"/>
  <c r="J42" i="134" s="1"/>
  <c r="J12" i="184"/>
  <c r="J13" i="184" s="1"/>
  <c r="J14" i="184" s="1"/>
  <c r="J15" i="184" s="1"/>
  <c r="J16" i="184" s="1"/>
  <c r="J17" i="184" s="1"/>
  <c r="J12" i="83"/>
  <c r="J13" i="83" s="1"/>
  <c r="J14" i="83" s="1"/>
  <c r="J15" i="83" s="1"/>
  <c r="J16" i="83" s="1"/>
  <c r="J17" i="83" s="1"/>
  <c r="J18" i="83" s="1"/>
  <c r="J19" i="83" s="1"/>
  <c r="J20" i="83" s="1"/>
  <c r="J21" i="83" s="1"/>
  <c r="J22" i="83" s="1"/>
  <c r="J23" i="83" s="1"/>
  <c r="J24" i="83" s="1"/>
  <c r="J25" i="83" s="1"/>
  <c r="J26" i="83" s="1"/>
  <c r="J27" i="83" s="1"/>
  <c r="J28" i="83" s="1"/>
  <c r="J29" i="83" s="1"/>
  <c r="J30" i="83" s="1"/>
  <c r="J31" i="83" s="1"/>
  <c r="J32" i="83" s="1"/>
  <c r="J33" i="83" s="1"/>
  <c r="J34" i="83" s="1"/>
  <c r="J12" i="142"/>
  <c r="J13" i="142" s="1"/>
  <c r="J14" i="142" s="1"/>
  <c r="J15" i="142" s="1"/>
  <c r="J16" i="142" s="1"/>
  <c r="J17" i="142" s="1"/>
  <c r="J18" i="142" s="1"/>
  <c r="J19" i="142" s="1"/>
  <c r="J20" i="142" s="1"/>
  <c r="J21" i="142" s="1"/>
  <c r="J22" i="142" s="1"/>
  <c r="J23" i="142" s="1"/>
  <c r="J24" i="142" s="1"/>
  <c r="J25" i="142" s="1"/>
  <c r="J26" i="142" s="1"/>
  <c r="J27" i="142" s="1"/>
  <c r="J28" i="142" s="1"/>
  <c r="J29" i="142" s="1"/>
  <c r="J30" i="142" s="1"/>
  <c r="J31" i="142" s="1"/>
  <c r="J32" i="142" s="1"/>
  <c r="J12" i="315"/>
  <c r="J13" i="315" s="1"/>
  <c r="J14" i="315" s="1"/>
  <c r="J12" i="19"/>
  <c r="J13" i="19" s="1"/>
  <c r="J14" i="19" s="1"/>
  <c r="J15" i="19" s="1"/>
  <c r="J16" i="19" s="1"/>
  <c r="J17" i="19" s="1"/>
  <c r="J18" i="19" s="1"/>
  <c r="J19" i="19" s="1"/>
  <c r="J20" i="19" s="1"/>
  <c r="J21" i="19" s="1"/>
  <c r="J22" i="19" s="1"/>
  <c r="J23" i="19" s="1"/>
  <c r="J24" i="19" s="1"/>
  <c r="J25" i="19" s="1"/>
  <c r="J26" i="19" s="1"/>
  <c r="J27" i="19" s="1"/>
  <c r="J28" i="19" s="1"/>
  <c r="J29" i="19" s="1"/>
  <c r="J30" i="19" s="1"/>
  <c r="J31" i="19" s="1"/>
  <c r="J32" i="19" s="1"/>
  <c r="J33" i="19" s="1"/>
  <c r="J34" i="19" s="1"/>
  <c r="J35" i="19" s="1"/>
  <c r="J36" i="19" s="1"/>
  <c r="J37" i="19" s="1"/>
  <c r="J38" i="19" s="1"/>
  <c r="J39" i="19" s="1"/>
  <c r="J40" i="19" s="1"/>
  <c r="J41" i="19" s="1"/>
  <c r="J42" i="19" s="1"/>
  <c r="J43" i="19" s="1"/>
  <c r="J44" i="19" s="1"/>
  <c r="J45" i="19" s="1"/>
  <c r="J46" i="19" s="1"/>
  <c r="J47" i="19" s="1"/>
  <c r="J48" i="19" s="1"/>
  <c r="J49" i="19" s="1"/>
  <c r="J50" i="19" s="1"/>
  <c r="J51" i="19" s="1"/>
  <c r="J52" i="19" s="1"/>
  <c r="J53" i="19" s="1"/>
  <c r="J54" i="19" s="1"/>
  <c r="J55" i="19" s="1"/>
  <c r="J56" i="19" s="1"/>
  <c r="J57" i="19" s="1"/>
  <c r="J58" i="19" s="1"/>
  <c r="J59" i="19" s="1"/>
  <c r="J60" i="19" s="1"/>
  <c r="J61" i="19" s="1"/>
  <c r="J62" i="19" s="1"/>
  <c r="J63" i="19" s="1"/>
  <c r="J64" i="19" s="1"/>
  <c r="J65" i="19" s="1"/>
  <c r="J66" i="19" s="1"/>
  <c r="J67" i="19" s="1"/>
  <c r="J68" i="19" s="1"/>
  <c r="J69" i="19" s="1"/>
  <c r="J70" i="19" s="1"/>
  <c r="J71" i="19" s="1"/>
  <c r="J72" i="19" s="1"/>
  <c r="J73" i="19" s="1"/>
  <c r="J74" i="19" s="1"/>
  <c r="J75" i="19" s="1"/>
  <c r="J76" i="19" s="1"/>
  <c r="J77" i="19" s="1"/>
  <c r="J78" i="19" s="1"/>
  <c r="J79" i="19" s="1"/>
  <c r="J80" i="19" s="1"/>
  <c r="J81" i="19" s="1"/>
  <c r="J82" i="19" s="1"/>
  <c r="J83" i="19" s="1"/>
  <c r="J84" i="19" s="1"/>
  <c r="J85" i="19" s="1"/>
  <c r="J86" i="19" s="1"/>
  <c r="J87" i="19" s="1"/>
  <c r="J14" i="343"/>
  <c r="J15" i="343" s="1"/>
  <c r="J16" i="343" s="1"/>
  <c r="J17" i="343" s="1"/>
  <c r="J18" i="343" s="1"/>
  <c r="J19" i="343" s="1"/>
  <c r="J20" i="343" s="1"/>
  <c r="J21" i="343" s="1"/>
  <c r="J22" i="343" s="1"/>
  <c r="J23" i="343" s="1"/>
  <c r="J24" i="343" s="1"/>
  <c r="J25" i="343" s="1"/>
  <c r="J26" i="343" s="1"/>
  <c r="J27" i="343" s="1"/>
  <c r="J28" i="343" s="1"/>
  <c r="J29" i="343" s="1"/>
  <c r="J30" i="343" s="1"/>
  <c r="J31" i="343" s="1"/>
  <c r="J32" i="343" s="1"/>
  <c r="J33" i="343" s="1"/>
  <c r="J34" i="343" s="1"/>
  <c r="J12" i="121"/>
  <c r="J13" i="121" s="1"/>
  <c r="J14" i="121" s="1"/>
  <c r="J15" i="121" s="1"/>
  <c r="J16" i="121" s="1"/>
  <c r="J17" i="121" s="1"/>
  <c r="J18" i="121" s="1"/>
  <c r="J19" i="121" s="1"/>
  <c r="J20" i="121" s="1"/>
  <c r="J11" i="115"/>
  <c r="J12" i="20"/>
  <c r="J13" i="20" s="1"/>
  <c r="J14" i="20" s="1"/>
  <c r="J15" i="20" s="1"/>
  <c r="J16" i="20" s="1"/>
  <c r="J17" i="20" s="1"/>
  <c r="J18" i="20" s="1"/>
  <c r="J19" i="20" s="1"/>
  <c r="J12" i="69"/>
  <c r="J13" i="69" s="1"/>
  <c r="J14" i="69" s="1"/>
  <c r="J15" i="69" s="1"/>
  <c r="J16" i="69" s="1"/>
  <c r="J17" i="69" s="1"/>
  <c r="J18" i="69" s="1"/>
  <c r="J12" i="123"/>
  <c r="J13" i="123" s="1"/>
  <c r="J14" i="123" s="1"/>
  <c r="J15" i="123" s="1"/>
  <c r="J16" i="123" s="1"/>
  <c r="J17" i="123" s="1"/>
  <c r="J18" i="123" s="1"/>
  <c r="J19" i="123" s="1"/>
  <c r="J20" i="123" s="1"/>
  <c r="J21" i="123" s="1"/>
  <c r="J22" i="123" s="1"/>
  <c r="J23" i="123" s="1"/>
  <c r="J24" i="123" s="1"/>
  <c r="J25" i="123" s="1"/>
  <c r="J26" i="123" s="1"/>
  <c r="J27" i="123" s="1"/>
  <c r="J28" i="123" s="1"/>
  <c r="J29" i="123" s="1"/>
  <c r="J30" i="123" s="1"/>
  <c r="J31" i="123" s="1"/>
  <c r="J32" i="123" s="1"/>
  <c r="J33" i="123" s="1"/>
  <c r="J34" i="123" s="1"/>
  <c r="J35" i="123" s="1"/>
  <c r="J36" i="123" s="1"/>
  <c r="J37" i="123" s="1"/>
  <c r="J38" i="123" s="1"/>
  <c r="J39" i="123" s="1"/>
  <c r="J40" i="123" s="1"/>
  <c r="J41" i="123" s="1"/>
  <c r="J42" i="123" s="1"/>
  <c r="J43" i="123" s="1"/>
  <c r="J44" i="123" s="1"/>
  <c r="J45" i="123" s="1"/>
  <c r="J46" i="123" s="1"/>
  <c r="J47" i="123" s="1"/>
  <c r="J48" i="123" s="1"/>
  <c r="J49" i="123" s="1"/>
  <c r="J50" i="123" s="1"/>
  <c r="J51" i="123" s="1"/>
  <c r="J52" i="123" s="1"/>
  <c r="J53" i="123" s="1"/>
  <c r="J54" i="123" s="1"/>
  <c r="J12" i="181"/>
  <c r="J13" i="181" s="1"/>
  <c r="J14" i="181" s="1"/>
  <c r="J15" i="181" s="1"/>
  <c r="J16" i="181" s="1"/>
  <c r="J12" i="192"/>
  <c r="J13" i="192" s="1"/>
  <c r="J12" i="336"/>
  <c r="J13" i="336" s="1"/>
  <c r="J12" i="347"/>
  <c r="J13" i="347" s="1"/>
  <c r="J12" i="164"/>
  <c r="J13" i="164" s="1"/>
  <c r="J14" i="164" s="1"/>
  <c r="J15" i="164" s="1"/>
  <c r="J16" i="164" s="1"/>
  <c r="J17" i="164" s="1"/>
  <c r="J18" i="164" s="1"/>
  <c r="J19" i="164" s="1"/>
  <c r="J20" i="164" s="1"/>
  <c r="J12" i="6"/>
  <c r="J13" i="6" s="1"/>
  <c r="J14" i="6" s="1"/>
  <c r="J15" i="6" s="1"/>
  <c r="J16" i="6" s="1"/>
  <c r="J17" i="6" s="1"/>
  <c r="J18" i="6" s="1"/>
  <c r="J19" i="6" s="1"/>
  <c r="J20" i="6" s="1"/>
  <c r="J21" i="6" s="1"/>
  <c r="J22" i="6" s="1"/>
  <c r="J23" i="6" s="1"/>
  <c r="J24" i="6" s="1"/>
  <c r="J25" i="6" s="1"/>
  <c r="J26" i="6" s="1"/>
  <c r="J27" i="6" s="1"/>
  <c r="J28" i="6" s="1"/>
  <c r="J29" i="6" s="1"/>
  <c r="J30" i="6" s="1"/>
  <c r="J31" i="6" s="1"/>
  <c r="J32" i="6" s="1"/>
  <c r="J33" i="6" s="1"/>
  <c r="J34" i="6" s="1"/>
  <c r="J35" i="6" s="1"/>
  <c r="J36" i="6" s="1"/>
  <c r="J37" i="6" s="1"/>
  <c r="J38" i="6" s="1"/>
  <c r="J39" i="6" s="1"/>
  <c r="J40" i="6" s="1"/>
  <c r="J41" i="6" s="1"/>
  <c r="J42" i="6" s="1"/>
  <c r="J43" i="6" s="1"/>
  <c r="J44" i="6" s="1"/>
  <c r="J45" i="6" s="1"/>
  <c r="J46" i="6" s="1"/>
  <c r="J47" i="6" s="1"/>
  <c r="J48" i="6" s="1"/>
  <c r="J49" i="6" s="1"/>
  <c r="J50" i="6" s="1"/>
  <c r="J51" i="6" s="1"/>
  <c r="J52" i="6" s="1"/>
  <c r="J53" i="6" s="1"/>
  <c r="J54" i="6" s="1"/>
  <c r="J55" i="6" s="1"/>
  <c r="J56" i="6" s="1"/>
  <c r="J57" i="6" s="1"/>
  <c r="J58" i="6" s="1"/>
  <c r="J59" i="6" s="1"/>
  <c r="J60" i="6" s="1"/>
  <c r="J61" i="6" s="1"/>
  <c r="J62" i="6" s="1"/>
  <c r="J63" i="6" s="1"/>
  <c r="J64" i="6" s="1"/>
  <c r="J65" i="6" s="1"/>
  <c r="J66" i="6" s="1"/>
  <c r="J67" i="6" s="1"/>
  <c r="J68" i="6" s="1"/>
  <c r="J69" i="6" s="1"/>
  <c r="J70" i="6" s="1"/>
  <c r="J71" i="6" s="1"/>
  <c r="J72" i="6" s="1"/>
  <c r="J73" i="6" s="1"/>
  <c r="J74" i="6" s="1"/>
  <c r="J75" i="6" s="1"/>
  <c r="J76" i="6" s="1"/>
  <c r="J77" i="6" s="1"/>
  <c r="J78" i="6" s="1"/>
  <c r="J79" i="6" s="1"/>
  <c r="J80" i="6" s="1"/>
  <c r="J81" i="6" s="1"/>
  <c r="J82" i="6" s="1"/>
  <c r="J83" i="6" s="1"/>
  <c r="J84" i="6" s="1"/>
  <c r="J12" i="337"/>
  <c r="J13" i="337" s="1"/>
  <c r="J14" i="337" s="1"/>
  <c r="J15" i="337" s="1"/>
  <c r="J12" i="196"/>
  <c r="B164" i="327"/>
  <c r="B61" i="327"/>
  <c r="B10" i="327"/>
  <c r="B175" i="327"/>
  <c r="B63" i="327"/>
  <c r="B155" i="327"/>
  <c r="B36" i="327"/>
  <c r="B127" i="327"/>
  <c r="B121" i="327"/>
  <c r="B197" i="327"/>
  <c r="B34" i="327"/>
  <c r="B145" i="327"/>
  <c r="B78" i="327"/>
  <c r="B41" i="327"/>
  <c r="B156" i="327"/>
  <c r="B37" i="327"/>
  <c r="B18" i="327"/>
  <c r="B66" i="327"/>
  <c r="B7" i="327"/>
  <c r="B70" i="327"/>
  <c r="B144" i="327"/>
  <c r="B11" i="327"/>
  <c r="B64" i="327"/>
  <c r="B16" i="327"/>
  <c r="B181" i="327"/>
  <c r="B39" i="327"/>
  <c r="B72" i="327"/>
  <c r="B79" i="327"/>
  <c r="B59" i="327"/>
  <c r="B109" i="327"/>
  <c r="B111" i="327"/>
  <c r="B167" i="327"/>
  <c r="B196" i="327"/>
  <c r="B201" i="327"/>
  <c r="B123" i="327"/>
  <c r="B25" i="327"/>
  <c r="B191" i="327"/>
  <c r="B139" i="327"/>
  <c r="B12" i="327"/>
  <c r="B54" i="327"/>
  <c r="B186" i="327"/>
  <c r="B140" i="327"/>
  <c r="B161" i="327"/>
  <c r="B118" i="327"/>
  <c r="B163" i="327"/>
  <c r="B137" i="327"/>
  <c r="B98" i="327"/>
  <c r="B30" i="327"/>
  <c r="B15" i="327"/>
  <c r="B160" i="327"/>
  <c r="B208" i="327"/>
  <c r="B124" i="327"/>
  <c r="B174" i="327"/>
  <c r="B100" i="327"/>
  <c r="B83" i="327"/>
  <c r="B104" i="327"/>
  <c r="B179" i="327"/>
  <c r="B101" i="327"/>
  <c r="B115" i="327"/>
  <c r="B187" i="327"/>
  <c r="B20" i="327"/>
  <c r="B93" i="327"/>
  <c r="B62" i="327"/>
  <c r="B97" i="327"/>
  <c r="B154" i="327"/>
  <c r="B106" i="327"/>
  <c r="B128" i="327"/>
  <c r="B206" i="327"/>
  <c r="B117" i="327"/>
  <c r="B19" i="327"/>
  <c r="B46" i="327"/>
  <c r="B43" i="327"/>
  <c r="B157" i="327"/>
  <c r="B193" i="327"/>
  <c r="B58" i="327"/>
  <c r="B152" i="327"/>
  <c r="B199" i="327"/>
  <c r="B125" i="327"/>
  <c r="B53" i="327"/>
  <c r="B177" i="327"/>
  <c r="B146" i="327"/>
  <c r="B27" i="327"/>
  <c r="B95" i="327"/>
  <c r="B168" i="327"/>
  <c r="B204" i="327"/>
  <c r="B207" i="327"/>
  <c r="I5" i="301"/>
  <c r="B190" i="327"/>
  <c r="B13" i="327"/>
  <c r="B151" i="327"/>
  <c r="B189" i="327"/>
  <c r="B23" i="327"/>
  <c r="B3" i="327"/>
  <c r="B91" i="327"/>
  <c r="B131" i="327"/>
  <c r="B26" i="327"/>
  <c r="B180" i="327"/>
  <c r="B114" i="327"/>
  <c r="B99" i="327"/>
  <c r="B42" i="327"/>
  <c r="B166" i="327"/>
  <c r="B149" i="327"/>
  <c r="B44" i="327"/>
  <c r="B200" i="327"/>
  <c r="B188" i="327"/>
  <c r="B203" i="327"/>
  <c r="B194" i="327"/>
  <c r="B76" i="327"/>
  <c r="B48" i="327"/>
  <c r="B192" i="327"/>
  <c r="B148" i="327"/>
  <c r="B74" i="327"/>
  <c r="B107" i="327"/>
  <c r="B158" i="327"/>
  <c r="B141" i="327"/>
  <c r="B77" i="327"/>
  <c r="B195" i="327"/>
  <c r="B110" i="327"/>
  <c r="B165" i="327"/>
  <c r="B55" i="327"/>
  <c r="B103" i="327"/>
  <c r="B90" i="327"/>
  <c r="I5" i="275"/>
  <c r="B2" i="327"/>
  <c r="B184" i="327"/>
  <c r="B67" i="327"/>
  <c r="B108" i="327"/>
  <c r="B28" i="327"/>
  <c r="B116" i="327"/>
  <c r="B65" i="327"/>
  <c r="B135" i="327"/>
  <c r="B159" i="327"/>
  <c r="B147" i="327"/>
  <c r="B38" i="327"/>
  <c r="B21" i="327"/>
  <c r="B51" i="327"/>
  <c r="B60" i="327"/>
  <c r="B69" i="327"/>
  <c r="B182" i="327"/>
  <c r="B136" i="327"/>
  <c r="B205" i="327"/>
  <c r="B6" i="327"/>
  <c r="B122" i="327"/>
  <c r="B49" i="327"/>
  <c r="B172" i="327"/>
  <c r="B133" i="327"/>
  <c r="B94" i="327"/>
  <c r="B171" i="327"/>
  <c r="B170" i="327"/>
  <c r="B96" i="327"/>
  <c r="B162" i="327"/>
  <c r="B138" i="327"/>
  <c r="B134" i="327"/>
  <c r="B4" i="327"/>
  <c r="B9" i="327"/>
  <c r="B143" i="327"/>
  <c r="B183" i="327"/>
  <c r="B202" i="327"/>
  <c r="B198" i="327"/>
  <c r="B56" i="327"/>
  <c r="B50" i="327"/>
  <c r="B102" i="327"/>
  <c r="B119" i="327"/>
  <c r="B5" i="327"/>
  <c r="B45" i="327"/>
  <c r="B86" i="327"/>
  <c r="B126" i="327"/>
  <c r="B8" i="327"/>
  <c r="B71" i="327"/>
  <c r="B84" i="327"/>
  <c r="B92" i="327"/>
  <c r="B185" i="327"/>
  <c r="B17" i="327"/>
  <c r="B24" i="327"/>
  <c r="B82" i="327"/>
  <c r="B22" i="327"/>
  <c r="B129" i="327"/>
  <c r="B176" i="327"/>
  <c r="B68" i="327"/>
  <c r="B80" i="327"/>
  <c r="B113" i="327"/>
  <c r="B85" i="327"/>
  <c r="B33" i="327"/>
  <c r="B132" i="327"/>
  <c r="B29" i="327"/>
  <c r="B89" i="327"/>
  <c r="B105" i="327"/>
  <c r="B52" i="327"/>
  <c r="B32" i="327"/>
  <c r="B142" i="327"/>
  <c r="B40" i="327"/>
  <c r="B173" i="327"/>
  <c r="B31" i="327"/>
  <c r="B150" i="327"/>
  <c r="B73" i="327"/>
  <c r="B75" i="327"/>
  <c r="B88" i="327"/>
  <c r="B35" i="327"/>
  <c r="B81" i="327"/>
  <c r="B112" i="327"/>
  <c r="B47" i="327"/>
  <c r="B14" i="327"/>
  <c r="B153" i="327"/>
  <c r="B169" i="327"/>
  <c r="B130" i="327"/>
  <c r="B120" i="327"/>
  <c r="B178" i="327"/>
  <c r="F5" i="275"/>
  <c r="J12" i="141"/>
  <c r="J13" i="141" s="1"/>
  <c r="J14" i="141" s="1"/>
  <c r="J15" i="141" s="1"/>
  <c r="J16" i="141" s="1"/>
  <c r="J17" i="141" s="1"/>
  <c r="J18" i="141" s="1"/>
  <c r="J19" i="141" s="1"/>
  <c r="J20" i="141" s="1"/>
  <c r="J12" i="149"/>
  <c r="J13" i="149" s="1"/>
  <c r="J14" i="149" s="1"/>
  <c r="J12" i="63"/>
  <c r="J13" i="63" s="1"/>
  <c r="J14" i="63" s="1"/>
  <c r="J15" i="63" s="1"/>
  <c r="J12" i="163"/>
  <c r="J13" i="163" s="1"/>
  <c r="J14" i="163" s="1"/>
  <c r="J15" i="163" s="1"/>
  <c r="J12" i="177"/>
  <c r="J13" i="177" s="1"/>
  <c r="J14" i="177" s="1"/>
  <c r="J15" i="177" s="1"/>
  <c r="J16" i="177" s="1"/>
  <c r="J17" i="177" s="1"/>
  <c r="J18" i="177" s="1"/>
  <c r="J19" i="177" s="1"/>
  <c r="J20" i="177" s="1"/>
  <c r="J21" i="177" s="1"/>
  <c r="J22" i="177" s="1"/>
  <c r="J23" i="177" s="1"/>
  <c r="J24" i="177" s="1"/>
  <c r="J25" i="177" s="1"/>
  <c r="J26" i="177" s="1"/>
  <c r="J27" i="177" s="1"/>
  <c r="J12" i="126"/>
  <c r="J13" i="126" s="1"/>
  <c r="J14" i="126" s="1"/>
  <c r="J15" i="126" s="1"/>
  <c r="J16" i="126" s="1"/>
  <c r="J17" i="126" s="1"/>
  <c r="J18" i="126" s="1"/>
  <c r="J19" i="126" s="1"/>
  <c r="J20" i="126" s="1"/>
  <c r="J21" i="126" s="1"/>
  <c r="J22" i="126" s="1"/>
  <c r="J23" i="126" s="1"/>
  <c r="J24" i="126" s="1"/>
  <c r="J25" i="126" s="1"/>
  <c r="J26" i="126" s="1"/>
  <c r="J27" i="126" s="1"/>
  <c r="J28" i="126" s="1"/>
  <c r="J29" i="126" s="1"/>
  <c r="J30" i="126" s="1"/>
  <c r="J12" i="8"/>
  <c r="J13" i="8" s="1"/>
  <c r="J14" i="8" s="1"/>
  <c r="J15" i="8" s="1"/>
  <c r="J16" i="8" s="1"/>
  <c r="J17" i="8" s="1"/>
  <c r="J18" i="8" s="1"/>
  <c r="J19" i="8" s="1"/>
  <c r="J20" i="8" s="1"/>
  <c r="J21" i="8" s="1"/>
  <c r="J22" i="8" s="1"/>
  <c r="J23" i="8" s="1"/>
  <c r="J24" i="8" s="1"/>
  <c r="J25" i="8" s="1"/>
  <c r="J26" i="8" s="1"/>
  <c r="J27" i="8" s="1"/>
  <c r="J28" i="8" s="1"/>
  <c r="J29" i="8" s="1"/>
  <c r="J30" i="8" s="1"/>
  <c r="J31" i="8" s="1"/>
  <c r="J32" i="8" s="1"/>
  <c r="J33" i="8" s="1"/>
  <c r="J34" i="8" s="1"/>
  <c r="J35" i="8" s="1"/>
  <c r="J36" i="8" s="1"/>
  <c r="J12" i="144"/>
  <c r="J15" i="135"/>
  <c r="J11" i="356"/>
  <c r="J11" i="355"/>
  <c r="J11" i="2"/>
  <c r="J11" i="354"/>
  <c r="J11" i="1"/>
  <c r="J12" i="354"/>
  <c r="J11" i="44"/>
  <c r="J11" i="47"/>
  <c r="J11" i="49"/>
  <c r="J11" i="16"/>
  <c r="J11" i="5"/>
  <c r="J11" i="56"/>
  <c r="J25" i="150" l="1"/>
  <c r="J26" i="150" s="1"/>
  <c r="J27" i="150" s="1"/>
  <c r="J28" i="150" s="1"/>
  <c r="J29" i="150" s="1"/>
  <c r="J30" i="150" s="1"/>
  <c r="J31" i="150" s="1"/>
  <c r="J32" i="150" s="1"/>
  <c r="J33" i="150" s="1"/>
  <c r="J34" i="150" s="1"/>
  <c r="J35" i="150" s="1"/>
  <c r="J36" i="150" s="1"/>
  <c r="J37" i="150" s="1"/>
  <c r="J12" i="44"/>
  <c r="J16" i="135"/>
  <c r="J13" i="144"/>
  <c r="J55" i="123" l="1"/>
  <c r="J56" i="123" s="1"/>
  <c r="J57" i="123" s="1"/>
  <c r="J58" i="123" s="1"/>
  <c r="J59" i="123" s="1"/>
  <c r="J60" i="123" s="1"/>
  <c r="J61" i="123" s="1"/>
  <c r="J62" i="123" s="1"/>
  <c r="J63" i="123" s="1"/>
  <c r="J64" i="123" s="1"/>
  <c r="J65" i="123" s="1"/>
  <c r="J66" i="123" s="1"/>
  <c r="J67" i="123" s="1"/>
  <c r="J68" i="123" s="1"/>
  <c r="J69" i="123" s="1"/>
  <c r="J70" i="123" s="1"/>
  <c r="J14" i="144"/>
  <c r="J17" i="135"/>
  <c r="J13" i="354"/>
  <c r="J12" i="56"/>
  <c r="J13" i="56"/>
  <c r="J12" i="356"/>
  <c r="J12" i="1"/>
  <c r="J12" i="5"/>
  <c r="J13" i="5"/>
  <c r="J12" i="16"/>
  <c r="J12" i="49"/>
  <c r="J14" i="56"/>
  <c r="J13" i="44"/>
  <c r="J14" i="44" s="1"/>
  <c r="J12" i="47"/>
  <c r="J12" i="355"/>
  <c r="J12" i="2"/>
  <c r="J13" i="2" s="1"/>
  <c r="J13" i="47"/>
  <c r="J14" i="47" s="1"/>
  <c r="J10" i="40"/>
  <c r="J11" i="40" s="1"/>
  <c r="J17" i="143" l="1"/>
  <c r="J18" i="143"/>
  <c r="J19" i="143"/>
  <c r="J20" i="143"/>
  <c r="J21" i="143"/>
  <c r="J22" i="143" s="1"/>
  <c r="J23" i="143" s="1"/>
  <c r="J24" i="143" s="1"/>
  <c r="J25" i="143" s="1"/>
  <c r="J26" i="143" s="1"/>
  <c r="J27" i="143" s="1"/>
  <c r="J28" i="143" s="1"/>
  <c r="J29" i="143" s="1"/>
  <c r="J30" i="143" s="1"/>
  <c r="J31" i="143" s="1"/>
  <c r="J32" i="143" s="1"/>
  <c r="J33" i="143" s="1"/>
  <c r="J34" i="143" s="1"/>
  <c r="J35" i="143" s="1"/>
  <c r="J36" i="143" s="1"/>
  <c r="J37" i="143" s="1"/>
  <c r="J38" i="143" s="1"/>
  <c r="J39" i="143" s="1"/>
  <c r="J40" i="143" s="1"/>
  <c r="J41" i="143" s="1"/>
  <c r="J42" i="143" s="1"/>
  <c r="J43" i="143" s="1"/>
  <c r="J44" i="143" s="1"/>
  <c r="J45" i="143" s="1"/>
  <c r="J46" i="143" s="1"/>
  <c r="J47" i="143" s="1"/>
  <c r="J48" i="143" s="1"/>
  <c r="J49" i="143" s="1"/>
  <c r="J50" i="143" s="1"/>
  <c r="J51" i="143" s="1"/>
  <c r="J52" i="143" s="1"/>
  <c r="J12" i="40"/>
  <c r="J15" i="47"/>
  <c r="J14" i="2"/>
  <c r="J13" i="355"/>
  <c r="J14" i="355" s="1"/>
  <c r="J13" i="49"/>
  <c r="J14" i="49" s="1"/>
  <c r="J15" i="44"/>
  <c r="J13" i="16"/>
  <c r="J13" i="40"/>
  <c r="J14" i="5"/>
  <c r="J15" i="5" s="1"/>
  <c r="J13" i="1"/>
  <c r="J18" i="135"/>
  <c r="J15" i="144"/>
  <c r="J16" i="144" s="1"/>
  <c r="J15" i="56"/>
  <c r="J14" i="40"/>
  <c r="J16" i="56"/>
  <c r="J17" i="56"/>
  <c r="J18" i="56"/>
  <c r="J19" i="56"/>
  <c r="J20" i="56"/>
  <c r="J21" i="56"/>
  <c r="J10" i="146"/>
  <c r="J11" i="146"/>
  <c r="J17" i="144"/>
  <c r="J22" i="56"/>
  <c r="J15" i="40"/>
  <c r="J16" i="40" s="1"/>
  <c r="J17" i="40" s="1"/>
  <c r="J18" i="40" s="1"/>
  <c r="J19" i="40" s="1"/>
  <c r="J20" i="40" s="1"/>
  <c r="J21" i="40" s="1"/>
  <c r="J22" i="40" s="1"/>
  <c r="J23" i="40" s="1"/>
  <c r="J24" i="40" s="1"/>
  <c r="J25" i="40" s="1"/>
  <c r="J26" i="40" s="1"/>
  <c r="J27" i="40" s="1"/>
  <c r="J28" i="40" s="1"/>
  <c r="J29" i="40" s="1"/>
  <c r="J30" i="40" s="1"/>
  <c r="J31" i="40" s="1"/>
  <c r="J32" i="40" s="1"/>
  <c r="J33" i="40" s="1"/>
  <c r="J34" i="40" s="1"/>
  <c r="J35" i="40" s="1"/>
  <c r="J36" i="40" s="1"/>
  <c r="J37" i="40" s="1"/>
  <c r="J38" i="40" s="1"/>
  <c r="J16" i="47"/>
  <c r="J19" i="135"/>
  <c r="J14" i="1"/>
  <c r="J16" i="5"/>
  <c r="J17" i="5" s="1"/>
  <c r="J14" i="16"/>
  <c r="J16" i="44"/>
  <c r="J15" i="49"/>
  <c r="J16" i="49" s="1"/>
  <c r="J15" i="2"/>
  <c r="J16" i="2"/>
  <c r="J17" i="44"/>
  <c r="J18" i="44" s="1"/>
  <c r="J19" i="44" s="1"/>
  <c r="J15" i="16"/>
  <c r="J16" i="16" s="1"/>
  <c r="J17" i="16" s="1"/>
  <c r="J18" i="16" s="1"/>
  <c r="J18" i="5"/>
  <c r="J20" i="135"/>
  <c r="J39" i="40"/>
  <c r="J40" i="40" s="1"/>
  <c r="J41" i="40" s="1"/>
  <c r="J42" i="40" s="1"/>
  <c r="J43" i="40" s="1"/>
  <c r="J44" i="40" s="1"/>
  <c r="J45" i="40" s="1"/>
  <c r="J46" i="40" s="1"/>
  <c r="J47" i="40" s="1"/>
  <c r="J48" i="40" s="1"/>
  <c r="J49" i="40" s="1"/>
  <c r="J50" i="40" s="1"/>
  <c r="J23" i="56"/>
  <c r="J17" i="49"/>
  <c r="J15" i="1"/>
  <c r="J16" i="1" s="1"/>
  <c r="J17" i="1" s="1"/>
  <c r="J18" i="1" s="1"/>
  <c r="J17" i="47"/>
  <c r="J12" i="146"/>
  <c r="J18" i="144"/>
  <c r="J19" i="144" s="1"/>
  <c r="J20" i="144"/>
  <c r="J21" i="144" s="1"/>
  <c r="J13" i="146"/>
  <c r="J18" i="47"/>
  <c r="J19" i="47" s="1"/>
  <c r="J18" i="49"/>
  <c r="J51" i="40"/>
  <c r="J52" i="40" s="1"/>
  <c r="J53" i="40" s="1"/>
  <c r="J54" i="40" s="1"/>
  <c r="J55" i="40" s="1"/>
  <c r="J56" i="40" s="1"/>
  <c r="J57" i="40" s="1"/>
  <c r="J58" i="40" s="1"/>
  <c r="J59" i="40" s="1"/>
  <c r="J60" i="40" s="1"/>
  <c r="J61" i="40" s="1"/>
  <c r="J62" i="40" s="1"/>
  <c r="J63" i="40" s="1"/>
  <c r="J64" i="40" s="1"/>
  <c r="J65" i="40" s="1"/>
  <c r="J66" i="40" s="1"/>
  <c r="J67" i="40" s="1"/>
  <c r="J68" i="40" s="1"/>
  <c r="J69" i="40" s="1"/>
  <c r="J70" i="40" s="1"/>
  <c r="J71" i="40" s="1"/>
  <c r="J72" i="40" s="1"/>
  <c r="J21" i="135"/>
  <c r="J19" i="16"/>
  <c r="J19" i="1"/>
  <c r="J20" i="1" s="1"/>
  <c r="J24" i="56"/>
  <c r="J20" i="44"/>
  <c r="J17" i="2"/>
  <c r="J19" i="5"/>
  <c r="J20" i="5"/>
  <c r="J21" i="5" s="1"/>
  <c r="J22" i="5" s="1"/>
  <c r="J21" i="44"/>
  <c r="J25" i="56"/>
  <c r="J21" i="1"/>
  <c r="J22" i="135"/>
  <c r="J19" i="49"/>
  <c r="J20" i="49" s="1"/>
  <c r="J21" i="49" s="1"/>
  <c r="J18" i="2"/>
  <c r="J20" i="16"/>
  <c r="J21" i="16" s="1"/>
  <c r="J22" i="16" s="1"/>
  <c r="J73" i="40"/>
  <c r="J14" i="146"/>
  <c r="J22" i="144"/>
  <c r="J20" i="47"/>
  <c r="J21" i="47"/>
  <c r="J23" i="144"/>
  <c r="J15" i="146"/>
  <c r="J23" i="16"/>
  <c r="J24" i="16" s="1"/>
  <c r="J19" i="2"/>
  <c r="J23" i="135"/>
  <c r="J26" i="56"/>
  <c r="J22" i="44"/>
  <c r="J74" i="40"/>
  <c r="J22" i="1"/>
  <c r="J23" i="1" s="1"/>
  <c r="J22" i="49"/>
  <c r="J23" i="5"/>
  <c r="J24" i="5"/>
  <c r="J24" i="1"/>
  <c r="J25" i="1" s="1"/>
  <c r="J75" i="40"/>
  <c r="J27" i="56"/>
  <c r="J25" i="16"/>
  <c r="J23" i="49"/>
  <c r="J23" i="44"/>
  <c r="J20" i="2"/>
  <c r="J24" i="144"/>
  <c r="J24" i="135"/>
  <c r="J22" i="47"/>
  <c r="J23" i="47" s="1"/>
  <c r="J16" i="146"/>
  <c r="J17" i="146"/>
  <c r="J25" i="135"/>
  <c r="J25" i="144"/>
  <c r="J24" i="44"/>
  <c r="J25" i="44" s="1"/>
  <c r="J28" i="56"/>
  <c r="J25" i="5"/>
  <c r="J26" i="5" s="1"/>
  <c r="J27" i="5" s="1"/>
  <c r="J28" i="5" s="1"/>
  <c r="J29" i="5" s="1"/>
  <c r="J24" i="47"/>
  <c r="J25" i="47" s="1"/>
  <c r="J21" i="2"/>
  <c r="J26" i="16"/>
  <c r="J24" i="49"/>
  <c r="J76" i="40"/>
  <c r="J26" i="1"/>
  <c r="J27" i="1"/>
  <c r="J28" i="1" s="1"/>
  <c r="J25" i="49"/>
  <c r="J27" i="16"/>
  <c r="J26" i="47"/>
  <c r="J30" i="5"/>
  <c r="J26" i="144"/>
  <c r="J77" i="40"/>
  <c r="J22" i="2"/>
  <c r="J23" i="2" s="1"/>
  <c r="J24" i="2" s="1"/>
  <c r="J25" i="2" s="1"/>
  <c r="J26" i="2" s="1"/>
  <c r="J27" i="2" s="1"/>
  <c r="J26" i="44"/>
  <c r="J29" i="56"/>
  <c r="J18" i="146"/>
  <c r="J26" i="135"/>
  <c r="J27" i="135"/>
  <c r="J30" i="56"/>
  <c r="J27" i="44"/>
  <c r="J78" i="40"/>
  <c r="J31" i="5"/>
  <c r="J19" i="146"/>
  <c r="J27" i="144"/>
  <c r="J28" i="16"/>
  <c r="J29" i="16" s="1"/>
  <c r="J26" i="49"/>
  <c r="J27" i="49" s="1"/>
  <c r="J28" i="49" s="1"/>
  <c r="J29" i="49" s="1"/>
  <c r="J30" i="49" s="1"/>
  <c r="J28" i="2"/>
  <c r="J29" i="1"/>
  <c r="J27" i="47"/>
  <c r="J28" i="47"/>
  <c r="J29" i="2"/>
  <c r="J28" i="144"/>
  <c r="J30" i="1"/>
  <c r="J31" i="1" s="1"/>
  <c r="J32" i="1" s="1"/>
  <c r="J33" i="1" s="1"/>
  <c r="J34" i="1" s="1"/>
  <c r="J31" i="49"/>
  <c r="J32" i="5"/>
  <c r="J28" i="135"/>
  <c r="J20" i="146"/>
  <c r="J79" i="40"/>
  <c r="J28" i="44"/>
  <c r="J31" i="56"/>
  <c r="J32" i="56"/>
  <c r="J33" i="56" s="1"/>
  <c r="J29" i="44"/>
  <c r="J80" i="40"/>
  <c r="J29" i="135"/>
  <c r="J30" i="135" s="1"/>
  <c r="J33" i="5"/>
  <c r="J32" i="49"/>
  <c r="J33" i="49" s="1"/>
  <c r="J34" i="49" s="1"/>
  <c r="J29" i="144"/>
  <c r="J29" i="47"/>
  <c r="J21" i="146"/>
  <c r="J30" i="2"/>
  <c r="J35" i="1"/>
  <c r="J36" i="1"/>
  <c r="J22" i="146"/>
  <c r="J30" i="144"/>
  <c r="J35" i="49"/>
  <c r="J31" i="135"/>
  <c r="J31" i="2"/>
  <c r="J30" i="47"/>
  <c r="J31" i="47" s="1"/>
  <c r="J32" i="47" s="1"/>
  <c r="J33" i="47" s="1"/>
  <c r="J81" i="40"/>
  <c r="J34" i="56"/>
  <c r="J34" i="5"/>
  <c r="J30" i="44"/>
  <c r="J31" i="44"/>
  <c r="J32" i="44" s="1"/>
  <c r="J33" i="44" s="1"/>
  <c r="J35" i="56"/>
  <c r="J82" i="40"/>
  <c r="J34" i="47"/>
  <c r="J32" i="2"/>
  <c r="J31" i="144"/>
  <c r="J35" i="5"/>
  <c r="J36" i="5" s="1"/>
  <c r="J32" i="135"/>
  <c r="J23" i="146"/>
  <c r="J37" i="1"/>
  <c r="J36" i="49"/>
  <c r="J37" i="49"/>
  <c r="J38" i="49" s="1"/>
  <c r="J39" i="49" s="1"/>
  <c r="J38" i="1"/>
  <c r="J24" i="146"/>
  <c r="J33" i="135"/>
  <c r="J32" i="144"/>
  <c r="J33" i="2"/>
  <c r="J83" i="40"/>
  <c r="J37" i="5"/>
  <c r="J36" i="56"/>
  <c r="J35" i="47"/>
  <c r="J34" i="44"/>
  <c r="J35" i="44"/>
  <c r="J36" i="44" s="1"/>
  <c r="J37" i="56"/>
  <c r="J38" i="5"/>
  <c r="J84" i="40"/>
  <c r="J34" i="135"/>
  <c r="J39" i="1"/>
  <c r="J36" i="47"/>
  <c r="J34" i="2"/>
  <c r="J25" i="146"/>
  <c r="J33" i="144"/>
  <c r="J34" i="144" s="1"/>
  <c r="J40" i="49"/>
  <c r="J41" i="49"/>
  <c r="J35" i="144"/>
  <c r="J35" i="2"/>
  <c r="J37" i="47"/>
  <c r="J35" i="135"/>
  <c r="J85" i="40"/>
  <c r="J38" i="56"/>
  <c r="J26" i="146"/>
  <c r="J40" i="1"/>
  <c r="J41" i="1" s="1"/>
  <c r="J37" i="44"/>
  <c r="J39" i="5"/>
  <c r="J40" i="5"/>
  <c r="J41" i="5" s="1"/>
  <c r="J38" i="44"/>
  <c r="J42" i="1"/>
  <c r="J43" i="1" s="1"/>
  <c r="J27" i="146"/>
  <c r="J86" i="40"/>
  <c r="J36" i="135"/>
  <c r="J36" i="2"/>
  <c r="J42" i="49"/>
  <c r="J43" i="49" s="1"/>
  <c r="J39" i="56"/>
  <c r="J36" i="144"/>
  <c r="J38" i="47"/>
  <c r="J39" i="47"/>
  <c r="J37" i="144"/>
  <c r="J40" i="56"/>
  <c r="J37" i="2"/>
  <c r="J44" i="49"/>
  <c r="J37" i="135"/>
  <c r="J28" i="146"/>
  <c r="J39" i="44"/>
  <c r="J87" i="40"/>
  <c r="J44" i="1"/>
  <c r="J42" i="5"/>
  <c r="J43" i="5"/>
  <c r="J88" i="40"/>
  <c r="J40" i="44"/>
  <c r="J29" i="146"/>
  <c r="J45" i="49"/>
  <c r="J45" i="1"/>
  <c r="J38" i="135"/>
  <c r="J41" i="56"/>
  <c r="J38" i="2"/>
  <c r="J40" i="47"/>
  <c r="J41" i="47"/>
  <c r="J39" i="2"/>
  <c r="J42" i="56"/>
  <c r="J46" i="1"/>
  <c r="J47" i="1" s="1"/>
  <c r="J46" i="49"/>
  <c r="J89" i="40"/>
  <c r="J39" i="135"/>
  <c r="J30" i="146"/>
  <c r="J44" i="5"/>
  <c r="J41" i="44"/>
  <c r="J42" i="44"/>
  <c r="J90" i="40"/>
  <c r="J48" i="1"/>
  <c r="J42" i="47"/>
  <c r="J45" i="5"/>
  <c r="J40" i="135"/>
  <c r="J43" i="56"/>
  <c r="J47" i="49"/>
  <c r="J48" i="49" s="1"/>
  <c r="J40" i="2"/>
  <c r="J41" i="2"/>
  <c r="J49" i="49"/>
  <c r="J44" i="56"/>
  <c r="J45" i="56" s="1"/>
  <c r="J43" i="47"/>
  <c r="J49" i="1"/>
  <c r="J50" i="1" s="1"/>
  <c r="J46" i="5"/>
  <c r="J43" i="44"/>
  <c r="J91" i="40"/>
  <c r="J92" i="40"/>
  <c r="J47" i="5"/>
  <c r="J48" i="5" s="1"/>
  <c r="J51" i="1"/>
  <c r="J46" i="56"/>
  <c r="J50" i="49"/>
  <c r="J44" i="44"/>
  <c r="J44" i="47"/>
  <c r="J45" i="47" s="1"/>
  <c r="J42" i="2"/>
  <c r="J43" i="2" s="1"/>
  <c r="J44" i="2"/>
  <c r="J46" i="47"/>
  <c r="J51" i="49"/>
  <c r="J47" i="56"/>
  <c r="J52" i="1"/>
  <c r="J93" i="40"/>
  <c r="J45" i="44"/>
  <c r="J49" i="5"/>
  <c r="J50" i="5"/>
  <c r="J94" i="40"/>
  <c r="J53" i="1"/>
  <c r="J48" i="56"/>
  <c r="J45" i="2"/>
  <c r="J46" i="44"/>
  <c r="J47" i="47"/>
  <c r="J52" i="49"/>
  <c r="J53" i="49" s="1"/>
  <c r="J54" i="49"/>
  <c r="J47" i="44"/>
  <c r="J46" i="2"/>
  <c r="J95" i="40"/>
  <c r="J48" i="47"/>
  <c r="J49" i="56"/>
  <c r="J54" i="1"/>
  <c r="J51" i="5"/>
  <c r="J52" i="5"/>
  <c r="J55" i="1"/>
  <c r="J50" i="56"/>
  <c r="J96" i="40"/>
  <c r="J47" i="2"/>
  <c r="J48" i="44"/>
  <c r="J49" i="47"/>
  <c r="J55" i="49"/>
  <c r="J56" i="49"/>
  <c r="J49" i="44"/>
  <c r="J51" i="56"/>
  <c r="J50" i="47"/>
  <c r="J97" i="40"/>
  <c r="J53" i="5"/>
  <c r="J48" i="2"/>
  <c r="J56" i="1"/>
  <c r="J57" i="1"/>
  <c r="J49" i="2"/>
  <c r="J54" i="5"/>
  <c r="J55" i="5" s="1"/>
  <c r="J51" i="47"/>
  <c r="J52" i="56"/>
  <c r="J50" i="44"/>
  <c r="J98" i="40"/>
  <c r="J57" i="49"/>
  <c r="J58" i="49"/>
  <c r="J59" i="49" s="1"/>
  <c r="J99" i="40"/>
  <c r="J53" i="56"/>
  <c r="J52" i="47"/>
  <c r="J56" i="5"/>
  <c r="J58" i="1"/>
  <c r="J59" i="1" s="1"/>
  <c r="J51" i="44"/>
  <c r="J50" i="2"/>
  <c r="J51" i="2"/>
  <c r="J52" i="2" s="1"/>
  <c r="J60" i="1"/>
  <c r="J61" i="1" s="1"/>
  <c r="J62" i="1" s="1"/>
  <c r="J57" i="5"/>
  <c r="J53" i="47"/>
  <c r="J54" i="56"/>
  <c r="J60" i="49"/>
  <c r="J52" i="44"/>
  <c r="J100" i="40"/>
  <c r="J101" i="40"/>
  <c r="J61" i="49"/>
  <c r="J55" i="56"/>
  <c r="J58" i="5"/>
  <c r="J63" i="1"/>
  <c r="J53" i="44"/>
  <c r="J53" i="2"/>
  <c r="J54" i="47"/>
  <c r="J55" i="47"/>
  <c r="J54" i="2"/>
  <c r="J55" i="2" s="1"/>
  <c r="J64" i="1"/>
  <c r="J59" i="5"/>
  <c r="J56" i="56"/>
  <c r="J57" i="56" s="1"/>
  <c r="J102" i="40"/>
  <c r="J54" i="44"/>
  <c r="J62" i="49"/>
  <c r="J63" i="49" s="1"/>
  <c r="J64" i="49" s="1"/>
  <c r="J65" i="49"/>
  <c r="J55" i="44"/>
  <c r="J103" i="40"/>
  <c r="J58" i="56"/>
  <c r="J56" i="2"/>
  <c r="J56" i="47"/>
  <c r="J57" i="47" s="1"/>
  <c r="J65" i="1"/>
  <c r="J60" i="5"/>
  <c r="J61" i="5"/>
  <c r="J58" i="47"/>
  <c r="J59" i="56"/>
  <c r="J104" i="40"/>
  <c r="J66" i="1"/>
  <c r="J57" i="2"/>
  <c r="J66" i="49"/>
  <c r="J56" i="44"/>
  <c r="J57" i="44"/>
  <c r="J67" i="49"/>
  <c r="J68" i="49" s="1"/>
  <c r="J58" i="2"/>
  <c r="J67" i="1"/>
  <c r="J60" i="56"/>
  <c r="J59" i="47"/>
  <c r="J62" i="5"/>
  <c r="J105" i="40"/>
  <c r="J106" i="40"/>
  <c r="J63" i="5"/>
  <c r="J60" i="47"/>
  <c r="J68" i="1"/>
  <c r="J69" i="1" s="1"/>
  <c r="J59" i="2"/>
  <c r="J69" i="49"/>
  <c r="J61" i="56"/>
  <c r="J58" i="44"/>
  <c r="J59" i="44"/>
  <c r="J62" i="56"/>
  <c r="J60" i="2"/>
  <c r="J70" i="1"/>
  <c r="J61" i="47"/>
  <c r="J107" i="40"/>
  <c r="J70" i="49"/>
  <c r="J64" i="5"/>
  <c r="J65" i="5"/>
  <c r="J62" i="47"/>
  <c r="J63" i="56"/>
  <c r="J71" i="49"/>
  <c r="J71" i="1"/>
  <c r="J108" i="40"/>
  <c r="J60" i="44"/>
  <c r="J61" i="2"/>
  <c r="J62" i="2"/>
  <c r="J109" i="40"/>
  <c r="J72" i="1"/>
  <c r="J72" i="49"/>
  <c r="J64" i="56"/>
  <c r="J66" i="5"/>
  <c r="J61" i="44"/>
  <c r="J63" i="47"/>
  <c r="J64" i="47"/>
  <c r="J62" i="44"/>
  <c r="J67" i="5"/>
  <c r="J73" i="49"/>
  <c r="J73" i="1"/>
  <c r="J110" i="40"/>
  <c r="J63" i="2"/>
  <c r="J65" i="56"/>
  <c r="J66" i="56"/>
  <c r="J111" i="40"/>
  <c r="J74" i="49"/>
  <c r="J63" i="44"/>
  <c r="J64" i="2"/>
  <c r="J74" i="1"/>
  <c r="J65" i="47"/>
  <c r="J68" i="5"/>
  <c r="J69" i="5"/>
  <c r="J75" i="1"/>
  <c r="J65" i="2"/>
  <c r="J75" i="49"/>
  <c r="J66" i="47"/>
  <c r="J64" i="44"/>
  <c r="J67" i="56"/>
  <c r="J112" i="40"/>
  <c r="J113" i="40"/>
  <c r="J65" i="44"/>
  <c r="J67" i="47"/>
  <c r="J66" i="2"/>
  <c r="J67" i="2" s="1"/>
  <c r="J70" i="5"/>
  <c r="J68" i="56"/>
  <c r="J69" i="56" s="1"/>
  <c r="J76" i="49"/>
  <c r="J76" i="1"/>
  <c r="J77" i="1"/>
  <c r="J70" i="56"/>
  <c r="J71" i="5"/>
  <c r="J68" i="47"/>
  <c r="J69" i="47" s="1"/>
  <c r="J114" i="40"/>
  <c r="J77" i="49"/>
  <c r="J68" i="2"/>
  <c r="J66" i="44"/>
  <c r="J67" i="44"/>
  <c r="J69" i="2"/>
  <c r="J78" i="49"/>
  <c r="J115" i="40"/>
  <c r="J70" i="47"/>
  <c r="J71" i="56"/>
  <c r="J78" i="1"/>
  <c r="J72" i="5"/>
  <c r="J73" i="5"/>
  <c r="J79" i="1"/>
  <c r="J71" i="47"/>
  <c r="J116" i="40"/>
  <c r="J68" i="44"/>
  <c r="J72" i="56"/>
  <c r="J70" i="2"/>
  <c r="J79" i="49"/>
  <c r="J80" i="49"/>
  <c r="J71" i="2"/>
  <c r="J73" i="56"/>
  <c r="J117" i="40"/>
  <c r="J72" i="47"/>
  <c r="J74" i="5"/>
  <c r="J69" i="44"/>
  <c r="J80" i="1"/>
  <c r="J81" i="1"/>
  <c r="J70" i="44"/>
  <c r="J75" i="5"/>
  <c r="J118" i="40"/>
  <c r="J74" i="56"/>
  <c r="J72" i="2"/>
  <c r="J81" i="49"/>
  <c r="J73" i="47"/>
  <c r="J74" i="47"/>
  <c r="J82" i="49"/>
  <c r="J75" i="56"/>
  <c r="J119" i="40"/>
  <c r="J76" i="5"/>
  <c r="J82" i="1"/>
  <c r="J73" i="2"/>
  <c r="J71" i="44"/>
  <c r="J72" i="44"/>
  <c r="J74" i="2"/>
  <c r="J83" i="1"/>
  <c r="J77" i="5"/>
  <c r="J120" i="40"/>
  <c r="J76" i="56"/>
  <c r="J83" i="49"/>
  <c r="J75" i="47"/>
  <c r="J76" i="47"/>
  <c r="J84" i="49"/>
  <c r="J77" i="56"/>
  <c r="J121" i="40"/>
  <c r="J78" i="5"/>
  <c r="J84" i="1"/>
  <c r="J75" i="2"/>
  <c r="J73" i="44"/>
  <c r="J74" i="44"/>
  <c r="J76" i="2"/>
  <c r="J79" i="5"/>
  <c r="J122" i="40"/>
  <c r="J85" i="49"/>
  <c r="J85" i="1"/>
  <c r="J78" i="56"/>
  <c r="J77" i="47"/>
  <c r="J78" i="47"/>
  <c r="J86" i="1"/>
  <c r="J86" i="49"/>
  <c r="J80" i="5"/>
  <c r="J79" i="56"/>
  <c r="J123" i="40"/>
  <c r="J75" i="44"/>
  <c r="J77" i="2"/>
  <c r="J78" i="2"/>
  <c r="J124" i="40"/>
  <c r="J80" i="56"/>
  <c r="J81" i="56" s="1"/>
  <c r="J87" i="49"/>
  <c r="J87" i="1"/>
  <c r="J76" i="44"/>
  <c r="J81" i="5"/>
  <c r="J79" i="47"/>
  <c r="J80" i="47"/>
  <c r="J81" i="47" s="1"/>
  <c r="J82" i="5"/>
  <c r="J77" i="44"/>
  <c r="J78" i="44" s="1"/>
  <c r="J88" i="1"/>
  <c r="J88" i="49"/>
  <c r="J125" i="40"/>
  <c r="J79" i="2"/>
  <c r="J82" i="56"/>
  <c r="J83" i="56"/>
  <c r="J80" i="2"/>
  <c r="J126" i="40"/>
  <c r="J89" i="1"/>
  <c r="J82" i="47"/>
  <c r="J89" i="49"/>
  <c r="J83" i="5"/>
  <c r="J84" i="5"/>
  <c r="J90" i="49"/>
  <c r="J83" i="47"/>
  <c r="J127" i="40"/>
  <c r="J81" i="2"/>
  <c r="J84" i="56"/>
  <c r="J90" i="1"/>
  <c r="J91" i="1"/>
  <c r="J85" i="56"/>
  <c r="J82" i="2"/>
  <c r="J128" i="40"/>
  <c r="J84" i="47"/>
  <c r="J91" i="49"/>
  <c r="J85" i="5"/>
  <c r="J86" i="5"/>
  <c r="J92" i="49"/>
  <c r="J129" i="40"/>
  <c r="J83" i="2"/>
  <c r="J86" i="56"/>
  <c r="J85" i="47"/>
  <c r="J92" i="1"/>
  <c r="J93" i="1"/>
  <c r="J84" i="2"/>
  <c r="J130" i="40"/>
  <c r="J86" i="47"/>
  <c r="J87" i="56"/>
  <c r="J93" i="49"/>
  <c r="J87" i="5"/>
  <c r="J88" i="5"/>
  <c r="J94" i="49"/>
  <c r="J88" i="56"/>
  <c r="J87" i="47"/>
  <c r="J131" i="40"/>
  <c r="J94" i="1"/>
  <c r="J85" i="2"/>
  <c r="J86" i="2"/>
  <c r="J95" i="1"/>
  <c r="J88" i="47"/>
  <c r="J89" i="56"/>
  <c r="J95" i="49"/>
  <c r="J132" i="40"/>
  <c r="J89" i="5"/>
  <c r="J90" i="5"/>
  <c r="J133" i="40"/>
  <c r="J96" i="49"/>
  <c r="J90" i="56"/>
  <c r="J89" i="47"/>
  <c r="J96" i="1"/>
  <c r="J87" i="2"/>
  <c r="J88" i="2"/>
  <c r="J97" i="1"/>
  <c r="J91" i="56"/>
  <c r="J97" i="49"/>
  <c r="J134" i="40"/>
  <c r="J90" i="47"/>
  <c r="J91" i="5"/>
  <c r="J92" i="5"/>
  <c r="J91" i="47"/>
  <c r="J135" i="40"/>
  <c r="J98" i="49"/>
  <c r="J92" i="56"/>
  <c r="J93" i="56" s="1"/>
  <c r="J89" i="2"/>
  <c r="J98" i="1"/>
  <c r="J99" i="1"/>
  <c r="J90" i="2"/>
  <c r="J94" i="56"/>
  <c r="J136" i="40"/>
  <c r="J92" i="47"/>
  <c r="J93" i="5"/>
  <c r="J99" i="49"/>
  <c r="J100" i="49"/>
  <c r="J101" i="49" s="1"/>
  <c r="J94" i="5"/>
  <c r="J137" i="40"/>
  <c r="J91" i="2"/>
  <c r="J95" i="56"/>
  <c r="J100" i="1"/>
  <c r="J101" i="1"/>
  <c r="J92" i="2"/>
  <c r="J138" i="40"/>
  <c r="J102" i="49"/>
  <c r="J96" i="56"/>
  <c r="J95" i="5"/>
  <c r="J96" i="5"/>
  <c r="J103" i="49"/>
  <c r="J102" i="1"/>
  <c r="J97" i="56"/>
  <c r="J93" i="2"/>
  <c r="J139" i="40"/>
  <c r="J140" i="40"/>
  <c r="J94" i="2"/>
  <c r="J98" i="56"/>
  <c r="J103" i="1"/>
  <c r="J104" i="49"/>
  <c r="J97" i="5"/>
  <c r="J98" i="5" s="1"/>
  <c r="J99" i="5"/>
  <c r="J105" i="49"/>
  <c r="J99" i="56"/>
  <c r="J95" i="2"/>
  <c r="J141" i="40"/>
  <c r="J104" i="1"/>
  <c r="J105" i="1"/>
  <c r="J142" i="40"/>
  <c r="J100" i="56"/>
  <c r="J106" i="49"/>
  <c r="J100" i="5"/>
  <c r="J96" i="2"/>
  <c r="J97" i="2"/>
  <c r="J107" i="49"/>
  <c r="J101" i="56"/>
  <c r="J106" i="1"/>
  <c r="J101" i="5"/>
  <c r="J143" i="40"/>
  <c r="J144" i="40"/>
  <c r="J107" i="1"/>
  <c r="J102" i="56"/>
  <c r="J103" i="56" s="1"/>
  <c r="J108" i="49"/>
  <c r="J102" i="5"/>
  <c r="J98" i="2"/>
  <c r="J99" i="2"/>
  <c r="J109" i="49"/>
  <c r="J104" i="56"/>
  <c r="J145" i="40"/>
  <c r="J103" i="5"/>
  <c r="J108" i="1"/>
  <c r="J109" i="1"/>
  <c r="J146" i="40"/>
  <c r="J105" i="56"/>
  <c r="J110" i="49"/>
  <c r="J100" i="2"/>
  <c r="J104" i="5"/>
  <c r="J105" i="5"/>
  <c r="J111" i="49"/>
  <c r="J106" i="56"/>
  <c r="J110" i="1"/>
  <c r="J101" i="2"/>
  <c r="J147" i="40"/>
  <c r="J148" i="40"/>
  <c r="J107" i="56"/>
  <c r="J106" i="5"/>
  <c r="J102" i="2"/>
  <c r="J111" i="1"/>
  <c r="J112" i="49"/>
  <c r="J113" i="49"/>
  <c r="J112" i="1"/>
  <c r="J113" i="1" s="1"/>
  <c r="J103" i="2"/>
  <c r="J108" i="56"/>
  <c r="J149" i="40"/>
  <c r="J107" i="5"/>
  <c r="J108" i="5"/>
  <c r="J150" i="40"/>
  <c r="J109" i="56"/>
  <c r="J104" i="2"/>
  <c r="J114" i="49"/>
  <c r="J114" i="1"/>
  <c r="J115" i="1"/>
  <c r="J115" i="49"/>
  <c r="J105" i="2"/>
  <c r="J151" i="40"/>
  <c r="J109" i="5"/>
  <c r="J110" i="56"/>
  <c r="J111" i="56"/>
  <c r="J110" i="5"/>
  <c r="J152" i="40"/>
  <c r="J106" i="2"/>
  <c r="J116" i="1"/>
  <c r="J116" i="49"/>
  <c r="J117" i="49"/>
  <c r="J107" i="2"/>
  <c r="J153" i="40"/>
  <c r="J111" i="5"/>
  <c r="J117" i="1"/>
  <c r="J112" i="56"/>
  <c r="J113" i="56"/>
  <c r="J118" i="1"/>
  <c r="J112" i="5"/>
  <c r="J108" i="2"/>
  <c r="J118" i="49"/>
  <c r="J154" i="40"/>
  <c r="J155" i="40"/>
  <c r="J119" i="49"/>
  <c r="J109" i="2"/>
  <c r="J113" i="5"/>
  <c r="J119" i="1"/>
  <c r="J114" i="56"/>
  <c r="J115" i="56"/>
  <c r="J120" i="1"/>
  <c r="J114" i="5"/>
  <c r="J110" i="2"/>
  <c r="J120" i="49"/>
  <c r="J156" i="40"/>
  <c r="J157" i="40"/>
  <c r="J121" i="49"/>
  <c r="J111" i="2"/>
  <c r="J115" i="5"/>
  <c r="J116" i="56"/>
  <c r="J121" i="1"/>
  <c r="J122" i="1"/>
  <c r="J117" i="56"/>
  <c r="J116" i="5"/>
  <c r="J122" i="49"/>
  <c r="J158" i="40"/>
  <c r="J112" i="2"/>
  <c r="J113" i="2"/>
  <c r="J159" i="40"/>
  <c r="J117" i="5"/>
  <c r="J118" i="56"/>
  <c r="J123" i="1"/>
  <c r="J123" i="49"/>
  <c r="J124" i="49"/>
  <c r="J119" i="56"/>
  <c r="J118" i="5"/>
  <c r="J160" i="40"/>
  <c r="J114" i="2"/>
  <c r="J124" i="1"/>
  <c r="J125" i="1"/>
  <c r="J115" i="2"/>
  <c r="J161" i="40"/>
  <c r="J119" i="5"/>
  <c r="J120" i="56"/>
  <c r="J125" i="49"/>
  <c r="J126" i="49"/>
  <c r="J121" i="56"/>
  <c r="J120" i="5"/>
  <c r="J162" i="40"/>
  <c r="J116" i="2"/>
  <c r="J126" i="1"/>
  <c r="J127" i="1"/>
  <c r="J117" i="2"/>
  <c r="J163" i="40"/>
  <c r="J121" i="5"/>
  <c r="J127" i="49"/>
  <c r="J122" i="56"/>
  <c r="J123" i="56"/>
  <c r="J128" i="49"/>
  <c r="J122" i="5"/>
  <c r="J164" i="40"/>
  <c r="J118" i="2"/>
  <c r="J128" i="1"/>
  <c r="J129" i="1"/>
  <c r="J119" i="2"/>
  <c r="J165" i="40"/>
  <c r="J123" i="5"/>
  <c r="J129" i="49"/>
  <c r="J124" i="56"/>
  <c r="J125" i="56"/>
  <c r="J130" i="49"/>
  <c r="J166" i="40"/>
  <c r="J120" i="2"/>
  <c r="J124" i="5"/>
  <c r="J130" i="1"/>
  <c r="J131" i="1"/>
  <c r="J121" i="2"/>
  <c r="J167" i="40"/>
  <c r="J131" i="49"/>
  <c r="J125" i="5"/>
  <c r="J126" i="56"/>
  <c r="J127" i="56"/>
  <c r="J126" i="5"/>
  <c r="J132" i="49"/>
  <c r="J133" i="49" s="1"/>
  <c r="J168" i="40"/>
  <c r="J132" i="1"/>
  <c r="J122" i="2"/>
  <c r="J123" i="2"/>
  <c r="J133" i="1"/>
  <c r="J169" i="40"/>
  <c r="J134" i="49"/>
  <c r="J127" i="5"/>
  <c r="J128" i="56"/>
  <c r="J129" i="56"/>
  <c r="J128" i="5"/>
  <c r="J135" i="49"/>
  <c r="J170" i="40"/>
  <c r="J124" i="2"/>
  <c r="J134" i="1"/>
  <c r="J135" i="1"/>
  <c r="J136" i="1" s="1"/>
  <c r="J137" i="1" s="1"/>
  <c r="J138" i="1" s="1"/>
  <c r="J139" i="1" s="1"/>
  <c r="J140" i="1" s="1"/>
  <c r="J141" i="1" s="1"/>
  <c r="J142" i="1" s="1"/>
  <c r="J143" i="1" s="1"/>
  <c r="J144" i="1" s="1"/>
  <c r="J145" i="1" s="1"/>
  <c r="J146" i="1" s="1"/>
  <c r="J125" i="2"/>
  <c r="J171" i="40"/>
  <c r="J129" i="5"/>
  <c r="J130" i="56"/>
  <c r="J136" i="49"/>
  <c r="J137" i="49"/>
  <c r="J130" i="5"/>
  <c r="J172" i="40"/>
  <c r="J126" i="2"/>
  <c r="J131" i="56"/>
  <c r="J132" i="56"/>
  <c r="J127" i="2"/>
  <c r="J131" i="5"/>
  <c r="J138" i="49"/>
  <c r="J173" i="40"/>
  <c r="J174" i="40"/>
  <c r="J128" i="2"/>
  <c r="J139" i="49"/>
  <c r="J132" i="5"/>
  <c r="J133" i="56"/>
  <c r="J134" i="56"/>
  <c r="J133" i="5"/>
  <c r="J140" i="49"/>
  <c r="J129" i="2"/>
  <c r="J175" i="40"/>
  <c r="J176" i="40"/>
  <c r="J130" i="2"/>
  <c r="J134" i="5"/>
  <c r="J135" i="56"/>
  <c r="J141" i="49"/>
  <c r="J142" i="49"/>
  <c r="J136" i="56"/>
  <c r="J135" i="5"/>
  <c r="J177" i="40"/>
  <c r="J131" i="2"/>
  <c r="J132" i="2"/>
  <c r="J178" i="40"/>
  <c r="J136" i="5"/>
  <c r="J143" i="49"/>
  <c r="J137" i="56"/>
  <c r="J138" i="56"/>
  <c r="J144" i="49"/>
  <c r="J137" i="5"/>
  <c r="J179" i="40"/>
  <c r="J133" i="2"/>
  <c r="J134" i="2"/>
  <c r="J138" i="5"/>
  <c r="J145" i="49"/>
  <c r="J180" i="40"/>
  <c r="J139" i="56"/>
  <c r="J140" i="56"/>
  <c r="J181" i="40"/>
  <c r="J139" i="5"/>
  <c r="J135" i="2"/>
  <c r="J146" i="49"/>
  <c r="J147" i="49"/>
  <c r="J140" i="5"/>
  <c r="J141" i="5" s="1"/>
  <c r="J136" i="2"/>
  <c r="J182" i="40"/>
  <c r="J183" i="40"/>
  <c r="J142" i="5"/>
  <c r="J148" i="49"/>
  <c r="J137" i="2"/>
  <c r="J138" i="2"/>
  <c r="J149" i="49"/>
  <c r="J143" i="5"/>
  <c r="J184" i="40"/>
  <c r="J185" i="40"/>
  <c r="J144" i="5"/>
  <c r="J150" i="49"/>
  <c r="J139" i="2"/>
  <c r="J140" i="2"/>
  <c r="J151" i="49"/>
  <c r="J145" i="5"/>
  <c r="J186" i="40"/>
  <c r="J187" i="40"/>
  <c r="J152" i="49"/>
  <c r="J146" i="5"/>
  <c r="J141" i="2"/>
  <c r="J142" i="2"/>
  <c r="J147" i="5"/>
  <c r="J188" i="40"/>
  <c r="J153" i="49"/>
  <c r="J154" i="49"/>
  <c r="J189" i="40"/>
  <c r="J148" i="5"/>
  <c r="J143" i="2"/>
  <c r="J144" i="2"/>
  <c r="J149" i="5"/>
  <c r="J155" i="49"/>
  <c r="J190" i="40"/>
  <c r="J191" i="40"/>
  <c r="J156" i="49"/>
  <c r="J150" i="5"/>
  <c r="J145" i="2"/>
  <c r="J146" i="2"/>
  <c r="J151" i="5"/>
  <c r="J192" i="40"/>
  <c r="J157" i="49"/>
  <c r="J158" i="49"/>
  <c r="J193" i="40"/>
  <c r="J147" i="2"/>
  <c r="J152" i="5"/>
  <c r="J148" i="2"/>
  <c r="J194" i="40"/>
  <c r="J153" i="5"/>
  <c r="J159" i="49"/>
  <c r="J160" i="49"/>
  <c r="J195" i="40"/>
  <c r="J154" i="5"/>
  <c r="J149" i="2"/>
  <c r="J150" i="2"/>
  <c r="J155" i="5"/>
  <c r="J196" i="40"/>
  <c r="J161" i="49"/>
  <c r="J162" i="49"/>
  <c r="J197" i="40"/>
  <c r="J156" i="5"/>
  <c r="J151" i="2"/>
  <c r="J152" i="2"/>
  <c r="J157" i="5"/>
  <c r="J198" i="40"/>
  <c r="J163" i="49"/>
  <c r="J164" i="49" s="1"/>
  <c r="J165" i="49"/>
  <c r="J199" i="40"/>
  <c r="J158" i="5"/>
  <c r="J153" i="2"/>
  <c r="J159" i="5"/>
  <c r="J200" i="40"/>
  <c r="J166" i="49"/>
  <c r="J167" i="49"/>
  <c r="J201" i="40"/>
  <c r="J160" i="5"/>
  <c r="J202" i="40"/>
  <c r="J168" i="49"/>
  <c r="J169" i="49"/>
  <c r="J203" i="40"/>
  <c r="J204" i="40"/>
  <c r="J170" i="49"/>
  <c r="J171" i="49"/>
  <c r="J205" i="40"/>
  <c r="J206" i="40"/>
  <c r="J172" i="49"/>
  <c r="J173" i="49"/>
  <c r="J207" i="40"/>
  <c r="J208" i="40"/>
  <c r="J174" i="49"/>
  <c r="J175" i="49"/>
  <c r="J209" i="40"/>
  <c r="J210" i="40" s="1"/>
  <c r="J211" i="40"/>
  <c r="J176" i="49"/>
  <c r="J177" i="49"/>
  <c r="J212" i="40"/>
  <c r="J213" i="40"/>
  <c r="J178" i="49"/>
  <c r="J179" i="49"/>
  <c r="J214" i="40"/>
  <c r="J215" i="40"/>
  <c r="J180" i="49"/>
  <c r="J181" i="49"/>
  <c r="J216" i="40"/>
  <c r="J217" i="40"/>
  <c r="J182" i="49"/>
  <c r="J183" i="49"/>
  <c r="J218" i="40"/>
  <c r="J219" i="40"/>
  <c r="J184" i="49"/>
  <c r="J185" i="49"/>
  <c r="J220" i="40"/>
  <c r="J221" i="40"/>
  <c r="J186" i="49"/>
  <c r="J187" i="49"/>
  <c r="J222" i="40"/>
  <c r="J223" i="40"/>
  <c r="J188" i="49"/>
  <c r="J189" i="49"/>
  <c r="J224" i="40"/>
  <c r="J225" i="40"/>
  <c r="J190" i="49"/>
  <c r="J191" i="49"/>
  <c r="J226" i="40"/>
  <c r="J227" i="40"/>
  <c r="J192" i="49"/>
  <c r="J193" i="49"/>
  <c r="J228" i="40"/>
  <c r="J229" i="40"/>
  <c r="J194" i="49"/>
  <c r="J195" i="49"/>
  <c r="J230" i="40"/>
  <c r="J231" i="40"/>
  <c r="J196" i="49"/>
  <c r="J197" i="49" s="1"/>
  <c r="J198" i="49"/>
  <c r="J232" i="40"/>
  <c r="J233" i="40"/>
  <c r="J199" i="49"/>
  <c r="J200" i="49"/>
  <c r="J234" i="40"/>
  <c r="J235" i="40"/>
  <c r="J201" i="49"/>
  <c r="J202" i="49"/>
  <c r="J236" i="40"/>
  <c r="J237" i="40"/>
  <c r="J203" i="49"/>
  <c r="J204" i="49"/>
  <c r="J238" i="40"/>
  <c r="J239" i="40"/>
  <c r="J205" i="49"/>
  <c r="J206" i="49"/>
  <c r="J240" i="40"/>
  <c r="J241" i="40"/>
  <c r="J207" i="49"/>
  <c r="J208" i="49"/>
  <c r="J242" i="40"/>
  <c r="J243" i="40"/>
  <c r="J209" i="49"/>
  <c r="J244" i="40"/>
  <c r="J245" i="40"/>
  <c r="J246" i="40"/>
  <c r="J247" i="40"/>
  <c r="J248" i="40"/>
  <c r="J249" i="40"/>
  <c r="J250" i="40"/>
  <c r="J251" i="40"/>
  <c r="J252" i="40"/>
  <c r="J253" i="40"/>
  <c r="J254" i="40"/>
  <c r="J255" i="40"/>
  <c r="J256" i="40"/>
  <c r="J257" i="40"/>
  <c r="J258" i="40"/>
  <c r="J259" i="40"/>
  <c r="J260" i="40"/>
  <c r="J261" i="40"/>
  <c r="J262" i="40"/>
  <c r="J263" i="40"/>
  <c r="J264" i="40"/>
  <c r="J265" i="40"/>
  <c r="J266" i="40"/>
  <c r="J267" i="40"/>
  <c r="J268" i="40"/>
  <c r="J269" i="40"/>
  <c r="J270" i="40"/>
  <c r="J271" i="40"/>
  <c r="J272" i="40"/>
  <c r="J273" i="40"/>
  <c r="J274" i="40"/>
  <c r="J275" i="40"/>
  <c r="J276" i="40"/>
  <c r="J277" i="40"/>
  <c r="J278" i="40"/>
  <c r="J279" i="40"/>
  <c r="J280" i="40"/>
  <c r="J281" i="40"/>
  <c r="J282" i="40"/>
  <c r="J283" i="40"/>
  <c r="J284" i="40"/>
  <c r="J285" i="40"/>
  <c r="J286" i="40"/>
  <c r="J287" i="40"/>
  <c r="J288" i="40"/>
  <c r="J289" i="40"/>
  <c r="J290" i="40"/>
  <c r="J291" i="40"/>
  <c r="J292" i="40"/>
  <c r="J293" i="40"/>
  <c r="J294" i="40"/>
  <c r="J295" i="40"/>
  <c r="J296" i="40"/>
  <c r="J297" i="40"/>
  <c r="J298" i="40"/>
  <c r="J299" i="40"/>
  <c r="J300" i="40"/>
  <c r="J301" i="40"/>
  <c r="J302" i="40"/>
  <c r="J303" i="40"/>
  <c r="J304" i="40"/>
  <c r="J305" i="40"/>
  <c r="J306" i="40"/>
  <c r="J307" i="40"/>
  <c r="J308" i="40"/>
  <c r="J309" i="40"/>
  <c r="J310" i="40"/>
  <c r="J311" i="40"/>
  <c r="J312" i="40"/>
  <c r="J313" i="40"/>
  <c r="J314" i="40"/>
  <c r="J315" i="40"/>
  <c r="J316" i="40"/>
  <c r="J317" i="40"/>
  <c r="J318" i="40"/>
  <c r="J319" i="40"/>
  <c r="J320" i="40"/>
  <c r="J321" i="40"/>
  <c r="J322" i="40"/>
  <c r="J323" i="40"/>
  <c r="J324" i="40"/>
  <c r="J325" i="40"/>
  <c r="J326" i="40"/>
  <c r="J327" i="40"/>
  <c r="J328" i="40"/>
  <c r="J329" i="40"/>
  <c r="J330" i="40"/>
  <c r="J331" i="40"/>
  <c r="J332" i="40"/>
  <c r="J333" i="40"/>
  <c r="J334" i="40"/>
  <c r="J335" i="40"/>
  <c r="J336" i="40"/>
  <c r="J337" i="40"/>
  <c r="J338" i="40"/>
  <c r="J339" i="40"/>
  <c r="J340" i="40"/>
  <c r="J341" i="40"/>
  <c r="J342" i="40"/>
  <c r="J343" i="40"/>
  <c r="J344" i="40"/>
  <c r="J345" i="40"/>
  <c r="J346" i="40"/>
  <c r="J347" i="40"/>
  <c r="J348" i="40"/>
  <c r="J349" i="40"/>
  <c r="J350" i="40"/>
  <c r="J351" i="40"/>
  <c r="J352" i="40"/>
  <c r="J353" i="40"/>
  <c r="J354" i="40"/>
  <c r="J355" i="40"/>
  <c r="J356" i="40"/>
  <c r="J357" i="40"/>
  <c r="J358" i="40"/>
  <c r="J359" i="40"/>
  <c r="J360" i="40"/>
  <c r="J361" i="40"/>
  <c r="J362" i="40"/>
  <c r="J363" i="40"/>
  <c r="J364" i="40"/>
  <c r="J365" i="40"/>
  <c r="J366" i="40"/>
  <c r="J367" i="40"/>
  <c r="J368" i="40"/>
  <c r="J369" i="40"/>
  <c r="J370" i="40"/>
  <c r="J371" i="40"/>
  <c r="J372" i="40"/>
  <c r="J373" i="40"/>
  <c r="J374" i="40"/>
  <c r="J375" i="40"/>
  <c r="J376" i="40"/>
  <c r="J377" i="40"/>
  <c r="J378" i="40"/>
  <c r="J379" i="40"/>
  <c r="J380" i="40"/>
  <c r="J381" i="40"/>
  <c r="J382" i="40"/>
  <c r="J383" i="40"/>
  <c r="J384" i="40"/>
  <c r="J385" i="40"/>
  <c r="J386" i="40"/>
  <c r="J387" i="40"/>
  <c r="J388" i="40"/>
  <c r="J389" i="40"/>
  <c r="J390" i="40"/>
  <c r="J391" i="40"/>
  <c r="J392" i="40"/>
  <c r="J393" i="40"/>
  <c r="J394" i="40"/>
  <c r="J395" i="40"/>
  <c r="J396" i="40"/>
  <c r="J397" i="40"/>
  <c r="J398" i="40"/>
  <c r="J399" i="40"/>
  <c r="J400" i="40"/>
  <c r="J401" i="40"/>
  <c r="J402" i="40"/>
  <c r="J403" i="40"/>
  <c r="J404" i="40"/>
  <c r="J405" i="40"/>
  <c r="J406" i="40"/>
  <c r="J407" i="40"/>
  <c r="J408" i="40"/>
  <c r="J409" i="40"/>
  <c r="J410" i="40"/>
  <c r="J411" i="40"/>
  <c r="J412" i="40"/>
  <c r="J413" i="40"/>
  <c r="J414" i="40"/>
  <c r="J415" i="40"/>
  <c r="J416" i="40"/>
  <c r="J417" i="40"/>
  <c r="J418" i="40"/>
  <c r="J419" i="40"/>
  <c r="J420" i="40"/>
  <c r="J421" i="40"/>
  <c r="J422" i="40"/>
  <c r="J423" i="40"/>
  <c r="J424" i="40"/>
  <c r="J425" i="40"/>
  <c r="J426" i="40"/>
  <c r="J427" i="40"/>
  <c r="J428" i="40"/>
  <c r="J429" i="40"/>
  <c r="J430" i="40"/>
  <c r="J431" i="40"/>
  <c r="J432" i="40"/>
  <c r="J433" i="40"/>
  <c r="J434" i="40"/>
  <c r="J435" i="40"/>
  <c r="J436" i="40"/>
  <c r="J437" i="40"/>
  <c r="J438" i="40"/>
  <c r="J439" i="40"/>
  <c r="J440" i="40"/>
  <c r="J441" i="40"/>
  <c r="J442" i="40"/>
  <c r="J443" i="40"/>
  <c r="J444" i="40"/>
  <c r="J445" i="40"/>
  <c r="J446" i="40"/>
  <c r="J447" i="40"/>
  <c r="J448" i="40"/>
  <c r="J449" i="40"/>
  <c r="J450" i="40"/>
  <c r="J451" i="40"/>
  <c r="J452" i="40"/>
  <c r="J453" i="40"/>
  <c r="J454" i="40"/>
  <c r="J455" i="40"/>
  <c r="J456" i="40"/>
  <c r="J457" i="40"/>
  <c r="J458" i="40"/>
  <c r="J459" i="40"/>
  <c r="J460" i="40"/>
  <c r="J461" i="40"/>
  <c r="J462" i="40"/>
  <c r="J463" i="40"/>
  <c r="J464" i="40"/>
  <c r="J465" i="40"/>
  <c r="J466" i="40"/>
  <c r="J467" i="40"/>
  <c r="J468" i="40"/>
  <c r="J469" i="40"/>
  <c r="J470" i="40"/>
  <c r="J471" i="40"/>
  <c r="J472" i="40"/>
  <c r="J473" i="40"/>
  <c r="J474" i="40"/>
  <c r="J475" i="40"/>
  <c r="J476" i="40"/>
  <c r="J477" i="40"/>
  <c r="J478" i="40"/>
  <c r="J479" i="40"/>
  <c r="J480" i="40"/>
  <c r="J481" i="40"/>
  <c r="J482" i="40"/>
  <c r="J483" i="40"/>
  <c r="J484" i="40"/>
  <c r="J485" i="40"/>
  <c r="J486" i="40"/>
  <c r="J487" i="40"/>
  <c r="J488" i="40"/>
  <c r="J489" i="40"/>
  <c r="J490" i="40"/>
  <c r="J491" i="40"/>
  <c r="J492" i="40"/>
  <c r="J493" i="40"/>
  <c r="J494" i="40"/>
  <c r="J495" i="40"/>
  <c r="J496" i="40"/>
  <c r="J497" i="40"/>
  <c r="J498" i="40"/>
  <c r="J499" i="40"/>
  <c r="J500" i="40" s="1"/>
  <c r="J501" i="40"/>
  <c r="J502" i="40"/>
  <c r="J503" i="40"/>
  <c r="J504" i="40"/>
  <c r="J505" i="40"/>
  <c r="J506" i="40"/>
  <c r="J507" i="40"/>
  <c r="J508" i="40"/>
  <c r="J509" i="40"/>
  <c r="J510" i="40"/>
  <c r="J511" i="40"/>
  <c r="J512" i="40"/>
  <c r="J513" i="40"/>
  <c r="J514" i="40"/>
  <c r="J515" i="40"/>
  <c r="J516" i="40"/>
  <c r="J517" i="40"/>
  <c r="J518" i="40"/>
  <c r="J519" i="40"/>
  <c r="J520" i="40"/>
  <c r="J521" i="40"/>
  <c r="J522" i="40"/>
  <c r="J523" i="40"/>
  <c r="J524" i="40"/>
  <c r="J525" i="40"/>
  <c r="J526" i="40"/>
  <c r="J527" i="40"/>
  <c r="J528" i="40"/>
  <c r="J529" i="40"/>
  <c r="J530" i="40"/>
  <c r="J531" i="40"/>
  <c r="J532" i="40"/>
  <c r="J533" i="40"/>
  <c r="J534" i="40"/>
  <c r="J535" i="40"/>
  <c r="J536" i="40"/>
  <c r="J537" i="40"/>
  <c r="J538" i="40"/>
  <c r="J539" i="40"/>
  <c r="J540" i="40"/>
  <c r="J541" i="40"/>
  <c r="J542" i="40"/>
  <c r="J543" i="40"/>
  <c r="J544" i="40"/>
  <c r="J545" i="40"/>
  <c r="J546" i="40"/>
  <c r="J547" i="40"/>
  <c r="J548" i="40"/>
  <c r="J549" i="40"/>
  <c r="J550" i="40"/>
  <c r="J551" i="40"/>
  <c r="J552" i="40"/>
  <c r="J553" i="40"/>
  <c r="J554" i="40"/>
  <c r="J555" i="40"/>
  <c r="J556" i="40"/>
  <c r="J557" i="40"/>
  <c r="J558" i="40"/>
  <c r="J559" i="40"/>
  <c r="J560" i="40"/>
  <c r="J561" i="40"/>
  <c r="J562" i="40"/>
  <c r="J563" i="40"/>
  <c r="J564" i="40"/>
  <c r="J565" i="40"/>
  <c r="J566" i="40"/>
  <c r="J567" i="40"/>
  <c r="J568" i="40"/>
  <c r="J569" i="40"/>
  <c r="J570" i="40"/>
  <c r="J571" i="40"/>
  <c r="J572" i="40"/>
  <c r="J573" i="40"/>
  <c r="J574" i="40"/>
  <c r="J575" i="40"/>
  <c r="J576" i="40"/>
  <c r="J577" i="40"/>
  <c r="J578" i="40"/>
  <c r="J579" i="40"/>
  <c r="J580" i="40"/>
  <c r="J581" i="40"/>
  <c r="J582" i="40"/>
  <c r="J583" i="40"/>
  <c r="J584" i="40"/>
  <c r="J585" i="40"/>
  <c r="J586" i="40"/>
  <c r="J587" i="40"/>
  <c r="J588" i="40"/>
  <c r="J589" i="40"/>
  <c r="J590" i="40"/>
  <c r="J591" i="40"/>
  <c r="J592" i="40"/>
  <c r="J593" i="40"/>
  <c r="J594" i="40"/>
  <c r="J595" i="40"/>
  <c r="J596" i="40"/>
  <c r="J597" i="40"/>
  <c r="J598" i="40"/>
  <c r="J599" i="40"/>
  <c r="J600" i="40"/>
  <c r="J601" i="40"/>
  <c r="J602" i="40"/>
  <c r="J603" i="40"/>
  <c r="J604" i="40"/>
  <c r="J605" i="40"/>
  <c r="J606" i="40"/>
  <c r="J607" i="40"/>
  <c r="J608" i="40"/>
  <c r="J609" i="40"/>
  <c r="J610" i="40"/>
  <c r="J611" i="40"/>
  <c r="J612" i="40"/>
  <c r="J613" i="40"/>
  <c r="J614" i="40"/>
  <c r="J615" i="40"/>
  <c r="J616" i="40"/>
  <c r="J617" i="40"/>
  <c r="J618" i="40"/>
  <c r="J619" i="40"/>
  <c r="J620" i="40"/>
  <c r="J621" i="40"/>
  <c r="J622" i="40"/>
  <c r="J623" i="40"/>
  <c r="J624" i="40"/>
  <c r="J625" i="40"/>
  <c r="J626" i="40"/>
  <c r="J627" i="40"/>
  <c r="J628" i="40"/>
  <c r="J629" i="40"/>
  <c r="J630" i="40"/>
  <c r="J631" i="40"/>
  <c r="J632" i="40"/>
  <c r="J633" i="40"/>
  <c r="J634" i="40"/>
  <c r="J635" i="40"/>
  <c r="J636" i="40"/>
  <c r="J637" i="40"/>
  <c r="J638" i="40"/>
  <c r="J639" i="40"/>
  <c r="J640" i="40"/>
  <c r="J641" i="40"/>
  <c r="J642" i="40" s="1"/>
  <c r="J643" i="40"/>
  <c r="J644" i="40"/>
  <c r="J645" i="40"/>
  <c r="J646" i="40"/>
  <c r="J647" i="40"/>
  <c r="J648" i="40"/>
  <c r="J649" i="40"/>
  <c r="J650" i="40"/>
  <c r="J651" i="40"/>
  <c r="J652" i="40"/>
  <c r="J653" i="40"/>
  <c r="J654" i="40"/>
  <c r="J655" i="40"/>
  <c r="J656" i="40"/>
  <c r="J657" i="40"/>
  <c r="J658" i="40"/>
  <c r="J659" i="40"/>
  <c r="J660" i="40"/>
  <c r="J661" i="40"/>
  <c r="J662" i="40"/>
  <c r="J663" i="40"/>
  <c r="J664" i="40"/>
  <c r="J665" i="40"/>
  <c r="J666" i="40"/>
  <c r="J667" i="40"/>
  <c r="J668" i="40"/>
  <c r="J669" i="40"/>
  <c r="J670" i="40"/>
  <c r="J671" i="40"/>
  <c r="J672" i="40"/>
  <c r="J673" i="40"/>
  <c r="J674" i="40"/>
  <c r="J675" i="40"/>
  <c r="J676" i="40"/>
  <c r="J677" i="40"/>
  <c r="J678" i="40"/>
  <c r="J679" i="40"/>
  <c r="J680" i="40"/>
  <c r="J681" i="40"/>
  <c r="J682" i="40"/>
  <c r="J683" i="40"/>
  <c r="J684" i="40"/>
  <c r="J685" i="40"/>
  <c r="J686" i="40"/>
  <c r="J687" i="40"/>
  <c r="J688" i="40"/>
  <c r="J689" i="40"/>
  <c r="J690" i="40"/>
  <c r="J691" i="40"/>
  <c r="J692" i="40"/>
  <c r="J693" i="40"/>
  <c r="J694" i="40"/>
  <c r="J695" i="40"/>
  <c r="J696" i="40"/>
  <c r="J697" i="40"/>
  <c r="J698" i="40"/>
  <c r="J699" i="40"/>
  <c r="J700" i="40"/>
  <c r="J701" i="40"/>
  <c r="J702" i="40"/>
  <c r="J703" i="40"/>
  <c r="J704" i="40"/>
  <c r="J705" i="40"/>
  <c r="J706" i="40"/>
  <c r="J12" i="359" l="1"/>
  <c r="J13" i="359"/>
  <c r="J14" i="35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F12" authorId="0" shapeId="0" xr:uid="{9F9FA831-EDFC-4898-8A4A-12953DC40D52}">
      <text>
        <r>
          <rPr>
            <sz val="9"/>
            <color indexed="81"/>
            <rFont val="Tahoma"/>
            <family val="2"/>
          </rPr>
          <t xml:space="preserve">Thực cân:5957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F78" authorId="0" shapeId="0" xr:uid="{45BBAE41-0239-4D93-A87A-DBDB9E8FF4AF}">
      <text>
        <r>
          <rPr>
            <b/>
            <sz val="9"/>
            <color indexed="81"/>
            <rFont val="Tahoma"/>
            <family val="2"/>
          </rPr>
          <t>Cả lõi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Administrator</author>
  </authors>
  <commentList>
    <comment ref="F14" authorId="0" shapeId="0" xr:uid="{720D3BCC-98C4-4953-9AB9-E7F5AA02D81D}">
      <text>
        <r>
          <rPr>
            <b/>
            <sz val="9"/>
            <color indexed="81"/>
            <rFont val="Tahoma"/>
            <family val="2"/>
          </rPr>
          <t xml:space="preserve">69kg bìa và giấy lót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F19" authorId="0" shapeId="0" xr:uid="{C5775DAA-EEC7-4878-AB02-9217A6C05F66}">
      <text>
        <r>
          <rPr>
            <b/>
            <sz val="9"/>
            <color indexed="81"/>
            <rFont val="Tahoma"/>
            <family val="2"/>
          </rPr>
          <t xml:space="preserve">2 cuộn chạy dày 105+101 thiếu 204 kg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Bangdich" description="Connection to the 'Bangdich' query in the workbook." type="5" refreshedVersion="0" background="1">
    <dbPr connection="Provider=Microsoft.Mashup.OleDb.1;Data Source=$Workbook$;Location=Bangdich;Extended Properties=&quot;&quot;" command="SELECT * FROM [Bangdich]"/>
  </connection>
  <connection id="2" xr16:uid="{00000000-0015-0000-FFFF-FFFF01000000}" keepAlive="1" name="Query - No dau ky" description="Connection to the 'No dau ky' query in the workbook." type="5" refreshedVersion="8" background="1" saveData="1">
    <dbPr connection="Provider=Microsoft.Mashup.OleDb.1;Data Source=$Workbook$;Location=&quot;No dau ky&quot;;Extended Properties=&quot;&quot;" command="SELECT * FROM [No dau ky]"/>
  </connection>
  <connection id="3" xr16:uid="{00000000-0015-0000-FFFF-FFFF02000000}" keepAlive="1" name="Query - Query1" description="Connection to the 'Query1' query in the workbook." type="5" refreshedVersion="8" background="1" saveData="1">
    <dbPr connection="Provider=Microsoft.Mashup.OleDb.1;Data Source=$Workbook$;Location=Query1;Extended Properties=&quot;&quot;" command="SELECT * FROM [Query1]"/>
  </connection>
  <connection id="4" xr16:uid="{00000000-0015-0000-FFFF-FFFF03000000}" keepAlive="1" name="Query - Query2" description="Connection to the 'Query2' query in the workbook." type="5" refreshedVersion="8" background="1" saveData="1">
    <dbPr connection="Provider=Microsoft.Mashup.OleDb.1;Data Source=$Workbook$;Location=Query2;Extended Properties=&quot;&quot;" command="SELECT * FROM [Query2]"/>
  </connection>
  <connection id="5" xr16:uid="{00000000-0015-0000-FFFF-FFFF04000000}" keepAlive="1" name="Query - Thanh Toan" description="Connection to the 'Thanh Toan' query in the workbook." type="5" refreshedVersion="8" background="1" saveData="1">
    <dbPr connection="Provider=Microsoft.Mashup.OleDb.1;Data Source=$Workbook$;Location=&quot;Thanh Toan&quot;;Extended Properties=&quot;&quot;" command="SELECT * FROM [Thanh Toan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<sst xmlns="http://schemas.openxmlformats.org/spreadsheetml/2006/main" count="47585" uniqueCount="2584">
  <si>
    <t>Công nợ phải thu khách hàng</t>
  </si>
  <si>
    <t>Tên KH: E Minh - TH</t>
  </si>
  <si>
    <t>Số phiếu</t>
  </si>
  <si>
    <t>Ngày
 tháng</t>
  </si>
  <si>
    <t>Nội dung</t>
  </si>
  <si>
    <t>Chủng loại</t>
  </si>
  <si>
    <t>Quy cách</t>
  </si>
  <si>
    <t>SỐ LƯỢNG</t>
  </si>
  <si>
    <t>THÀNH TIỀN</t>
  </si>
  <si>
    <t>THANH TOÁN</t>
  </si>
  <si>
    <t>CÔNG NỢ
 CÒN LẠI</t>
  </si>
  <si>
    <t>Ghi chú</t>
  </si>
  <si>
    <t>Nợ tháng 2</t>
  </si>
  <si>
    <t>Bán hàng</t>
  </si>
  <si>
    <t>Cuộn 201/6k</t>
  </si>
  <si>
    <t>0.6x1200xC</t>
  </si>
  <si>
    <t>0.4x400x2c/BA</t>
  </si>
  <si>
    <t>Cuộn 304/BA</t>
  </si>
  <si>
    <t>0.35x800x3C</t>
  </si>
  <si>
    <t>0.4x500x2c</t>
  </si>
  <si>
    <t>0.4x400/600xC</t>
  </si>
  <si>
    <t>Thanh toán</t>
  </si>
  <si>
    <t>Chuyển khoản</t>
  </si>
  <si>
    <t>DO THI THOM</t>
  </si>
  <si>
    <t>Tiền mặt</t>
  </si>
  <si>
    <t>0,4x300xC</t>
  </si>
  <si>
    <t>Cuộn 430/BA</t>
  </si>
  <si>
    <t>Tấm 304</t>
  </si>
  <si>
    <t>3,0x1500x6000xT</t>
  </si>
  <si>
    <t>2,0x1500x6000xT</t>
  </si>
  <si>
    <t>0,4x400x2C</t>
  </si>
  <si>
    <t>0,4x400/600xC</t>
  </si>
  <si>
    <t>Cuộn 201/BA</t>
  </si>
  <si>
    <t>0,4x400xC</t>
  </si>
  <si>
    <t>0,4x300x4C</t>
  </si>
  <si>
    <t>0,5x300/400xC</t>
  </si>
  <si>
    <t>Tấm 304/CT</t>
  </si>
  <si>
    <t>1,0x1500x2T</t>
  </si>
  <si>
    <t>0,4x300/400xC</t>
  </si>
  <si>
    <t>0,4x400/800xC</t>
  </si>
  <si>
    <t>0,4x1200xC</t>
  </si>
  <si>
    <t>0,8x1200xC</t>
  </si>
  <si>
    <t>ChưaV</t>
  </si>
  <si>
    <t>Cuộn 304/2B</t>
  </si>
  <si>
    <t>1,2x1500xC</t>
  </si>
  <si>
    <t>Cuộn 410/BA</t>
  </si>
  <si>
    <t>0,4x600xC</t>
  </si>
  <si>
    <t>C.BA-TECH</t>
  </si>
  <si>
    <t>Tên KH: Cty Phú Minh</t>
  </si>
  <si>
    <t>Xuất GC</t>
  </si>
  <si>
    <t>Tấm 304/2B</t>
  </si>
  <si>
    <t>3.0x1000xT</t>
  </si>
  <si>
    <t>3.0x1200xT</t>
  </si>
  <si>
    <t>1,5x1250xT</t>
  </si>
  <si>
    <t>Tấm 430/BA</t>
  </si>
  <si>
    <t>0,8x1210x1800x50T</t>
  </si>
  <si>
    <t>Tấm 430/2B</t>
  </si>
  <si>
    <t>2,0x1200x2200x5T</t>
  </si>
  <si>
    <t>3,0x1200x3075x2T</t>
  </si>
  <si>
    <t>3,0x1500x3165x3T</t>
  </si>
  <si>
    <t>2,0x1500x3200x3T</t>
  </si>
  <si>
    <t>2,0x1260x2700xT</t>
  </si>
  <si>
    <t>0,6x1200xC</t>
  </si>
  <si>
    <t>3,0x1500x2530x2T
3,0x1500x3000xT</t>
  </si>
  <si>
    <t>dập CT</t>
  </si>
  <si>
    <t>0,5x1210xC</t>
  </si>
  <si>
    <t>nhám</t>
  </si>
  <si>
    <t>2,5x1200x10T</t>
  </si>
  <si>
    <t>Tấm 201/6k</t>
  </si>
  <si>
    <t>2,0x1200x2T</t>
  </si>
  <si>
    <t>1,5x1500x3000xT
3,0x1500x3000xT</t>
  </si>
  <si>
    <t>2,0x1500x3000x10T</t>
  </si>
  <si>
    <t>1,5x1200x2500x5T</t>
  </si>
  <si>
    <t>3,0x1500x3000xT</t>
  </si>
  <si>
    <t>2,0x1200x2500x2T</t>
  </si>
  <si>
    <t>Tấm 201/NO4</t>
  </si>
  <si>
    <t>1,2x1200x2500x4T</t>
  </si>
  <si>
    <t>Cuộn 430</t>
  </si>
  <si>
    <t>0,5x1200xC</t>
  </si>
  <si>
    <t>1,5x1255x3530x30T</t>
  </si>
  <si>
    <t>C Dung HD gc</t>
  </si>
  <si>
    <t>0,5x900xC</t>
  </si>
  <si>
    <t>2,0x1200xT
1,5x1200xT</t>
  </si>
  <si>
    <t>VietinBank</t>
  </si>
  <si>
    <t>GC</t>
  </si>
  <si>
    <t>Nhám</t>
  </si>
  <si>
    <t>1,5x1200x3T/nhám</t>
  </si>
  <si>
    <t>3,0x1000xT/nhám</t>
  </si>
  <si>
    <t>3,0x1200xT/nhám</t>
  </si>
  <si>
    <t>1,5x1200xT/nhám</t>
  </si>
  <si>
    <t>2,0x1200x2200x5T/nhám</t>
  </si>
  <si>
    <t>3,0x1500xT/nhám</t>
  </si>
  <si>
    <t>2,5x1200x10T/nhám</t>
  </si>
  <si>
    <t>Cuộn</t>
  </si>
  <si>
    <t>0,5xC/nhám</t>
  </si>
  <si>
    <t>1,5x1500xT/nhám</t>
  </si>
  <si>
    <t>2,0x1200x2T/nhám</t>
  </si>
  <si>
    <t>2,0x1500x3000xC/nhám</t>
  </si>
  <si>
    <t>1,5x1200x2500xT/nhám</t>
  </si>
  <si>
    <t>3,0x1500x3000xT/nhám</t>
  </si>
  <si>
    <t>2,0x1200x2500xT/nhám</t>
  </si>
  <si>
    <t>1,0x1500x2T/nhám</t>
  </si>
  <si>
    <t>1,2x1200x4T/nhám</t>
  </si>
  <si>
    <t>Tấm 201/2B</t>
  </si>
  <si>
    <t>2,0x1200x12T/nhám</t>
  </si>
  <si>
    <t>0,5x1200xC/nhám</t>
  </si>
  <si>
    <t>2,0x1210x3300x2T</t>
  </si>
  <si>
    <t>Tấm 204/2B</t>
  </si>
  <si>
    <t>2,0x1500x2500x5T</t>
  </si>
  <si>
    <t>Tấm 304/NO1</t>
  </si>
  <si>
    <t>3,0x1500xT</t>
  </si>
  <si>
    <t>2,0x1250xT</t>
  </si>
  <si>
    <t>0,6x1200x6200xT</t>
  </si>
  <si>
    <t>Nhám 5V</t>
  </si>
  <si>
    <t>0,6x1200x5800xT</t>
  </si>
  <si>
    <t>3,0x1200x2000x12T</t>
  </si>
  <si>
    <t>1,5x1200xT</t>
  </si>
  <si>
    <t>2,0x1200xT</t>
  </si>
  <si>
    <t>Tấm</t>
  </si>
  <si>
    <t>2,0x1200x3300xT</t>
  </si>
  <si>
    <t>2,0x1500x2500xT</t>
  </si>
  <si>
    <t>3,0x1200x200xT</t>
  </si>
  <si>
    <t>3,0x1200xT</t>
  </si>
  <si>
    <t>Tên KH: Cty Ý Thủy</t>
  </si>
  <si>
    <t>0.4x415xC</t>
  </si>
  <si>
    <t>0.4x600/240xC</t>
  </si>
  <si>
    <t>0.4x295/235/300xC</t>
  </si>
  <si>
    <t>0,4x300x2C</t>
  </si>
  <si>
    <t>koV</t>
  </si>
  <si>
    <t>0,4x300x3C</t>
  </si>
  <si>
    <t>Tên KH: Cty Vinh Oanh - Phủ Lý</t>
  </si>
  <si>
    <t>0.4x630xC</t>
  </si>
  <si>
    <t>0.4x300xC</t>
  </si>
  <si>
    <t>0,5x1200x2C</t>
  </si>
  <si>
    <t>1,5x1200xC</t>
  </si>
  <si>
    <t>Cuộn 201/2B</t>
  </si>
  <si>
    <t>1,0x1200xC</t>
  </si>
  <si>
    <t>0,4x240x5C</t>
  </si>
  <si>
    <t>0,4x480x3C</t>
  </si>
  <si>
    <t>3,0x1210xC</t>
  </si>
  <si>
    <t>2,5x1500xC</t>
  </si>
  <si>
    <t>2,0x1210xC</t>
  </si>
  <si>
    <t>1,8x1250x2730xT</t>
  </si>
  <si>
    <t>Cuộn 304/BB</t>
  </si>
  <si>
    <t>0,4x390/300/480xC</t>
  </si>
  <si>
    <t>0,5x400xC</t>
  </si>
  <si>
    <t>1,2x1200xC</t>
  </si>
  <si>
    <t>SACOMBANK</t>
  </si>
  <si>
    <t>2,0x1200xC</t>
  </si>
  <si>
    <t>1,2x1210xC</t>
  </si>
  <si>
    <t>Tấm 201/NO1</t>
  </si>
  <si>
    <t>5,0x1500x3000xT</t>
  </si>
  <si>
    <t>Chưa V</t>
  </si>
  <si>
    <t>2,5x1500xT</t>
  </si>
  <si>
    <t>2,0x1500xC</t>
  </si>
  <si>
    <t>Tên KH: A Hải - HP</t>
  </si>
  <si>
    <t>2,0x1500x7100x10t</t>
  </si>
  <si>
    <t>2,0x1500x2000x10T</t>
  </si>
  <si>
    <t>1,2x1500x3048xT</t>
  </si>
  <si>
    <t>1,5x1210x2440</t>
  </si>
  <si>
    <t>1,5x1500x3048</t>
  </si>
  <si>
    <t>0,8x1210xC</t>
  </si>
  <si>
    <t>1,5x1210xC</t>
  </si>
  <si>
    <t>1,0x1210xC</t>
  </si>
  <si>
    <t>1,2x1210xT</t>
  </si>
  <si>
    <t xml:space="preserve"> 1.5x1200x2400xT</t>
  </si>
  <si>
    <t>Trả lại hàng</t>
  </si>
  <si>
    <t>0.4x1200xC</t>
  </si>
  <si>
    <t>Cuộn 201/6k/2B</t>
  </si>
  <si>
    <t>Cuộn 201/NO4/pvc</t>
  </si>
  <si>
    <t>Tấm 304/NO4/pvc</t>
  </si>
  <si>
    <t>3,0x1200x2500x30T</t>
  </si>
  <si>
    <t>1,0x1500x1570x47T</t>
  </si>
  <si>
    <t>Tấm 304/6k</t>
  </si>
  <si>
    <t>1,2x1200x2500x30T</t>
  </si>
  <si>
    <t>1,5x1000x2C</t>
  </si>
  <si>
    <t>0,6x1200x2C</t>
  </si>
  <si>
    <t>2,5x1500x3000xT</t>
  </si>
  <si>
    <t>Cuộn 430/AB</t>
  </si>
  <si>
    <t>2,0x1210xT</t>
  </si>
  <si>
    <t>Cuộn 304/CT</t>
  </si>
  <si>
    <t>2,0/1,5/đuôi ko dập</t>
  </si>
  <si>
    <t>3,0x1500x3000</t>
  </si>
  <si>
    <t>đã cộng 2k GC</t>
  </si>
  <si>
    <t>Thiếu 4kg</t>
  </si>
  <si>
    <t>2,0x1200x2500xT</t>
  </si>
  <si>
    <t>Thiếu 2kg</t>
  </si>
  <si>
    <t>Tên KH: C Xếp - HP</t>
  </si>
  <si>
    <t>2,0x1000xC</t>
  </si>
  <si>
    <t>2,0x1524x9C</t>
  </si>
  <si>
    <t>1,0x1524xC</t>
  </si>
  <si>
    <t>3,0x1200x3000xT</t>
  </si>
  <si>
    <t>Cuộn 430/2B</t>
  </si>
  <si>
    <t>3,0x1210x2T</t>
  </si>
  <si>
    <t>3,0x1500x3T</t>
  </si>
  <si>
    <t>Tấm 430/NO1</t>
  </si>
  <si>
    <t>5,0x1050x6000xT</t>
  </si>
  <si>
    <t>5,0x1250x5200xT
5,0x1250x6000xT</t>
  </si>
  <si>
    <t>1.5x1530x3C</t>
  </si>
  <si>
    <t>0,6x18xC</t>
  </si>
  <si>
    <t>0,4x20xC</t>
  </si>
  <si>
    <t>1,5x1500x4C</t>
  </si>
  <si>
    <t>12x1500x6000xT</t>
  </si>
  <si>
    <t>0,8x1500xC</t>
  </si>
  <si>
    <t>1,2x1000xC</t>
  </si>
  <si>
    <t>Tên KH: Cty Kim Thành</t>
  </si>
  <si>
    <t>0,4x1200x3C</t>
  </si>
  <si>
    <t>0,3x1000x2C</t>
  </si>
  <si>
    <t>2,0x1200x2780xT</t>
  </si>
  <si>
    <t>2,5x1200x2150xT</t>
  </si>
  <si>
    <t>Tên KH: A Đông - Tân Hồng Phát</t>
  </si>
  <si>
    <t>0,4x1210xC</t>
  </si>
  <si>
    <t>0,7x85x2C</t>
  </si>
  <si>
    <t>1,98x378xC</t>
  </si>
  <si>
    <t>2,5x1200xC</t>
  </si>
  <si>
    <t>0,28x620xC</t>
  </si>
  <si>
    <t>Tên KH: E Thái - CMỹ</t>
  </si>
  <si>
    <t>Tấm 304/BA/CT</t>
  </si>
  <si>
    <t>1,5x1200x3T</t>
  </si>
  <si>
    <t>Cuộn 201/CT</t>
  </si>
  <si>
    <t>0,6x1210xC</t>
  </si>
  <si>
    <t>1,2x1200xT</t>
  </si>
  <si>
    <t>0,4x1200x30m</t>
  </si>
  <si>
    <t>0,8x1200x30m</t>
  </si>
  <si>
    <t>1,0x1200x2500x3T</t>
  </si>
  <si>
    <t>1,2x1200x2500x5T</t>
  </si>
  <si>
    <t>Tấm 201/6k/CT</t>
  </si>
  <si>
    <t>1,2x1200x2500xT</t>
  </si>
  <si>
    <t>1,5x1200x2500xT</t>
  </si>
  <si>
    <t>Tấm 201/CT/6k</t>
  </si>
  <si>
    <t>0,3x1200xC</t>
  </si>
  <si>
    <t>chưaV</t>
  </si>
  <si>
    <t>Cuộn 201/6k/nhám 5v</t>
  </si>
  <si>
    <t>Tên KH: E Giao - Cty Bạch Kim</t>
  </si>
  <si>
    <t>0,4x240xC</t>
  </si>
  <si>
    <t>0,35x300xC</t>
  </si>
  <si>
    <t>Cuộn 204/BA</t>
  </si>
  <si>
    <t>0,3x600xC</t>
  </si>
  <si>
    <t>0,4x300/400/600xC</t>
  </si>
  <si>
    <t>500đ V/C</t>
  </si>
  <si>
    <t>0,35x800xC</t>
  </si>
  <si>
    <t>Tên KH: C Thủy - HP</t>
  </si>
  <si>
    <t>Trả hàng</t>
  </si>
  <si>
    <t>0,8x1250xC</t>
  </si>
  <si>
    <t>3,0x1500x3000x4T</t>
  </si>
  <si>
    <t>5,0x1500x3000x3T</t>
  </si>
  <si>
    <t>1,0x1500xC</t>
  </si>
  <si>
    <t>2,0x1250x2700xT</t>
  </si>
  <si>
    <t>1,5x1500xC</t>
  </si>
  <si>
    <t>0,4x1250xC</t>
  </si>
  <si>
    <t>3,0x1500xC</t>
  </si>
  <si>
    <t>0,8x1000xC</t>
  </si>
  <si>
    <t>Cuộn 201/NO4</t>
  </si>
  <si>
    <t>Cuộn 2304/2B</t>
  </si>
  <si>
    <t>1,5x1250xC</t>
  </si>
  <si>
    <t>1,0x1000xC</t>
  </si>
  <si>
    <t>1,5x1000xC</t>
  </si>
  <si>
    <t>2,92x1280xC</t>
  </si>
  <si>
    <t>0,4x1200x2C</t>
  </si>
  <si>
    <t>0,6x1500xC</t>
  </si>
  <si>
    <t>Chuyển Trường Phát</t>
  </si>
  <si>
    <t>Vietcombank</t>
  </si>
  <si>
    <t>Trả 856kg</t>
  </si>
  <si>
    <t>0,4x435/835xC</t>
  </si>
  <si>
    <t>Tên KH: Cty An Phát - HP</t>
  </si>
  <si>
    <t>Cuộn 304/NO4/pvc</t>
  </si>
  <si>
    <t>0,8x1200x2c</t>
  </si>
  <si>
    <t>1,0x1250xC</t>
  </si>
  <si>
    <t>Cuộn 304/2B/BB</t>
  </si>
  <si>
    <t>0,5x1030x3C</t>
  </si>
  <si>
    <t>Cuộn 304/NO4</t>
  </si>
  <si>
    <t>0,5x1500xC</t>
  </si>
  <si>
    <t>0,5x700xC</t>
  </si>
  <si>
    <t>1,0x1200x2C</t>
  </si>
  <si>
    <t>0,3x1210x2C</t>
  </si>
  <si>
    <t>5,0x1500x3000T</t>
  </si>
  <si>
    <t>1,2x1200x2650xT</t>
  </si>
  <si>
    <t>Cuộn 304</t>
  </si>
  <si>
    <t>Cuộn 304/BA/pvc</t>
  </si>
  <si>
    <t>0,5x600-1000xC</t>
  </si>
  <si>
    <t>0,8x1250x2140xT</t>
  </si>
  <si>
    <t>Tên KH: E Duy - Cty Hải Âu</t>
  </si>
  <si>
    <t>1,2x1200x2C</t>
  </si>
  <si>
    <t>3,0x1200xC</t>
  </si>
  <si>
    <t>1,2x1200x3000x5T</t>
  </si>
  <si>
    <t>2,0x1200x3000</t>
  </si>
  <si>
    <t>2,0x1200x4C</t>
  </si>
  <si>
    <t>0,8x1250x2400xT</t>
  </si>
  <si>
    <t>1,0x1200xT</t>
  </si>
  <si>
    <t>Tên KH: Cty An Phú</t>
  </si>
  <si>
    <t>Băng 304/BA</t>
  </si>
  <si>
    <t>Tên KH: Cty Cường Thịnh</t>
  </si>
  <si>
    <t>1,,5x1200x2770x25T</t>
  </si>
  <si>
    <t>Cuộn 304/BF</t>
  </si>
  <si>
    <t>Tên KH: E Duyên - Rùa</t>
  </si>
  <si>
    <t>2,0x1500x2055xT</t>
  </si>
  <si>
    <t>2,5x1500x2055xT</t>
  </si>
  <si>
    <t>2,5x1210x2055xT</t>
  </si>
  <si>
    <t>0,6x1500x1800xT</t>
  </si>
  <si>
    <t>2,5x1200x2055xT</t>
  </si>
  <si>
    <t>3,0x1210x2055xT</t>
  </si>
  <si>
    <t>Cuộn 430/FH</t>
  </si>
  <si>
    <t>1,0x900-1200xC</t>
  </si>
  <si>
    <t>4,0x1000x2410xC</t>
  </si>
  <si>
    <t>Tên KH: Cty Hyundai - ĐN</t>
  </si>
  <si>
    <t>Tấm 430/CT</t>
  </si>
  <si>
    <t>2,0x1200x2015x4T</t>
  </si>
  <si>
    <t>1,5x1210x2115x4T
1,5x1210x2050x15T</t>
  </si>
  <si>
    <t>2,0x1210x2200x5T</t>
  </si>
  <si>
    <t>1,0x1210x2115x5T</t>
  </si>
  <si>
    <t>2,0x1200x1680x3T</t>
  </si>
  <si>
    <t>Cuộn 430/2B/pvc</t>
  </si>
  <si>
    <t>0,5x1050xdxx2C</t>
  </si>
  <si>
    <t>0,5x1210x2C</t>
  </si>
  <si>
    <t>Cuộn 430/CT</t>
  </si>
  <si>
    <t>2,0x1210x2115x4T
2,0x1210x2360x1T</t>
  </si>
  <si>
    <t>2,0x1210x1860x3T</t>
  </si>
  <si>
    <t>Tấm 304/BA</t>
  </si>
  <si>
    <t>1,0x1210x1620/3040xT</t>
  </si>
  <si>
    <t>1,5x140x3100xT</t>
  </si>
  <si>
    <t>2,0x1200x1770xT</t>
  </si>
  <si>
    <t>2,0x1200x2115x4T</t>
  </si>
  <si>
    <t>2,0x1210x2360x35T</t>
  </si>
  <si>
    <t>2,0x1200x1770x31T</t>
  </si>
  <si>
    <t>1,5x1210x2115x50T</t>
  </si>
  <si>
    <t>2,0x1210x2140x20T</t>
  </si>
  <si>
    <t>1,5x1200x2115xT</t>
  </si>
  <si>
    <t>2,0x1210x1920x3T</t>
  </si>
  <si>
    <t>Tấm 201/CT</t>
  </si>
  <si>
    <t>2,0x1200x2930x12T</t>
  </si>
  <si>
    <t>Cuộn 430/nhám 5v</t>
  </si>
  <si>
    <t>0,5x1250x2C</t>
  </si>
  <si>
    <t>1,5x1255x2050x7T</t>
  </si>
  <si>
    <t>3,0x1040x2115x5T</t>
  </si>
  <si>
    <t>Cuộn 430/nhám</t>
  </si>
  <si>
    <t>0,5x910x2C</t>
  </si>
  <si>
    <t>Dập</t>
  </si>
  <si>
    <t>10x120x40x10T</t>
  </si>
  <si>
    <t>Cuộn 430/NO4/pvc</t>
  </si>
  <si>
    <t>0,5x1260xC</t>
  </si>
  <si>
    <t>1,5x1250x2150x2T</t>
  </si>
  <si>
    <t>2,0x1250x2360x15T</t>
  </si>
  <si>
    <t>1,2x1250x1620xT</t>
  </si>
  <si>
    <t>1,2x1250xT</t>
  </si>
  <si>
    <t>0,5x1250xC</t>
  </si>
  <si>
    <t>0,5x800xC</t>
  </si>
  <si>
    <t>0,5x1050xC</t>
  </si>
  <si>
    <t>Tên KH: E Phúc - Cty Đức Phúc</t>
  </si>
  <si>
    <t>2,0x1000x2C</t>
  </si>
  <si>
    <t>Tên KH: Cty Lý Dương Hùng -ĐN</t>
  </si>
  <si>
    <t>3,0x1500x6000x8T</t>
  </si>
  <si>
    <t>Tấm 304/NO2</t>
  </si>
  <si>
    <t>4,0x1500x6000x8T</t>
  </si>
  <si>
    <t>Tấm 304/NO3</t>
  </si>
  <si>
    <t>5,0x1500x6000x5T</t>
  </si>
  <si>
    <t>Tấm 304/NO4</t>
  </si>
  <si>
    <t>6,0x1500x6000x3T</t>
  </si>
  <si>
    <t>Tấm 304/NO5</t>
  </si>
  <si>
    <t>8,0x1500x6000x1T</t>
  </si>
  <si>
    <t>Tấm 304/NO6</t>
  </si>
  <si>
    <t>10,1500x6000x1T</t>
  </si>
  <si>
    <t>Tấm 316</t>
  </si>
  <si>
    <t>5,0x1500x1000xT</t>
  </si>
  <si>
    <t>1,0x900xC</t>
  </si>
  <si>
    <t>10x1500x1000xT</t>
  </si>
  <si>
    <t>Tên KH: A Tuấn - Cty Hưng Phát</t>
  </si>
  <si>
    <t>0,5x1200x3C</t>
  </si>
  <si>
    <t>4,0x1140x6000x50T</t>
  </si>
  <si>
    <t>Tên KH: C Năm Đạo - Cầu Đuống</t>
  </si>
  <si>
    <t>0,8x1200x2C</t>
  </si>
  <si>
    <t>coV +2k</t>
  </si>
  <si>
    <t>1,0x1000x2C</t>
  </si>
  <si>
    <t>3,0x1480x1800xT</t>
  </si>
  <si>
    <t>ko lấy</t>
  </si>
  <si>
    <t>Trả lại</t>
  </si>
  <si>
    <t>Tên KH: Khách lẻ</t>
  </si>
  <si>
    <t>3,0x1200x2400xT</t>
  </si>
  <si>
    <t>Cty Linh Anh:0978396866</t>
  </si>
  <si>
    <t>1,5x1200x2400xT</t>
  </si>
  <si>
    <t>2,0x1200x2400xT</t>
  </si>
  <si>
    <t>0,8x1200xT</t>
  </si>
  <si>
    <t>0,6x1200x2440x2T</t>
  </si>
  <si>
    <t>Cty Titan</t>
  </si>
  <si>
    <t>2,0x1200x2440xT</t>
  </si>
  <si>
    <t>1,0x1500xT</t>
  </si>
  <si>
    <t>E Giang</t>
  </si>
  <si>
    <t>0,3x1200x8C</t>
  </si>
  <si>
    <t>0,35x1200x6C</t>
  </si>
  <si>
    <t>Xưởng tôn Trí Quân Tây mỗ</t>
  </si>
  <si>
    <t>chưa V</t>
  </si>
  <si>
    <t>5,0x1500xT</t>
  </si>
  <si>
    <t>0,7x1300xT</t>
  </si>
  <si>
    <t>2,0x1200x460</t>
  </si>
  <si>
    <t>0,5x25xC</t>
  </si>
  <si>
    <t>Cty Kodsdoor VN</t>
  </si>
  <si>
    <t>2,5x1250x3135x2</t>
  </si>
  <si>
    <t>Cty TB Công nghiệp Việt</t>
  </si>
  <si>
    <t>3,0x1140xT</t>
  </si>
  <si>
    <t>E Giang TT</t>
  </si>
  <si>
    <t>1,0x900xT</t>
  </si>
  <si>
    <t>Đầu cuộn</t>
  </si>
  <si>
    <t>1,0/1,5x1500xT</t>
  </si>
  <si>
    <t>C Thụ-TT</t>
  </si>
  <si>
    <t>0,9x1200xC</t>
  </si>
  <si>
    <t>0,8x1120xC</t>
  </si>
  <si>
    <t>0,6x1520x520xT</t>
  </si>
  <si>
    <t>E Cường</t>
  </si>
  <si>
    <t>0,7xT</t>
  </si>
  <si>
    <t>0,7x560xT</t>
  </si>
  <si>
    <t>0,6x560x1520xT</t>
  </si>
  <si>
    <t>E Hà _ khuôn nước đá</t>
  </si>
  <si>
    <t>Tấm 201</t>
  </si>
  <si>
    <t>Tên KH: C Đào - Cty Nam Khánh</t>
  </si>
  <si>
    <t>cả bìa</t>
  </si>
  <si>
    <t>Cuộn 304x600xC</t>
  </si>
  <si>
    <t>0,4x1280xC</t>
  </si>
  <si>
    <t>0,7x1200xC</t>
  </si>
  <si>
    <t>San</t>
  </si>
  <si>
    <t>Cuộn 304/2k</t>
  </si>
  <si>
    <t>1,5/Cắt + pvc</t>
  </si>
  <si>
    <t>1,0/Cắt + pvc</t>
  </si>
  <si>
    <t>0,8/phủ+cắt tấm</t>
  </si>
  <si>
    <t>1,0x1245xT</t>
  </si>
  <si>
    <t>2,0x1245x2720xT</t>
  </si>
  <si>
    <t>phủ trắng đen</t>
  </si>
  <si>
    <t>phủ TĐ chặt dài 2m/12 tấm</t>
  </si>
  <si>
    <t>Nhập trả</t>
  </si>
  <si>
    <t>Tên KH: Cty Tân Phát</t>
  </si>
  <si>
    <t>Gửi Việt Anh Yên Mỹ</t>
  </si>
  <si>
    <t>2,0x1200x2C</t>
  </si>
  <si>
    <t>Tên KH: A Tùng - HD</t>
  </si>
  <si>
    <t>0,6x1000xC</t>
  </si>
  <si>
    <t>4,0x1500x1200xT</t>
  </si>
  <si>
    <t>4,0x1500x2500x1T</t>
  </si>
  <si>
    <t>Cuôn 304/2B</t>
  </si>
  <si>
    <t>2,0x1200x2400x10T</t>
  </si>
  <si>
    <t>Tên KH: E Kiên - HD</t>
  </si>
  <si>
    <t>2,0x1200x3000x4T</t>
  </si>
  <si>
    <t>3,0x1000xT</t>
  </si>
  <si>
    <t>3,0x12000xT</t>
  </si>
  <si>
    <t>3,0x1200x3310xT</t>
  </si>
  <si>
    <t>1,2x1250xC</t>
  </si>
  <si>
    <t>Cuộn 304/NO1</t>
  </si>
  <si>
    <t>1,0x914xC</t>
  </si>
  <si>
    <t>2,2x1000xC</t>
  </si>
  <si>
    <t>Tên KH: C Hà - HY</t>
  </si>
  <si>
    <t>0,5x1000xC</t>
  </si>
  <si>
    <t>2,5x1200x2440x42T</t>
  </si>
  <si>
    <t>2,0x1210x2000x4T</t>
  </si>
  <si>
    <t>0,6x1200xT</t>
  </si>
  <si>
    <t>0,6x1500x2C</t>
  </si>
  <si>
    <t>Tên KH: Cty Phú Thành</t>
  </si>
  <si>
    <t>3,0x1200x3000x2T</t>
  </si>
  <si>
    <t>Tấm 201/NO2</t>
  </si>
  <si>
    <t>5,0x600x1050x4T</t>
  </si>
  <si>
    <t>3,0x1295x6000x3T</t>
  </si>
  <si>
    <t>2,0x1250x6000xT</t>
  </si>
  <si>
    <t>Tên KH: Cty Việt Anh</t>
  </si>
  <si>
    <t>0,4x1267xC</t>
  </si>
  <si>
    <t>xẻ  3bx400 chia làm 4 cuộn(1,5t/C)</t>
  </si>
  <si>
    <t>0,6x275xC</t>
  </si>
  <si>
    <t>xẻ 2Bx135</t>
  </si>
  <si>
    <t>0,38x620xC</t>
  </si>
  <si>
    <t>xẻ chia đều 2b</t>
  </si>
  <si>
    <t>0,5x100xC</t>
  </si>
  <si>
    <t>0,5x60xC</t>
  </si>
  <si>
    <t>1,0x60xC</t>
  </si>
  <si>
    <t>thịnh phú</t>
  </si>
  <si>
    <t>0,4x1281xC</t>
  </si>
  <si>
    <t>0,4x1000xC</t>
  </si>
  <si>
    <t>Cuộn 430/pvc</t>
  </si>
  <si>
    <t>xẻ 1050</t>
  </si>
  <si>
    <t xml:space="preserve">Cuộn 430/BA </t>
  </si>
  <si>
    <t>Chia đều 2 bản</t>
  </si>
  <si>
    <t>chia 3 cuộn 1:480 2:400</t>
  </si>
  <si>
    <t>xẻ 3bx400</t>
  </si>
  <si>
    <t>xẻ 4bx300</t>
  </si>
  <si>
    <t>0,4x1210x3C</t>
  </si>
  <si>
    <t>1,0x75xC</t>
  </si>
  <si>
    <t>xẻ 19-20</t>
  </si>
  <si>
    <t>1,2x80xC</t>
  </si>
  <si>
    <t>xẻ 2bx300 1bx600</t>
  </si>
  <si>
    <t>0,4x1270xC</t>
  </si>
  <si>
    <t>chia 3</t>
  </si>
  <si>
    <t>0,4x1220xC</t>
  </si>
  <si>
    <t>Phủ</t>
  </si>
  <si>
    <t>0,5x70x2b</t>
  </si>
  <si>
    <t>0,38x720xC</t>
  </si>
  <si>
    <t>1,0x1210x2C</t>
  </si>
  <si>
    <t>0,4x1000x3C</t>
  </si>
  <si>
    <t>0,4x780xC</t>
  </si>
  <si>
    <t>0,4x1000x12C</t>
  </si>
  <si>
    <t>0,4x1274xC</t>
  </si>
  <si>
    <t>0,4x1277xC</t>
  </si>
  <si>
    <t>0,4x1000x8C</t>
  </si>
  <si>
    <t>0,4x1010xC</t>
  </si>
  <si>
    <t>0,4x1030xC</t>
  </si>
  <si>
    <t>137x869x6C</t>
  </si>
  <si>
    <t>0,5x1035xC</t>
  </si>
  <si>
    <t>0,5x1248xC</t>
  </si>
  <si>
    <t>Cuộn 460/FH</t>
  </si>
  <si>
    <t>1,0x55xC</t>
  </si>
  <si>
    <t>0,4x700xC</t>
  </si>
  <si>
    <t>0,6x1500/xẻ 1450</t>
  </si>
  <si>
    <t>Cuộn 410</t>
  </si>
  <si>
    <t>xẻ 310</t>
  </si>
  <si>
    <t>0,4x1200/xẻ 400</t>
  </si>
  <si>
    <t>0,4x1000/xẻ 400/600</t>
  </si>
  <si>
    <t>0,4x1200/xẻ 300</t>
  </si>
  <si>
    <t>0,4x1200/xẻ 480/400</t>
  </si>
  <si>
    <t>0,4x1000/xẻ 300/400</t>
  </si>
  <si>
    <t>0,6x1200xC/xẻ 627</t>
  </si>
  <si>
    <t>0,5x1200xC/xẻ 1050</t>
  </si>
  <si>
    <t>0,4x1200xC/xẻ 300</t>
  </si>
  <si>
    <t>0,4x120/san</t>
  </si>
  <si>
    <t>0,4x1200/xẻ 200/400/600</t>
  </si>
  <si>
    <t>0,4x1200/xẻ 480</t>
  </si>
  <si>
    <t>0,4/xẻ 400</t>
  </si>
  <si>
    <t>0,5/xẻ 300</t>
  </si>
  <si>
    <t>0,5/xẻ 400</t>
  </si>
  <si>
    <t>Băng</t>
  </si>
  <si>
    <t>1,0x60/xẻ 40</t>
  </si>
  <si>
    <t>0,4x1200/xẻ 300-600</t>
  </si>
  <si>
    <t>0,5x100/xẻ 42,8</t>
  </si>
  <si>
    <t>0,6/xẻ 20</t>
  </si>
  <si>
    <t>1,0x60</t>
  </si>
  <si>
    <t>Đề xê</t>
  </si>
  <si>
    <t>Tự do</t>
  </si>
  <si>
    <t>1,0x75/xẻ 20</t>
  </si>
  <si>
    <t>0,4x1200/xẻ 400/600</t>
  </si>
  <si>
    <t>0,4/xẻ 400/300</t>
  </si>
  <si>
    <t>1,2x75/xẻ 30</t>
  </si>
  <si>
    <t>0,4x1200/xẻ 200/300/400</t>
  </si>
  <si>
    <t>0,4x780xC/390</t>
  </si>
  <si>
    <t>0,4x1200xC/xẻ 540</t>
  </si>
  <si>
    <t>Cuộn 304/pvc</t>
  </si>
  <si>
    <t>0,4x1000/xẻ 40/600</t>
  </si>
  <si>
    <t>0,5x1000/xẻ 300/400</t>
  </si>
  <si>
    <t>0,5x1200/xẻ 400</t>
  </si>
  <si>
    <t>0,5x1200/xẻ 450</t>
  </si>
  <si>
    <t>Cuộn 201</t>
  </si>
  <si>
    <t>Cuộn gốc</t>
  </si>
  <si>
    <t>0,4x1200/xẻ 300/400</t>
  </si>
  <si>
    <t>0,4x1200/xẻ 300/401</t>
  </si>
  <si>
    <t>0,4x1200/xẻ 600</t>
  </si>
  <si>
    <t>0,4x1000/xẻ 400</t>
  </si>
  <si>
    <t>0,4x1200/xẻ 200/300</t>
  </si>
  <si>
    <t>0,4x1200/xẻ 500</t>
  </si>
  <si>
    <t>0,4x1200/xẻ 300/600</t>
  </si>
  <si>
    <t>0,4x1000/xẻ 300</t>
  </si>
  <si>
    <t>0,4x1000xC/xẻ 400/600</t>
  </si>
  <si>
    <t>0,4x1200xC/xẻ 400</t>
  </si>
  <si>
    <t>0,5x1200xC/xẻ 725</t>
  </si>
  <si>
    <t>0,5x1000xC/xẻ 900</t>
  </si>
  <si>
    <t>0,4x535xC/san cuộn</t>
  </si>
  <si>
    <t>0,8x1200/xẻ 780</t>
  </si>
  <si>
    <t>0,8x1200/xẻ 750</t>
  </si>
  <si>
    <t>1,5x1200xC/xẻ 164+196</t>
  </si>
  <si>
    <t>0,4x700/xẻ 300/400</t>
  </si>
  <si>
    <t>0,4x700xC/300/400</t>
  </si>
  <si>
    <t>1,5x1200xC/san</t>
  </si>
  <si>
    <t>0,8x600xC/xẻ 300</t>
  </si>
  <si>
    <t>0,4x1275xC</t>
  </si>
  <si>
    <t>1Bx840-1bx435 2 tấn/2C</t>
  </si>
  <si>
    <t>san 1Cx2 tấn</t>
  </si>
  <si>
    <t>xẻ 400/600</t>
  </si>
  <si>
    <t>xẻ 400/600 chia 3</t>
  </si>
  <si>
    <t>san 1C 2 tấn</t>
  </si>
  <si>
    <t xml:space="preserve">san 2 cuộn 1.2 tấn </t>
  </si>
  <si>
    <t>san 2C 1,2 tấn/cuộn</t>
  </si>
  <si>
    <t>san chia 3</t>
  </si>
  <si>
    <t>xẻ 2 bản 600 1 tấn/C</t>
  </si>
  <si>
    <t>san 1 cuộn 2 tấn</t>
  </si>
  <si>
    <t>xước NO4 phủ 105m/115m</t>
  </si>
  <si>
    <t>0,5x1030xC</t>
  </si>
  <si>
    <t>1b 520/510/210m</t>
  </si>
  <si>
    <t>0,4x1200xC
0,4x1210xC</t>
  </si>
  <si>
    <t>1b 240/600/400</t>
  </si>
  <si>
    <t>GC báo sau?</t>
  </si>
  <si>
    <t>NO4/pvc</t>
  </si>
  <si>
    <t>phủ pe</t>
  </si>
  <si>
    <t>phủ pe 5 tấn/2 cuộn</t>
  </si>
  <si>
    <t>san 1Cx&lt;1 tấn</t>
  </si>
  <si>
    <t>Chặt tấm</t>
  </si>
  <si>
    <t>NO4</t>
  </si>
  <si>
    <t>NO4/phủ/san 1Cx600kg</t>
  </si>
  <si>
    <t>NO4/ phủ</t>
  </si>
  <si>
    <t>xẻ 2b 400/600 chia 4 cuộn</t>
  </si>
  <si>
    <t>NO4/pvc=2500kg</t>
  </si>
  <si>
    <t>xẻ 1bx1010+tự do =1500kg</t>
  </si>
  <si>
    <t>xẻ 250+480+540</t>
  </si>
  <si>
    <t>1bx850/420</t>
  </si>
  <si>
    <t>xẻ 800+ tự do</t>
  </si>
  <si>
    <t>xẻ 1bx300/1bx400</t>
  </si>
  <si>
    <t>1bx710 1bx545/121m</t>
  </si>
  <si>
    <t>phủ trắng chữ</t>
  </si>
  <si>
    <t>0,5x94/99xC</t>
  </si>
  <si>
    <t>xẻ 2bx43,8</t>
  </si>
  <si>
    <t>xẻ 1bx710/1bx545</t>
  </si>
  <si>
    <t>san 1cx1tấn</t>
  </si>
  <si>
    <t>0,5x1170xC</t>
  </si>
  <si>
    <t>xẻ 800+43</t>
  </si>
  <si>
    <t>0,5x1090xC</t>
  </si>
  <si>
    <t>0,5x1285xC</t>
  </si>
  <si>
    <t>xẻ 920/ xẻ 43</t>
  </si>
  <si>
    <t>chia 3b x 400</t>
  </si>
  <si>
    <t>1,0x55-60xC</t>
  </si>
  <si>
    <t>xẻ 1b39 1b19-20</t>
  </si>
  <si>
    <t>xẻ 300/400 = 2,5Tan</t>
  </si>
  <si>
    <t>san 500/C x hết</t>
  </si>
  <si>
    <t>0,4x614xC</t>
  </si>
  <si>
    <t>xẻ chia đều 2b 2,5Tan</t>
  </si>
  <si>
    <t>0,6x1255xC</t>
  </si>
  <si>
    <t>NO4/phủ TC=2tan</t>
  </si>
  <si>
    <t>xẻ 2bx300 chia 3</t>
  </si>
  <si>
    <t>1,8x1200xC</t>
  </si>
  <si>
    <t>xước HL/phủ trắng chữ</t>
  </si>
  <si>
    <t>xước HL/phủ trắng chữ/57m</t>
  </si>
  <si>
    <t>san 2C 650kg</t>
  </si>
  <si>
    <t>0,25x1000xC</t>
  </si>
  <si>
    <t>xẻ 2bx311/1bx400</t>
  </si>
  <si>
    <t>0,3x1000xC</t>
  </si>
  <si>
    <t>xẻ 2bx310/xbx400=500kg</t>
  </si>
  <si>
    <t>xẻ 2bx315/1bx410</t>
  </si>
  <si>
    <t>xẻ 4bx320=400kg
2bx328+1bx578+dexe=300kg
1bx578+1bx698+dexe=het</t>
  </si>
  <si>
    <t>xẻ 1bx750+1b tự do=65m
1bx1010+1b tự do =132m</t>
  </si>
  <si>
    <t>NO4/phủ TC=1tan</t>
  </si>
  <si>
    <t>xẻ 835/435</t>
  </si>
  <si>
    <t>0,4x800-1000xC</t>
  </si>
  <si>
    <t>bản gia công đính kèm</t>
  </si>
  <si>
    <t>xẻ 2bx300/1bx400/3C</t>
  </si>
  <si>
    <t>phủ PE xanh /2C</t>
  </si>
  <si>
    <t>NO4/phủ TC chia 1Cx1200kg</t>
  </si>
  <si>
    <t>NO4/phủ TC</t>
  </si>
  <si>
    <t>phủ PE xanh = 1,3tan</t>
  </si>
  <si>
    <t>xẻ4bx300=1.5tan</t>
  </si>
  <si>
    <t>0,4x310xC</t>
  </si>
  <si>
    <t>0,4xC</t>
  </si>
  <si>
    <t>san 2cx1200</t>
  </si>
  <si>
    <t>Cuộn 430/2BA</t>
  </si>
  <si>
    <t>0,4x500xC</t>
  </si>
  <si>
    <t>0,4x300/600</t>
  </si>
  <si>
    <t>Cuộn 304/PE</t>
  </si>
  <si>
    <t>Cuộn 430/BA/PE</t>
  </si>
  <si>
    <t>Pallet</t>
  </si>
  <si>
    <t>Cuộn 304/NO4/pvcTC</t>
  </si>
  <si>
    <t>0,6x1200</t>
  </si>
  <si>
    <t>0,4x600/400xC</t>
  </si>
  <si>
    <t>Cuộn 201/gốc</t>
  </si>
  <si>
    <t>0,6x400xC</t>
  </si>
  <si>
    <t>0,7x710xC</t>
  </si>
  <si>
    <t>0,7x1200xc</t>
  </si>
  <si>
    <t>0,5x90xC</t>
  </si>
  <si>
    <t>Cuộn 304/HL/pvc</t>
  </si>
  <si>
    <t>Trả tiền</t>
  </si>
  <si>
    <t>gồm 2142 đề xê 1,0</t>
  </si>
  <si>
    <t>1,0xC</t>
  </si>
  <si>
    <t>0,3xC</t>
  </si>
  <si>
    <t>Cuộn 430/PE</t>
  </si>
  <si>
    <t>Cuộn 430/BA/gốc</t>
  </si>
  <si>
    <t>Cuộn 430/NO4</t>
  </si>
  <si>
    <t>0,5x920xC</t>
  </si>
  <si>
    <t>0,4x400</t>
  </si>
  <si>
    <t>1,0x39xC</t>
  </si>
  <si>
    <t>0,4x615xC</t>
  </si>
  <si>
    <t>xẻ 400</t>
  </si>
  <si>
    <t>xẻ 400/300</t>
  </si>
  <si>
    <t>xẻ 400/800</t>
  </si>
  <si>
    <t>xẻ 520</t>
  </si>
  <si>
    <t>Tên KH: Cty Thép Hà Nội</t>
  </si>
  <si>
    <t>0,42x1200xC</t>
  </si>
  <si>
    <t xml:space="preserve">Cuộn 304/BA </t>
  </si>
  <si>
    <t>0.4x1000xC</t>
  </si>
  <si>
    <t>Tên KH: C Thủy - TH</t>
  </si>
  <si>
    <t>3,0x1200x2500x2T</t>
  </si>
  <si>
    <t>3,0x1500x6000x5T</t>
  </si>
  <si>
    <t>4,0x1500x6000x4T</t>
  </si>
  <si>
    <t>5,0x1500x6000x3T</t>
  </si>
  <si>
    <t>6,0x1500x3000xT</t>
  </si>
  <si>
    <t>3,0x1210x6000xT</t>
  </si>
  <si>
    <t>Thiếu cân</t>
  </si>
  <si>
    <t>8,0x1500x6000x2T</t>
  </si>
  <si>
    <t>4,0x1500x6000xT</t>
  </si>
  <si>
    <t>Cuộn 201/6k/nhám</t>
  </si>
  <si>
    <t>3,0x1500x1120xT</t>
  </si>
  <si>
    <t>2,0x1500x2C</t>
  </si>
  <si>
    <t>Tên KH: Cty Vạn Xuân</t>
  </si>
  <si>
    <t>0,5x1200x20m</t>
  </si>
  <si>
    <t>1,5x1500x3000xT</t>
  </si>
  <si>
    <t>0,6x1210x2C</t>
  </si>
  <si>
    <t>2,5x1250x3135x41</t>
  </si>
  <si>
    <t>N1/2B</t>
  </si>
  <si>
    <t>Mua hàng</t>
  </si>
  <si>
    <t>4,0x1550x6000x3T</t>
  </si>
  <si>
    <t>8,0x1550x6000x5T</t>
  </si>
  <si>
    <t>8,0x1550x3000x20T</t>
  </si>
  <si>
    <t>4,0x1550x6000x7T</t>
  </si>
  <si>
    <t>16,0x1500x870x1T</t>
  </si>
  <si>
    <t>18,0x1500x1610x1T</t>
  </si>
  <si>
    <t>3,0x1550x3000x15T</t>
  </si>
  <si>
    <t>5,0x1550x3000x20T</t>
  </si>
  <si>
    <t>Cuộn 201/6k/pvc</t>
  </si>
  <si>
    <t>N1/6k</t>
  </si>
  <si>
    <t>Tấm 430</t>
  </si>
  <si>
    <t>2,0x1250x3284xT</t>
  </si>
  <si>
    <t>2,5x1250xT</t>
  </si>
  <si>
    <t>4,0x1000xT</t>
  </si>
  <si>
    <t>3,0x1550x3000xT</t>
  </si>
  <si>
    <t>4,0x1550x3000xT</t>
  </si>
  <si>
    <t>5,0x1550x3000xT</t>
  </si>
  <si>
    <t>Tên KH: E Đắc - NĐ</t>
  </si>
  <si>
    <t>0,4x300x2c</t>
  </si>
  <si>
    <t>4,0x1500x3000x4T</t>
  </si>
  <si>
    <t>6,0x1500x3000x5T</t>
  </si>
  <si>
    <t>3,0x1500x3000x5T</t>
  </si>
  <si>
    <t>5,0x1500x3000x4T</t>
  </si>
  <si>
    <t>3,0x1500x3000x6T</t>
  </si>
  <si>
    <t>2,0x1500x3000xT</t>
  </si>
  <si>
    <t>TRAN THI HOA</t>
  </si>
  <si>
    <t>1,0x920x2C</t>
  </si>
  <si>
    <t>Băng 304</t>
  </si>
  <si>
    <t>Giảm giá 1k</t>
  </si>
  <si>
    <t>2,0x1500x22T</t>
  </si>
  <si>
    <t>0,4x800xC</t>
  </si>
  <si>
    <t>0,35x780xC</t>
  </si>
  <si>
    <t>Cọc</t>
  </si>
  <si>
    <t>C.OANH-SACOM</t>
  </si>
  <si>
    <t>TK.Ngọc</t>
  </si>
  <si>
    <t>Tên KH: Cty Đại Thủy</t>
  </si>
  <si>
    <t>Băng 430/BA</t>
  </si>
  <si>
    <t>0,5x90x4k</t>
  </si>
  <si>
    <t>0,6x270xC</t>
  </si>
  <si>
    <t>0,6x70x2C</t>
  </si>
  <si>
    <t>0,7x260-375x12C</t>
  </si>
  <si>
    <t>0,7x375x4C</t>
  </si>
  <si>
    <t>0,44x100xC</t>
  </si>
  <si>
    <t>0,44x105xC</t>
  </si>
  <si>
    <t>0,44x112xC</t>
  </si>
  <si>
    <t>0,6x73xC</t>
  </si>
  <si>
    <t>0,6x65xC</t>
  </si>
  <si>
    <t>0,6x500xC</t>
  </si>
  <si>
    <t>0,7x450xC</t>
  </si>
  <si>
    <t>0,5x63-65xC</t>
  </si>
  <si>
    <t>0,5x63/49</t>
  </si>
  <si>
    <t>0,5x70-74xC</t>
  </si>
  <si>
    <t>0,7x73-83xC</t>
  </si>
  <si>
    <t>Đai 430</t>
  </si>
  <si>
    <t>0,7x20xC</t>
  </si>
  <si>
    <t>1,2x1550xC</t>
  </si>
  <si>
    <t>0,6x18,5</t>
  </si>
  <si>
    <t>0,6x13</t>
  </si>
  <si>
    <t>0,6x19-20</t>
  </si>
  <si>
    <t>0,6x20</t>
  </si>
  <si>
    <t>Băng 430</t>
  </si>
  <si>
    <t>0,5x56</t>
  </si>
  <si>
    <t>0,5x43</t>
  </si>
  <si>
    <t>0,5x14</t>
  </si>
  <si>
    <t>1,2x29</t>
  </si>
  <si>
    <t>1,2xTD</t>
  </si>
  <si>
    <t>0,4x135</t>
  </si>
  <si>
    <t>0,6x10TD</t>
  </si>
  <si>
    <t>0,6x120</t>
  </si>
  <si>
    <t>0,7x19,5</t>
  </si>
  <si>
    <t>Băng 431</t>
  </si>
  <si>
    <t>0,7x20</t>
  </si>
  <si>
    <t>Băng 432</t>
  </si>
  <si>
    <t>0,7x19</t>
  </si>
  <si>
    <t>0,7x20+19</t>
  </si>
  <si>
    <t>0,6x10xC</t>
  </si>
  <si>
    <t>0,6x19+20xC</t>
  </si>
  <si>
    <t>1,0x40xC/xả băng</t>
  </si>
  <si>
    <t>0,6x135xC/xả băng</t>
  </si>
  <si>
    <t>0,5x25xC/xả băng</t>
  </si>
  <si>
    <t>0,475x43xC/xả băng</t>
  </si>
  <si>
    <t>0,475x14xC/xả băng</t>
  </si>
  <si>
    <t>xẻ 1bx40 1bx19/20</t>
  </si>
  <si>
    <t>0,5x257xC</t>
  </si>
  <si>
    <t>xẻ 2bx123</t>
  </si>
  <si>
    <t>0,5x285xC</t>
  </si>
  <si>
    <t>xẻ 2bx123/18/19</t>
  </si>
  <si>
    <t>0,5x165xC</t>
  </si>
  <si>
    <t>1bx135/x20</t>
  </si>
  <si>
    <t>0,6x160xC</t>
  </si>
  <si>
    <t>gửi kho</t>
  </si>
  <si>
    <t>xẻ 1bx130/1bx20</t>
  </si>
  <si>
    <t>0,44x64-67x3</t>
  </si>
  <si>
    <t>xẻ 1bx39/1bx20</t>
  </si>
  <si>
    <t>Đai 430/BA</t>
  </si>
  <si>
    <t>0,4x44/62xC</t>
  </si>
  <si>
    <t>xẻ 19/20</t>
  </si>
  <si>
    <t>1bx40/1bx20</t>
  </si>
  <si>
    <t>0,7x90-105xC</t>
  </si>
  <si>
    <t>xẻ 19</t>
  </si>
  <si>
    <t>0,6x95xC</t>
  </si>
  <si>
    <t>0,6x85xC</t>
  </si>
  <si>
    <t>xẻ 19/20xhet</t>
  </si>
  <si>
    <t>0,5x20xC</t>
  </si>
  <si>
    <t>0,5x43,8xC</t>
  </si>
  <si>
    <t>1,0x14xC</t>
  </si>
  <si>
    <t>0,6x135xC</t>
  </si>
  <si>
    <t>1,2x50xC</t>
  </si>
  <si>
    <t>Phế</t>
  </si>
  <si>
    <t>0,7x19/20xC</t>
  </si>
  <si>
    <t>0,5x14xC</t>
  </si>
  <si>
    <t>0,5x43xC</t>
  </si>
  <si>
    <t>0,5x135xC</t>
  </si>
  <si>
    <t>0,6x130xC</t>
  </si>
  <si>
    <t>0,6x20xC</t>
  </si>
  <si>
    <t>0,5x123xC</t>
  </si>
  <si>
    <t>1,0x40xC</t>
  </si>
  <si>
    <t>0,44x20xC</t>
  </si>
  <si>
    <t>0,44x39xC</t>
  </si>
  <si>
    <t>1,0x18/19</t>
  </si>
  <si>
    <t>1,0x19/20xC</t>
  </si>
  <si>
    <t>0,44x12xC</t>
  </si>
  <si>
    <t>0,4x10xC</t>
  </si>
  <si>
    <t>0,7x19xC</t>
  </si>
  <si>
    <t>0,7x16xC</t>
  </si>
  <si>
    <t>0,5x38,3xC</t>
  </si>
  <si>
    <t>Tên KH: Cty Thiên Hòa An</t>
  </si>
  <si>
    <t>0,6x75xC</t>
  </si>
  <si>
    <t>0,6x80/114xC</t>
  </si>
  <si>
    <t>0,4x80/114/C</t>
  </si>
  <si>
    <t>0,5x19/20xC</t>
  </si>
  <si>
    <t>0,6x19/20xC</t>
  </si>
  <si>
    <t>0,3x80xC</t>
  </si>
  <si>
    <t>Giao Đại Thuỷ/Trả về?</t>
  </si>
  <si>
    <t>0,4x75xC</t>
  </si>
  <si>
    <t>0,4x78xC</t>
  </si>
  <si>
    <t>Tên KH: E Quân - CMy</t>
  </si>
  <si>
    <t>Tên KH: A Trung</t>
  </si>
  <si>
    <t>12x1500x3000x2T</t>
  </si>
  <si>
    <t>16x1500x870xT</t>
  </si>
  <si>
    <t>18x1500x1610xT</t>
  </si>
  <si>
    <t>0,4x1200x4C</t>
  </si>
  <si>
    <t>4,0x1500xT</t>
  </si>
  <si>
    <t>1,0x1210xT</t>
  </si>
  <si>
    <t>10x1500x3000x3T</t>
  </si>
  <si>
    <t>Gửi G/C</t>
  </si>
  <si>
    <t xml:space="preserve">Cuộn 304 </t>
  </si>
  <si>
    <t>0.4x1200xC/BA</t>
  </si>
  <si>
    <t>Cuộn 430/BB</t>
  </si>
  <si>
    <t>0,4x620xC</t>
  </si>
  <si>
    <t>3,0x1200</t>
  </si>
  <si>
    <t>14x1500x3000x1T</t>
  </si>
  <si>
    <t>16x1500x3000xT</t>
  </si>
  <si>
    <t>5,0x1500x3000x7T</t>
  </si>
  <si>
    <t>10,1500x3000xT</t>
  </si>
  <si>
    <t>2,0x1500xT</t>
  </si>
  <si>
    <t>Mai Tông</t>
  </si>
  <si>
    <t>Tùng An</t>
  </si>
  <si>
    <t>Huy tuấn</t>
  </si>
  <si>
    <t>3,0x1210xT</t>
  </si>
  <si>
    <t>Tên KH: Cty Tân Đạt</t>
  </si>
  <si>
    <t>Tấm 201/NO4/pvc</t>
  </si>
  <si>
    <t>1,0x1200x2400x20T</t>
  </si>
  <si>
    <t>1,2x1200x2400x10T</t>
  </si>
  <si>
    <t>1,5x1200x2400x10T</t>
  </si>
  <si>
    <t>Tấm 201/6k/pvc</t>
  </si>
  <si>
    <t>0,6x1250x2620x50T</t>
  </si>
  <si>
    <t>2,5x1200x2200xT</t>
  </si>
  <si>
    <t>0,4x1200x2c</t>
  </si>
  <si>
    <t>1,5x1200x2140xT</t>
  </si>
  <si>
    <t>4,0x1140x3000xT</t>
  </si>
  <si>
    <t>3,0x1140x3000xT</t>
  </si>
  <si>
    <t>1,0x1200x20m</t>
  </si>
  <si>
    <t>Tấm 304/HL/pvc</t>
  </si>
  <si>
    <t>2,0x1210x3000xT</t>
  </si>
  <si>
    <t>1,8x1200x3000xT</t>
  </si>
  <si>
    <t>1,5x1200x2500x15T</t>
  </si>
  <si>
    <t>0,5x328/578xC</t>
  </si>
  <si>
    <t>0,5x578/698xC</t>
  </si>
  <si>
    <t>thiếu 1kg</t>
  </si>
  <si>
    <t>0,4x600x2C</t>
  </si>
  <si>
    <t>thiếu 2kg</t>
  </si>
  <si>
    <t>Tên KH: Cty Ánh Dương</t>
  </si>
  <si>
    <t>Cuộn 204/2B</t>
  </si>
  <si>
    <t>1,5x1200x2420xT</t>
  </si>
  <si>
    <t>1,0x1200x3000x15T</t>
  </si>
  <si>
    <t>Tên KH: E Hoài - NĐ</t>
  </si>
  <si>
    <t>3,0x1530x4620x5T</t>
  </si>
  <si>
    <t>5,0x1200x3000x2T</t>
  </si>
  <si>
    <t>0,4x536xC</t>
  </si>
  <si>
    <t>0,43x1210xC</t>
  </si>
  <si>
    <t>1,5x1250x2500xT</t>
  </si>
  <si>
    <t>2,0x1200x2100xT</t>
  </si>
  <si>
    <t>4,0x1500x3000xT</t>
  </si>
  <si>
    <t>1,5x1200x3000xT</t>
  </si>
  <si>
    <t>0,28x620x3C</t>
  </si>
  <si>
    <t>Chưa</t>
  </si>
  <si>
    <t>2,0x1500x1975xT</t>
  </si>
  <si>
    <t>0,4x720xC</t>
  </si>
  <si>
    <t>0,4x480/250/540xC</t>
  </si>
  <si>
    <t>Tên KH: E Mão - NB</t>
  </si>
  <si>
    <t>C304/2B</t>
  </si>
  <si>
    <t>0,6x1450x3000xT</t>
  </si>
  <si>
    <t>0,6x1500x3000xT</t>
  </si>
  <si>
    <t>Vận chuyển</t>
  </si>
  <si>
    <t>Tên KH: Cty Minh Tiến</t>
  </si>
  <si>
    <t>2,0x1500x3C</t>
  </si>
  <si>
    <t>Giảm 500</t>
  </si>
  <si>
    <t>Tên KH: C Hùng - HP</t>
  </si>
  <si>
    <t>0,4x1000x2C</t>
  </si>
  <si>
    <t xml:space="preserve"> koV-2k</t>
  </si>
  <si>
    <t>1,0x1030xC</t>
  </si>
  <si>
    <t>Tên KH: C Thuyên - Cty Gia Hưng</t>
  </si>
  <si>
    <t>Tên KH: Cty Đại Đồng</t>
  </si>
  <si>
    <t>1,2x1200x990xT</t>
  </si>
  <si>
    <t>1,5x1500x2C</t>
  </si>
  <si>
    <t>2,5x1250x2500x4T</t>
  </si>
  <si>
    <t>2,0x1550xC</t>
  </si>
  <si>
    <t>6,0x1500x2500xT</t>
  </si>
  <si>
    <t>Tên KH: Cty Tân Tiến</t>
  </si>
  <si>
    <t>0,8x1040xC</t>
  </si>
  <si>
    <t>Tên KH: Cty Thiên Ân</t>
  </si>
  <si>
    <t>2,0x1250xC</t>
  </si>
  <si>
    <t>Tên KH: Cty Hà Cường</t>
  </si>
  <si>
    <t>Băng 201/BA</t>
  </si>
  <si>
    <t>0,4x410xC</t>
  </si>
  <si>
    <t>0,4x400x4C</t>
  </si>
  <si>
    <t>0,4x536x2C</t>
  </si>
  <si>
    <t>102x2440x5T</t>
  </si>
  <si>
    <t>1,2x1250x2C</t>
  </si>
  <si>
    <t>2,5x1250x1960x10T</t>
  </si>
  <si>
    <t>0,4x500x2C</t>
  </si>
  <si>
    <t>2,0x1200x300xT</t>
  </si>
  <si>
    <t>0,4x536x3C</t>
  </si>
  <si>
    <t>2,5x1550x80x11T</t>
  </si>
  <si>
    <t>Cuộn 201/6K</t>
  </si>
  <si>
    <t>1,2x1200x3100xT</t>
  </si>
  <si>
    <t>Cuộn 304/đx</t>
  </si>
  <si>
    <t>Tên KH: Cty Anh Thư - Hồng Vân</t>
  </si>
  <si>
    <t>1,5x1200x5380x2T</t>
  </si>
  <si>
    <t>KoV</t>
  </si>
  <si>
    <t>2,0x1200x1790xT</t>
  </si>
  <si>
    <t>Tên KH: E Thuận - Ngọc Diệp</t>
  </si>
  <si>
    <t>0,6x1200750xT</t>
  </si>
  <si>
    <t>0,5x43/8x2</t>
  </si>
  <si>
    <t>0,5x39xC</t>
  </si>
  <si>
    <t>Tên KH: Cty Minh Vũ</t>
  </si>
  <si>
    <t>Băng 430/FH</t>
  </si>
  <si>
    <t>0,5x42,8xC</t>
  </si>
  <si>
    <t>0,5x55-60xC</t>
  </si>
  <si>
    <t>0,5x55-155xC</t>
  </si>
  <si>
    <t>0,5x60-100xC</t>
  </si>
  <si>
    <t>Tên KH: Cty CP An Phát - TT</t>
  </si>
  <si>
    <t>8,0x1500x3000xT</t>
  </si>
  <si>
    <t>12x1500x3000xT</t>
  </si>
  <si>
    <t>Tên KH: A Tùng - Cty Xuân Thành</t>
  </si>
  <si>
    <t>Đai 403/FH</t>
  </si>
  <si>
    <t>Tên KH: A Bảy - NĐ</t>
  </si>
  <si>
    <t>0,44x1200x2C</t>
  </si>
  <si>
    <t>0,45x1200x2C</t>
  </si>
  <si>
    <t>0,45x1200xC</t>
  </si>
  <si>
    <t>Tên KH: A Đông - NĐ</t>
  </si>
  <si>
    <t>0,7x1500x2C</t>
  </si>
  <si>
    <t>0,4x400x3B</t>
  </si>
  <si>
    <t>4,0x1140x2150x5T</t>
  </si>
  <si>
    <t>1,2x1250x3000x5T</t>
  </si>
  <si>
    <t>0,5x725xC</t>
  </si>
  <si>
    <t>1,2x1200x3000xT</t>
  </si>
  <si>
    <t>0,6x750xC
0,6x1010xC</t>
  </si>
  <si>
    <t>Tên KH: Cty Quang Nga - Phủ Lý</t>
  </si>
  <si>
    <t>2,0x1500x6283x10T</t>
  </si>
  <si>
    <t>Tên KH: A Nguyện - Cty Gia Anh</t>
  </si>
  <si>
    <t>3,0x1250x3000xT</t>
  </si>
  <si>
    <t>1,2x1000x7200xT</t>
  </si>
  <si>
    <t>Tên KH: Cty Hiển Thịnh - HP</t>
  </si>
  <si>
    <t>3,0x1500x2530xT
3,0x1500x3000xT</t>
  </si>
  <si>
    <t>3,0x1000x2760xT</t>
  </si>
  <si>
    <t>1,5x1200xT
1,2x1200xT</t>
  </si>
  <si>
    <t>0,8x750/780xC</t>
  </si>
  <si>
    <t>G/C</t>
  </si>
  <si>
    <t>Cuộn 201/6K/2B</t>
  </si>
  <si>
    <t>0,4x800/400xC</t>
  </si>
  <si>
    <t>8389?</t>
  </si>
  <si>
    <t>Tên KH: A Hùng - HP</t>
  </si>
  <si>
    <t>3,0x1000x2000xT</t>
  </si>
  <si>
    <t>4,0x1500x6000</t>
  </si>
  <si>
    <t>4,0x1000xC</t>
  </si>
  <si>
    <t>2,0x1250x3850xT</t>
  </si>
  <si>
    <t>VC</t>
  </si>
  <si>
    <t>2,0x1500x1500x24T</t>
  </si>
  <si>
    <t>5,0x1500x6250xT</t>
  </si>
  <si>
    <t>3,0x1500x2340x9T</t>
  </si>
  <si>
    <t>Tên KH: Cty Hòa Hưng</t>
  </si>
  <si>
    <t>0,6x1200x1530x31T</t>
  </si>
  <si>
    <t>3,0x1500x3005xT</t>
  </si>
  <si>
    <t>1,0x1210x2850x15T</t>
  </si>
  <si>
    <t>2,5x1500x6000xT</t>
  </si>
  <si>
    <t>10x1500x6000xT</t>
  </si>
  <si>
    <t>Thiếu 3kg</t>
  </si>
  <si>
    <t>2,8x1250x3200x10T</t>
  </si>
  <si>
    <t>3,0x1200x6000xT</t>
  </si>
  <si>
    <t>3,0x1200x5605xT</t>
  </si>
  <si>
    <t>3,0x1200x5605xY</t>
  </si>
  <si>
    <t>Tên KH: Cty Quang Long - HD</t>
  </si>
  <si>
    <t>2,0x1220x2440x20T</t>
  </si>
  <si>
    <t>0,4x1210x4C</t>
  </si>
  <si>
    <t>1,5x196xC</t>
  </si>
  <si>
    <t>0,4x400/850xC</t>
  </si>
  <si>
    <t>0,4x850/420xC</t>
  </si>
  <si>
    <t>Tên KH: Cty Minh Châu - TN</t>
  </si>
  <si>
    <t>Cuộn 301/6k</t>
  </si>
  <si>
    <t>Cuộn 403/BA</t>
  </si>
  <si>
    <t>0,6x1200x2470x24T
0,6x1200x1900x24T</t>
  </si>
  <si>
    <t>0,8x1000xT</t>
  </si>
  <si>
    <t>0,4x300/400</t>
  </si>
  <si>
    <t>1,2x1200x2000xT</t>
  </si>
  <si>
    <t>Tên KH: Cty Anh Linh - TT</t>
  </si>
  <si>
    <t>1,0x1200x2900x8T</t>
  </si>
  <si>
    <t>0,6x1200x1700x10T</t>
  </si>
  <si>
    <t>1,5x1200x1640x3T</t>
  </si>
  <si>
    <t>2,0x1240x720x30T
2,0x1240x760x20T</t>
  </si>
  <si>
    <t>1,5x1200x42T</t>
  </si>
  <si>
    <t>0,8x1240xT</t>
  </si>
  <si>
    <t>1,2x1200x2100xT</t>
  </si>
  <si>
    <t>0,8xT</t>
  </si>
  <si>
    <t xml:space="preserve">Tên KH: Cty Dung Tươi - Yên Bái </t>
  </si>
  <si>
    <t>1,5x1200x4000x10T</t>
  </si>
  <si>
    <t>2,0x1200x4500x6T</t>
  </si>
  <si>
    <t>2,0x1200x2500x12T</t>
  </si>
  <si>
    <t>1,2x1200x4500x10T</t>
  </si>
  <si>
    <t>2,0x1200x4500x5T</t>
  </si>
  <si>
    <t xml:space="preserve">Tên KH: Cty Hoàng Anh </t>
  </si>
  <si>
    <t>0,6x1200x3C</t>
  </si>
  <si>
    <t>1,5x1250x3050x20T</t>
  </si>
  <si>
    <t>2,0x1250x3000x5T</t>
  </si>
  <si>
    <t>5,3x1500x6000x20T</t>
  </si>
  <si>
    <t>Cuộn 430/NO1</t>
  </si>
  <si>
    <t>3,17x1450xC</t>
  </si>
  <si>
    <t>3,0x1530x3000xT</t>
  </si>
  <si>
    <t>Tấm N1/NO1</t>
  </si>
  <si>
    <t xml:space="preserve">Tên KH: Cty Hoàng Quân Phát </t>
  </si>
  <si>
    <t>0,25x600xC</t>
  </si>
  <si>
    <t>0,35x600/700xC</t>
  </si>
  <si>
    <t>chặt 0,38x620x820</t>
  </si>
  <si>
    <t>chặt tấm 1100xT</t>
  </si>
  <si>
    <t>Chặt 2,5x50x1250xhet</t>
  </si>
  <si>
    <t>0,35x600-800xC</t>
  </si>
  <si>
    <t>1,5x1200x1700xT</t>
  </si>
  <si>
    <t xml:space="preserve">Tên KH: Cty Tân Hưng </t>
  </si>
  <si>
    <t>2,0x1200x47T</t>
  </si>
  <si>
    <t>1,5x1200x35T</t>
  </si>
  <si>
    <t>Tên KH: Cty Thanh Dương - Đà Nẵng</t>
  </si>
  <si>
    <t>1,5x1500x3000x3T</t>
  </si>
  <si>
    <t>10x1500x3000xT</t>
  </si>
  <si>
    <t xml:space="preserve">Tên KH: Cty Thép Việt </t>
  </si>
  <si>
    <t>Cuộn 304/6k</t>
  </si>
  <si>
    <t>đánh xước NO4/pvc</t>
  </si>
  <si>
    <t>3,0x1200xC/NO4/pvc</t>
  </si>
  <si>
    <t>0,6x1200xC/NO4/pvc</t>
  </si>
  <si>
    <t>đánh xước</t>
  </si>
  <si>
    <t>NO4,phủ TC chia 2C</t>
  </si>
  <si>
    <t>xước NO4/1 mặt phủ xanh</t>
  </si>
  <si>
    <t>đánh xước NO4</t>
  </si>
  <si>
    <t>Phủ PE xanh</t>
  </si>
  <si>
    <t>NO4/3C</t>
  </si>
  <si>
    <t>NO4/2C</t>
  </si>
  <si>
    <t>NO4/phủ TC = 1Tan</t>
  </si>
  <si>
    <t>pxk 8478</t>
  </si>
  <si>
    <t>1,5x920xC</t>
  </si>
  <si>
    <t>Cuộn 304/2B/NO4</t>
  </si>
  <si>
    <t>Tên KH: A Long - Mỗ</t>
  </si>
  <si>
    <t>Tên KH: E Tạo - NĐ</t>
  </si>
  <si>
    <t>1,5x1210x3000xT</t>
  </si>
  <si>
    <t>3,0x1210x3000xT</t>
  </si>
  <si>
    <t>3,0x1210x660xT</t>
  </si>
  <si>
    <t>5,0x1500x1990x2T
5,0x1500x3000x10T</t>
  </si>
  <si>
    <t>4,0x1500x3000x10T</t>
  </si>
  <si>
    <t>1,5x1210x2100xT</t>
  </si>
  <si>
    <t>2,0x1210x2100xT</t>
  </si>
  <si>
    <t>1,5x1210x2500xT</t>
  </si>
  <si>
    <t>2,0x1210x2500xT</t>
  </si>
  <si>
    <t>3,0x1500x2200x4T
3,0x1500x3000xT</t>
  </si>
  <si>
    <t>5,0x1500x3000x10T</t>
  </si>
  <si>
    <t>Tên KH: Cty Thái Dương</t>
  </si>
  <si>
    <t>0,4x1200</t>
  </si>
  <si>
    <t>Phủ xanh 1,1 tấn /3C</t>
  </si>
  <si>
    <t>chặt 1100</t>
  </si>
  <si>
    <t>Chặt 2400=100T</t>
  </si>
  <si>
    <t>hoàng anh GC chặt tấm</t>
  </si>
  <si>
    <t>0,6x1250xC</t>
  </si>
  <si>
    <t>chặt 2350x57T</t>
  </si>
  <si>
    <t>đề xe = 34kg</t>
  </si>
  <si>
    <t>Cuộn 430/BA/pvc</t>
  </si>
  <si>
    <t>Cuộn 201/BA/gốc</t>
  </si>
  <si>
    <t>Cuộn 201/BA/pvc</t>
  </si>
  <si>
    <t>Cuộn 201/BA/pvc/gốc</t>
  </si>
  <si>
    <t>Tên KH: Cty Hồng Tâm - Phủ Lý</t>
  </si>
  <si>
    <t>3,0x1000x3000x1T
3,0x1000x3700x1T</t>
  </si>
  <si>
    <t>4,0x1500x3000x1T</t>
  </si>
  <si>
    <t>2,0x1500x3710x2T</t>
  </si>
  <si>
    <t>2,0x1000x1810x2T
2,0x1000x1910x2T</t>
  </si>
  <si>
    <t>3,0x1250xT</t>
  </si>
  <si>
    <t>1,0x900x2</t>
  </si>
  <si>
    <t>Tấm 201/nhám</t>
  </si>
  <si>
    <t>Tấm 304/nhám</t>
  </si>
  <si>
    <t xml:space="preserve">Tên KH: A Kiên - Long Biên </t>
  </si>
  <si>
    <t>1,5x1210x3000x43T</t>
  </si>
  <si>
    <t>1,5x1250x3000x20T</t>
  </si>
  <si>
    <t>0,6x1200x3000x50T</t>
  </si>
  <si>
    <t>0,4x1200x5C</t>
  </si>
  <si>
    <t>0,6x1200x2500xT</t>
  </si>
  <si>
    <t>1,0x1240x2500xT</t>
  </si>
  <si>
    <t>Tấm 304/BA/pvc</t>
  </si>
  <si>
    <t>2,0x1250x3000xT</t>
  </si>
  <si>
    <t>0,8x1250x3000xT</t>
  </si>
  <si>
    <t>1,5x1240x3000x20T</t>
  </si>
  <si>
    <t>1,5x1250x3000xT</t>
  </si>
  <si>
    <t>1,5x1240x3000xT</t>
  </si>
  <si>
    <t>Tên KH: C Hà - Khoa học - HY</t>
  </si>
  <si>
    <t>Hải yến</t>
  </si>
  <si>
    <t>3,0x1210x5000xT</t>
  </si>
  <si>
    <t>Tên KH: E Trung - Cty Hà Anh</t>
  </si>
  <si>
    <t>1,0x1200x2500x10T</t>
  </si>
  <si>
    <t>4,0x1210xC</t>
  </si>
  <si>
    <t>2,0x1250x2500x6T</t>
  </si>
  <si>
    <t>2,0x1210x2440x28T</t>
  </si>
  <si>
    <t>0,2x1200x2C</t>
  </si>
  <si>
    <t>1,2x1200x2440x8T</t>
  </si>
  <si>
    <t>1,2x1200x1990xT</t>
  </si>
  <si>
    <t xml:space="preserve">Tên KH: Cty Bùi Gia </t>
  </si>
  <si>
    <t>3,17x1460xC</t>
  </si>
  <si>
    <t>3,17x1476xC</t>
  </si>
  <si>
    <t>3,5x1560xC</t>
  </si>
  <si>
    <t xml:space="preserve">Tên KH: Cty Hiền Hoa - NĐ </t>
  </si>
  <si>
    <t>2,0x1200x3000xT</t>
  </si>
  <si>
    <t>2,5x1250x2800x9T</t>
  </si>
  <si>
    <t>3,0x1200x2000/3000xT</t>
  </si>
  <si>
    <t>2,0x1250x300xT</t>
  </si>
  <si>
    <t xml:space="preserve">Tấm 304 </t>
  </si>
  <si>
    <t>Tấm 305</t>
  </si>
  <si>
    <t>4,0x1000x3000x5T</t>
  </si>
  <si>
    <t>Tấm 306</t>
  </si>
  <si>
    <t>3,0x1200x2000xT</t>
  </si>
  <si>
    <t>Tấm 307</t>
  </si>
  <si>
    <t>Tấm 308</t>
  </si>
  <si>
    <t>4,5x1200x3000xT</t>
  </si>
  <si>
    <t>Tên KH: A Cường - Linh Đàm</t>
  </si>
  <si>
    <t>CT/C</t>
  </si>
  <si>
    <t>0,4x1088xC</t>
  </si>
  <si>
    <t>0,4x1167xC</t>
  </si>
  <si>
    <t>0,4x1095xC</t>
  </si>
  <si>
    <t>2k GC</t>
  </si>
  <si>
    <t>Tên KH: C Dung - HD</t>
  </si>
  <si>
    <t>3,0x1200x2C</t>
  </si>
  <si>
    <t>3,0x1500x3000x15T</t>
  </si>
  <si>
    <t>5,0x1500x3000x15T</t>
  </si>
  <si>
    <t>Tấm 430/BA/Nhám</t>
  </si>
  <si>
    <t>1,5x1260x3530xT</t>
  </si>
  <si>
    <t>0,6x1090xC</t>
  </si>
  <si>
    <t>1,2x1258xC</t>
  </si>
  <si>
    <t xml:space="preserve">Tên KH: Cty Cơ khí CTM Phú Thịnh - ĐN </t>
  </si>
  <si>
    <t>3,3x1550xC</t>
  </si>
  <si>
    <t>3,2x1550xC</t>
  </si>
  <si>
    <t>5,3x1550x6000x20T</t>
  </si>
  <si>
    <t>3,3x1550x2C</t>
  </si>
  <si>
    <t>Cuộn 430/NO2</t>
  </si>
  <si>
    <t>3,2x1500xC</t>
  </si>
  <si>
    <t>3,2x1464xC</t>
  </si>
  <si>
    <t xml:space="preserve">Tên KH: Cty Toàn Việt </t>
  </si>
  <si>
    <t>Cuộn 201/NO1</t>
  </si>
  <si>
    <t>5,0x1500xC</t>
  </si>
  <si>
    <t>1,5x1200x6C</t>
  </si>
  <si>
    <t>571/26</t>
  </si>
  <si>
    <t>0,4x xẻ băng</t>
  </si>
  <si>
    <t xml:space="preserve">Tên KH:Cty Thảo Trang </t>
  </si>
  <si>
    <t>2,0x1210x3C</t>
  </si>
  <si>
    <t xml:space="preserve">Tên KH: C Dung - Cầu Diễn </t>
  </si>
  <si>
    <t>1,5x1210x2300x25T</t>
  </si>
  <si>
    <t>0,8x1210x2300x3T</t>
  </si>
  <si>
    <t>1,2x1250x2500xT</t>
  </si>
  <si>
    <t>0,4x1200x2400xT</t>
  </si>
  <si>
    <t xml:space="preserve">Tên KH: Cty Cường Hương - PX </t>
  </si>
  <si>
    <t>0,5x53-60xC</t>
  </si>
  <si>
    <t>0,5x55xC</t>
  </si>
  <si>
    <t>Tên KH: Cty INOX Việt</t>
  </si>
  <si>
    <t xml:space="preserve">Tên KH: A Phong - Cty Việt Đức </t>
  </si>
  <si>
    <t>1,5x1200x2440xT</t>
  </si>
  <si>
    <t>2,0x1200x1500x10T</t>
  </si>
  <si>
    <t>3,0x1200x1500xT</t>
  </si>
  <si>
    <t>Tên KH: A Đức - Cty Hoà Phát</t>
  </si>
  <si>
    <t>3,0x1250xC</t>
  </si>
  <si>
    <t>Tên KH: Cty Đông Dương</t>
  </si>
  <si>
    <t>Tấm 460/NO1</t>
  </si>
  <si>
    <t>5,0x1050x2000xT</t>
  </si>
  <si>
    <t>5,0x2000xC</t>
  </si>
  <si>
    <t>0,8x1210x2C</t>
  </si>
  <si>
    <t>0,6x1240xC</t>
  </si>
  <si>
    <t>Tên KH: Cty TH Việt Nam</t>
  </si>
  <si>
    <t xml:space="preserve">Tấm 201/2B </t>
  </si>
  <si>
    <t>0,8x1210x4000x11T</t>
  </si>
  <si>
    <t>2,0x1500x4706x5T</t>
  </si>
  <si>
    <t>2,0x1200x2192x5T</t>
  </si>
  <si>
    <t>1,5x1200x938xT</t>
  </si>
  <si>
    <t>3,0x1200x3T</t>
  </si>
  <si>
    <t>1,5x1500x2100xT</t>
  </si>
  <si>
    <t>Tên KH: E Ân - Thái Nguyên</t>
  </si>
  <si>
    <t>0,3x1210x31C</t>
  </si>
  <si>
    <t>Cuộn 201/N04</t>
  </si>
  <si>
    <t xml:space="preserve"> 0.6x1200xC</t>
  </si>
  <si>
    <t>0,3x1200x3C</t>
  </si>
  <si>
    <t>0,6x1200x4C</t>
  </si>
  <si>
    <t xml:space="preserve">Tên KH:E Nguyên - Cty Huy Hoàng </t>
  </si>
  <si>
    <t>4,0x1145xC</t>
  </si>
  <si>
    <t>4,0x1140xT</t>
  </si>
  <si>
    <t>Xuất hạ tải</t>
  </si>
  <si>
    <t>2,96x1133</t>
  </si>
  <si>
    <t>2,96x1133xC</t>
  </si>
  <si>
    <t>5,27x1268</t>
  </si>
  <si>
    <t>Tên KH: Cty Hưng Phát -NĐ- Trường Phú</t>
  </si>
  <si>
    <t>2,0x1250x2500x3T</t>
  </si>
  <si>
    <t>1,0x1250xT</t>
  </si>
  <si>
    <t>0,6x1250x2350xT</t>
  </si>
  <si>
    <t>Tên KH: Cô Cúc - Rùa</t>
  </si>
  <si>
    <t>0,4x1245x1028x56T
0,4x1245x982x24T
0,4x1245x1120x22T</t>
  </si>
  <si>
    <t>0,5x1200x1330xT</t>
  </si>
  <si>
    <t xml:space="preserve">Tên KH: Cty Nguyễn Hưng - HT </t>
  </si>
  <si>
    <t>1,0x1210x4C</t>
  </si>
  <si>
    <t>1,5x1210x2500x5T</t>
  </si>
  <si>
    <t>2,0x1200x2500x5T</t>
  </si>
  <si>
    <t xml:space="preserve">Tên KH: Cty Thanh Phát </t>
  </si>
  <si>
    <t>0,55x1200xC</t>
  </si>
  <si>
    <t xml:space="preserve">Tên KH: E Mỹ - Rùa </t>
  </si>
  <si>
    <t>0,9x1500xC</t>
  </si>
  <si>
    <t>1,8x1210xC</t>
  </si>
  <si>
    <t>Cuộn 410/BA/pvc</t>
  </si>
  <si>
    <t>Gia công</t>
  </si>
  <si>
    <t xml:space="preserve">Tên KH: Cty Thép Nam Phát - Từ Liêm </t>
  </si>
  <si>
    <t>0,8x1500x9C</t>
  </si>
  <si>
    <t>1,5x1250x2400x18T</t>
  </si>
  <si>
    <t>0,8x1200x2400xT</t>
  </si>
  <si>
    <t>2,0x1250x2400xT</t>
  </si>
  <si>
    <t xml:space="preserve">Tên KH: E Thắng - Cty Quốc Thắng </t>
  </si>
  <si>
    <t xml:space="preserve">Tên KH: E Hiến - Cty Minh Hiến - HD </t>
  </si>
  <si>
    <t>2,0x1500x6000</t>
  </si>
  <si>
    <t>1,2x15000xT</t>
  </si>
  <si>
    <t>3,0x1500x6030xT</t>
  </si>
  <si>
    <t>Tên KH: A Thắng - HP - Cty Ngọc Linh</t>
  </si>
  <si>
    <t>0,8x1200</t>
  </si>
  <si>
    <t>2,5x1500x4C</t>
  </si>
  <si>
    <t>phiếu 598kg</t>
  </si>
  <si>
    <t>phiếu 1266kg</t>
  </si>
  <si>
    <t>Tên KH: Cty Thành An</t>
  </si>
  <si>
    <t>2,0x1200x3000x10T</t>
  </si>
  <si>
    <t>Tên KH: Cty Tam Việt</t>
  </si>
  <si>
    <t xml:space="preserve">Tên KH: E Đạt - Cty Bảo Phát </t>
  </si>
  <si>
    <t>1,2x1540x2mxT
1,2x1500xC</t>
  </si>
  <si>
    <t>1,2x1200x2760xT</t>
  </si>
  <si>
    <t>Cuộn 304x2B</t>
  </si>
  <si>
    <t>Tên KH: A Hải - NH</t>
  </si>
  <si>
    <t>1,2x1200x3T</t>
  </si>
  <si>
    <t>Tên KH: Cty Nam Phát - Ngọc Hồi</t>
  </si>
  <si>
    <t>2,5x1200x2020x10T</t>
  </si>
  <si>
    <t>2,5x1200xT</t>
  </si>
  <si>
    <t>Tên KH: A Hùng - Cty Minh Phát</t>
  </si>
  <si>
    <t>0,6x265xC</t>
  </si>
  <si>
    <t>0,44x60xC</t>
  </si>
  <si>
    <t>0,44/0,5x55-70xC</t>
  </si>
  <si>
    <t xml:space="preserve">Tên KH: C Hà - Xuân Mai </t>
  </si>
  <si>
    <t>Tên KH: E Doanh - Thanh Oai</t>
  </si>
  <si>
    <t>0,5x1200x2000xT</t>
  </si>
  <si>
    <t>Tấm 304/2B/pvc</t>
  </si>
  <si>
    <t>1,5x1200x2000xT</t>
  </si>
  <si>
    <t>1,0x1200x2000xT</t>
  </si>
  <si>
    <t>2,0x1200x2000T</t>
  </si>
  <si>
    <t>0,8x1200x2000xT</t>
  </si>
  <si>
    <t>0,7x1200x2000xT</t>
  </si>
  <si>
    <t xml:space="preserve">Tên KH: A Dự - NĐ </t>
  </si>
  <si>
    <t>Tên KH: Cty Giang Phương</t>
  </si>
  <si>
    <t>1,5x1200x3100xT</t>
  </si>
  <si>
    <t>1,5x1000x3140xT</t>
  </si>
  <si>
    <t>Chặt 1,5x140x3140xhet</t>
  </si>
  <si>
    <t xml:space="preserve">Tên KH: C Yến - Cty Tân Thành </t>
  </si>
  <si>
    <t>2,0x1200x2400x6T</t>
  </si>
  <si>
    <t>3,0x1200x3000</t>
  </si>
  <si>
    <t xml:space="preserve"> Chuyển khoản</t>
  </si>
  <si>
    <t>Tên KH: C Phương - Cty XNK Thịnh Phát</t>
  </si>
  <si>
    <t>1,5x1240x2050x15T</t>
  </si>
  <si>
    <t>1,5x1200x211524T</t>
  </si>
  <si>
    <t>1,5x1240xC</t>
  </si>
  <si>
    <t>1,5x1240x2300x25T</t>
  </si>
  <si>
    <t>2,0x1240xC</t>
  </si>
  <si>
    <t>3,0x1240x3000x3T
3,0x1240x2850x1T
3,0x1240x2500x2T</t>
  </si>
  <si>
    <t>1,5x1200x3040xT
1,5x1200x1620x3T</t>
  </si>
  <si>
    <t>0,4x1040xC</t>
  </si>
  <si>
    <t>3,0x1240x3020x20T</t>
  </si>
  <si>
    <t>1,2x1240xC</t>
  </si>
  <si>
    <t>Tấm 430/NO4</t>
  </si>
  <si>
    <t>3,5x1530x6000xT</t>
  </si>
  <si>
    <t xml:space="preserve">Tên KH: Cty Hàn Việt </t>
  </si>
  <si>
    <t>0,4x1290xC</t>
  </si>
  <si>
    <t>0,4x1000x4C</t>
  </si>
  <si>
    <t xml:space="preserve">Tên KH: Cty Năng Lượng - Tứ Hiệp </t>
  </si>
  <si>
    <t>1,5x1200x2700x30T</t>
  </si>
  <si>
    <t xml:space="preserve">Tên KH: C Hạnh - Cty Đức Phát </t>
  </si>
  <si>
    <t>0,7x275-265xC</t>
  </si>
  <si>
    <t>0,7x260-365xC</t>
  </si>
  <si>
    <t>0,7x270-320xC</t>
  </si>
  <si>
    <t>0,4x320xC</t>
  </si>
  <si>
    <t>Tên KH: Cty Bảo Lâm</t>
  </si>
  <si>
    <t>Tấm 316/2B</t>
  </si>
  <si>
    <t>1,2x1200x2400xT</t>
  </si>
  <si>
    <t>2,0x1200x2440x2T</t>
  </si>
  <si>
    <t xml:space="preserve">Chuyển khoản </t>
  </si>
  <si>
    <t xml:space="preserve">Tên KH: Cty Toàn Phát - HP </t>
  </si>
  <si>
    <t>1,0x1250x2450x12T</t>
  </si>
  <si>
    <t>Tên KH: E Trung - Cty An Phát - HY</t>
  </si>
  <si>
    <t xml:space="preserve">Tên KH: Cty Thịnh Hưng </t>
  </si>
  <si>
    <t>0,8x1000x2C</t>
  </si>
  <si>
    <t xml:space="preserve">Tên KH: Cty Tuấn Nhung - Rùa </t>
  </si>
  <si>
    <t>0,8x1030xC</t>
  </si>
  <si>
    <t xml:space="preserve">Tên KH:Cty Thành Hưng </t>
  </si>
  <si>
    <t xml:space="preserve">Tên KH: Cty Minh Tám </t>
  </si>
  <si>
    <t xml:space="preserve">Tên KH: Cty Bình Minh </t>
  </si>
  <si>
    <t>1,0x1252x2500x9T</t>
  </si>
  <si>
    <t>1,5x1250x30T</t>
  </si>
  <si>
    <t>1,5x1250x2500x12T</t>
  </si>
  <si>
    <t>Tấm MN1/6k</t>
  </si>
  <si>
    <t>2,0x1250x1920xT</t>
  </si>
  <si>
    <t>2,0x1250x4500xT</t>
  </si>
  <si>
    <t>6,0x1500xC</t>
  </si>
  <si>
    <t>3000x3T/2500x4T/6000xhet</t>
  </si>
  <si>
    <t>6,0x1500xT</t>
  </si>
  <si>
    <t>Tấm MN1/2B</t>
  </si>
  <si>
    <t>2,5x1250x2270xT</t>
  </si>
  <si>
    <t>2,0x1250x2055xT</t>
  </si>
  <si>
    <t>Cuộn MN1/2B</t>
  </si>
  <si>
    <t>1,0x1250x2500xT</t>
  </si>
  <si>
    <t>2,0x1250x2920xT</t>
  </si>
  <si>
    <t>1,0x1250x2900xT</t>
  </si>
  <si>
    <t xml:space="preserve">Tên KH: A Cương - Rùa </t>
  </si>
  <si>
    <t>4,0x1000x2000xT</t>
  </si>
  <si>
    <t>5,0x1500x4600xT</t>
  </si>
  <si>
    <t>Tên KH: Cty Visco - Hải Phòng</t>
  </si>
  <si>
    <t>0,4x400x3C</t>
  </si>
  <si>
    <t>Tên KH: Cty Thái Hưng - Phú Thọ</t>
  </si>
  <si>
    <t>0,35-0,5-25C</t>
  </si>
  <si>
    <t>0,35/0,4/0,5x27C</t>
  </si>
  <si>
    <t>0,35/0,4x20C</t>
  </si>
  <si>
    <t>Tên KH: Cty Cường Thu - NĐ</t>
  </si>
  <si>
    <t>4,0x1500x3mx2T</t>
  </si>
  <si>
    <t>6,0x1500x3mx2T</t>
  </si>
  <si>
    <t>8,0x1500x3mx1T</t>
  </si>
  <si>
    <t>10x1500x3mx1T</t>
  </si>
  <si>
    <t>1,5x1500x3mxT</t>
  </si>
  <si>
    <t>3,0x1500x3mxT</t>
  </si>
  <si>
    <t>3,0x1500x1760x6T</t>
  </si>
  <si>
    <t>Tên KH: Cty Anh Thư</t>
  </si>
  <si>
    <t>0,3x1000x9000xC</t>
  </si>
  <si>
    <t>2,5x1200x2500x5T</t>
  </si>
  <si>
    <t>2,0x1200x3020x12T</t>
  </si>
  <si>
    <t xml:space="preserve">Tên KH: Cty Minh Phương - Hoài Đức </t>
  </si>
  <si>
    <t>Xuất trả</t>
  </si>
  <si>
    <t>Tên KH: Cty Tiến Hưng</t>
  </si>
  <si>
    <t xml:space="preserve">Tên KH: Cty INOX Diện Hoài </t>
  </si>
  <si>
    <t>1,5x1500x5100xT</t>
  </si>
  <si>
    <t xml:space="preserve">Tên KH: Cty Đức Thuận HP </t>
  </si>
  <si>
    <t>Tên KH: Cty Khanh Tâm - Nghệ An</t>
  </si>
  <si>
    <t>1,0x1200x10T</t>
  </si>
  <si>
    <t>200k Cước</t>
  </si>
  <si>
    <t>1,0x1500x6000T</t>
  </si>
  <si>
    <t>8,0x1500x1500xT</t>
  </si>
  <si>
    <t>0,8x1500x5700xC</t>
  </si>
  <si>
    <t>2,0x1200x3000xT
2,0x1500x3000xT</t>
  </si>
  <si>
    <t>0,8x1200x2500xT</t>
  </si>
  <si>
    <t>Tên KH: Cty Đạt Linh</t>
  </si>
  <si>
    <t>1,2x1200x3000x12T</t>
  </si>
  <si>
    <t>0,8x1200x3C</t>
  </si>
  <si>
    <t xml:space="preserve">Tên KH: Cty Quang Phương - Bắc Ninh </t>
  </si>
  <si>
    <t>0,5x1040xC</t>
  </si>
  <si>
    <t>2,0x1240xT</t>
  </si>
  <si>
    <t xml:space="preserve">Tên KH: C Vui - HY </t>
  </si>
  <si>
    <t>5,2x1210xT</t>
  </si>
  <si>
    <t>4,0x1140x4650</t>
  </si>
  <si>
    <t>3,0x1200x2000x4T</t>
  </si>
  <si>
    <t>Tên KH: A Thép - Cty Thép Titan</t>
  </si>
  <si>
    <t>2,5x1500x6C</t>
  </si>
  <si>
    <t>1,5x1500x3C</t>
  </si>
  <si>
    <t>2,5x1500x3</t>
  </si>
  <si>
    <t>0,8x1250x2500xT</t>
  </si>
  <si>
    <t>1,0x1500x400xT</t>
  </si>
  <si>
    <t>1,0x1500x4000xT</t>
  </si>
  <si>
    <t>0,8x1500xT</t>
  </si>
  <si>
    <t>1,0x1250x1420xT</t>
  </si>
  <si>
    <t>1,0x1500x6000xT</t>
  </si>
  <si>
    <t xml:space="preserve">Tên KH: CH Phú Lý </t>
  </si>
  <si>
    <t>0,7x1000x3C</t>
  </si>
  <si>
    <t xml:space="preserve">Tên KH: C Dung - Cty Việt Á </t>
  </si>
  <si>
    <t>Cuộn 304/2B/BA</t>
  </si>
  <si>
    <t xml:space="preserve">Tên KH: Cty Thăng Long </t>
  </si>
  <si>
    <t>2,5x1240x2100x30T</t>
  </si>
  <si>
    <t>Tên KH: Cty Tuấn Đạt</t>
  </si>
  <si>
    <t>2,5x1500x3000</t>
  </si>
  <si>
    <t>1,2x1250x2910xT</t>
  </si>
  <si>
    <t>Tên KH: Cty Sao Việt</t>
  </si>
  <si>
    <t>10x1500xC</t>
  </si>
  <si>
    <t>323/03</t>
  </si>
  <si>
    <t>8,0x1550x3000xT</t>
  </si>
  <si>
    <t>399/03</t>
  </si>
  <si>
    <t>4,0x1550x6000xT</t>
  </si>
  <si>
    <t>406/03</t>
  </si>
  <si>
    <t>14,0x1524x3048xT</t>
  </si>
  <si>
    <t>16,0x1524x3048xT</t>
  </si>
  <si>
    <t>665/03</t>
  </si>
  <si>
    <t>10x1500xT</t>
  </si>
  <si>
    <t>122/04</t>
  </si>
  <si>
    <t>0,4x1245xC</t>
  </si>
  <si>
    <t>0,4x43xC</t>
  </si>
  <si>
    <t>516/04</t>
  </si>
  <si>
    <t xml:space="preserve">Tên KH: Cty Hoàng Linh </t>
  </si>
  <si>
    <t>0,45-0,52x106-110xC</t>
  </si>
  <si>
    <t>0,45-0,52x50-53xC</t>
  </si>
  <si>
    <t>0,45-106/110xC</t>
  </si>
  <si>
    <t>thiếu 8kg</t>
  </si>
  <si>
    <t>0,5x130xC</t>
  </si>
  <si>
    <t>Tên KH: Cty Thái An- HY</t>
  </si>
  <si>
    <t xml:space="preserve">Tên KH: Cty Từ Phương - QB </t>
  </si>
  <si>
    <t>Tên KH: A Khuyến - Ecopark</t>
  </si>
  <si>
    <t>0,6x1245xC</t>
  </si>
  <si>
    <t>1,5x1256xC</t>
  </si>
  <si>
    <t>Tên KH: Cty An Thịnh</t>
  </si>
  <si>
    <t>Đặt cọc</t>
  </si>
  <si>
    <t>Anh Hà</t>
  </si>
  <si>
    <t>Đặt cọc GC</t>
  </si>
  <si>
    <t>1,2x1060x1100x320T</t>
  </si>
  <si>
    <t>1,2x1140x2415x60T</t>
  </si>
  <si>
    <t>Xuống cont</t>
  </si>
  <si>
    <t>2,2x1046xC</t>
  </si>
  <si>
    <t>Xuất trả cuộn</t>
  </si>
  <si>
    <t>Trả hết cuộn</t>
  </si>
  <si>
    <t>Tên KH: Cty Hưng Thịnh</t>
  </si>
  <si>
    <t>Tấm 310/NO1</t>
  </si>
  <si>
    <t>4,0x1500x2570xT</t>
  </si>
  <si>
    <t>Tấm 316/NO1</t>
  </si>
  <si>
    <t>4,0x1550x1200xT</t>
  </si>
  <si>
    <t>2,0x1220x2440x2T</t>
  </si>
  <si>
    <t>10x1550x1490xT</t>
  </si>
  <si>
    <t>Tên KH: Cty Thép 568</t>
  </si>
  <si>
    <t>Cuộn 301/2B</t>
  </si>
  <si>
    <t>1,0x1248xC</t>
  </si>
  <si>
    <t xml:space="preserve">Tên KH: Cty Thịnh Hưng Quang </t>
  </si>
  <si>
    <t>0,5x600x2C</t>
  </si>
  <si>
    <t>Tên KH: Cty Đông Nam</t>
  </si>
  <si>
    <t xml:space="preserve">Tên KH: Cty Inox Đoàn Dự </t>
  </si>
  <si>
    <t>0,6x1200x85,5m</t>
  </si>
  <si>
    <t>3,0x1250x2500xT</t>
  </si>
  <si>
    <t xml:space="preserve">Tên KH: C Điều - HY </t>
  </si>
  <si>
    <t>2,0x1250x2C</t>
  </si>
  <si>
    <t xml:space="preserve">Tên KH: Cty Trang Tùng </t>
  </si>
  <si>
    <t>Cuộn 304/2B/pvc</t>
  </si>
  <si>
    <t>0,5x510/520xC</t>
  </si>
  <si>
    <t>Tên KH: Cty Kính Thành</t>
  </si>
  <si>
    <t xml:space="preserve">Tên KH: Cty Việt Tín </t>
  </si>
  <si>
    <t>Tên KH: Cty Tùng Linh</t>
  </si>
  <si>
    <t>Cuộn 304/BA/PE</t>
  </si>
  <si>
    <t xml:space="preserve">Tên KH: Cty Simec </t>
  </si>
  <si>
    <t>3,0x1200x2500xT</t>
  </si>
  <si>
    <t>1,5x1200x2600xT</t>
  </si>
  <si>
    <t>Tên KH: Cty Vinatota Việt Mỹ - HD</t>
  </si>
  <si>
    <t>Tên KH: A Đại - Vinh</t>
  </si>
  <si>
    <t>4,0x1000x1000x3T</t>
  </si>
  <si>
    <t>3,0x1200x1100xT</t>
  </si>
  <si>
    <t>Tên KH: E Sáng - Phúc Thọ</t>
  </si>
  <si>
    <t>0,5x330xC</t>
  </si>
  <si>
    <t>0,5x320xC</t>
  </si>
  <si>
    <t xml:space="preserve">Tên KH: Cty Thắng Lợi </t>
  </si>
  <si>
    <t>BBGH</t>
  </si>
  <si>
    <t xml:space="preserve">Tên KH: Cty Kim Long </t>
  </si>
  <si>
    <t>8,0xT</t>
  </si>
  <si>
    <t>8,0x1000xT</t>
  </si>
  <si>
    <t>Tên KH: Cty INOX Việt Nam</t>
  </si>
  <si>
    <t>858kg/cuộn</t>
  </si>
  <si>
    <t>XK38</t>
  </si>
  <si>
    <t>E Minh - TH</t>
  </si>
  <si>
    <t>Cty Phú Minh</t>
  </si>
  <si>
    <t>Cty Ý Thuỷ</t>
  </si>
  <si>
    <t>Cty Vinh Oanh - Phủ Lý</t>
  </si>
  <si>
    <t>A Hải - HP</t>
  </si>
  <si>
    <t>Inox Thịnh Phát</t>
  </si>
  <si>
    <t>Tân Thịnh Phát</t>
  </si>
  <si>
    <t>Khách hàng</t>
  </si>
  <si>
    <t>Thanh toán 2</t>
  </si>
  <si>
    <t>Thanh toán 3</t>
  </si>
  <si>
    <t>C Xếp - HP</t>
  </si>
  <si>
    <t>Inox Phúc Thịnh</t>
  </si>
  <si>
    <t>Cty Kim Thành</t>
  </si>
  <si>
    <t>A Đông - Tân Hồng Phát</t>
  </si>
  <si>
    <t>E Thái - CMỹ</t>
  </si>
  <si>
    <t>E Giao - Cty Bạch Kim</t>
  </si>
  <si>
    <t>C Thuỷ - HP</t>
  </si>
  <si>
    <t>Lộc Phát</t>
  </si>
  <si>
    <t>Cty An Phát - HP</t>
  </si>
  <si>
    <t>E Duy - Cty Hải Âu</t>
  </si>
  <si>
    <t xml:space="preserve"> E Giao - Cty Bạch Kim</t>
  </si>
  <si>
    <t>Cty An Phú</t>
  </si>
  <si>
    <t>A Tùng - Cty An Phú</t>
  </si>
  <si>
    <t>A Trung - Cty An Phú</t>
  </si>
  <si>
    <t>Cty Cường Thịnh</t>
  </si>
  <si>
    <t>A Bản - Cường Thịnh</t>
  </si>
  <si>
    <t>E Huy - Cường Thịnh</t>
  </si>
  <si>
    <t>E Duyên - Rùa</t>
  </si>
  <si>
    <t>Trịnh Thành Đạt</t>
  </si>
  <si>
    <t>Cty Hyundai - ĐN</t>
  </si>
  <si>
    <t>E Phúc - Cty Đức Phúc</t>
  </si>
  <si>
    <t>Cty Lý Dương Hùng - ĐN</t>
  </si>
  <si>
    <t>A Tuấn - Cty Hưng Phát</t>
  </si>
  <si>
    <t>Hưng Phát</t>
  </si>
  <si>
    <t>C Năm Đạo - Cầu Đuống</t>
  </si>
  <si>
    <t>Huỳnh Giang</t>
  </si>
  <si>
    <t>Khách lẻ</t>
  </si>
  <si>
    <t>Cty Nam Khánh</t>
  </si>
  <si>
    <t>C Đào - Cty Nam Khánh</t>
  </si>
  <si>
    <t>E Linh - Cty Nam Khánh</t>
  </si>
  <si>
    <t>Cty Tân Phát</t>
  </si>
  <si>
    <t xml:space="preserve"> A Tùng - HD</t>
  </si>
  <si>
    <t>Tùng Anh Phát</t>
  </si>
  <si>
    <t>E Kiên - HD</t>
  </si>
  <si>
    <t>An Khang</t>
  </si>
  <si>
    <t>C Hà - HY</t>
  </si>
  <si>
    <t>Hai Hà</t>
  </si>
  <si>
    <t>HC</t>
  </si>
  <si>
    <t>Cty Phú Thành</t>
  </si>
  <si>
    <t>Cty Việt Anh</t>
  </si>
  <si>
    <t>Cty Thép Hà Nội</t>
  </si>
  <si>
    <t>A Tùng - HD</t>
  </si>
  <si>
    <t>C Thuỷ - TH</t>
  </si>
  <si>
    <t>Khánh Hoà</t>
  </si>
  <si>
    <t>Inox Khánh Hoà</t>
  </si>
  <si>
    <t>Cty Vạn Xuân</t>
  </si>
  <si>
    <t>E Đắc - NĐ</t>
  </si>
  <si>
    <t>Cty Đại Thuỷ</t>
  </si>
  <si>
    <t>Đại Thuỷ</t>
  </si>
  <si>
    <t>Cty Thiên Hòa An</t>
  </si>
  <si>
    <t>E Quân - CMy</t>
  </si>
  <si>
    <t>A Trung</t>
  </si>
  <si>
    <t>Huy Tuấn</t>
  </si>
  <si>
    <t>Cty Tân Đạt</t>
  </si>
  <si>
    <t>Cty Ánh Dương</t>
  </si>
  <si>
    <t>Ánh Dương</t>
  </si>
  <si>
    <t>E Hoài - NĐ</t>
  </si>
  <si>
    <t>Hoài Thao</t>
  </si>
  <si>
    <t xml:space="preserve"> E Mão - NB</t>
  </si>
  <si>
    <t>Cty Minh Tiến</t>
  </si>
  <si>
    <t>C Hùng - HP</t>
  </si>
  <si>
    <t>Phúc Thịnh</t>
  </si>
  <si>
    <t>C Thuyên - Cty Gia Hưng</t>
  </si>
  <si>
    <t>Cty Đại Đồng</t>
  </si>
  <si>
    <t>E Tam - Đại Đồng</t>
  </si>
  <si>
    <t>Đại Đồng</t>
  </si>
  <si>
    <t>Cty Tân Tiến</t>
  </si>
  <si>
    <t>Cty Thiên Ân</t>
  </si>
  <si>
    <t>E Đoàn - Thiên Ân</t>
  </si>
  <si>
    <t>Cty Hà Cường</t>
  </si>
  <si>
    <t>Cty Anh Thư - Hồng Vân</t>
  </si>
  <si>
    <t>E Thuận - Ngọc Diệp</t>
  </si>
  <si>
    <t>Ngọc Diệp</t>
  </si>
  <si>
    <t>Cty Minh Vũ</t>
  </si>
  <si>
    <t>Hoàng Văn Vũ</t>
  </si>
  <si>
    <t>Phạm Thị Ngọc Diệp</t>
  </si>
  <si>
    <t>VHP</t>
  </si>
  <si>
    <t>Cty CP An Phát - TT</t>
  </si>
  <si>
    <t>CP An Phát</t>
  </si>
  <si>
    <t>A Tùng - Cty Xuân Thành</t>
  </si>
  <si>
    <t>Xuân Thành</t>
  </si>
  <si>
    <t>Cty Hưng Phát - NĐ</t>
  </si>
  <si>
    <t>A Bảy - NĐ</t>
  </si>
  <si>
    <t>A Đông - NĐ</t>
  </si>
  <si>
    <t>Vũ Thị Khéo</t>
  </si>
  <si>
    <t>Mạnh Oanh</t>
  </si>
  <si>
    <t>E Đông -NĐ</t>
  </si>
  <si>
    <t>Cty Quang Nga - Phủ Lý</t>
  </si>
  <si>
    <t>A Nguyện - Cty Gia Anh</t>
  </si>
  <si>
    <t>E Mão - NB</t>
  </si>
  <si>
    <t>Cty Hiển Thịnh - HP</t>
  </si>
  <si>
    <t>Hiển đạt</t>
  </si>
  <si>
    <t>A Hùng - HP</t>
  </si>
  <si>
    <t>Cty Ngọc Ngân</t>
  </si>
  <si>
    <t>Cty Hoà Hưng</t>
  </si>
  <si>
    <t>Cty Quang Long - HD</t>
  </si>
  <si>
    <t>E Toàn - Cty Quang Long</t>
  </si>
  <si>
    <t>Cty Minh Châu - TN</t>
  </si>
  <si>
    <t>Cty Anh Linh - TT</t>
  </si>
  <si>
    <t>Đại Lực</t>
  </si>
  <si>
    <t xml:space="preserve">Cty Dung Tươi - Yên Bái </t>
  </si>
  <si>
    <t>Nguyễn Hữu Du</t>
  </si>
  <si>
    <t>Cty Hoàng Anh Việt Nam</t>
  </si>
  <si>
    <t>Cty Hoàng Anh</t>
  </si>
  <si>
    <t xml:space="preserve">Cty Hoàng Quân Phát </t>
  </si>
  <si>
    <t>Cty Tân Hưng</t>
  </si>
  <si>
    <t>Cty Thanh Dương - ĐN</t>
  </si>
  <si>
    <t>Cty Thép Việt</t>
  </si>
  <si>
    <t>A Long - Mỗ</t>
  </si>
  <si>
    <t>A Long Nam Đại Lâm</t>
  </si>
  <si>
    <t>E Tạo - NĐ</t>
  </si>
  <si>
    <t>Cty Thái Dương</t>
  </si>
  <si>
    <t>Cty Hồng Tâm - Phủ Lý</t>
  </si>
  <si>
    <t>Hồng Tâm</t>
  </si>
  <si>
    <t>Hồng Tâm Phát</t>
  </si>
  <si>
    <t>A Kiên - Long Biên</t>
  </si>
  <si>
    <t>Hải Long</t>
  </si>
  <si>
    <t>DCK</t>
  </si>
  <si>
    <t>Thành Tiến</t>
  </si>
  <si>
    <t>C Hà - Khoa học - HY</t>
  </si>
  <si>
    <t>Hải Yến</t>
  </si>
  <si>
    <t>E Trung - Cty Hà Anh</t>
  </si>
  <si>
    <t>Cty Bùi Gia</t>
  </si>
  <si>
    <t>Cty Hiền Hoa - NĐ</t>
  </si>
  <si>
    <t>A Cường - Linh Đàm</t>
  </si>
  <si>
    <t>C Dung - HD</t>
  </si>
  <si>
    <t>Cty Cơ khí CTM Phú Thịnh - ĐN</t>
  </si>
  <si>
    <t>Cty Phú Thịnh - Nha Trang</t>
  </si>
  <si>
    <t>Cty Toàn Việt</t>
  </si>
  <si>
    <t>Cty Thảo Trang</t>
  </si>
  <si>
    <t>C Dung - Cầu Diễn</t>
  </si>
  <si>
    <t>Xuân Hưng</t>
  </si>
  <si>
    <t>An Trường Sinh</t>
  </si>
  <si>
    <t>Cty Cường Hương - PX</t>
  </si>
  <si>
    <t>Phúc Cường</t>
  </si>
  <si>
    <t>Cty INOX Việt</t>
  </si>
  <si>
    <t>A Phong - Cty Việt Đức</t>
  </si>
  <si>
    <t>Cty Thiết Bị Y Tế Hoàng Gia</t>
  </si>
  <si>
    <t>A Đức - Cty Hoà Phát</t>
  </si>
  <si>
    <t>Cty Đông Dương</t>
  </si>
  <si>
    <t>C Dương - Cty Đông Dương</t>
  </si>
  <si>
    <t>Cty TH Việt Nam</t>
  </si>
  <si>
    <t>E Ân - Thái Nguyên</t>
  </si>
  <si>
    <t>E Nguyên - Cty Huy Hoàng</t>
  </si>
  <si>
    <t xml:space="preserve"> Cty Hưng Phát -NĐ - Trường Phú</t>
  </si>
  <si>
    <t>Cô Cúc - Rùa</t>
  </si>
  <si>
    <t>Omega</t>
  </si>
  <si>
    <t>Cty Nguyễn Hưng - HT</t>
  </si>
  <si>
    <t>Cty Thanh Phát</t>
  </si>
  <si>
    <t>Sơn Thanh Phát</t>
  </si>
  <si>
    <t>E Mỹ - Rùa</t>
  </si>
  <si>
    <t>Thành Khang</t>
  </si>
  <si>
    <t>Cty Dung Tươi - Yên Bái</t>
  </si>
  <si>
    <t>Cty Thép Nam Phát - Từ Liêm</t>
  </si>
  <si>
    <t>E Thắng - Cty Quốc Thắng</t>
  </si>
  <si>
    <t xml:space="preserve">E Hiến - Cty Minh Hiến - HD </t>
  </si>
  <si>
    <t>A Thắng - HP</t>
  </si>
  <si>
    <t>Cty Ngọc Linh</t>
  </si>
  <si>
    <t>Cty Hoàng Quân Phát</t>
  </si>
  <si>
    <t>Cty Thành An</t>
  </si>
  <si>
    <t>Cty Tam Việt - TH</t>
  </si>
  <si>
    <t>E Đạt - Cty Bảo Phát</t>
  </si>
  <si>
    <t>A Hải - NH</t>
  </si>
  <si>
    <t>Cty Nam Phát - Ngọc Hồi</t>
  </si>
  <si>
    <t>Cơ Khí Nam Phát</t>
  </si>
  <si>
    <t>A Hùng - Cty Minh Phát</t>
  </si>
  <si>
    <t>C Hà - Xuân Mai</t>
  </si>
  <si>
    <t>Quang Hà</t>
  </si>
  <si>
    <t>E Doanh - Thanh Oai</t>
  </si>
  <si>
    <t>Thép Hoàng Gia</t>
  </si>
  <si>
    <t>Cty Thép Thanh Oai</t>
  </si>
  <si>
    <t>A Dự - NĐ</t>
  </si>
  <si>
    <t>Cty Giang Phương</t>
  </si>
  <si>
    <t>C Yến - Cty Tân Thành</t>
  </si>
  <si>
    <t>C Phương - Cty XNK Thịnh Phát</t>
  </si>
  <si>
    <t>Cty Hàn Việt</t>
  </si>
  <si>
    <t>Cty Năng lượng - Tứ Hiệp</t>
  </si>
  <si>
    <t>C Hạnh - Cty Đức Phát</t>
  </si>
  <si>
    <t>Cty Bảo Lâm</t>
  </si>
  <si>
    <t>Cty Toàn Phát - HP</t>
  </si>
  <si>
    <t>Toàn Phong</t>
  </si>
  <si>
    <t>E Trung - Cty An Phát - HY</t>
  </si>
  <si>
    <t>An Lộc Phát</t>
  </si>
  <si>
    <t>Cty Thịnh Hưng</t>
  </si>
  <si>
    <t xml:space="preserve">Cty Tuấn Nhung - Rùa </t>
  </si>
  <si>
    <t xml:space="preserve">Cty Thành Hưng </t>
  </si>
  <si>
    <t>Cty Minh Tám</t>
  </si>
  <si>
    <t>Cty Bình Minh</t>
  </si>
  <si>
    <t>A Cương - Rùa</t>
  </si>
  <si>
    <t>Cty Visco - Hải Phòng</t>
  </si>
  <si>
    <t>Cty Thái Hưng - Phú Thọ</t>
  </si>
  <si>
    <t>Cty Cường Thu - NĐ</t>
  </si>
  <si>
    <t>Cty Anh Thư</t>
  </si>
  <si>
    <t>Đại Việt</t>
  </si>
  <si>
    <t>Cty Minh Phương - Hoài Đức</t>
  </si>
  <si>
    <t>Cty Tiến Hưng</t>
  </si>
  <si>
    <t>Cty INOX Diện Hoài</t>
  </si>
  <si>
    <t xml:space="preserve">Cty Đức Thuận HP </t>
  </si>
  <si>
    <t>Cty Khanh Tâm - NA</t>
  </si>
  <si>
    <t>Á Châu - Nghệ An</t>
  </si>
  <si>
    <t>Cty Đạt Linh</t>
  </si>
  <si>
    <t>Cty Quang Phương - Bắc Ninh</t>
  </si>
  <si>
    <t>Cty Cơ Điện - TT</t>
  </si>
  <si>
    <t>C Vui - HY</t>
  </si>
  <si>
    <t>A Thép - Cty Thép Titan</t>
  </si>
  <si>
    <t>Cty Hưng Phát -NĐ - Trường Phú</t>
  </si>
  <si>
    <t>CH Phú Lý</t>
  </si>
  <si>
    <t>C Dung - Cty Việt Á</t>
  </si>
  <si>
    <t>copy (30)</t>
  </si>
  <si>
    <t>Cty Thăng Long</t>
  </si>
  <si>
    <t>Sheet1</t>
  </si>
  <si>
    <t>Cty Tuấn Đạt</t>
  </si>
  <si>
    <t>Cty Sao Việt</t>
  </si>
  <si>
    <t>Cty Hoàng Linh</t>
  </si>
  <si>
    <t>Cty Thái An- HY</t>
  </si>
  <si>
    <t>Cty Từ Phương - QB</t>
  </si>
  <si>
    <t>A Khuyến - Ecopark</t>
  </si>
  <si>
    <t>Cty CN Hà Thành</t>
  </si>
  <si>
    <t>E Hiến - Cty Minh Hiến - HD</t>
  </si>
  <si>
    <t>Cty An Thịnh</t>
  </si>
  <si>
    <t>Cty Hưng Thịnh</t>
  </si>
  <si>
    <t>Cty Thép 568</t>
  </si>
  <si>
    <t>Cty Thịnh Hưng Quang</t>
  </si>
  <si>
    <t>Cty Đông Nam</t>
  </si>
  <si>
    <t>Cty Inox Đoàn Dự</t>
  </si>
  <si>
    <t>Đoàn Dự</t>
  </si>
  <si>
    <t>Bảo Khánh</t>
  </si>
  <si>
    <t>C Điều - HY</t>
  </si>
  <si>
    <t>Cty Trang Tùng</t>
  </si>
  <si>
    <t>Cty Kính Thành</t>
  </si>
  <si>
    <t>Cty Việt Tín</t>
  </si>
  <si>
    <t>Cty Tùng Linh</t>
  </si>
  <si>
    <t>Cty Simec</t>
  </si>
  <si>
    <t>Cty Vinatota Việt Mỹ - HD</t>
  </si>
  <si>
    <t>A Đại - Vinh</t>
  </si>
  <si>
    <t>A Đại - Nghệ An</t>
  </si>
  <si>
    <t>E Sáng - Phúc Thọ</t>
  </si>
  <si>
    <t>Cty Thắng Lợi</t>
  </si>
  <si>
    <t>Thắng Lợi</t>
  </si>
  <si>
    <t>Cty Kim Long</t>
  </si>
  <si>
    <t>Cty INOX Việt Nam</t>
  </si>
  <si>
    <t>Cty Tuấn Nhung - Rùa</t>
  </si>
  <si>
    <t>Cty Thành Hưng</t>
  </si>
  <si>
    <t>Cty Đức Thuận HP</t>
  </si>
  <si>
    <t>Ngày tháng:</t>
  </si>
  <si>
    <t>Nội dung:</t>
  </si>
  <si>
    <t>Ngân hàng</t>
  </si>
  <si>
    <t>Hình thức</t>
  </si>
  <si>
    <t>Số:</t>
  </si>
  <si>
    <t>Cty Năng Lượng - Tứ Hiệp</t>
  </si>
  <si>
    <t>Danh mục</t>
  </si>
  <si>
    <t>1,5x140x3140xT</t>
  </si>
  <si>
    <t>Tấm 304/6k/pvc</t>
  </si>
  <si>
    <t>0,5x55-125xC</t>
  </si>
  <si>
    <t>Cuộn N1/2B</t>
  </si>
  <si>
    <t>NO4/TC</t>
  </si>
  <si>
    <t>TĐ</t>
  </si>
  <si>
    <t>PE</t>
  </si>
  <si>
    <t>1,2x1548xC</t>
  </si>
  <si>
    <t>xẻ chia đều 62bx25</t>
  </si>
  <si>
    <t>xẻ đai 19/20</t>
  </si>
  <si>
    <t>0,7x92xC</t>
  </si>
  <si>
    <t>xẻ 19xhet</t>
  </si>
  <si>
    <t>0,5x86xC</t>
  </si>
  <si>
    <t>xẻ 2bx43</t>
  </si>
  <si>
    <t>0,5x45/75xC</t>
  </si>
  <si>
    <t>45 xẻ 1bx43/75 xẻ 1bx/2bx14</t>
  </si>
  <si>
    <t>1bx960/1b tự do/90m</t>
  </si>
  <si>
    <t>2,0x1200x2850xT</t>
  </si>
  <si>
    <t>HL/TC 2 tấn</t>
  </si>
  <si>
    <t>xẻ 5bx120/4bx152/1b tự do/xén mép</t>
  </si>
  <si>
    <t>0,6x300xC</t>
  </si>
  <si>
    <t>bao gồm 500đ GC</t>
  </si>
  <si>
    <t>0,6x1250x1830xT</t>
  </si>
  <si>
    <t>0,5x1030x90m</t>
  </si>
  <si>
    <t>0,7x1300xC</t>
  </si>
  <si>
    <t>0,5x300xC</t>
  </si>
  <si>
    <t>0,6x1200x3000xT</t>
  </si>
  <si>
    <t>1,5x1500xT</t>
  </si>
  <si>
    <t>1,5x1200x3070xT</t>
  </si>
  <si>
    <t>3,0x1200x2390xT</t>
  </si>
  <si>
    <t>2,5x1250x2500xT</t>
  </si>
  <si>
    <t>0,7x1500xC</t>
  </si>
  <si>
    <t>1,0x65xC</t>
  </si>
  <si>
    <t>1,0x90xC</t>
  </si>
  <si>
    <t>xẻ 2bx39</t>
  </si>
  <si>
    <t>NO4/TĐ=1 tấn</t>
  </si>
  <si>
    <t>0,7x900-1000xC</t>
  </si>
  <si>
    <t>0,5x84xC</t>
  </si>
  <si>
    <t>xẻ 2bx38,8</t>
  </si>
  <si>
    <t>0,5x89xC</t>
  </si>
  <si>
    <t>xẻ 1bx38,8/1bx43,8</t>
  </si>
  <si>
    <t>0,5x95-100xC</t>
  </si>
  <si>
    <t>0,5x73/45xC</t>
  </si>
  <si>
    <t>xẻ 1bx43/2bx14</t>
  </si>
  <si>
    <t>0,7x190xC</t>
  </si>
  <si>
    <t>xẻ 48-50</t>
  </si>
  <si>
    <t>0,7x90xC</t>
  </si>
  <si>
    <t>1bx48/2bx19</t>
  </si>
  <si>
    <t>0,7x120xC</t>
  </si>
  <si>
    <t>1bx50/2bx19</t>
  </si>
  <si>
    <t>0,7x105xC</t>
  </si>
  <si>
    <t>2bx50</t>
  </si>
  <si>
    <t>3,0x600x1200xT</t>
  </si>
  <si>
    <t>san 500kg/C</t>
  </si>
  <si>
    <t>san 850kgx3C</t>
  </si>
  <si>
    <t>0,4x1087xC</t>
  </si>
  <si>
    <t>2bx520/2bx20</t>
  </si>
  <si>
    <t>2,5x1200x2270xT</t>
  </si>
  <si>
    <t>2.0x1000xT</t>
  </si>
  <si>
    <t>2,0x1200x3140xT</t>
  </si>
  <si>
    <t>2,0x1250x8960xT</t>
  </si>
  <si>
    <t>3,0x1245xT</t>
  </si>
  <si>
    <t>3,0x125x330xhet</t>
  </si>
  <si>
    <t>0,5x10xC</t>
  </si>
  <si>
    <t>2,0x1250x1500xT</t>
  </si>
  <si>
    <t>4bx300=2tan/3bx400=1.5tan</t>
  </si>
  <si>
    <t>1,0x1200x3200xT</t>
  </si>
  <si>
    <t>3bx410xdexe</t>
  </si>
  <si>
    <t>2,5x120/152xC</t>
  </si>
  <si>
    <t>700đ GC</t>
  </si>
  <si>
    <t>2bx300/1bx400/4C</t>
  </si>
  <si>
    <t>xẻ 2b159/2 bên xẻ chia đều 313</t>
  </si>
  <si>
    <t>san 3cx850kg/cuon</t>
  </si>
  <si>
    <t>1,5x1200x2055xT</t>
  </si>
  <si>
    <t>2,0x1200x2055xT</t>
  </si>
  <si>
    <t>3,0x1200x2055xT</t>
  </si>
  <si>
    <t>3,0x1000xC</t>
  </si>
  <si>
    <t>chia 2b=113,6m</t>
  </si>
  <si>
    <t>0,5x698/328xC</t>
  </si>
  <si>
    <t>500đ GC</t>
  </si>
  <si>
    <t>Tên KH: Cty Phúc An - HP</t>
  </si>
  <si>
    <t>Cty Phúc An - HP</t>
  </si>
  <si>
    <t>6,0x1500x6000xT</t>
  </si>
  <si>
    <t>san 1tan x 2 cuộn 1Cx1,5tan</t>
  </si>
  <si>
    <t>0,4x960/280xC</t>
  </si>
  <si>
    <t xml:space="preserve">Tên KH: Cty Thuỷ Thuỷ - Vinh </t>
  </si>
  <si>
    <t>Cty Thuỷ Thuỷ - Vinh</t>
  </si>
  <si>
    <t>0,6x410xC</t>
  </si>
  <si>
    <t>xẻ 300/400 chia 6C</t>
  </si>
  <si>
    <t>5,0x1000xC</t>
  </si>
  <si>
    <t>Tên KH: A Vượng - Thế Đức</t>
  </si>
  <si>
    <t>A Vượng - Thế Đức</t>
  </si>
  <si>
    <t>san 1Cx1tan</t>
  </si>
  <si>
    <t>xẻ 3bx240/1bx300</t>
  </si>
  <si>
    <t>xẻ 2bx500</t>
  </si>
  <si>
    <t>Cuộn 304/8k</t>
  </si>
  <si>
    <t>0,28x720xC</t>
  </si>
  <si>
    <t xml:space="preserve">Tên KH: A Hoàn - Tam Trinh  </t>
  </si>
  <si>
    <t>A Hoàn - Tam Trinh</t>
  </si>
  <si>
    <t>Băng 304/2B</t>
  </si>
  <si>
    <t>1,0x625xC</t>
  </si>
  <si>
    <t>600đ GC</t>
  </si>
  <si>
    <t>4,0x1000x1500xT</t>
  </si>
  <si>
    <t>8,0x1500x6000xT</t>
  </si>
  <si>
    <t>1,2x1250x1510xT</t>
  </si>
  <si>
    <t>0,3x100xC</t>
  </si>
  <si>
    <t>Tấm 304/8k</t>
  </si>
  <si>
    <t>2,0x1200x2600xT</t>
  </si>
  <si>
    <t>0,8x1200x3000xT</t>
  </si>
  <si>
    <t>0,4x300/600xC</t>
  </si>
  <si>
    <t>0,35x300/400xC</t>
  </si>
  <si>
    <t>2,0x1200x2350xT</t>
  </si>
  <si>
    <t>0,35-0,4xC</t>
  </si>
  <si>
    <t>Tên KH: E Minh - HY</t>
  </si>
  <si>
    <t>E Minh - HY</t>
  </si>
  <si>
    <t>2,5x1200x2500xT</t>
  </si>
  <si>
    <t>0,4x1200x25m</t>
  </si>
  <si>
    <t>2,0x120x1520xT</t>
  </si>
  <si>
    <t>2,0x1250x2250xT</t>
  </si>
  <si>
    <t>1,5x1200x2155xT</t>
  </si>
  <si>
    <t>san 1Cx2200kg</t>
  </si>
  <si>
    <t>2,0x1200x30mxC</t>
  </si>
  <si>
    <t>0,4x240/300/500xC</t>
  </si>
  <si>
    <t>2,0x1200x2250xT</t>
  </si>
  <si>
    <t>2,0x1200x2920xT</t>
  </si>
  <si>
    <t>0,8x1200x1286xT</t>
  </si>
  <si>
    <t>1,0x1200x2900xT</t>
  </si>
  <si>
    <t>Tấm 201/BA</t>
  </si>
  <si>
    <t>2,0x240x1520xT</t>
  </si>
  <si>
    <t>A Phong - Ninh Sở</t>
  </si>
  <si>
    <t>1,0x130xC</t>
  </si>
  <si>
    <t>xẻ 3bx40</t>
  </si>
  <si>
    <t>3,5x1500xC</t>
  </si>
  <si>
    <t>2,0x1200x5024xT</t>
  </si>
  <si>
    <t>0,7x1310xC</t>
  </si>
  <si>
    <t>xẻ 30bx19/15bx48-50</t>
  </si>
  <si>
    <t>2,0x1200x3050xT</t>
  </si>
  <si>
    <t>1,0x1200x2500xT</t>
  </si>
  <si>
    <t>0,4x520xC</t>
  </si>
  <si>
    <t>3,0x125x330xT</t>
  </si>
  <si>
    <t>Tên KH</t>
  </si>
  <si>
    <t>Công nợ còn lại</t>
  </si>
  <si>
    <t>Nam Đại Lâm</t>
  </si>
  <si>
    <t>Số tiền còn lại</t>
  </si>
  <si>
    <t>Cty Anh Thư - Thường Tín</t>
  </si>
  <si>
    <t>2,0x1200x4600xT</t>
  </si>
  <si>
    <t>xẻ 42,8(nối cuộn)</t>
  </si>
  <si>
    <t>xẻ 1bx698/1bx328</t>
  </si>
  <si>
    <t>xẻ 4bx300/chia đều</t>
  </si>
  <si>
    <t>phủ TĐ</t>
  </si>
  <si>
    <t>2,0x1200x2360xT</t>
  </si>
  <si>
    <t>2,0x1200x2145xT</t>
  </si>
  <si>
    <t>0,4x159xC</t>
  </si>
  <si>
    <t>0,3x300/400xC</t>
  </si>
  <si>
    <t>0,5x1275xC</t>
  </si>
  <si>
    <t>1,5x1200x2280xT</t>
  </si>
  <si>
    <t>1,5x1500x1570xT</t>
  </si>
  <si>
    <t>Tấm 304/2B/NO4</t>
  </si>
  <si>
    <t>Gửi kho tấm 4m dập nhám</t>
  </si>
  <si>
    <t>A Mẫn - Phú Hưng An</t>
  </si>
  <si>
    <t>Cty Phú Hưng An</t>
  </si>
  <si>
    <t>Tên KH: Cty Phú Hưng An</t>
  </si>
  <si>
    <t>Tên KH: Cty Hà Thành</t>
  </si>
  <si>
    <t>Cty Hà Thành</t>
  </si>
  <si>
    <t>C Thắm - Hà Thành</t>
  </si>
  <si>
    <t>Tên KH: Công ty TNHH TM và PT công nghệ Hà Thành</t>
  </si>
  <si>
    <t>xẻ 3bx410x2tan</t>
  </si>
  <si>
    <t xml:space="preserve"> </t>
  </si>
  <si>
    <t>Điện CN</t>
  </si>
  <si>
    <t>Đức Thành</t>
  </si>
  <si>
    <t>PT An Phát</t>
  </si>
  <si>
    <t>TRANTHIHOA</t>
  </si>
  <si>
    <t xml:space="preserve">Tên KH: Cty Tư Phương </t>
  </si>
  <si>
    <t>Cty Tư Phương</t>
  </si>
  <si>
    <t>C Quyên - Tư Phương</t>
  </si>
  <si>
    <t>Hải Thực</t>
  </si>
  <si>
    <t>Thanh toán 4</t>
  </si>
  <si>
    <t>Bắc Việt</t>
  </si>
  <si>
    <t>Thanh toán 5</t>
  </si>
  <si>
    <t>2,0x1500x3000x5T</t>
  </si>
  <si>
    <t>1,0x1200x4500xT</t>
  </si>
  <si>
    <t>1,5x1250x2050xT</t>
  </si>
  <si>
    <t>xẻ 43,8xhet</t>
  </si>
  <si>
    <t>0,35x90/140xC</t>
  </si>
  <si>
    <t>0,4x110xC</t>
  </si>
  <si>
    <t>4bx300x800kg</t>
  </si>
  <si>
    <t>1,0x1200x75m</t>
  </si>
  <si>
    <t>4,0x1140x2450xT</t>
  </si>
  <si>
    <t>4,0x1140x2250xT</t>
  </si>
  <si>
    <t>1,2x1200x30m</t>
  </si>
  <si>
    <t>0,5x38,8xC</t>
  </si>
  <si>
    <t>xẻ 3bx400x3tanx2C/4bx300xhet</t>
  </si>
  <si>
    <t>xẻ 300/400x7C</t>
  </si>
  <si>
    <t>0,4x1500xC</t>
  </si>
  <si>
    <t>1bx300/3bx400</t>
  </si>
  <si>
    <t>Tên KH: Cty Á Châu - Phủ Lý</t>
  </si>
  <si>
    <t>Cty Á Châu - Phủ Lý</t>
  </si>
  <si>
    <t>3,0x1130x6000xT</t>
  </si>
  <si>
    <t>2,0x1200x6000xT</t>
  </si>
  <si>
    <t>san 1Cx800kg</t>
  </si>
  <si>
    <t>15x1500xT</t>
  </si>
  <si>
    <t>NO4=2 tấn</t>
  </si>
  <si>
    <t>1,2x1200x15m</t>
  </si>
  <si>
    <t>Tên KH: E Thiện - Thượng Ốc</t>
  </si>
  <si>
    <t>E Thiện - Thượng Ốc</t>
  </si>
  <si>
    <t>1,2x1250x1597xT</t>
  </si>
  <si>
    <t>0,25x300/400xC</t>
  </si>
  <si>
    <t>0,6x1200x2440xT</t>
  </si>
  <si>
    <t>2,0x1240x2810xT</t>
  </si>
  <si>
    <t>0,4x1300xC</t>
  </si>
  <si>
    <t>xẻ 1bx43/1bx1255</t>
  </si>
  <si>
    <t>2,5x1260xT</t>
  </si>
  <si>
    <t>1,5x1240xT</t>
  </si>
  <si>
    <t>2,0x1200x3100xT</t>
  </si>
  <si>
    <t>4,0x1100xT</t>
  </si>
  <si>
    <t>Ống 304</t>
  </si>
  <si>
    <t>13x7x2,31xO</t>
  </si>
  <si>
    <t>0,3x300xC</t>
  </si>
  <si>
    <t>0,4x1255xC</t>
  </si>
  <si>
    <t>0,8x1250x2440xT</t>
  </si>
  <si>
    <t xml:space="preserve">Tên KH: Cty Nhật Minh </t>
  </si>
  <si>
    <t>Cty Nhật Minh</t>
  </si>
  <si>
    <t>đề xê</t>
  </si>
  <si>
    <t>Tên KH: E Hoà Khuôn Đá Thanh Hoá</t>
  </si>
  <si>
    <t>E Hoà Khuôn Đá Thanh Hoá</t>
  </si>
  <si>
    <t>0,8x1130xC</t>
  </si>
  <si>
    <t>0,9x1200x2400xT</t>
  </si>
  <si>
    <t>Tên KH: Cty SHC Á Châu</t>
  </si>
  <si>
    <t>Cty SHC Á Châu</t>
  </si>
  <si>
    <t>Vê 304</t>
  </si>
  <si>
    <t>5x4xC</t>
  </si>
  <si>
    <t>4x3x9C</t>
  </si>
  <si>
    <t>Hộp 304</t>
  </si>
  <si>
    <t>50x50x1,0x2C</t>
  </si>
  <si>
    <t>PE xanh =3 tấn</t>
  </si>
  <si>
    <t>xẻ 43,8xhet, nối cuộn</t>
  </si>
  <si>
    <t>Tên KH: A Sáu - Lĩnh Nam - Cty Việt Hải</t>
  </si>
  <si>
    <t>A Sáu - Lĩnh Nam</t>
  </si>
  <si>
    <t>0,5x1520xC</t>
  </si>
  <si>
    <t>3,0x1200x3010xT</t>
  </si>
  <si>
    <t>0,5x1500x138m</t>
  </si>
  <si>
    <t>NO4/TC chia 1Cx500kg</t>
  </si>
  <si>
    <t>2bx600</t>
  </si>
  <si>
    <t>2,0x1200x1750xC</t>
  </si>
  <si>
    <t>1,0x39/40xC</t>
  </si>
  <si>
    <t>số cân gồm đai và đề xê</t>
  </si>
  <si>
    <t>Băng 403</t>
  </si>
  <si>
    <t>0,7x48xC</t>
  </si>
  <si>
    <t>1,5x100x3125xT</t>
  </si>
  <si>
    <t>nhám 5v</t>
  </si>
  <si>
    <t>2,0x1500x2825xT</t>
  </si>
  <si>
    <t>A Thông</t>
  </si>
  <si>
    <t>2,0x1000xT</t>
  </si>
  <si>
    <t>Tấm 201/6k/NO4</t>
  </si>
  <si>
    <t>gốc = 652kg</t>
  </si>
  <si>
    <t>1,0x1200C</t>
  </si>
  <si>
    <t>7,0x1200x2400xT</t>
  </si>
  <si>
    <t>chặt tấm x50</t>
  </si>
  <si>
    <t>0,5x600xC</t>
  </si>
  <si>
    <t>GC dập nhám</t>
  </si>
  <si>
    <t>Tấm 201/2B/NO4</t>
  </si>
  <si>
    <t>2,0x1250x1200xT</t>
  </si>
  <si>
    <t>2,5x1500x2500xT</t>
  </si>
  <si>
    <t>đã trừ 3kg thiếu</t>
  </si>
  <si>
    <t>0,6x1200x1400xT</t>
  </si>
  <si>
    <t>1,2x1500xT</t>
  </si>
  <si>
    <t>1,5x1200x1800xT</t>
  </si>
  <si>
    <t>Tấm 304/2b</t>
  </si>
  <si>
    <t>Cty Việt Hải - A Sáu</t>
  </si>
  <si>
    <t>3,0x1500x3000x11T
1,5x1200x2500x5T</t>
  </si>
  <si>
    <t>Cuộn /NO4</t>
  </si>
  <si>
    <t>2bx600=500kg</t>
  </si>
  <si>
    <t>Quy Cách</t>
  </si>
  <si>
    <t>Số lượng</t>
  </si>
  <si>
    <t>Đơn giá</t>
  </si>
  <si>
    <t>ĐƠN GIÁ</t>
  </si>
  <si>
    <t>san 1Cx1,2 tan</t>
  </si>
  <si>
    <t>0,5x1200x50m</t>
  </si>
  <si>
    <t>0,35/0,4x20xC</t>
  </si>
  <si>
    <t>2,0x1254xC</t>
  </si>
  <si>
    <t>Cty XNK Thịnh Phát</t>
  </si>
  <si>
    <t>0,6x1250x8700xT</t>
  </si>
  <si>
    <t>0,4x190xC</t>
  </si>
  <si>
    <t>5,3xT</t>
  </si>
  <si>
    <t>3,5x1540xT</t>
  </si>
  <si>
    <t>2,0x1250x2620xT/1520xT</t>
  </si>
  <si>
    <t>dùng ko hết trả lại</t>
  </si>
  <si>
    <t>PXK9136</t>
  </si>
  <si>
    <t>0,7xTD</t>
  </si>
  <si>
    <t>550đ GC</t>
  </si>
  <si>
    <t xml:space="preserve">Tên KH: Cty An Thuận Phát </t>
  </si>
  <si>
    <t>Tên KH: A Cư - Nghệ An</t>
  </si>
  <si>
    <t>Tên KH: A Hậu</t>
  </si>
  <si>
    <t>Phí HĐ</t>
  </si>
  <si>
    <t>Tên KH: A Quân 2Q</t>
  </si>
  <si>
    <t>Cty Thành Đạt</t>
  </si>
  <si>
    <t>Tên KH: A Sơn Quảng Ninh</t>
  </si>
  <si>
    <t>Thép HN</t>
  </si>
  <si>
    <t>Mai tông</t>
  </si>
  <si>
    <t xml:space="preserve">Tên KH: Minh Khuê </t>
  </si>
  <si>
    <t>Tên KH: Cty Gia Minh</t>
  </si>
  <si>
    <t>A Hà</t>
  </si>
  <si>
    <t xml:space="preserve">Tên KH: A Hà HTM </t>
  </si>
  <si>
    <t>Cty An Thuận Phát</t>
  </si>
  <si>
    <t>A Cư - Nghệ An</t>
  </si>
  <si>
    <t>A Hậu</t>
  </si>
  <si>
    <t>A Sơn Quảng Ninh</t>
  </si>
  <si>
    <t>Minh Khuê</t>
  </si>
  <si>
    <t>Cty Gia Minh</t>
  </si>
  <si>
    <t>Anh Quân 2Q</t>
  </si>
  <si>
    <t>A Hà - Cty HTM</t>
  </si>
  <si>
    <t>xẻ 42,8</t>
  </si>
  <si>
    <t>4,0x1500x3600xT</t>
  </si>
  <si>
    <t>2,0x1200x4500xT</t>
  </si>
  <si>
    <t>2,0x1200x3025xT</t>
  </si>
  <si>
    <t>4,0x1200x2400xT</t>
  </si>
  <si>
    <t>Xe nâng xô bẹp hàng</t>
  </si>
  <si>
    <t>Tấm 304/NO4/xước sãn</t>
  </si>
  <si>
    <t>201/chặt nhầm 304</t>
  </si>
  <si>
    <t>2,0x1200x2045xT</t>
  </si>
  <si>
    <t>Chặt nhầm kích thước</t>
  </si>
  <si>
    <t>A Phiệt</t>
  </si>
  <si>
    <t>C Tấn</t>
  </si>
  <si>
    <t>Phế 304</t>
  </si>
  <si>
    <t>5,0x120x40xT</t>
  </si>
  <si>
    <t>1,8x1500xC</t>
  </si>
  <si>
    <t>Cuộn 189</t>
  </si>
  <si>
    <t>0,5x10/14xC</t>
  </si>
  <si>
    <t>Tên KH: E Quyết</t>
  </si>
  <si>
    <t>Cuộn 410/BE</t>
  </si>
  <si>
    <t>0,4x1240xC</t>
  </si>
  <si>
    <t>TK.Thơm</t>
  </si>
  <si>
    <t>A Quân 2Q</t>
  </si>
  <si>
    <t>Inox An Phát</t>
  </si>
  <si>
    <t>Tiến Lương</t>
  </si>
  <si>
    <t>Thanh toán 6</t>
  </si>
  <si>
    <t>Inox Bảo Phát</t>
  </si>
  <si>
    <t>0,4x800/1000xC</t>
  </si>
  <si>
    <t>Cuộn 430/2D</t>
  </si>
  <si>
    <t>Tên KH: A Năng - Hải Dương</t>
  </si>
  <si>
    <t>A Năng - Hải Dương</t>
  </si>
  <si>
    <t>4,0/5,0x1500x6000xT</t>
  </si>
  <si>
    <t>0,5x117/100xC</t>
  </si>
  <si>
    <t>bản 117 xẻ 55/43/19 bản 100 xẻ 43/54</t>
  </si>
  <si>
    <t>0,5x125xC</t>
  </si>
  <si>
    <t>2bx43 2bx19</t>
  </si>
  <si>
    <t>0,5x45/48xC</t>
  </si>
  <si>
    <t>xẻ 43</t>
  </si>
  <si>
    <t>0,5x65x71xC</t>
  </si>
  <si>
    <t>1bx43/1bx20</t>
  </si>
  <si>
    <t>0,5x64xC</t>
  </si>
  <si>
    <t>1bx43/20</t>
  </si>
  <si>
    <t>0,5x75/83xC</t>
  </si>
  <si>
    <t>1bx43 2bx19</t>
  </si>
  <si>
    <t>NO4/TCx2 tấn</t>
  </si>
  <si>
    <t>0,8x1240xC</t>
  </si>
  <si>
    <t xml:space="preserve">Tên KH: </t>
  </si>
  <si>
    <t>E Đức - Phú Xuyên</t>
  </si>
  <si>
    <t>0,3x1250x27m</t>
  </si>
  <si>
    <t>Giấy nháp</t>
  </si>
  <si>
    <t>N1/NO1</t>
  </si>
  <si>
    <t>lõi 8kg</t>
  </si>
  <si>
    <t>Phế 410</t>
  </si>
  <si>
    <t>Phế 430</t>
  </si>
  <si>
    <t>3bx410x3000kg</t>
  </si>
  <si>
    <t>0,5x1129xC</t>
  </si>
  <si>
    <t>1bx800 1btudo</t>
  </si>
  <si>
    <t>0,5x1270xC</t>
  </si>
  <si>
    <t>1bx900 1bx330 có đx</t>
  </si>
  <si>
    <t>Tên KH: Cty Việt Tiệp - Chương Mỹ</t>
  </si>
  <si>
    <t>0,4x600-1000x44C</t>
  </si>
  <si>
    <t>Cty Việt Tiệp - Chương Mỹ</t>
  </si>
  <si>
    <t>0,5x1200x750xT</t>
  </si>
  <si>
    <t>xẻ 300/400=2,2tan liền cuộn
xẻ 300/400=1,6tan để lại 500kg</t>
  </si>
  <si>
    <t>san 3Cx600kg</t>
  </si>
  <si>
    <t>pvc xanh</t>
  </si>
  <si>
    <t>0,4x600-1000xC</t>
  </si>
  <si>
    <t>Cty Mạnh Thược</t>
  </si>
  <si>
    <t>0,4x830xC</t>
  </si>
  <si>
    <t>Tên KH: Cty Tân Mạnh Dũng - VP</t>
  </si>
  <si>
    <t>4,0x1000x1750xT</t>
  </si>
  <si>
    <t>xẻ 300/400 chia 3C(1.2tan/C)</t>
  </si>
  <si>
    <t>0,5x738xC</t>
  </si>
  <si>
    <t>chia đều 300/400</t>
  </si>
  <si>
    <t>xẻ 2bx600x500kg
xẻ 2bx400x1tan</t>
  </si>
  <si>
    <t>0,4x530xC</t>
  </si>
  <si>
    <t>1,2x1200x3500xT</t>
  </si>
  <si>
    <t>0,6x1200x2120xT</t>
  </si>
  <si>
    <t>0,4x800-830xC</t>
  </si>
  <si>
    <t>0,4x610xC</t>
  </si>
  <si>
    <t>0,35x1000xC</t>
  </si>
  <si>
    <t>xẻ 85</t>
  </si>
  <si>
    <t>1,5x1200x1860xT</t>
  </si>
  <si>
    <t xml:space="preserve">C Ngãi - Cty Thịnh Hưng </t>
  </si>
  <si>
    <t>C Ngãi - Cty Thịnh Hưng</t>
  </si>
  <si>
    <t>1,0x1500x3000xT</t>
  </si>
  <si>
    <t>phủ TĐ chặt 2300x10T</t>
  </si>
  <si>
    <t>Ko lấy VAT</t>
  </si>
  <si>
    <t>MB</t>
  </si>
  <si>
    <t>2,0x1250x4730xT</t>
  </si>
  <si>
    <t>48/304HV1</t>
  </si>
  <si>
    <t>0,8x1245xC</t>
  </si>
  <si>
    <t>Cty Hoàng Vũ</t>
  </si>
  <si>
    <t>1,0x1245xC</t>
  </si>
  <si>
    <t>2,0x1245xC</t>
  </si>
  <si>
    <t>8,0x1500xT</t>
  </si>
  <si>
    <t>CĐ201</t>
  </si>
  <si>
    <t>20x6xC</t>
  </si>
  <si>
    <t>30kg đề xê</t>
  </si>
  <si>
    <t>49/304HV1</t>
  </si>
  <si>
    <t>1,2x1245xC</t>
  </si>
  <si>
    <t>1,5x1245xC</t>
  </si>
  <si>
    <t>0,5x900/1200xC</t>
  </si>
  <si>
    <t>0,7x49xC</t>
  </si>
  <si>
    <t>0,7x50xC</t>
  </si>
  <si>
    <t>1,2x25xC</t>
  </si>
  <si>
    <t>1,5x1530xT</t>
  </si>
  <si>
    <t>Cty Tư Hương - Phú Xuyên</t>
  </si>
  <si>
    <t>Cty Tân Mạnh Dũng - VP</t>
  </si>
  <si>
    <t>VietcomBank</t>
  </si>
  <si>
    <t>Hải Âu</t>
  </si>
  <si>
    <t>Tiền Mặt</t>
  </si>
  <si>
    <t>C.BẢY-VIETCOM</t>
  </si>
  <si>
    <t>Tên KH: E Đức Phú Xuyên</t>
  </si>
  <si>
    <t>Việt Thái</t>
  </si>
  <si>
    <t>CỌC</t>
  </si>
  <si>
    <t>E Quyết - VN</t>
  </si>
  <si>
    <t>khớp</t>
  </si>
  <si>
    <t>Tên KH: Cty Thiết Bị Y Tế Hoàng Gia</t>
  </si>
  <si>
    <t>Tên</t>
  </si>
  <si>
    <t>Bảng</t>
  </si>
  <si>
    <t>san 1Cx700kg</t>
  </si>
  <si>
    <t>xẻ 3bx400kg</t>
  </si>
  <si>
    <t>004/05</t>
  </si>
  <si>
    <t>15x1500x3260xT</t>
  </si>
  <si>
    <t>13,7x2,24x6xC</t>
  </si>
  <si>
    <t>2,0/3,0/1,0x1500xT</t>
  </si>
  <si>
    <t>43/304/HV1</t>
  </si>
  <si>
    <t>V5x4</t>
  </si>
  <si>
    <t>V4x3</t>
  </si>
  <si>
    <t>50x1,0</t>
  </si>
  <si>
    <t>0,7x700xC</t>
  </si>
  <si>
    <t>46/304/HV1</t>
  </si>
  <si>
    <t>C Dung - Tam Trinh</t>
  </si>
  <si>
    <t xml:space="preserve">Tên KH: C Dung - Tam Trinh </t>
  </si>
  <si>
    <t>san đôi</t>
  </si>
  <si>
    <t>phủ pvc TC</t>
  </si>
  <si>
    <t>0,5x1035-1040xC</t>
  </si>
  <si>
    <t>1040 xẻ 500/540
1035 xẻ 2bx450/1bx130</t>
  </si>
  <si>
    <t>xẻ 300/400x4C 1,2 tan/C</t>
  </si>
  <si>
    <t>20x2cx6m</t>
  </si>
  <si>
    <t>CĐ 201</t>
  </si>
  <si>
    <t>0,8x1040x3700xT</t>
  </si>
  <si>
    <t>2,0x1245x2045xT</t>
  </si>
  <si>
    <t>1,5x1200x2300xT</t>
  </si>
  <si>
    <t>0,6x1200x2830xT</t>
  </si>
  <si>
    <t>600đ gc</t>
  </si>
  <si>
    <t>2,0x1200x1500xT</t>
  </si>
  <si>
    <t>50/304HV1</t>
  </si>
  <si>
    <t>2,0x1249x1500xT</t>
  </si>
  <si>
    <t>2,0x1249xC</t>
  </si>
  <si>
    <t>2,0x1249xT</t>
  </si>
  <si>
    <t>1,2x1249x2100xT</t>
  </si>
  <si>
    <t>0,4x625xC</t>
  </si>
  <si>
    <t>1,2x40x1250xT</t>
  </si>
  <si>
    <t>xẻ 40x20</t>
  </si>
  <si>
    <t>phủ TĐ 500kg</t>
  </si>
  <si>
    <t>2bx300x4C</t>
  </si>
  <si>
    <t>0,5x330/800xC</t>
  </si>
  <si>
    <t>1,5x1200x1010xT</t>
  </si>
  <si>
    <t>1,5x1200x3530xT</t>
  </si>
  <si>
    <t>NO4/TC chia 1Cx600kg</t>
  </si>
  <si>
    <t>1,2x1250x2050xT</t>
  </si>
  <si>
    <t>1,0x1250x1550xT</t>
  </si>
  <si>
    <t>3,0x1250x2400xT</t>
  </si>
  <si>
    <t>6,0x1550x6000xT</t>
  </si>
  <si>
    <t>50x50x5,0x6m</t>
  </si>
  <si>
    <t>3,0x1000x1980xT</t>
  </si>
  <si>
    <t>Chi trả</t>
  </si>
  <si>
    <t>Tên KH: Việt Thái</t>
  </si>
  <si>
    <t>126+99+127+160= 512 kg đầu cuộn</t>
  </si>
  <si>
    <t>0,7x690/723xC</t>
  </si>
  <si>
    <t>1,0x690xC</t>
  </si>
  <si>
    <t>0,8x1250xT</t>
  </si>
  <si>
    <t>2,0x1200x2620xT</t>
  </si>
  <si>
    <t>2,0xLLxC</t>
  </si>
  <si>
    <t>8,0x1200x2400xT</t>
  </si>
  <si>
    <t>5,0x50x50xC</t>
  </si>
  <si>
    <t>1,5x1500x4500xT</t>
  </si>
  <si>
    <t>1,0x1250x3000xT</t>
  </si>
  <si>
    <t>2,0x1200x6300xT</t>
  </si>
  <si>
    <t>3,0x1500x3000T</t>
  </si>
  <si>
    <t>0,8x1257xC</t>
  </si>
  <si>
    <t>Xẻ 495/765=1tan
545/715=1tan</t>
  </si>
  <si>
    <t>0,8x1271xC</t>
  </si>
  <si>
    <t>xẻ 585/685chia 2b</t>
  </si>
  <si>
    <t>0,5x1530xC</t>
  </si>
  <si>
    <t>xẻ chia đều 3b</t>
  </si>
  <si>
    <t>Cty Sunhouse</t>
  </si>
  <si>
    <t>Tên KH: Cty Sunhouse</t>
  </si>
  <si>
    <t>1,0x1250x2505xT</t>
  </si>
  <si>
    <t>2,0x1250x3000T</t>
  </si>
  <si>
    <t>0,45x400xC</t>
  </si>
  <si>
    <t>2,0x1250x2620xT</t>
  </si>
  <si>
    <t>3,0x30x30xC</t>
  </si>
  <si>
    <t>0,6x600xC</t>
  </si>
  <si>
    <t>san 500kg/C 1,5 tấn lõi</t>
  </si>
  <si>
    <t>san 1Cx2,2 tấn</t>
  </si>
  <si>
    <t>phủ pvc TĐx300kg chặt dài 2m</t>
  </si>
  <si>
    <t>xẻ 1b chuẩn 710&amp; 1bxtudo</t>
  </si>
  <si>
    <t>san 4Cx500kg</t>
  </si>
  <si>
    <t>Content.Số phiếu</t>
  </si>
  <si>
    <t>Content.Ngày
 tháng</t>
  </si>
  <si>
    <t>Content.Nội dung</t>
  </si>
  <si>
    <t>Content.Chủng loại</t>
  </si>
  <si>
    <t>Content.Quy cách</t>
  </si>
  <si>
    <t>Content.SỐ LƯỢNG</t>
  </si>
  <si>
    <t>Content.ĐƠN GIÁ</t>
  </si>
  <si>
    <t>Content.THÀNH TIỀN</t>
  </si>
  <si>
    <t>Content.Ghi chú</t>
  </si>
  <si>
    <t>Bangdich.Tên</t>
  </si>
  <si>
    <t xml:space="preserve">Tên KH:Cty Mạnh Thược </t>
  </si>
  <si>
    <t>TKHOA</t>
  </si>
  <si>
    <t>C.OANH-TECH</t>
  </si>
  <si>
    <t>0,5x42,8T</t>
  </si>
  <si>
    <t>5,0x1200xT</t>
  </si>
  <si>
    <t>Tấm 304/2B/CT</t>
  </si>
  <si>
    <t>NO4/TĐx2C</t>
  </si>
  <si>
    <t>0,35-0,4x500-1000xC</t>
  </si>
  <si>
    <t>2,0x1260xC</t>
  </si>
  <si>
    <t>2500đ GC</t>
  </si>
  <si>
    <t>0,8x495/765xC</t>
  </si>
  <si>
    <t>0,8x545/715xC</t>
  </si>
  <si>
    <t>0,8x580/680xC</t>
  </si>
  <si>
    <t>0,5x510xC</t>
  </si>
  <si>
    <t>3,0x1500x1920xT</t>
  </si>
  <si>
    <t>8x8cx6m</t>
  </si>
  <si>
    <t>CĐ304</t>
  </si>
  <si>
    <t>8x6000xC</t>
  </si>
  <si>
    <t>Tên KH: Cty Máy Nông Nghiệp Văn Lang</t>
  </si>
  <si>
    <t>Cty Máy NN Văn Lang</t>
  </si>
  <si>
    <t>xẻ 300/400 chia 4 cuộn</t>
  </si>
  <si>
    <t>pvc 2 tấn chia 2C</t>
  </si>
  <si>
    <t>0,6x1260xT</t>
  </si>
  <si>
    <t>thừa gửi kho 2C</t>
  </si>
  <si>
    <t>0,9x1200xT</t>
  </si>
  <si>
    <t>0,5x216xC</t>
  </si>
  <si>
    <t>xẻ 135+59/19</t>
  </si>
  <si>
    <t>xẻ 135+58/20</t>
  </si>
  <si>
    <t>0,5x175xC</t>
  </si>
  <si>
    <t>xẻ 135x1b 2bx19</t>
  </si>
  <si>
    <t>0,5x200xC</t>
  </si>
  <si>
    <t>xẻ 135x60</t>
  </si>
  <si>
    <t>0,8x1245xT</t>
  </si>
  <si>
    <t>1,2x1245xT</t>
  </si>
  <si>
    <t>Gia Phúc</t>
  </si>
  <si>
    <t>Thanh toán 7</t>
  </si>
  <si>
    <t>Thiên Hà</t>
  </si>
  <si>
    <t>Quang Minh</t>
  </si>
  <si>
    <t>Quyết Thắng</t>
  </si>
  <si>
    <t>Thành Công</t>
  </si>
  <si>
    <t>Column1</t>
  </si>
  <si>
    <t>a</t>
  </si>
  <si>
    <t>B</t>
  </si>
  <si>
    <t>Column2</t>
  </si>
  <si>
    <t>Minh Hoá</t>
  </si>
  <si>
    <t>Thanh toán 8</t>
  </si>
  <si>
    <t>Từ ngày</t>
  </si>
  <si>
    <t>Đến ngày</t>
  </si>
  <si>
    <t xml:space="preserve">1cx5tấn </t>
  </si>
  <si>
    <t>Cuộn 304/BE</t>
  </si>
  <si>
    <t>0,8x1200x1372xT</t>
  </si>
  <si>
    <t>4,0x1500x1750xT</t>
  </si>
  <si>
    <t>A Cương - Liễu Nội</t>
  </si>
  <si>
    <t>NO4 san 1C 2,5 tấn</t>
  </si>
  <si>
    <t>2300đ GC</t>
  </si>
  <si>
    <t>1900đ GC</t>
  </si>
  <si>
    <t>2,0x2000xT</t>
  </si>
  <si>
    <t>0,46x1255xC</t>
  </si>
  <si>
    <t>2,0x1200x2000xT</t>
  </si>
  <si>
    <t>0,7x710xT</t>
  </si>
  <si>
    <t>A Cường</t>
  </si>
  <si>
    <t>3,0x1200x2020xT</t>
  </si>
  <si>
    <t>0,76x1200xC</t>
  </si>
  <si>
    <t>5,0x1200x3000xT</t>
  </si>
  <si>
    <t>0,5x900-1200xC</t>
  </si>
  <si>
    <t>xẻ 42,8 nối cuộn</t>
  </si>
  <si>
    <t>xém 56-57</t>
  </si>
  <si>
    <t>0,5x80xC</t>
  </si>
  <si>
    <t>xẻ 58/20</t>
  </si>
  <si>
    <t>0,5x76/78xC</t>
  </si>
  <si>
    <t>xẻ 55-56 / 1bx20 chia 200-300/C</t>
  </si>
  <si>
    <t>Cuộn N1/NO1</t>
  </si>
  <si>
    <t>NO4/TĐ = 1.5 tấn</t>
  </si>
  <si>
    <t>2,0x1250x2145xT</t>
  </si>
  <si>
    <t>2,0x1250x1770xT</t>
  </si>
  <si>
    <t>2,0x1250x2360xT</t>
  </si>
  <si>
    <t>0,3x1250xC</t>
  </si>
  <si>
    <t>0,6x1250xT</t>
  </si>
  <si>
    <t>0,35x695xC</t>
  </si>
  <si>
    <t>5bx99
2bx100 nối cuộn</t>
  </si>
  <si>
    <t>0,4x710xC</t>
  </si>
  <si>
    <t>305/405 nối 4C vào 1</t>
  </si>
  <si>
    <t>chặ x100=200kg
2440=131 tấm</t>
  </si>
  <si>
    <t>3,0x1240x2700xT</t>
  </si>
  <si>
    <t>Tên KH: E Cấp - Hiếu Môn</t>
  </si>
  <si>
    <t>E Cấp - Hiếu Môn</t>
  </si>
  <si>
    <t>0,5x450xC</t>
  </si>
  <si>
    <t>0,5x500xC</t>
  </si>
  <si>
    <t>0,5x540xC</t>
  </si>
  <si>
    <t>1bx8501bxtựdo =1,5 tấn</t>
  </si>
  <si>
    <t>Tên KH: Cty Cơ Khí Làng Rùa</t>
  </si>
  <si>
    <t>Cty CK Làng Rùa</t>
  </si>
  <si>
    <t>xẻ 450/450</t>
  </si>
  <si>
    <t>6,0x1500x1900xT</t>
  </si>
  <si>
    <t>4,0x1250x3000xT</t>
  </si>
  <si>
    <t>10x1550x3000xT</t>
  </si>
  <si>
    <t>14x1500x3000xT</t>
  </si>
  <si>
    <t>15x1500x2000xT</t>
  </si>
  <si>
    <t>0,5x500/540xC</t>
  </si>
  <si>
    <t>0,4x1200x2440xT</t>
  </si>
  <si>
    <t>0,4x1200x100xT</t>
  </si>
  <si>
    <t>phủ TĐ chặt 1810 = 32T</t>
  </si>
  <si>
    <t xml:space="preserve">Tên KH: Cty Tú Hương - Phú Xuyên </t>
  </si>
  <si>
    <t>Cty Tú Hương - Phú Xuyên</t>
  </si>
  <si>
    <t>0,4x850xC</t>
  </si>
  <si>
    <t>Cuộn 304/BD</t>
  </si>
  <si>
    <t>Cuộn 201/NO4/pvc/TĐ</t>
  </si>
  <si>
    <t>3,15x1464xC</t>
  </si>
  <si>
    <t>Hoàng Minh</t>
  </si>
  <si>
    <t>xẻ1bx400 1bx600 3 tấn xẻ liền 5taan xẻ 400/600/4C</t>
  </si>
  <si>
    <t>xẻ chuẩn 2bx620</t>
  </si>
  <si>
    <t>xẻ 400/500 xén mép</t>
  </si>
  <si>
    <t>NO4/pvc/TC</t>
  </si>
  <si>
    <t>3,0x1500x1570xT</t>
  </si>
  <si>
    <t>xẻ 1220xđx</t>
  </si>
  <si>
    <t>0,4x1260xC</t>
  </si>
  <si>
    <t>xẻ về 1220xđx</t>
  </si>
  <si>
    <t>1bx820/1bx400</t>
  </si>
  <si>
    <t>xẻ 2bx600</t>
  </si>
  <si>
    <t>san 3 tấn x3C</t>
  </si>
  <si>
    <t>2,5 tấn x2C / 3,5 tấn x2 C</t>
  </si>
  <si>
    <t>1,8x1255xC</t>
  </si>
  <si>
    <t>0,3x1049xC</t>
  </si>
  <si>
    <t>0,4x1035xC</t>
  </si>
  <si>
    <t>1,8x520/1030xT</t>
  </si>
  <si>
    <t>đột lỗ</t>
  </si>
  <si>
    <t>Tấm 304/BB</t>
  </si>
  <si>
    <t>1,5x1200x4040xT</t>
  </si>
  <si>
    <t>nhám 1v</t>
  </si>
  <si>
    <t>0,5x110/112/113xC</t>
  </si>
  <si>
    <t>xẻ chia đều 2bx55-57</t>
  </si>
  <si>
    <t>xén mép 1420</t>
  </si>
  <si>
    <t>0,6x1000/1190xC</t>
  </si>
  <si>
    <t>0,8x85xC</t>
  </si>
  <si>
    <t>0,7x85-178xC</t>
  </si>
  <si>
    <t>xẻ từ 18,7-19,3</t>
  </si>
  <si>
    <t>0,4x60/65xC</t>
  </si>
  <si>
    <t>xẻ 18-20</t>
  </si>
  <si>
    <t>xẻ 1bx710/560/20</t>
  </si>
  <si>
    <t>1,0x56-72xC</t>
  </si>
  <si>
    <t>1bx40/20</t>
  </si>
  <si>
    <t>1,0x63-70xC</t>
  </si>
  <si>
    <t>0,8x1220xC</t>
  </si>
  <si>
    <t>1,5x1000x3080xT</t>
  </si>
  <si>
    <t>chặt 1,5x140x3080xT</t>
  </si>
  <si>
    <t>2bx40</t>
  </si>
  <si>
    <t>8,0x1530xC</t>
  </si>
  <si>
    <t>6m=10t
3m=20t</t>
  </si>
  <si>
    <t>0,5x62-72xC</t>
  </si>
  <si>
    <t>1bx42,8
đai 20</t>
  </si>
  <si>
    <t>1,0x50-70xC</t>
  </si>
  <si>
    <t>1bx40
1bx20</t>
  </si>
  <si>
    <t>xẻ 300/400x2,5tan</t>
  </si>
  <si>
    <t>xẻ 300/400</t>
  </si>
  <si>
    <t>10x1530xC</t>
  </si>
  <si>
    <t>chặt 10Tx6m còn chặt 3m</t>
  </si>
  <si>
    <t>6,0x1530xC</t>
  </si>
  <si>
    <t>chặt 15Tx6m còn chặt 3m</t>
  </si>
  <si>
    <t>NO4/pvcTC</t>
  </si>
  <si>
    <t>san 6cx500kg</t>
  </si>
  <si>
    <t>0,5x91xC</t>
  </si>
  <si>
    <t>xẻ 2bx42,8</t>
  </si>
  <si>
    <t>1,5x1500x3520x2T</t>
  </si>
  <si>
    <t>1,2x1240x4160x2T</t>
  </si>
  <si>
    <t>Nhám 5v</t>
  </si>
  <si>
    <t>1,2x1500x4160xT</t>
  </si>
  <si>
    <t>0,5x50/74/83xC</t>
  </si>
  <si>
    <t>xẻ 1bx42,7 2bx19-20</t>
  </si>
  <si>
    <t>2,5x1500x3000x7T</t>
  </si>
  <si>
    <t>0,5x1219xC</t>
  </si>
  <si>
    <t>xẻ 800+419 nối cuộn</t>
  </si>
  <si>
    <t>xẻ 4 đai 300xẻ 3 đai 400 chia đều cuộn</t>
  </si>
  <si>
    <t>4bx300</t>
  </si>
  <si>
    <t>0,5x50xC</t>
  </si>
  <si>
    <t>xẻ 42,8xhet</t>
  </si>
  <si>
    <t>3bx400</t>
  </si>
  <si>
    <t>xẻ 11bx111</t>
  </si>
  <si>
    <t>3bx400=1,3 tấn</t>
  </si>
  <si>
    <t>0,5x115xC</t>
  </si>
  <si>
    <t>xén về 110-112</t>
  </si>
  <si>
    <t>0,6x163-165xC</t>
  </si>
  <si>
    <t>1bx135 1bx19-20</t>
  </si>
  <si>
    <t>4bx187 1bxtudo</t>
  </si>
  <si>
    <t>1,5x1265xC</t>
  </si>
  <si>
    <t>5bx187 1bxtudo</t>
  </si>
  <si>
    <t>0,5x75xC</t>
  </si>
  <si>
    <t>xẻ 1bx42,8 1bx20</t>
  </si>
  <si>
    <t>NO4/TĐ</t>
  </si>
  <si>
    <t>san 1cx1tan</t>
  </si>
  <si>
    <t>1Cx2tan</t>
  </si>
  <si>
    <t>0,5x1130xC</t>
  </si>
  <si>
    <t>xẻ 2bx315 1bx500</t>
  </si>
  <si>
    <t>1bx830 1bx440</t>
  </si>
  <si>
    <t>8,0x1500xC</t>
  </si>
  <si>
    <t>chặt tấm 3m</t>
  </si>
  <si>
    <t>xén 90x500kg</t>
  </si>
  <si>
    <t>0,6x255xC</t>
  </si>
  <si>
    <t>xén 245x700kg</t>
  </si>
  <si>
    <t>3,0x1500x3000x3T</t>
  </si>
  <si>
    <t>2,0x1200x3000x6T</t>
  </si>
  <si>
    <t>0,7x1030xC</t>
  </si>
  <si>
    <t>chặt 1605 chia 3 kiện</t>
  </si>
  <si>
    <t>NO4/TC= 1,3 tấn</t>
  </si>
  <si>
    <t xml:space="preserve">m </t>
  </si>
  <si>
    <t>0,8x52-60xC</t>
  </si>
  <si>
    <t>1bx40 1bx18-20</t>
  </si>
  <si>
    <t>0,8x75xC</t>
  </si>
  <si>
    <t>1bx42,8 1bx20</t>
  </si>
  <si>
    <t>1bx135 1bx20</t>
  </si>
  <si>
    <t>1bx400 1bx600 chia 1.2 tấn 5 cuộn</t>
  </si>
  <si>
    <t>san hết 1Cx5-6 tấn còn để lại lõi 8-9 tấn</t>
  </si>
  <si>
    <t>san chia 3 cuộn</t>
  </si>
  <si>
    <t>san chia 2 cuộn</t>
  </si>
  <si>
    <t>xẻ 400/600 chia 1,2 tấn/cuộn</t>
  </si>
  <si>
    <t>Cty Long Nguyệt</t>
  </si>
  <si>
    <t>4,0x1250xT</t>
  </si>
  <si>
    <t>1,2x1200x1810xT</t>
  </si>
  <si>
    <t>2200 GC</t>
  </si>
  <si>
    <t>xẻ 2bx350 1bx300</t>
  </si>
  <si>
    <t>0,3x205xC</t>
  </si>
  <si>
    <t>2bx100</t>
  </si>
  <si>
    <t>1,0x105xC</t>
  </si>
  <si>
    <t>Taams 201/2B</t>
  </si>
  <si>
    <t>3,2x1420xC</t>
  </si>
  <si>
    <t>Thép stand</t>
  </si>
  <si>
    <t>6,0x2000x6000xT</t>
  </si>
  <si>
    <t>pvc/TĐ</t>
  </si>
  <si>
    <t>b55 xẻ 40 đx
60 xẻ 40/20</t>
  </si>
  <si>
    <t>0,6x72xC</t>
  </si>
  <si>
    <t>xẻ 2bx25
1bx20</t>
  </si>
  <si>
    <t>1bx135
1bx60</t>
  </si>
  <si>
    <t>0,4x430xC</t>
  </si>
  <si>
    <t>san 4C</t>
  </si>
  <si>
    <t>0,5x350/300xC</t>
  </si>
  <si>
    <t>ChưaV 600đ GC</t>
  </si>
  <si>
    <t>1,5x1250x1860xT</t>
  </si>
  <si>
    <t>3,0x1500x2250xT</t>
  </si>
  <si>
    <t>3,15x1421xC</t>
  </si>
  <si>
    <t>453/05</t>
  </si>
  <si>
    <t>Tấm Stanhard</t>
  </si>
  <si>
    <t>Tấn 201/NO1</t>
  </si>
  <si>
    <t>0,5x1280x2520xT</t>
  </si>
  <si>
    <t>Tên KH: E Cường - TC</t>
  </si>
  <si>
    <t>E Cường - TC</t>
  </si>
  <si>
    <t>1,0x1240x2440xT</t>
  </si>
  <si>
    <t>2,0x1580xC</t>
  </si>
  <si>
    <t>0,65x1280xC</t>
  </si>
  <si>
    <t>9b135đx</t>
  </si>
  <si>
    <t>2,0x1250x1570xT</t>
  </si>
  <si>
    <t>0,8x1200x2150xT</t>
  </si>
  <si>
    <t>5,2x1200xT</t>
  </si>
  <si>
    <t>2,0/3,0x1200x2500xT</t>
  </si>
  <si>
    <t>Tên KH: Cty HQ Tech</t>
  </si>
  <si>
    <t>Cty HQ Tech</t>
  </si>
  <si>
    <t>1,5x1500x2010xT</t>
  </si>
  <si>
    <t>0,5x400/600xC</t>
  </si>
  <si>
    <t>1,0x1000-1050xC</t>
  </si>
  <si>
    <t xml:space="preserve">Tên KH: Cty Thuý Dũng </t>
  </si>
  <si>
    <t>Cty Thuý Dũng - BN</t>
  </si>
  <si>
    <t>2,5x1200x2650xT</t>
  </si>
  <si>
    <t>Cuộn 304/pvc/TĐ</t>
  </si>
  <si>
    <t>1,2xx1200xC</t>
  </si>
  <si>
    <t>2,5x1250x2650xT</t>
  </si>
  <si>
    <t>0,5x58xC</t>
  </si>
  <si>
    <t>3,0/4,0x1500x3000xT</t>
  </si>
  <si>
    <t>5,0x1200x2440xT</t>
  </si>
  <si>
    <t>6,0x1250x2500xT</t>
  </si>
  <si>
    <t>3,0x1500x2440xT</t>
  </si>
  <si>
    <t>0,6x560xC</t>
  </si>
  <si>
    <t>chắt 1520x100T</t>
  </si>
  <si>
    <t>00,4x1200xC</t>
  </si>
  <si>
    <t>xẻ 87</t>
  </si>
  <si>
    <t>xẻ 135</t>
  </si>
  <si>
    <t>Minh châu lấy</t>
  </si>
  <si>
    <t>Gốc</t>
  </si>
  <si>
    <t>0,4x480xC</t>
  </si>
  <si>
    <t>Chạy dày</t>
  </si>
  <si>
    <t>Tấm 304/TC</t>
  </si>
  <si>
    <t>1,5x1243xC</t>
  </si>
  <si>
    <t>Tấm 304/NO4/TC</t>
  </si>
  <si>
    <t>tksacom5-6/3</t>
  </si>
  <si>
    <t>2,0x1200x5000xT</t>
  </si>
  <si>
    <t xml:space="preserve">Tên KH: Cty Nam Hồng </t>
  </si>
  <si>
    <t>Cty Nam Hồng</t>
  </si>
  <si>
    <t>E Tuấn</t>
  </si>
  <si>
    <t>2bx135 chia 300kg/cuộn</t>
  </si>
  <si>
    <t>0,7x1250xC</t>
  </si>
  <si>
    <t>1,5x1500x4000xT</t>
  </si>
  <si>
    <t>1,5x4410xT</t>
  </si>
  <si>
    <t>1,82x1500xC</t>
  </si>
  <si>
    <t>C Hà - Khoa Học - HY</t>
  </si>
  <si>
    <t>Cty Cơ Khí CTM Phú Thịnh - ĐN</t>
  </si>
  <si>
    <t>0,5x1535xC</t>
  </si>
  <si>
    <t>2,2x1200xC</t>
  </si>
  <si>
    <t>1,5x1240x2000xT</t>
  </si>
  <si>
    <t>3,0x1500x3680xT</t>
  </si>
  <si>
    <t>Cuộn430</t>
  </si>
  <si>
    <t>0,6x56xC</t>
  </si>
  <si>
    <t>0,3x200xC</t>
  </si>
  <si>
    <t>san chia 6C (3758)</t>
  </si>
  <si>
    <t>xẻ 300/400 chia 1.2 tấn/Cx4C (4426)</t>
  </si>
  <si>
    <t>xẻ 13bx94 còn lại tự do(1720)</t>
  </si>
  <si>
    <t>1,5x1245x2000xT</t>
  </si>
  <si>
    <t>xẻ 2bx100(978)</t>
  </si>
  <si>
    <t>1,1x1200xC</t>
  </si>
  <si>
    <t>4,0xT</t>
  </si>
  <si>
    <t>0,4x1286xC</t>
  </si>
  <si>
    <t>0,6x65-75xC</t>
  </si>
  <si>
    <t>12x1500xC</t>
  </si>
  <si>
    <t>0,6x64-75xC</t>
  </si>
  <si>
    <t>0,4x1145xC</t>
  </si>
  <si>
    <t>0,35x750xC</t>
  </si>
  <si>
    <t>0,4x825xC</t>
  </si>
  <si>
    <t>0,4x1037-1040xC</t>
  </si>
  <si>
    <t>0,37x990xC</t>
  </si>
  <si>
    <t>0,5x1000-1200xC</t>
  </si>
  <si>
    <t>0,4x840xC</t>
  </si>
  <si>
    <t>0,4x930xC</t>
  </si>
  <si>
    <t>2,0x1200x2015xT</t>
  </si>
  <si>
    <t>0,38x580xC</t>
  </si>
  <si>
    <t>0,5x58-60xC</t>
  </si>
  <si>
    <t>0,38x300xC</t>
  </si>
  <si>
    <t>Thiếu phiếu</t>
  </si>
  <si>
    <t>TK.HOA</t>
  </si>
  <si>
    <t>Trọng Tín</t>
  </si>
  <si>
    <t>Cty AKhoa</t>
  </si>
  <si>
    <t>1,0x1240xC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</si>
</sst>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164" formatCode="[$-1010000]d/m/yyyy;@"/>
    <numFmt numFmtId="165" formatCode="#,##0.0"/>
    <numFmt numFmtId="166" formatCode="0000\ 000\ 000"/>
    <numFmt numFmtId="167" formatCode="[$-F800]dddd\,\ mmmm\ dd\,\ yyyy"/>
    <numFmt numFmtId="168" formatCode="dd/mm/yyyy"/>
  </numFmts>
  <fonts count="26" x14ac:knownFonts="1">
    <font>
      <sz val="11"/>
      <color theme="1"/>
      <name val="Aptos Narrow"/>
      <family val="2"/>
      <scheme val="minor"/>
    </font>
    <font>
      <b/>
      <sz val="14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sz val="18"/>
      <color theme="1"/>
      <name val="Times New Roman"/>
      <family val="1"/>
    </font>
    <font>
      <b/>
      <sz val="18"/>
      <color theme="1"/>
      <name val="Times New Roman"/>
      <family val="1"/>
    </font>
    <font>
      <sz val="22"/>
      <color theme="1"/>
      <name val="Times New Roman"/>
      <family val="1"/>
    </font>
    <font>
      <b/>
      <sz val="20"/>
      <color theme="1"/>
      <name val="Times New Roman"/>
      <family val="1"/>
    </font>
    <font>
      <sz val="9"/>
      <color indexed="81"/>
      <name val="Tahoma"/>
      <family val="2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9"/>
      <color indexed="81"/>
      <name val="Tahoma"/>
      <family val="2"/>
    </font>
    <font>
      <sz val="11"/>
      <color theme="1"/>
      <name val="Aptos Narrow"/>
      <family val="2"/>
      <scheme val="minor"/>
    </font>
    <font>
      <sz val="14"/>
      <color theme="1"/>
      <name val="Times New Roman"/>
      <family val="1"/>
    </font>
    <font>
      <sz val="16"/>
      <color theme="1"/>
      <name val="Times New Roman"/>
      <family val="1"/>
    </font>
    <font>
      <sz val="20"/>
      <color theme="1"/>
      <name val="Times New Roman"/>
      <family val="1"/>
    </font>
    <font>
      <sz val="18"/>
      <color rgb="FFFF0000"/>
      <name val="Times New Roman"/>
      <family val="1"/>
    </font>
    <font>
      <b/>
      <sz val="26"/>
      <color theme="1"/>
      <name val="Times New Roman"/>
      <family val="1"/>
    </font>
    <font>
      <sz val="36"/>
      <color theme="1"/>
      <name val="Times New Roman"/>
      <family val="1"/>
    </font>
    <font>
      <sz val="36"/>
      <color rgb="FF000000"/>
      <name val="Times New Roman"/>
      <family val="1"/>
    </font>
    <font>
      <b/>
      <sz val="16"/>
      <color theme="1"/>
      <name val="Times New Roman"/>
      <family val="1"/>
    </font>
    <font>
      <sz val="16"/>
      <color rgb="FFFF0000"/>
      <name val="Times New Roman"/>
      <family val="1"/>
    </font>
    <font>
      <b/>
      <sz val="28"/>
      <color theme="1"/>
      <name val="Times New Roman"/>
      <family val="1"/>
    </font>
    <font>
      <sz val="28"/>
      <color theme="1"/>
      <name val="Times New Roman"/>
      <family val="1"/>
    </font>
    <font>
      <sz val="12"/>
      <color rgb="FF000000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11" fillId="0" borderId="0" applyNumberFormat="0" applyFill="0" applyBorder="0" applyAlignment="0" applyProtection="0"/>
    <xf numFmtId="0" fontId="13" fillId="0" borderId="0"/>
  </cellStyleXfs>
  <cellXfs count="228">
    <xf numFmtId="0" fontId="0" fillId="0" borderId="0" xfId="0"/>
    <xf numFmtId="0" fontId="2" fillId="0" borderId="0" xfId="0" applyFont="1"/>
    <xf numFmtId="0" fontId="2" fillId="0" borderId="9" xfId="0" applyFont="1" applyBorder="1" applyProtection="1">
      <protection locked="0"/>
    </xf>
    <xf numFmtId="0" fontId="2" fillId="0" borderId="1" xfId="0" applyFont="1" applyBorder="1" applyProtection="1">
      <protection locked="0"/>
    </xf>
    <xf numFmtId="0" fontId="2" fillId="0" borderId="3" xfId="0" applyFont="1" applyBorder="1" applyProtection="1">
      <protection locked="0"/>
    </xf>
    <xf numFmtId="0" fontId="2" fillId="0" borderId="5" xfId="0" applyFont="1" applyBorder="1" applyProtection="1">
      <protection locked="0"/>
    </xf>
    <xf numFmtId="0" fontId="2" fillId="0" borderId="2" xfId="0" applyFont="1" applyBorder="1" applyProtection="1">
      <protection locked="0"/>
    </xf>
    <xf numFmtId="0" fontId="2" fillId="0" borderId="10" xfId="0" applyFont="1" applyBorder="1" applyProtection="1">
      <protection locked="0"/>
    </xf>
    <xf numFmtId="3" fontId="2" fillId="0" borderId="1" xfId="0" applyNumberFormat="1" applyFont="1" applyBorder="1" applyProtection="1">
      <protection locked="0"/>
    </xf>
    <xf numFmtId="3" fontId="2" fillId="0" borderId="2" xfId="0" applyNumberFormat="1" applyFont="1" applyBorder="1" applyProtection="1">
      <protection locked="0"/>
    </xf>
    <xf numFmtId="0" fontId="1" fillId="0" borderId="7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3" fontId="1" fillId="0" borderId="4" xfId="0" applyNumberFormat="1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/>
    </xf>
    <xf numFmtId="0" fontId="4" fillId="0" borderId="0" xfId="0" applyFont="1" applyAlignment="1">
      <alignment horizontal="center"/>
    </xf>
    <xf numFmtId="0" fontId="4" fillId="0" borderId="0" xfId="0" applyFont="1"/>
    <xf numFmtId="0" fontId="3" fillId="0" borderId="9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164" fontId="1" fillId="0" borderId="4" xfId="0" applyNumberFormat="1" applyFont="1" applyBorder="1" applyAlignment="1">
      <alignment horizontal="center" vertical="center" wrapText="1"/>
    </xf>
    <xf numFmtId="3" fontId="1" fillId="0" borderId="4" xfId="0" applyNumberFormat="1" applyFont="1" applyBorder="1" applyAlignment="1">
      <alignment horizontal="center" vertical="center" wrapText="1"/>
    </xf>
    <xf numFmtId="0" fontId="3" fillId="0" borderId="0" xfId="0" applyFont="1"/>
    <xf numFmtId="0" fontId="2" fillId="0" borderId="9" xfId="0" applyFont="1" applyBorder="1"/>
    <xf numFmtId="0" fontId="2" fillId="0" borderId="1" xfId="0" applyFont="1" applyBorder="1"/>
    <xf numFmtId="0" fontId="2" fillId="0" borderId="3" xfId="0" applyFont="1" applyBorder="1"/>
    <xf numFmtId="0" fontId="2" fillId="0" borderId="5" xfId="0" applyFont="1" applyBorder="1"/>
    <xf numFmtId="0" fontId="2" fillId="0" borderId="2" xfId="0" applyFont="1" applyBorder="1"/>
    <xf numFmtId="0" fontId="2" fillId="0" borderId="10" xfId="0" applyFont="1" applyBorder="1"/>
    <xf numFmtId="3" fontId="2" fillId="0" borderId="2" xfId="0" applyNumberFormat="1" applyFont="1" applyBorder="1"/>
    <xf numFmtId="164" fontId="2" fillId="0" borderId="1" xfId="0" applyNumberFormat="1" applyFont="1" applyBorder="1"/>
    <xf numFmtId="164" fontId="2" fillId="0" borderId="2" xfId="0" applyNumberFormat="1" applyFont="1" applyBorder="1"/>
    <xf numFmtId="3" fontId="2" fillId="0" borderId="1" xfId="0" applyNumberFormat="1" applyFont="1" applyBorder="1"/>
    <xf numFmtId="0" fontId="2" fillId="0" borderId="6" xfId="0" applyFont="1" applyBorder="1" applyProtection="1">
      <protection locked="0"/>
    </xf>
    <xf numFmtId="0" fontId="7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3" fontId="2" fillId="0" borderId="0" xfId="0" applyNumberFormat="1" applyFont="1"/>
    <xf numFmtId="0" fontId="1" fillId="0" borderId="4" xfId="0" applyFont="1" applyBorder="1" applyAlignment="1">
      <alignment horizontal="right" vertical="center"/>
    </xf>
    <xf numFmtId="0" fontId="2" fillId="0" borderId="1" xfId="0" applyFont="1" applyBorder="1" applyAlignment="1">
      <alignment horizontal="right"/>
    </xf>
    <xf numFmtId="0" fontId="2" fillId="0" borderId="2" xfId="0" applyFont="1" applyBorder="1" applyAlignment="1">
      <alignment horizontal="right"/>
    </xf>
    <xf numFmtId="165" fontId="2" fillId="0" borderId="1" xfId="0" applyNumberFormat="1" applyFont="1" applyBorder="1"/>
    <xf numFmtId="0" fontId="10" fillId="0" borderId="0" xfId="0" applyFont="1"/>
    <xf numFmtId="0" fontId="11" fillId="0" borderId="0" xfId="1"/>
    <xf numFmtId="0" fontId="2" fillId="0" borderId="3" xfId="0" applyFont="1" applyBorder="1" applyAlignment="1">
      <alignment horizontal="center" vertical="center"/>
    </xf>
    <xf numFmtId="0" fontId="2" fillId="0" borderId="1" xfId="0" applyFont="1" applyBorder="1" applyAlignment="1">
      <alignment vertical="center" wrapText="1"/>
    </xf>
    <xf numFmtId="3" fontId="2" fillId="0" borderId="1" xfId="0" applyNumberFormat="1" applyFont="1" applyBorder="1" applyAlignment="1">
      <alignment vertical="center"/>
    </xf>
    <xf numFmtId="0" fontId="2" fillId="0" borderId="9" xfId="0" applyFont="1" applyBorder="1" applyAlignment="1">
      <alignment horizontal="right" vertical="center"/>
    </xf>
    <xf numFmtId="0" fontId="2" fillId="0" borderId="1" xfId="0" applyFont="1" applyBorder="1" applyAlignment="1">
      <alignment horizontal="right" vertical="center"/>
    </xf>
    <xf numFmtId="3" fontId="2" fillId="0" borderId="1" xfId="0" applyNumberFormat="1" applyFont="1" applyBorder="1" applyAlignment="1">
      <alignment horizontal="righ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/>
    </xf>
    <xf numFmtId="0" fontId="2" fillId="0" borderId="2" xfId="0" applyFont="1" applyBorder="1" applyAlignment="1">
      <alignment horizontal="right" vertical="center"/>
    </xf>
    <xf numFmtId="0" fontId="2" fillId="0" borderId="2" xfId="0" applyFont="1" applyBorder="1" applyAlignment="1">
      <alignment vertical="center" wrapText="1"/>
    </xf>
    <xf numFmtId="3" fontId="2" fillId="0" borderId="2" xfId="0" applyNumberFormat="1" applyFont="1" applyBorder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3" xfId="0" applyFont="1" applyBorder="1" applyAlignment="1">
      <alignment vertical="center"/>
    </xf>
    <xf numFmtId="0" fontId="2" fillId="2" borderId="1" xfId="0" applyFont="1" applyFill="1" applyBorder="1"/>
    <xf numFmtId="0" fontId="2" fillId="2" borderId="2" xfId="0" applyFont="1" applyFill="1" applyBorder="1" applyAlignment="1">
      <alignment horizontal="right"/>
    </xf>
    <xf numFmtId="3" fontId="2" fillId="2" borderId="1" xfId="0" applyNumberFormat="1" applyFont="1" applyFill="1" applyBorder="1"/>
    <xf numFmtId="0" fontId="2" fillId="2" borderId="3" xfId="0" applyFont="1" applyFill="1" applyBorder="1"/>
    <xf numFmtId="0" fontId="2" fillId="0" borderId="1" xfId="0" applyFont="1" applyBorder="1" applyAlignment="1" applyProtection="1">
      <alignment horizontal="right"/>
      <protection locked="0"/>
    </xf>
    <xf numFmtId="0" fontId="2" fillId="0" borderId="2" xfId="0" applyFont="1" applyBorder="1" applyAlignment="1" applyProtection="1">
      <alignment horizontal="right"/>
      <protection locked="0"/>
    </xf>
    <xf numFmtId="0" fontId="2" fillId="0" borderId="5" xfId="0" applyFont="1" applyBorder="1" applyAlignment="1" applyProtection="1">
      <alignment horizontal="right"/>
      <protection locked="0"/>
    </xf>
    <xf numFmtId="166" fontId="3" fillId="0" borderId="0" xfId="0" applyNumberFormat="1" applyFont="1"/>
    <xf numFmtId="0" fontId="2" fillId="0" borderId="5" xfId="0" applyFont="1" applyBorder="1" applyAlignment="1">
      <alignment vertical="center"/>
    </xf>
    <xf numFmtId="164" fontId="2" fillId="0" borderId="2" xfId="0" applyNumberFormat="1" applyFont="1" applyBorder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10" xfId="0" applyFont="1" applyBorder="1" applyAlignment="1">
      <alignment vertical="center"/>
    </xf>
    <xf numFmtId="0" fontId="2" fillId="0" borderId="2" xfId="0" applyFont="1" applyBorder="1" applyAlignment="1">
      <alignment wrapText="1"/>
    </xf>
    <xf numFmtId="0" fontId="2" fillId="0" borderId="1" xfId="0" applyFont="1" applyBorder="1" applyAlignment="1">
      <alignment wrapText="1"/>
    </xf>
    <xf numFmtId="0" fontId="2" fillId="0" borderId="9" xfId="0" applyFont="1" applyBorder="1" applyAlignment="1">
      <alignment vertical="center"/>
    </xf>
    <xf numFmtId="164" fontId="2" fillId="0" borderId="1" xfId="0" applyNumberFormat="1" applyFont="1" applyBorder="1" applyAlignment="1">
      <alignment vertical="center"/>
    </xf>
    <xf numFmtId="0" fontId="2" fillId="2" borderId="5" xfId="0" applyFont="1" applyFill="1" applyBorder="1"/>
    <xf numFmtId="164" fontId="2" fillId="2" borderId="2" xfId="0" applyNumberFormat="1" applyFont="1" applyFill="1" applyBorder="1"/>
    <xf numFmtId="0" fontId="2" fillId="2" borderId="2" xfId="0" applyFont="1" applyFill="1" applyBorder="1"/>
    <xf numFmtId="3" fontId="2" fillId="2" borderId="2" xfId="0" applyNumberFormat="1" applyFont="1" applyFill="1" applyBorder="1"/>
    <xf numFmtId="0" fontId="2" fillId="2" borderId="10" xfId="0" applyFont="1" applyFill="1" applyBorder="1"/>
    <xf numFmtId="0" fontId="0" fillId="0" borderId="8" xfId="0" applyBorder="1"/>
    <xf numFmtId="0" fontId="0" fillId="0" borderId="7" xfId="0" applyBorder="1"/>
    <xf numFmtId="0" fontId="0" fillId="0" borderId="4" xfId="0" applyBorder="1"/>
    <xf numFmtId="0" fontId="0" fillId="0" borderId="1" xfId="0" applyBorder="1"/>
    <xf numFmtId="0" fontId="11" fillId="0" borderId="1" xfId="1" applyBorder="1"/>
    <xf numFmtId="0" fontId="2" fillId="0" borderId="0" xfId="2" applyFont="1"/>
    <xf numFmtId="0" fontId="7" fillId="0" borderId="0" xfId="2" applyFont="1" applyAlignment="1">
      <alignment horizontal="center" vertical="center"/>
    </xf>
    <xf numFmtId="0" fontId="3" fillId="0" borderId="0" xfId="2" applyFont="1"/>
    <xf numFmtId="0" fontId="5" fillId="0" borderId="0" xfId="2" applyFont="1" applyAlignment="1">
      <alignment horizontal="center" vertical="center"/>
    </xf>
    <xf numFmtId="0" fontId="1" fillId="0" borderId="7" xfId="2" applyFont="1" applyBorder="1" applyAlignment="1">
      <alignment horizontal="center" vertical="center"/>
    </xf>
    <xf numFmtId="164" fontId="1" fillId="0" borderId="4" xfId="2" applyNumberFormat="1" applyFont="1" applyBorder="1" applyAlignment="1">
      <alignment horizontal="center" vertical="center" wrapText="1"/>
    </xf>
    <xf numFmtId="0" fontId="1" fillId="0" borderId="4" xfId="2" applyFont="1" applyBorder="1" applyAlignment="1">
      <alignment horizontal="center" vertical="center"/>
    </xf>
    <xf numFmtId="0" fontId="1" fillId="0" borderId="4" xfId="2" applyFont="1" applyBorder="1" applyAlignment="1">
      <alignment horizontal="center" vertical="center" wrapText="1"/>
    </xf>
    <xf numFmtId="0" fontId="1" fillId="0" borderId="8" xfId="2" applyFont="1" applyBorder="1" applyAlignment="1">
      <alignment horizontal="center" vertical="center"/>
    </xf>
    <xf numFmtId="0" fontId="2" fillId="0" borderId="9" xfId="2" applyFont="1" applyBorder="1"/>
    <xf numFmtId="164" fontId="2" fillId="0" borderId="1" xfId="2" applyNumberFormat="1" applyFont="1" applyBorder="1"/>
    <xf numFmtId="0" fontId="2" fillId="0" borderId="1" xfId="2" applyFont="1" applyBorder="1"/>
    <xf numFmtId="0" fontId="2" fillId="0" borderId="1" xfId="2" applyFont="1" applyBorder="1" applyAlignment="1">
      <alignment horizontal="right"/>
    </xf>
    <xf numFmtId="3" fontId="2" fillId="0" borderId="1" xfId="2" applyNumberFormat="1" applyFont="1" applyBorder="1"/>
    <xf numFmtId="0" fontId="2" fillId="0" borderId="3" xfId="2" applyFont="1" applyBorder="1"/>
    <xf numFmtId="164" fontId="14" fillId="0" borderId="4" xfId="0" applyNumberFormat="1" applyFont="1" applyBorder="1" applyAlignment="1">
      <alignment horizontal="center" vertical="center" wrapText="1"/>
    </xf>
    <xf numFmtId="164" fontId="2" fillId="0" borderId="1" xfId="0" applyNumberFormat="1" applyFont="1" applyBorder="1" applyAlignment="1" applyProtection="1">
      <alignment horizontal="center" vertical="center" wrapText="1"/>
      <protection locked="0"/>
    </xf>
    <xf numFmtId="164" fontId="2" fillId="0" borderId="1" xfId="0" applyNumberFormat="1" applyFont="1" applyBorder="1" applyAlignment="1" applyProtection="1">
      <alignment horizontal="center"/>
      <protection locked="0"/>
    </xf>
    <xf numFmtId="164" fontId="2" fillId="0" borderId="2" xfId="0" applyNumberFormat="1" applyFont="1" applyBorder="1" applyAlignment="1" applyProtection="1">
      <alignment horizontal="center"/>
      <protection locked="0"/>
    </xf>
    <xf numFmtId="14" fontId="0" fillId="0" borderId="0" xfId="0" applyNumberFormat="1"/>
    <xf numFmtId="0" fontId="2" fillId="0" borderId="5" xfId="2" applyFont="1" applyBorder="1"/>
    <xf numFmtId="164" fontId="2" fillId="0" borderId="2" xfId="2" applyNumberFormat="1" applyFont="1" applyBorder="1"/>
    <xf numFmtId="0" fontId="2" fillId="0" borderId="2" xfId="2" applyFont="1" applyBorder="1"/>
    <xf numFmtId="0" fontId="2" fillId="0" borderId="2" xfId="2" applyFont="1" applyBorder="1" applyAlignment="1">
      <alignment horizontal="right"/>
    </xf>
    <xf numFmtId="3" fontId="2" fillId="0" borderId="2" xfId="2" applyNumberFormat="1" applyFont="1" applyBorder="1"/>
    <xf numFmtId="0" fontId="2" fillId="0" borderId="10" xfId="2" applyFont="1" applyBorder="1"/>
    <xf numFmtId="3" fontId="0" fillId="0" borderId="0" xfId="0" applyNumberFormat="1"/>
    <xf numFmtId="0" fontId="2" fillId="0" borderId="11" xfId="0" applyFont="1" applyBorder="1" applyProtection="1">
      <protection locked="0"/>
    </xf>
    <xf numFmtId="14" fontId="2" fillId="0" borderId="0" xfId="2" applyNumberFormat="1" applyFont="1"/>
    <xf numFmtId="3" fontId="2" fillId="0" borderId="0" xfId="2" applyNumberFormat="1" applyFont="1"/>
    <xf numFmtId="0" fontId="2" fillId="0" borderId="0" xfId="2" applyFont="1" applyAlignment="1">
      <alignment horizontal="right"/>
    </xf>
    <xf numFmtId="3" fontId="1" fillId="0" borderId="4" xfId="2" applyNumberFormat="1" applyFont="1" applyBorder="1" applyAlignment="1">
      <alignment horizontal="center" vertical="center"/>
    </xf>
    <xf numFmtId="14" fontId="1" fillId="0" borderId="4" xfId="2" applyNumberFormat="1" applyFont="1" applyBorder="1" applyAlignment="1">
      <alignment horizontal="center" vertical="center" wrapText="1"/>
    </xf>
    <xf numFmtId="0" fontId="7" fillId="0" borderId="0" xfId="2" quotePrefix="1" applyFont="1" applyAlignment="1">
      <alignment horizontal="center" vertical="center"/>
    </xf>
    <xf numFmtId="0" fontId="2" fillId="0" borderId="2" xfId="0" applyFont="1" applyBorder="1" applyAlignment="1">
      <alignment horizontal="left"/>
    </xf>
    <xf numFmtId="3" fontId="2" fillId="0" borderId="10" xfId="0" applyNumberFormat="1" applyFont="1" applyBorder="1"/>
    <xf numFmtId="165" fontId="2" fillId="0" borderId="2" xfId="0" applyNumberFormat="1" applyFont="1" applyBorder="1"/>
    <xf numFmtId="14" fontId="2" fillId="0" borderId="0" xfId="2" applyNumberFormat="1" applyFont="1" applyAlignment="1">
      <alignment horizontal="right"/>
    </xf>
    <xf numFmtId="165" fontId="2" fillId="0" borderId="0" xfId="2" applyNumberFormat="1" applyFont="1"/>
    <xf numFmtId="3" fontId="16" fillId="0" borderId="0" xfId="2" applyNumberFormat="1" applyFont="1" applyAlignment="1">
      <alignment horizontal="right"/>
    </xf>
    <xf numFmtId="0" fontId="15" fillId="0" borderId="0" xfId="2" applyFont="1" applyAlignment="1">
      <alignment horizontal="right"/>
    </xf>
    <xf numFmtId="0" fontId="2" fillId="0" borderId="0" xfId="2" applyFont="1" applyAlignment="1">
      <alignment horizontal="left"/>
    </xf>
    <xf numFmtId="3" fontId="2" fillId="0" borderId="0" xfId="2" applyNumberFormat="1" applyFont="1" applyAlignment="1">
      <alignment horizontal="left"/>
    </xf>
    <xf numFmtId="14" fontId="2" fillId="0" borderId="0" xfId="2" applyNumberFormat="1" applyFont="1" applyAlignment="1">
      <alignment horizontal="left"/>
    </xf>
    <xf numFmtId="0" fontId="2" fillId="0" borderId="9" xfId="2" applyFont="1" applyBorder="1" applyAlignment="1">
      <alignment horizontal="center" vertical="center"/>
    </xf>
    <xf numFmtId="14" fontId="2" fillId="0" borderId="1" xfId="2" applyNumberFormat="1" applyFont="1" applyBorder="1" applyAlignment="1">
      <alignment horizontal="center" vertical="center" wrapText="1"/>
    </xf>
    <xf numFmtId="0" fontId="2" fillId="0" borderId="1" xfId="2" applyFont="1" applyBorder="1" applyAlignment="1">
      <alignment horizontal="center" vertical="center"/>
    </xf>
    <xf numFmtId="0" fontId="2" fillId="0" borderId="1" xfId="2" applyFont="1" applyBorder="1" applyAlignment="1">
      <alignment horizontal="right" vertical="center"/>
    </xf>
    <xf numFmtId="3" fontId="2" fillId="0" borderId="1" xfId="2" applyNumberFormat="1" applyFont="1" applyBorder="1" applyAlignment="1">
      <alignment horizontal="center" vertical="center"/>
    </xf>
    <xf numFmtId="0" fontId="17" fillId="0" borderId="0" xfId="2" applyFont="1" applyAlignment="1">
      <alignment horizontal="left"/>
    </xf>
    <xf numFmtId="0" fontId="2" fillId="0" borderId="9" xfId="0" applyFont="1" applyBorder="1" applyAlignment="1" applyProtection="1">
      <alignment horizontal="right"/>
      <protection locked="0"/>
    </xf>
    <xf numFmtId="0" fontId="0" fillId="0" borderId="2" xfId="0" applyBorder="1"/>
    <xf numFmtId="0" fontId="2" fillId="0" borderId="3" xfId="0" applyFont="1" applyBorder="1" applyAlignment="1">
      <alignment wrapText="1"/>
    </xf>
    <xf numFmtId="3" fontId="19" fillId="0" borderId="1" xfId="2" applyNumberFormat="1" applyFont="1" applyBorder="1" applyAlignment="1">
      <alignment wrapText="1"/>
    </xf>
    <xf numFmtId="3" fontId="20" fillId="0" borderId="1" xfId="2" applyNumberFormat="1" applyFont="1" applyBorder="1" applyAlignment="1">
      <alignment wrapText="1"/>
    </xf>
    <xf numFmtId="1" fontId="2" fillId="0" borderId="0" xfId="2" applyNumberFormat="1" applyFont="1" applyAlignment="1">
      <alignment horizontal="left"/>
    </xf>
    <xf numFmtId="0" fontId="21" fillId="0" borderId="7" xfId="0" applyFont="1" applyBorder="1" applyAlignment="1">
      <alignment horizontal="center"/>
    </xf>
    <xf numFmtId="3" fontId="21" fillId="0" borderId="8" xfId="0" applyNumberFormat="1" applyFont="1" applyBorder="1"/>
    <xf numFmtId="3" fontId="15" fillId="0" borderId="3" xfId="0" applyNumberFormat="1" applyFont="1" applyBorder="1"/>
    <xf numFmtId="3" fontId="5" fillId="3" borderId="0" xfId="2" applyNumberFormat="1" applyFont="1" applyFill="1"/>
    <xf numFmtId="0" fontId="1" fillId="0" borderId="0" xfId="2" applyFont="1" applyAlignment="1">
      <alignment horizontal="center" vertical="center"/>
    </xf>
    <xf numFmtId="0" fontId="1" fillId="0" borderId="0" xfId="2" applyFont="1" applyAlignment="1">
      <alignment horizontal="center" vertical="center" wrapText="1"/>
    </xf>
    <xf numFmtId="0" fontId="21" fillId="0" borderId="7" xfId="2" applyFont="1" applyBorder="1"/>
    <xf numFmtId="14" fontId="21" fillId="0" borderId="4" xfId="2" applyNumberFormat="1" applyFont="1" applyBorder="1"/>
    <xf numFmtId="0" fontId="21" fillId="0" borderId="4" xfId="2" applyFont="1" applyBorder="1"/>
    <xf numFmtId="0" fontId="21" fillId="0" borderId="8" xfId="2" applyFont="1" applyBorder="1"/>
    <xf numFmtId="164" fontId="2" fillId="0" borderId="0" xfId="0" applyNumberFormat="1" applyFont="1"/>
    <xf numFmtId="9" fontId="2" fillId="0" borderId="2" xfId="0" applyNumberFormat="1" applyFont="1" applyBorder="1" applyProtection="1">
      <protection locked="0"/>
    </xf>
    <xf numFmtId="0" fontId="2" fillId="2" borderId="1" xfId="0" applyFont="1" applyFill="1" applyBorder="1" applyAlignment="1">
      <alignment horizontal="right"/>
    </xf>
    <xf numFmtId="0" fontId="11" fillId="0" borderId="9" xfId="1" applyBorder="1" applyAlignment="1">
      <alignment horizontal="left"/>
    </xf>
    <xf numFmtId="0" fontId="2" fillId="2" borderId="9" xfId="0" applyFont="1" applyFill="1" applyBorder="1"/>
    <xf numFmtId="164" fontId="2" fillId="2" borderId="1" xfId="0" applyNumberFormat="1" applyFont="1" applyFill="1" applyBorder="1"/>
    <xf numFmtId="0" fontId="2" fillId="0" borderId="10" xfId="0" applyFont="1" applyBorder="1" applyAlignment="1">
      <alignment wrapText="1"/>
    </xf>
    <xf numFmtId="9" fontId="2" fillId="0" borderId="2" xfId="0" applyNumberFormat="1" applyFont="1" applyBorder="1"/>
    <xf numFmtId="164" fontId="2" fillId="0" borderId="1" xfId="0" applyNumberFormat="1" applyFont="1" applyBorder="1" applyAlignment="1">
      <alignment horizontal="right" vertical="center"/>
    </xf>
    <xf numFmtId="14" fontId="22" fillId="0" borderId="0" xfId="2" applyNumberFormat="1" applyFont="1"/>
    <xf numFmtId="0" fontId="0" fillId="0" borderId="3" xfId="0" applyBorder="1"/>
    <xf numFmtId="0" fontId="11" fillId="0" borderId="5" xfId="1" applyBorder="1" applyAlignment="1">
      <alignment horizontal="left"/>
    </xf>
    <xf numFmtId="0" fontId="0" fillId="0" borderId="10" xfId="0" applyBorder="1"/>
    <xf numFmtId="14" fontId="2" fillId="0" borderId="2" xfId="2" applyNumberFormat="1" applyFont="1" applyBorder="1"/>
    <xf numFmtId="3" fontId="2" fillId="0" borderId="2" xfId="2" applyNumberFormat="1" applyFont="1" applyBorder="1" applyAlignment="1">
      <alignment horizontal="right"/>
    </xf>
    <xf numFmtId="3" fontId="3" fillId="0" borderId="0" xfId="2" applyNumberFormat="1" applyFont="1"/>
    <xf numFmtId="3" fontId="3" fillId="0" borderId="0" xfId="0" applyNumberFormat="1" applyFont="1"/>
    <xf numFmtId="0" fontId="2" fillId="0" borderId="1" xfId="0" applyFont="1" applyBorder="1" applyAlignment="1" applyProtection="1">
      <alignment horizontal="right" vertical="center"/>
      <protection locked="0"/>
    </xf>
    <xf numFmtId="3" fontId="2" fillId="0" borderId="1" xfId="0" applyNumberFormat="1" applyFont="1" applyBorder="1" applyAlignment="1" applyProtection="1">
      <alignment horizontal="right" vertical="center"/>
      <protection locked="0"/>
    </xf>
    <xf numFmtId="0" fontId="2" fillId="0" borderId="1" xfId="0" applyFont="1" applyBorder="1" applyAlignment="1" applyProtection="1">
      <alignment horizontal="left" vertical="center"/>
      <protection locked="0"/>
    </xf>
    <xf numFmtId="3" fontId="2" fillId="0" borderId="1" xfId="0" applyNumberFormat="1" applyFont="1" applyBorder="1" applyAlignment="1" applyProtection="1">
      <alignment horizontal="left" vertical="center"/>
      <protection locked="0"/>
    </xf>
    <xf numFmtId="3" fontId="2" fillId="0" borderId="1" xfId="0" applyNumberFormat="1" applyFont="1" applyBorder="1" applyAlignment="1" applyProtection="1">
      <alignment horizontal="center" vertical="center" wrapText="1"/>
      <protection locked="0"/>
    </xf>
    <xf numFmtId="0" fontId="2" fillId="3" borderId="9" xfId="0" applyFont="1" applyFill="1" applyBorder="1"/>
    <xf numFmtId="164" fontId="2" fillId="3" borderId="1" xfId="0" applyNumberFormat="1" applyFont="1" applyFill="1" applyBorder="1"/>
    <xf numFmtId="0" fontId="2" fillId="3" borderId="1" xfId="0" applyFont="1" applyFill="1" applyBorder="1"/>
    <xf numFmtId="0" fontId="2" fillId="3" borderId="1" xfId="0" applyFont="1" applyFill="1" applyBorder="1" applyAlignment="1">
      <alignment horizontal="right"/>
    </xf>
    <xf numFmtId="3" fontId="2" fillId="3" borderId="1" xfId="0" applyNumberFormat="1" applyFont="1" applyFill="1" applyBorder="1"/>
    <xf numFmtId="0" fontId="2" fillId="3" borderId="3" xfId="0" applyFont="1" applyFill="1" applyBorder="1"/>
    <xf numFmtId="0" fontId="2" fillId="0" borderId="0" xfId="0" applyFont="1" applyAlignment="1">
      <alignment horizontal="center" vertical="center"/>
    </xf>
    <xf numFmtId="3" fontId="15" fillId="0" borderId="0" xfId="0" applyNumberFormat="1" applyFont="1"/>
    <xf numFmtId="0" fontId="14" fillId="0" borderId="0" xfId="0" applyFont="1" applyAlignment="1">
      <alignment vertical="center"/>
    </xf>
    <xf numFmtId="0" fontId="2" fillId="3" borderId="5" xfId="0" applyFont="1" applyFill="1" applyBorder="1"/>
    <xf numFmtId="164" fontId="2" fillId="3" borderId="2" xfId="0" applyNumberFormat="1" applyFont="1" applyFill="1" applyBorder="1"/>
    <xf numFmtId="0" fontId="2" fillId="3" borderId="2" xfId="0" applyFont="1" applyFill="1" applyBorder="1"/>
    <xf numFmtId="0" fontId="2" fillId="3" borderId="2" xfId="0" applyFont="1" applyFill="1" applyBorder="1" applyAlignment="1">
      <alignment horizontal="right"/>
    </xf>
    <xf numFmtId="3" fontId="2" fillId="3" borderId="2" xfId="0" applyNumberFormat="1" applyFont="1" applyFill="1" applyBorder="1"/>
    <xf numFmtId="0" fontId="2" fillId="3" borderId="10" xfId="0" applyFont="1" applyFill="1" applyBorder="1"/>
    <xf numFmtId="3" fontId="25" fillId="0" borderId="1" xfId="2" applyNumberFormat="1" applyFont="1" applyBorder="1"/>
    <xf numFmtId="0" fontId="2" fillId="0" borderId="0" xfId="0" applyFont="1" applyAlignment="1">
      <alignment horizontal="center"/>
    </xf>
    <xf numFmtId="3" fontId="25" fillId="0" borderId="2" xfId="2" applyNumberFormat="1" applyFont="1" applyBorder="1"/>
    <xf numFmtId="0" fontId="2" fillId="0" borderId="3" xfId="2" applyFont="1" applyBorder="1" applyAlignment="1">
      <alignment wrapText="1"/>
    </xf>
    <xf numFmtId="0" fontId="2" fillId="3" borderId="1" xfId="0" applyFont="1" applyFill="1" applyBorder="1" applyAlignment="1">
      <alignment horizontal="left"/>
    </xf>
    <xf numFmtId="3" fontId="2" fillId="0" borderId="2" xfId="0" applyNumberFormat="1" applyFont="1" applyBorder="1" applyAlignment="1">
      <alignment horizontal="right"/>
    </xf>
    <xf numFmtId="0" fontId="2" fillId="2" borderId="6" xfId="0" applyFont="1" applyFill="1" applyBorder="1" applyProtection="1">
      <protection locked="0"/>
    </xf>
    <xf numFmtId="164" fontId="2" fillId="2" borderId="2" xfId="0" applyNumberFormat="1" applyFont="1" applyFill="1" applyBorder="1" applyAlignment="1" applyProtection="1">
      <alignment horizontal="center"/>
      <protection locked="0"/>
    </xf>
    <xf numFmtId="0" fontId="2" fillId="2" borderId="5" xfId="0" applyFont="1" applyFill="1" applyBorder="1" applyProtection="1">
      <protection locked="0"/>
    </xf>
    <xf numFmtId="0" fontId="2" fillId="2" borderId="5" xfId="0" applyFont="1" applyFill="1" applyBorder="1" applyAlignment="1" applyProtection="1">
      <alignment horizontal="right"/>
      <protection locked="0"/>
    </xf>
    <xf numFmtId="0" fontId="2" fillId="2" borderId="2" xfId="0" applyFont="1" applyFill="1" applyBorder="1" applyProtection="1">
      <protection locked="0"/>
    </xf>
    <xf numFmtId="3" fontId="2" fillId="2" borderId="2" xfId="0" applyNumberFormat="1" applyFont="1" applyFill="1" applyBorder="1" applyProtection="1">
      <protection locked="0"/>
    </xf>
    <xf numFmtId="3" fontId="2" fillId="2" borderId="1" xfId="0" applyNumberFormat="1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Protection="1">
      <protection locked="0"/>
    </xf>
    <xf numFmtId="0" fontId="2" fillId="3" borderId="3" xfId="0" applyFont="1" applyFill="1" applyBorder="1" applyAlignment="1">
      <alignment wrapText="1"/>
    </xf>
    <xf numFmtId="14" fontId="2" fillId="0" borderId="1" xfId="2" applyNumberFormat="1" applyFont="1" applyBorder="1"/>
    <xf numFmtId="3" fontId="2" fillId="0" borderId="1" xfId="2" applyNumberFormat="1" applyFont="1" applyBorder="1" applyAlignment="1">
      <alignment horizontal="right"/>
    </xf>
    <xf numFmtId="0" fontId="24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4" fillId="0" borderId="0" xfId="2" applyFont="1" applyAlignment="1">
      <alignment horizontal="right" vertical="center"/>
    </xf>
    <xf numFmtId="14" fontId="18" fillId="0" borderId="0" xfId="2" applyNumberFormat="1" applyFont="1" applyAlignment="1">
      <alignment horizontal="center" vertical="center"/>
    </xf>
    <xf numFmtId="0" fontId="18" fillId="0" borderId="0" xfId="2" applyFont="1" applyAlignment="1">
      <alignment horizontal="center" vertical="center"/>
    </xf>
    <xf numFmtId="167" fontId="15" fillId="0" borderId="0" xfId="2" applyNumberFormat="1" applyFont="1" applyAlignment="1">
      <alignment horizontal="left"/>
    </xf>
    <xf numFmtId="0" fontId="7" fillId="0" borderId="0" xfId="2" quotePrefix="1" applyFont="1" applyAlignment="1">
      <alignment horizontal="center" vertical="center"/>
    </xf>
    <xf numFmtId="0" fontId="23" fillId="0" borderId="0" xfId="2" applyFont="1" applyAlignment="1">
      <alignment horizontal="center"/>
    </xf>
    <xf numFmtId="168" fontId="15" fillId="0" borderId="0" xfId="2" applyNumberFormat="1" applyFont="1" applyAlignment="1">
      <alignment horizontal="left"/>
    </xf>
    <xf numFmtId="0" fontId="0" fillId="0" borderId="0" xfId="0" applyNumberFormat="1"/>
    <xf numFmtId="0" fontId="2" fillId="0" borderId="2" xfId="2" applyFont="1" applyFill="1" applyBorder="1"/>
    <xf numFmtId="3" fontId="2" fillId="0" borderId="2" xfId="2" applyNumberFormat="1" applyFont="1" applyFill="1" applyBorder="1"/>
    <xf numFmtId="0" fontId="2" fillId="0" borderId="9" xfId="2" applyFont="1" applyFill="1" applyBorder="1"/>
    <xf numFmtId="164" fontId="2" fillId="0" borderId="1" xfId="2" applyNumberFormat="1" applyFont="1" applyFill="1" applyBorder="1"/>
    <xf numFmtId="0" fontId="2" fillId="0" borderId="1" xfId="2" applyFont="1" applyFill="1" applyBorder="1"/>
    <xf numFmtId="0" fontId="2" fillId="0" borderId="1" xfId="2" applyFont="1" applyFill="1" applyBorder="1" applyAlignment="1">
      <alignment horizontal="right"/>
    </xf>
    <xf numFmtId="3" fontId="2" fillId="0" borderId="1" xfId="2" applyNumberFormat="1" applyFont="1" applyFill="1" applyBorder="1"/>
    <xf numFmtId="0" fontId="2" fillId="0" borderId="3" xfId="2" applyFont="1" applyFill="1" applyBorder="1"/>
    <xf numFmtId="0" fontId="2" fillId="2" borderId="9" xfId="2" applyFont="1" applyFill="1" applyBorder="1"/>
    <xf numFmtId="164" fontId="2" fillId="2" borderId="1" xfId="2" applyNumberFormat="1" applyFont="1" applyFill="1" applyBorder="1"/>
    <xf numFmtId="0" fontId="2" fillId="2" borderId="1" xfId="2" applyFont="1" applyFill="1" applyBorder="1"/>
    <xf numFmtId="0" fontId="2" fillId="2" borderId="1" xfId="2" applyFont="1" applyFill="1" applyBorder="1" applyAlignment="1">
      <alignment horizontal="right"/>
    </xf>
    <xf numFmtId="0" fontId="2" fillId="2" borderId="2" xfId="2" applyFont="1" applyFill="1" applyBorder="1"/>
    <xf numFmtId="3" fontId="2" fillId="2" borderId="1" xfId="2" applyNumberFormat="1" applyFont="1" applyFill="1" applyBorder="1"/>
    <xf numFmtId="3" fontId="2" fillId="2" borderId="2" xfId="2" applyNumberFormat="1" applyFont="1" applyFill="1" applyBorder="1"/>
    <xf numFmtId="0" fontId="2" fillId="2" borderId="3" xfId="2" applyFont="1" applyFill="1" applyBorder="1"/>
    <xf numFmtId="168" fontId="2" fillId="0" borderId="0" xfId="2" applyNumberFormat="1" applyFont="1"/>
  </cellXfs>
  <cellStyles count="3">
    <cellStyle name="Hyperlink" xfId="1" builtinId="8"/>
    <cellStyle name="Normal" xfId="0" builtinId="0"/>
    <cellStyle name="Normal 2" xfId="2" xr:uid="{3432DCC1-B8C4-45D8-AF03-DC62294334F1}"/>
  </cellStyles>
  <dxfs count="34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theme="1"/>
        <name val="Times New Roman"/>
        <family val="1"/>
        <scheme val="none"/>
      </font>
      <numFmt numFmtId="3" formatCode="#,##0"/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rgb="FF000000"/>
        <name val="Times New Roman"/>
        <family val="1"/>
        <scheme val="none"/>
      </font>
      <numFmt numFmtId="3" formatCode="#,##0"/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numFmt numFmtId="19" formatCode="dd/mm/yyyy"/>
    </dxf>
    <dxf>
      <numFmt numFmtId="0" formatCode="General"/>
    </dxf>
    <dxf>
      <numFmt numFmtId="3" formatCode="#,##0"/>
    </dxf>
    <dxf>
      <numFmt numFmtId="19" formatCode="dd/mm/yyyy"/>
    </dxf>
    <dxf>
      <numFmt numFmtId="0" formatCode="General"/>
    </dxf>
    <dxf>
      <numFmt numFmtId="19" formatCode="dd/m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>
        <bottom style="thin">
          <color rgb="FF000000"/>
        </bottom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alignment horizontal="left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alignment horizontal="right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9" formatCode="dd/mm/yyyy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0" formatCode="General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family val="1"/>
        <scheme val="none"/>
      </font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36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rgb="FF000000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5" formatCode="#,##0.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protection locked="0" hidden="0"/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family val="1"/>
        <scheme val="none"/>
      </font>
      <numFmt numFmtId="3" formatCode="#,##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Times New Roman"/>
        <family val="1"/>
        <scheme val="none"/>
      </font>
      <numFmt numFmtId="3" formatCode="#,##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left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Times New Roman"/>
        <family val="1"/>
        <scheme val="none"/>
      </font>
    </dxf>
    <dxf>
      <border>
        <bottom style="thin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3" formatCode="#,##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indexed="64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alignment horizontal="right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64" formatCode="[$-1010000]d/m/yyyy;@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  <dxf>
      <border>
        <top style="thin">
          <color auto="1"/>
        </top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Times New Roman"/>
        <family val="1"/>
        <scheme val="none"/>
      </font>
    </dxf>
    <dxf>
      <border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Times New Roman"/>
        <family val="1"/>
        <scheme val="none"/>
      </font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Invisible" pivot="0" table="0" count="0" xr9:uid="{B23F31F1-0F30-4D49-A5E3-7A341CBC52EE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microsoft.com/office/2022/11/relationships/FeaturePropertyBag" Target="featurePropertyBag/featurePropertyBag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calcChain" Target="calcChain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customXml" Target="../customXml/item1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microsoft.com/office/2006/relationships/vbaProject" Target="vbaProject.bin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0" Type="http://schemas.openxmlformats.org/officeDocument/2006/relationships/theme" Target="theme/theme1.xml"/><Relationship Id="rId225" Type="http://schemas.microsoft.com/office/2017/10/relationships/person" Target="persons/person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connections" Target="connection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sheetMetadata" Target="metadata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85723</xdr:colOff>
      <xdr:row>1</xdr:row>
      <xdr:rowOff>120098</xdr:rowOff>
    </xdr:from>
    <xdr:to>
      <xdr:col>1</xdr:col>
      <xdr:colOff>317637</xdr:colOff>
      <xdr:row>4</xdr:row>
      <xdr:rowOff>37273</xdr:rowOff>
    </xdr:to>
    <xdr:sp macro="[0]!Sheet158.KhoiPhucVBA" textlink="">
      <xdr:nvSpPr>
        <xdr:cNvPr id="2" name="Rectangle 1">
          <a:extLst>
            <a:ext uri="{FF2B5EF4-FFF2-40B4-BE49-F238E27FC236}">
              <a16:creationId xmlns:a16="http://schemas.microsoft.com/office/drawing/2014/main" id="{F6D61824-19CF-21CC-CB54-B241016220C1}"/>
            </a:ext>
          </a:extLst>
        </xdr:cNvPr>
        <xdr:cNvSpPr/>
      </xdr:nvSpPr>
      <xdr:spPr>
        <a:xfrm>
          <a:off x="85723" y="291548"/>
          <a:ext cx="841514" cy="48867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276225</xdr:colOff>
      <xdr:row>8</xdr:row>
      <xdr:rowOff>85725</xdr:rowOff>
    </xdr:from>
    <xdr:to>
      <xdr:col>6</xdr:col>
      <xdr:colOff>323850</xdr:colOff>
      <xdr:row>9</xdr:row>
      <xdr:rowOff>571500</xdr:rowOff>
    </xdr:to>
    <xdr:sp macro="[0]!NhapThanhToan" textlink="">
      <xdr:nvSpPr>
        <xdr:cNvPr id="2" name="Nut than ky">
          <a:extLst>
            <a:ext uri="{FF2B5EF4-FFF2-40B4-BE49-F238E27FC236}">
              <a16:creationId xmlns:a16="http://schemas.microsoft.com/office/drawing/2014/main" id="{ED870FFB-8E31-4029-85F8-B4780FE266FA}"/>
            </a:ext>
          </a:extLst>
        </xdr:cNvPr>
        <xdr:cNvSpPr/>
      </xdr:nvSpPr>
      <xdr:spPr>
        <a:xfrm>
          <a:off x="7600950" y="2076450"/>
          <a:ext cx="1466850" cy="7239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110634</xdr:colOff>
      <xdr:row>6</xdr:row>
      <xdr:rowOff>30773</xdr:rowOff>
    </xdr:from>
    <xdr:to>
      <xdr:col>8</xdr:col>
      <xdr:colOff>63009</xdr:colOff>
      <xdr:row>8</xdr:row>
      <xdr:rowOff>168520</xdr:rowOff>
    </xdr:to>
    <xdr:sp macro="[0]!NhapLieuDaDong_Win11" textlink="">
      <xdr:nvSpPr>
        <xdr:cNvPr id="2" name="Nut than ky">
          <a:extLst>
            <a:ext uri="{FF2B5EF4-FFF2-40B4-BE49-F238E27FC236}">
              <a16:creationId xmlns:a16="http://schemas.microsoft.com/office/drawing/2014/main" id="{5DB19642-BC93-C80F-9EAA-0380F56E7AF8}"/>
            </a:ext>
          </a:extLst>
        </xdr:cNvPr>
        <xdr:cNvSpPr/>
      </xdr:nvSpPr>
      <xdr:spPr>
        <a:xfrm>
          <a:off x="8711709" y="1488098"/>
          <a:ext cx="1476375" cy="67114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523875</xdr:colOff>
      <xdr:row>4</xdr:row>
      <xdr:rowOff>219074</xdr:rowOff>
    </xdr:from>
    <xdr:to>
      <xdr:col>7</xdr:col>
      <xdr:colOff>971550</xdr:colOff>
      <xdr:row>5</xdr:row>
      <xdr:rowOff>247649</xdr:rowOff>
    </xdr:to>
    <xdr:sp macro="[0]!XoaDongCuoi_BangNhap" textlink="">
      <xdr:nvSpPr>
        <xdr:cNvPr id="3" name="Rectangle 2">
          <a:extLst>
            <a:ext uri="{FF2B5EF4-FFF2-40B4-BE49-F238E27FC236}">
              <a16:creationId xmlns:a16="http://schemas.microsoft.com/office/drawing/2014/main" id="{1E2ACDF9-B33F-B539-67F7-9A090088C1DF}"/>
            </a:ext>
          </a:extLst>
        </xdr:cNvPr>
        <xdr:cNvSpPr/>
      </xdr:nvSpPr>
      <xdr:spPr>
        <a:xfrm>
          <a:off x="9124950" y="1019174"/>
          <a:ext cx="447675" cy="35242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457201</xdr:colOff>
      <xdr:row>1</xdr:row>
      <xdr:rowOff>19051</xdr:rowOff>
    </xdr:from>
    <xdr:to>
      <xdr:col>15</xdr:col>
      <xdr:colOff>571501</xdr:colOff>
      <xdr:row>2</xdr:row>
      <xdr:rowOff>180976</xdr:rowOff>
    </xdr:to>
    <xdr:sp macro="[0]!TaoSheetTuMau" textlink="">
      <xdr:nvSpPr>
        <xdr:cNvPr id="4" name="Rectangle 3">
          <a:extLst>
            <a:ext uri="{FF2B5EF4-FFF2-40B4-BE49-F238E27FC236}">
              <a16:creationId xmlns:a16="http://schemas.microsoft.com/office/drawing/2014/main" id="{3073F0F9-9E4C-7A15-7491-B4439E786647}"/>
            </a:ext>
          </a:extLst>
        </xdr:cNvPr>
        <xdr:cNvSpPr/>
      </xdr:nvSpPr>
      <xdr:spPr>
        <a:xfrm>
          <a:off x="20469226" y="219076"/>
          <a:ext cx="990600" cy="361950"/>
        </a:xfrm>
        <a:prstGeom prst="rect">
          <a:avLst/>
        </a:prstGeom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Thêm</a:t>
          </a:r>
          <a:r>
            <a:rPr lang="en-US" sz="1600" baseline="0"/>
            <a:t> KH</a:t>
          </a:r>
        </a:p>
      </xdr:txBody>
    </xdr:sp>
    <xdr:clientData/>
  </xdr:twoCellAnchor>
  <xdr:twoCellAnchor>
    <xdr:from>
      <xdr:col>6</xdr:col>
      <xdr:colOff>1085850</xdr:colOff>
      <xdr:row>1</xdr:row>
      <xdr:rowOff>0</xdr:rowOff>
    </xdr:from>
    <xdr:to>
      <xdr:col>7</xdr:col>
      <xdr:colOff>1133475</xdr:colOff>
      <xdr:row>1</xdr:row>
      <xdr:rowOff>161925</xdr:rowOff>
    </xdr:to>
    <xdr:sp macro="[0]!Nhapphieuthieu" textlink="">
      <xdr:nvSpPr>
        <xdr:cNvPr id="5" name="Rectangle 4">
          <a:extLst>
            <a:ext uri="{FF2B5EF4-FFF2-40B4-BE49-F238E27FC236}">
              <a16:creationId xmlns:a16="http://schemas.microsoft.com/office/drawing/2014/main" id="{A266DB1E-5D3C-073F-F4FD-4CC49D4FF721}"/>
            </a:ext>
          </a:extLst>
        </xdr:cNvPr>
        <xdr:cNvSpPr/>
      </xdr:nvSpPr>
      <xdr:spPr>
        <a:xfrm>
          <a:off x="8448675" y="200025"/>
          <a:ext cx="1285875" cy="161925"/>
        </a:xfrm>
        <a:prstGeom prst="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XFControls"/>
  <bag type="XFComplement">
    <bagId k="XFControls">0</bagId>
  </bag>
  <bag type="DXFComplements" extRef="DXFComplementsMapperExtRef">
    <a k="MappedFeaturePropertyBags">
      <bagId>1</bagId>
    </a>
  </bag>
</FeaturePropertyBags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00000000-0016-0000-D000-000000000000}" autoFormatId="16" applyNumberFormats="0" applyBorderFormats="0" applyFontFormats="0" applyPatternFormats="0" applyAlignmentFormats="0" applyWidthHeightFormats="0">
  <queryTableRefresh nextId="13">
    <queryTableFields count="10">
      <queryTableField id="11" name="Bangdich.Tên" tableColumnId="11"/>
      <queryTableField id="1" name="Content.Số phiếu" tableColumnId="1"/>
      <queryTableField id="2" name="Content.Ngày_x000a_ tháng" tableColumnId="2"/>
      <queryTableField id="3" name="Content.Nội dung" tableColumnId="3"/>
      <queryTableField id="4" name="Content.Chủng loại" tableColumnId="4"/>
      <queryTableField id="5" name="Content.Quy cách" tableColumnId="5"/>
      <queryTableField id="6" name="Content.SỐ LƯỢNG" tableColumnId="6"/>
      <queryTableField id="7" name="Content.ĐƠN GIÁ" tableColumnId="7"/>
      <queryTableField id="8" name="Content.THÀNH TIỀN" tableColumnId="8"/>
      <queryTableField id="9" name="Content.Ghi chú" tableColumnId="9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00000000-0016-0000-D100-000001000000}" autoFormatId="16" applyNumberFormats="0" applyBorderFormats="0" applyFontFormats="0" applyPatternFormats="0" applyAlignmentFormats="0" applyWidthHeightFormats="0">
  <queryTableRefresh nextId="18">
    <queryTableFields count="11">
      <queryTableField id="16" name="Tên" tableColumnId="1"/>
      <queryTableField id="2" name="Số phiếu" tableColumnId="2"/>
      <queryTableField id="3" name="Ngày_x000a_ tháng" tableColumnId="3"/>
      <queryTableField id="4" name="Nội dung" tableColumnId="4"/>
      <queryTableField id="5" name="Chủng loại" tableColumnId="5"/>
      <queryTableField id="6" name="Quy cách" tableColumnId="6"/>
      <queryTableField id="7" name="SỐ LƯỢNG" tableColumnId="7"/>
      <queryTableField id="8" name="ĐƠN GIÁ" tableColumnId="8"/>
      <queryTableField id="9" name="THÀNH TIỀN" tableColumnId="9"/>
      <queryTableField id="10" name="THANH TOÁN" tableColumnId="10"/>
      <queryTableField id="11" name="Ghi chú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5" xr16:uid="{00000000-0016-0000-D300-000002000000}" autoFormatId="16" applyNumberFormats="0" applyBorderFormats="0" applyFontFormats="0" applyPatternFormats="0" applyAlignmentFormats="0" applyWidthHeightFormats="0">
  <queryTableRefresh nextId="13">
    <queryTableFields count="6">
      <queryTableField id="11" name="Tên" tableColumnId="6"/>
      <queryTableField id="1" name="Ngày_x000a_ tháng" tableColumnId="1"/>
      <queryTableField id="2" name="Nội dung" tableColumnId="2"/>
      <queryTableField id="3" name="Chủng loại" tableColumnId="3"/>
      <queryTableField id="8" name="Quy cách" tableColumnId="4"/>
      <queryTableField id="5" name="THANH TOÁN" tableColumnId="5"/>
    </queryTableFields>
  </queryTableRefresh>
</queryTable>
</file>

<file path=xl/tables/_rels/table2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2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2" xr:uid="{442FB508-57FA-4614-8E13-4141F954FC59}" name="Tong_hop_cong_no" displayName="Tong_hop_cong_no" ref="A3:B204" headerRowDxfId="3424" dataDxfId="3422" headerRowBorderDxfId="3423" tableBorderDxfId="3421" totalsRowBorderDxfId="3420">
  <autoFilter ref="A3:B204" xr:uid="{442FB508-57FA-4614-8E13-4141F954FC59}"/>
  <sortState xmlns:xlrd2="http://schemas.microsoft.com/office/spreadsheetml/2017/richdata2" ref="A4:B204">
    <sortCondition descending="1" ref="B4:B204"/>
  </sortState>
  <tableColumns count="2">
    <tableColumn id="1" xr3:uid="{1A46D936-8261-4431-BCA4-0D8D4E67808F}" name="Tên KH" totalsRowLabel="Total" dataDxfId="3419" totalsRowDxfId="3418" dataCellStyle="Hyperlink"/>
    <tableColumn id="2" xr3:uid="{9D62C536-A965-4ED6-A8B0-5A360E0799E6}" name="Công nợ còn lại" totalsRowFunction="min" dataDxfId="3417" totalsRowDxfId="3416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08D9ADE-7C31-413F-8F51-8B660386CDAE}" name="E_Minh_TH" displayName="E_Minh_TH" ref="A9:K146" totalsRowShown="0" headerRowDxfId="3415" dataDxfId="3413" headerRowBorderDxfId="3414" tableBorderDxfId="3412" totalsRowBorderDxfId="3411">
  <autoFilter ref="A9:K146" xr:uid="{808D9ADE-7C31-413F-8F51-8B660386CDAE}"/>
  <sortState xmlns:xlrd2="http://schemas.microsoft.com/office/spreadsheetml/2017/richdata2" ref="A10:K135">
    <sortCondition ref="B130:B135"/>
  </sortState>
  <tableColumns count="11">
    <tableColumn id="1" xr3:uid="{E715923D-F175-4975-B7C9-164BFEED1481}" name="Số phiếu" dataDxfId="3410"/>
    <tableColumn id="2" xr3:uid="{D1059D7D-7B88-4402-AB41-058FA9C2D675}" name="Ngày_x000a_ tháng" dataDxfId="3409"/>
    <tableColumn id="3" xr3:uid="{BD448404-965B-4066-86BD-EC33DACE3B58}" name="Nội dung" dataDxfId="3408"/>
    <tableColumn id="11" xr3:uid="{5ABE8B39-19EC-4CF4-B8BA-C322F5D78384}" name="Chủng loại" dataDxfId="3407"/>
    <tableColumn id="4" xr3:uid="{C2ED04AD-B7FC-4516-8333-3CBD0E99ED83}" name="Quy cách" dataDxfId="3406"/>
    <tableColumn id="5" xr3:uid="{7882C605-1E3C-46CC-857F-3187C4456821}" name="SỐ LƯỢNG" dataDxfId="3405"/>
    <tableColumn id="6" xr3:uid="{521D4671-5B5C-478F-963E-BA259D1F31F5}" name="ĐƠN GIÁ" dataDxfId="3404"/>
    <tableColumn id="7" xr3:uid="{C5851078-3C0B-4FD2-974D-DAE9A6DD4B0A}" name="THÀNH TIỀN" dataDxfId="3403">
      <calculatedColumnFormula>E_Minh_TH[[#This Row],[ĐƠN GIÁ]]*E_Minh_TH[[#This Row],[SỐ LƯỢNG]]</calculatedColumnFormula>
    </tableColumn>
    <tableColumn id="8" xr3:uid="{06E6713D-F51B-4410-8015-7BBAACBD55C9}" name="THANH TOÁN" dataDxfId="3402"/>
    <tableColumn id="9" xr3:uid="{4D244B46-588A-41BF-999F-1FDCF94CB668}" name="CÔNG NỢ_x000a_ CÒN LẠI" dataDxfId="3401">
      <calculatedColumnFormula>N(INDIRECT("R[-1]C", FALSE)) + E_Minh_TH[[#This Row],[THÀNH TIỀN]] - E_Minh_TH[[#This Row],[THANH TOÁN]]</calculatedColumnFormula>
    </tableColumn>
    <tableColumn id="10" xr3:uid="{D8A15699-C7A7-47E3-A055-0E277C14C652}" name="Ghi chú" dataDxfId="3400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227F2BD-2C9D-4FFF-9F44-8C9E66133B6C}" name="Cty_Phu_Minh" displayName="Cty_Phu_Minh" ref="A9:K153" totalsRowShown="0" headerRowDxfId="3399" dataDxfId="3397" headerRowBorderDxfId="3398" tableBorderDxfId="3396" totalsRowBorderDxfId="3395">
  <autoFilter ref="A9:K153" xr:uid="{3227F2BD-2C9D-4FFF-9F44-8C9E66133B6C}"/>
  <sortState xmlns:xlrd2="http://schemas.microsoft.com/office/spreadsheetml/2017/richdata2" ref="A10:K136">
    <sortCondition ref="B132:B136"/>
  </sortState>
  <tableColumns count="11">
    <tableColumn id="1" xr3:uid="{B8A46459-5926-428E-AF35-2712E41631A0}" name="Số phiếu" dataDxfId="3394"/>
    <tableColumn id="2" xr3:uid="{064B9C22-58AE-4DCB-8402-0A93B4790CF2}" name="Ngày_x000a_ tháng" dataDxfId="3393"/>
    <tableColumn id="3" xr3:uid="{D0643659-6BEB-4F28-82C4-D0ACA42C5EEE}" name="Nội dung" dataDxfId="3392"/>
    <tableColumn id="11" xr3:uid="{818A60CF-82D5-42DF-B6C6-BCD78AC83EF6}" name="Chủng loại" dataDxfId="3391"/>
    <tableColumn id="4" xr3:uid="{1C6134B0-5A00-46D8-95EA-95BA43303E8E}" name="Quy cách" dataDxfId="3390"/>
    <tableColumn id="5" xr3:uid="{C887C258-AA4A-4A00-809A-B58E0509CE19}" name="SỐ LƯỢNG" dataDxfId="3389"/>
    <tableColumn id="6" xr3:uid="{5E0774DD-8FB1-4C36-9DC4-0E71DC10C065}" name="ĐƠN GIÁ" dataDxfId="3388"/>
    <tableColumn id="7" xr3:uid="{05612DAE-05D7-4B5D-BBB9-EC92FE204D3E}" name="THÀNH TIỀN" dataDxfId="3387">
      <calculatedColumnFormula>Cty_Phu_Minh[[#This Row],[ĐƠN GIÁ]]*Cty_Phu_Minh[[#This Row],[SỐ LƯỢNG]]</calculatedColumnFormula>
    </tableColumn>
    <tableColumn id="8" xr3:uid="{39152A3F-0FEB-4943-84FA-94DC790AC11D}" name="THANH TOÁN" dataDxfId="3386"/>
    <tableColumn id="9" xr3:uid="{335B7090-0C7A-48E7-BA03-A17F8D07C8C8}" name="CÔNG NỢ_x000a_ CÒN LẠI" dataDxfId="3385">
      <calculatedColumnFormula>N(INDIRECT("R[-1]C", FALSE)) + Cty_Phu_Minh[[#This Row],[THÀNH TIỀN]] - Cty_Phu_Minh[[#This Row],[THANH TOÁN]]</calculatedColumnFormula>
    </tableColumn>
    <tableColumn id="10" xr3:uid="{9473B796-2ED8-4B80-9F5F-4F9983CD30E1}" name="Ghi chú" dataDxfId="3384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D075EC3-A5D5-4F6D-859A-B35405740C91}" name="Cty_Y_Thuy" displayName="Cty_Y_Thuy" ref="A9:K30" totalsRowShown="0" headerRowDxfId="3383" dataDxfId="3381" headerRowBorderDxfId="3382" tableBorderDxfId="3380" totalsRowBorderDxfId="3379">
  <autoFilter ref="A9:K30" xr:uid="{3227F2BD-2C9D-4FFF-9F44-8C9E66133B6C}"/>
  <sortState xmlns:xlrd2="http://schemas.microsoft.com/office/spreadsheetml/2017/richdata2" ref="A10:K26">
    <sortCondition ref="B25:B26"/>
  </sortState>
  <tableColumns count="11">
    <tableColumn id="1" xr3:uid="{1B224B04-3D3D-4171-BFEA-65439E5C897D}" name="Số phiếu" dataDxfId="3378"/>
    <tableColumn id="2" xr3:uid="{B26113A0-0BE1-45A3-A554-A1A75C28DA3D}" name="Ngày_x000a_ tháng" dataDxfId="3377"/>
    <tableColumn id="3" xr3:uid="{3DF5A17A-5451-473B-884E-3E308492E60F}" name="Nội dung" dataDxfId="3376"/>
    <tableColumn id="11" xr3:uid="{72242A57-62E6-42F3-A8FC-6361D7AB6C9D}" name="Chủng loại" dataDxfId="3375"/>
    <tableColumn id="4" xr3:uid="{67FF3BDF-D410-495A-ABCC-EBD29168D878}" name="Quy cách" dataDxfId="3374"/>
    <tableColumn id="5" xr3:uid="{99804291-76E6-4E15-ABF2-AD223BAF6013}" name="SỐ LƯỢNG" dataDxfId="3373"/>
    <tableColumn id="6" xr3:uid="{76B1F595-CC81-4498-A1E3-F4D6F395BA4C}" name="ĐƠN GIÁ" dataDxfId="3372"/>
    <tableColumn id="7" xr3:uid="{E308BD13-B534-4736-B560-B165BC0AB4F7}" name="THÀNH TIỀN" dataDxfId="3371">
      <calculatedColumnFormula>Cty_Y_Thuy[[#This Row],[ĐƠN GIÁ]]*Cty_Y_Thuy[[#This Row],[SỐ LƯỢNG]]</calculatedColumnFormula>
    </tableColumn>
    <tableColumn id="8" xr3:uid="{C0910DF5-A0B9-4963-9F78-DE675A82B1CC}" name="THANH TOÁN" dataDxfId="3370"/>
    <tableColumn id="9" xr3:uid="{C91F321E-A8C6-4F05-86FE-2AD50D21E022}" name="CÔNG NỢ_x000a_ CÒN LẠI" dataDxfId="3369">
      <calculatedColumnFormula>J9+Cty_Y_Thuy[[#This Row],[THÀNH TIỀN]]-Cty_Y_Thuy[[#This Row],[THANH TOÁN]]</calculatedColumnFormula>
    </tableColumn>
    <tableColumn id="10" xr3:uid="{0E288FAC-0B54-436B-A30F-960BA33E3676}" name="Ghi chú" dataDxfId="3368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609435F-3837-4993-814E-0A536336F7E3}" name="Cty_Vinh_Oanh_Phu_Ly" displayName="Cty_Vinh_Oanh_Phu_Ly" ref="A9:K160" totalsRowShown="0" headerRowDxfId="3367" dataDxfId="3365" headerRowBorderDxfId="3366" tableBorderDxfId="3364" totalsRowBorderDxfId="3363">
  <autoFilter ref="A9:K160" xr:uid="{3227F2BD-2C9D-4FFF-9F44-8C9E66133B6C}"/>
  <sortState xmlns:xlrd2="http://schemas.microsoft.com/office/spreadsheetml/2017/richdata2" ref="A10:K159">
    <sortCondition ref="B153:B159"/>
  </sortState>
  <tableColumns count="11">
    <tableColumn id="1" xr3:uid="{0687E6EC-7A9F-4A88-BE20-CF838D967EDB}" name="Số phiếu" dataDxfId="3362"/>
    <tableColumn id="2" xr3:uid="{49E935AB-8536-4F9C-99BC-7310D758613F}" name="Ngày_x000a_ tháng" dataDxfId="3361"/>
    <tableColumn id="3" xr3:uid="{CE32FC49-989C-469C-80D7-EDA55855B08D}" name="Nội dung" dataDxfId="3360"/>
    <tableColumn id="12" xr3:uid="{450EABC3-CC42-4C45-B20A-9F330B6A4089}" name="Chủng loại" dataDxfId="3359"/>
    <tableColumn id="4" xr3:uid="{80222ADD-5C80-4444-B25C-EDDD83B941B0}" name="Quy cách" dataDxfId="3358"/>
    <tableColumn id="5" xr3:uid="{2C35F846-4B46-4631-B54F-C038C50ED81B}" name="SỐ LƯỢNG" dataDxfId="3357"/>
    <tableColumn id="6" xr3:uid="{ED1AF487-48D5-4C28-880B-F8BEB9004440}" name="ĐƠN GIÁ" dataDxfId="3356"/>
    <tableColumn id="7" xr3:uid="{94B022CD-8708-4599-B0E6-335BE11437CD}" name="THÀNH TIỀN" dataDxfId="3355">
      <calculatedColumnFormula>Cty_Vinh_Oanh_Phu_Ly[[#This Row],[SỐ LƯỢNG]]*Cty_Vinh_Oanh_Phu_Ly[[#This Row],[ĐƠN GIÁ]]</calculatedColumnFormula>
    </tableColumn>
    <tableColumn id="8" xr3:uid="{105BA4F3-2475-4BD2-9AB3-5F1991E6D9FD}" name="THANH TOÁN" dataDxfId="3354"/>
    <tableColumn id="9" xr3:uid="{E460E590-814B-42C6-85DB-5C0643E2651E}" name="CÔNG NỢ_x000a_ CÒN LẠI" dataDxfId="3353">
      <calculatedColumnFormula>N(INDIRECT("R[-1]C", FALSE)) + Cty_Vinh_Oanh_Phu_Ly[[#This Row],[THÀNH TIỀN]] - Cty_Vinh_Oanh_Phu_Ly[[#This Row],[THANH TOÁN]]</calculatedColumnFormula>
    </tableColumn>
    <tableColumn id="10" xr3:uid="{44B6C38F-50B9-4149-9525-8CDDDDC515EA}" name="Ghi chú" dataDxfId="3352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FADABB6-D497-4C0A-9B70-CC9E92F000AB}" name="A_Hai_HP" displayName="A_Hai_HP" ref="A9:K84" totalsRowShown="0" headerRowDxfId="3351" dataDxfId="3349" headerRowBorderDxfId="3350" tableBorderDxfId="3348" totalsRowBorderDxfId="3347">
  <autoFilter ref="A9:K84" xr:uid="{3227F2BD-2C9D-4FFF-9F44-8C9E66133B6C}"/>
  <sortState xmlns:xlrd2="http://schemas.microsoft.com/office/spreadsheetml/2017/richdata2" ref="A10:K69">
    <sortCondition ref="B69"/>
  </sortState>
  <tableColumns count="11">
    <tableColumn id="1" xr3:uid="{E56628F8-A320-4A91-A5F5-6DB975F9D3E8}" name="Số phiếu" dataDxfId="3346"/>
    <tableColumn id="2" xr3:uid="{283E9721-4620-4012-9A15-B468B17295EF}" name="Ngày_x000a_ tháng" dataDxfId="3345"/>
    <tableColumn id="3" xr3:uid="{734257B8-5514-4325-BEFA-8460DE329E2F}" name="Nội dung" dataDxfId="3344"/>
    <tableColumn id="12" xr3:uid="{4D70E073-21A6-42D7-827B-67F8EA1B112A}" name="Chủng loại" dataDxfId="3343"/>
    <tableColumn id="4" xr3:uid="{95114C3B-9FB9-4707-9B27-F082B555170B}" name="Quy cách" dataDxfId="3342"/>
    <tableColumn id="5" xr3:uid="{CDFFC3D4-5678-48D9-A766-3844C710AABA}" name="SỐ LƯỢNG" dataDxfId="3341"/>
    <tableColumn id="6" xr3:uid="{88BDA4B1-702D-45F1-956D-9446EB98225C}" name="ĐƠN GIÁ" dataDxfId="3340"/>
    <tableColumn id="7" xr3:uid="{7D3AFAD7-6CB4-4163-8EF3-D29C2390B54C}" name="THÀNH TIỀN" dataDxfId="3339">
      <calculatedColumnFormula>A_Hai_HP[[#This Row],[ĐƠN GIÁ]]*A_Hai_HP[[#This Row],[SỐ LƯỢNG]]</calculatedColumnFormula>
    </tableColumn>
    <tableColumn id="8" xr3:uid="{9F22BF7B-88DF-462A-8C8B-E7019C077078}" name="THANH TOÁN" dataDxfId="3338"/>
    <tableColumn id="9" xr3:uid="{04F036D3-ED67-4ACD-9C16-40BD338F9C46}" name="CÔNG NỢ_x000a_ CÒN LẠI" dataDxfId="3337">
      <calculatedColumnFormula>J9+A_Hai_HP[[#This Row],[THÀNH TIỀN]]-A_Hai_HP[[#This Row],[THANH TOÁN]]</calculatedColumnFormula>
    </tableColumn>
    <tableColumn id="10" xr3:uid="{C1ABE118-60BF-4D95-B115-78D18CA23BDC}" name="Ghi chú" dataDxfId="3336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AF2A2C6-0659-4096-BC39-43A4A36D903F}" name="C_Xep_HP" displayName="C_Xep_HP" ref="A9:K49" totalsRowShown="0" headerRowDxfId="3335" dataDxfId="3333" headerRowBorderDxfId="3334" tableBorderDxfId="3332" totalsRowBorderDxfId="3331">
  <autoFilter ref="A9:K49" xr:uid="{3227F2BD-2C9D-4FFF-9F44-8C9E66133B6C}"/>
  <sortState xmlns:xlrd2="http://schemas.microsoft.com/office/spreadsheetml/2017/richdata2" ref="A10:K44">
    <sortCondition ref="B39:B44"/>
  </sortState>
  <tableColumns count="11">
    <tableColumn id="1" xr3:uid="{ADF50EAB-7DE5-451D-AE69-B12CA1150109}" name="Số phiếu" dataDxfId="3330"/>
    <tableColumn id="2" xr3:uid="{F1C1544B-4A93-4897-A091-7D89812826D6}" name="Ngày_x000a_ tháng" dataDxfId="3329"/>
    <tableColumn id="3" xr3:uid="{5A893330-8365-4CA6-9D88-94F2E3E7960E}" name="Nội dung" dataDxfId="3328"/>
    <tableColumn id="12" xr3:uid="{ACD36B0B-B2F2-4BF6-8DDF-A8D3F355AD77}" name="Chủng loại" dataDxfId="3327"/>
    <tableColumn id="4" xr3:uid="{84DC5DAB-16F4-4E4A-8944-8C7D311F2B7D}" name="Quy cách" dataDxfId="3326"/>
    <tableColumn id="5" xr3:uid="{EDD4AE37-D5A5-469D-811A-B1AB0850DD59}" name="SỐ LƯỢNG" dataDxfId="3325"/>
    <tableColumn id="6" xr3:uid="{CDFFB35A-2E63-4A95-A10C-0E762D85CC9B}" name="ĐƠN GIÁ" dataDxfId="3324"/>
    <tableColumn id="7" xr3:uid="{2FF66A85-39F4-49AE-8188-96A0220FAFE2}" name="THÀNH TIỀN" dataDxfId="3323">
      <calculatedColumnFormula>C_Xep_HP[[#This Row],[ĐƠN GIÁ]]*C_Xep_HP[[#This Row],[SỐ LƯỢNG]]</calculatedColumnFormula>
    </tableColumn>
    <tableColumn id="8" xr3:uid="{12D03E3E-C48C-45E2-8DE7-E1C0423C18EA}" name="THANH TOÁN" dataDxfId="3322"/>
    <tableColumn id="9" xr3:uid="{9501D15D-82F0-40FC-AA3C-B32F9A0F9AB4}" name="CÔNG NỢ_x000a_ CÒN LẠI" dataDxfId="3321">
      <calculatedColumnFormula>J9+C_Xep_HP[[#This Row],[THÀNH TIỀN]]-C_Xep_HP[[#This Row],[THANH TOÁN]]</calculatedColumnFormula>
    </tableColumn>
    <tableColumn id="10" xr3:uid="{D3817E9D-76E8-476C-8EBD-99A44E0E8E32}" name="Ghi chú" dataDxfId="3320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6D960D9-A962-4EDC-A99F-EB593446E2B1}" name="Cty_Kim_Thanh" displayName="Cty_Kim_Thanh" ref="A9:K36" totalsRowShown="0" headerRowDxfId="3319" dataDxfId="3317" headerRowBorderDxfId="3318" tableBorderDxfId="3316" totalsRowBorderDxfId="3315">
  <autoFilter ref="A9:K36" xr:uid="{3227F2BD-2C9D-4FFF-9F44-8C9E66133B6C}"/>
  <sortState xmlns:xlrd2="http://schemas.microsoft.com/office/spreadsheetml/2017/richdata2" ref="A10:K33">
    <sortCondition ref="B31:B33"/>
  </sortState>
  <tableColumns count="11">
    <tableColumn id="1" xr3:uid="{421F5993-7997-460C-A88A-5171D3EB39F7}" name="Số phiếu" dataDxfId="3314"/>
    <tableColumn id="2" xr3:uid="{41434416-9F5F-4895-A6CB-7215142E9E8D}" name="Ngày_x000a_ tháng" dataDxfId="3313"/>
    <tableColumn id="3" xr3:uid="{ECBF8B8F-B9C6-4E1D-9032-4F96B3DF35B3}" name="Nội dung" dataDxfId="3312"/>
    <tableColumn id="12" xr3:uid="{85478288-9CB4-49F4-9AB2-30E611ABFC92}" name="Chủng loại" dataDxfId="3311"/>
    <tableColumn id="4" xr3:uid="{64478493-8F65-4440-9B31-0E23C3F1464D}" name="Quy cách" dataDxfId="3310"/>
    <tableColumn id="5" xr3:uid="{469AC2D0-A1B9-4CD7-B7DF-DCE6E6F0F480}" name="SỐ LƯỢNG" dataDxfId="3309"/>
    <tableColumn id="6" xr3:uid="{002C20FE-1D09-4869-AC44-9F77C4E346DD}" name="ĐƠN GIÁ" dataDxfId="3308"/>
    <tableColumn id="7" xr3:uid="{36224E00-6561-4CF7-B82A-2980A31B6E70}" name="THÀNH TIỀN" dataDxfId="3307">
      <calculatedColumnFormula>Cty_Kim_Thanh[[#This Row],[ĐƠN GIÁ]]*Cty_Kim_Thanh[[#This Row],[SỐ LƯỢNG]]</calculatedColumnFormula>
    </tableColumn>
    <tableColumn id="8" xr3:uid="{42D36B35-115A-4116-963E-1FD048E080EE}" name="THANH TOÁN" dataDxfId="3306"/>
    <tableColumn id="9" xr3:uid="{B23517C0-BABF-43FE-8B65-0DB267A9E525}" name="CÔNG NỢ_x000a_ CÒN LẠI" dataDxfId="3305">
      <calculatedColumnFormula>J9+Cty_Kim_Thanh[[#This Row],[THÀNH TIỀN]]-Cty_Kim_Thanh[[#This Row],[THANH TOÁN]]</calculatedColumnFormula>
    </tableColumn>
    <tableColumn id="10" xr3:uid="{9A26A92D-E610-424A-B184-142A8FAD8015}" name="Ghi chú" dataDxfId="3304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614957D-BAB4-4FB6-9EDD-104C2CBDEC8D}" name="A_Dong_Tan_Hong_Phat" displayName="A_Dong_Tan_Hong_Phat" ref="A9:K25" totalsRowShown="0" headerRowDxfId="3303" dataDxfId="3301" headerRowBorderDxfId="3302" tableBorderDxfId="3300" totalsRowBorderDxfId="3299">
  <autoFilter ref="A9:K25" xr:uid="{3227F2BD-2C9D-4FFF-9F44-8C9E66133B6C}"/>
  <sortState xmlns:xlrd2="http://schemas.microsoft.com/office/spreadsheetml/2017/richdata2" ref="A10:K21">
    <sortCondition ref="B10:B21"/>
  </sortState>
  <tableColumns count="11">
    <tableColumn id="1" xr3:uid="{5E17F2B7-7E71-4DD9-A399-84F416476EF2}" name="Số phiếu" dataDxfId="3298"/>
    <tableColumn id="2" xr3:uid="{04F4ABA2-251D-47D8-BD20-893084A81D53}" name="Ngày_x000a_ tháng" dataDxfId="3297"/>
    <tableColumn id="3" xr3:uid="{7C26D651-5493-4C05-BC0D-4591044C32F6}" name="Nội dung" dataDxfId="3296"/>
    <tableColumn id="12" xr3:uid="{EC71AB02-638D-4621-BCC7-9F1D568068DF}" name="Chủng loại" dataDxfId="3295"/>
    <tableColumn id="4" xr3:uid="{801AA8B5-56C2-478F-84F5-3A27C0C85A15}" name="Quy cách" dataDxfId="3294"/>
    <tableColumn id="5" xr3:uid="{A836D674-C091-4E50-8F2A-D019B5D2E12F}" name="SỐ LƯỢNG" dataDxfId="3293"/>
    <tableColumn id="6" xr3:uid="{4C036F42-72F8-4B8E-BAA2-604E05C75CB9}" name="ĐƠN GIÁ" dataDxfId="3292"/>
    <tableColumn id="7" xr3:uid="{20A07307-40B9-4DE0-8D47-ABA64F35ECD0}" name="THÀNH TIỀN" dataDxfId="3291">
      <calculatedColumnFormula>A_Dong_Tan_Hong_Phat[[#This Row],[ĐƠN GIÁ]]*A_Dong_Tan_Hong_Phat[[#This Row],[SỐ LƯỢNG]]</calculatedColumnFormula>
    </tableColumn>
    <tableColumn id="8" xr3:uid="{5252F255-7884-4812-93EF-108B5A22DF15}" name="THANH TOÁN" dataDxfId="3290"/>
    <tableColumn id="9" xr3:uid="{3C64E458-1426-40B5-A52E-705083FE9106}" name="CÔNG NỢ_x000a_ CÒN LẠI" dataDxfId="3289">
      <calculatedColumnFormula>J9+A_Dong_Tan_Hong_Phat[[#This Row],[THÀNH TIỀN]]-A_Dong_Tan_Hong_Phat[[#This Row],[THANH TOÁN]]</calculatedColumnFormula>
    </tableColumn>
    <tableColumn id="10" xr3:uid="{1B573AA2-1FFE-489B-B0A8-5270D1F8A6AF}" name="Ghi chú" dataDxfId="3288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E5AE733-EEB1-4E87-B67C-B46969986107}" name="E_Thai_CMy" displayName="E_Thai_CMy" ref="A9:K47" totalsRowShown="0" headerRowDxfId="3287" dataDxfId="3285" headerRowBorderDxfId="3286" tableBorderDxfId="3284" totalsRowBorderDxfId="3283">
  <autoFilter ref="A9:K47" xr:uid="{3227F2BD-2C9D-4FFF-9F44-8C9E66133B6C}"/>
  <sortState xmlns:xlrd2="http://schemas.microsoft.com/office/spreadsheetml/2017/richdata2" ref="A10:K39">
    <sortCondition ref="B12:B39"/>
  </sortState>
  <tableColumns count="11">
    <tableColumn id="1" xr3:uid="{575970B9-9F38-47C5-A207-FE770A06C83B}" name="Số phiếu" dataDxfId="3282"/>
    <tableColumn id="2" xr3:uid="{AD890B10-87D3-4375-835D-8A016BE1E829}" name="Ngày_x000a_ tháng" dataDxfId="3281"/>
    <tableColumn id="3" xr3:uid="{39F4386B-E808-47A2-A7D6-B1506ADE4667}" name="Nội dung" dataDxfId="3280"/>
    <tableColumn id="12" xr3:uid="{C23406FF-1D0C-45DE-B806-CE02C5D43750}" name="Chủng loại" dataDxfId="3279"/>
    <tableColumn id="4" xr3:uid="{75BBA7A7-9B10-4310-9F65-6E4EE6631313}" name="Quy cách" dataDxfId="3278"/>
    <tableColumn id="5" xr3:uid="{B0A0F801-FF78-49E6-90FC-264E8323CD9C}" name="SỐ LƯỢNG" dataDxfId="3277">
      <calculatedColumnFormula>1355+1821+1333</calculatedColumnFormula>
    </tableColumn>
    <tableColumn id="6" xr3:uid="{F4624AEB-F55E-4033-B8FC-30CC3E208D92}" name="ĐƠN GIÁ" dataDxfId="3276"/>
    <tableColumn id="7" xr3:uid="{A7AA7990-1BC7-400A-96A3-E54C4FE132D0}" name="THÀNH TIỀN" dataDxfId="3275">
      <calculatedColumnFormula>E_Thai_CMy[[#This Row],[SỐ LƯỢNG]]*E_Thai_CMy[[#This Row],[ĐƠN GIÁ]]</calculatedColumnFormula>
    </tableColumn>
    <tableColumn id="8" xr3:uid="{C9A30EF8-60E5-47C4-8DF6-227960842F0D}" name="THANH TOÁN" dataDxfId="3274"/>
    <tableColumn id="9" xr3:uid="{5EAD566A-D1BD-4F4F-A134-E57840C912A1}" name="CÔNG NỢ_x000a_ CÒN LẠI" dataDxfId="3273">
      <calculatedColumnFormula>J9+E_Thai_CMy[[#This Row],[THÀNH TIỀN]]-E_Thai_CMy[[#This Row],[THANH TOÁN]]</calculatedColumnFormula>
    </tableColumn>
    <tableColumn id="10" xr3:uid="{22D8FBD5-FD56-4AD9-9CC7-9AA14F026EDD}" name="Ghi chú" dataDxfId="3272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DBF695-206C-4542-B59D-6AA9358B1197}" name="E_Giao_Cty_Bach_Kim" displayName="E_Giao_Cty_Bach_Kim" ref="A9:K62" totalsRowShown="0" headerRowDxfId="3271" dataDxfId="3269" headerRowBorderDxfId="3270" tableBorderDxfId="3268" totalsRowBorderDxfId="3267">
  <autoFilter ref="A9:K62" xr:uid="{3227F2BD-2C9D-4FFF-9F44-8C9E66133B6C}"/>
  <sortState xmlns:xlrd2="http://schemas.microsoft.com/office/spreadsheetml/2017/richdata2" ref="A10:K57">
    <sortCondition ref="B57"/>
  </sortState>
  <tableColumns count="11">
    <tableColumn id="1" xr3:uid="{DB17E83A-3394-43E3-8503-AF0538E25FB2}" name="Số phiếu" dataDxfId="3266"/>
    <tableColumn id="2" xr3:uid="{C819788B-F531-45D9-B75F-44135823F7B6}" name="Ngày_x000a_ tháng" dataDxfId="3265"/>
    <tableColumn id="3" xr3:uid="{20879956-0724-4C8C-9EF7-D6C3B18E1BCF}" name="Nội dung" dataDxfId="3264"/>
    <tableColumn id="12" xr3:uid="{94EB53DA-1103-4F4B-B6DB-133B4A66F629}" name="Chủng loại" dataDxfId="3263"/>
    <tableColumn id="4" xr3:uid="{90676A3D-804E-411E-98A8-AB91954637D8}" name="Quy cách" dataDxfId="3262"/>
    <tableColumn id="5" xr3:uid="{5CC0EA7B-94EF-47A9-844B-94CB146D8748}" name="SỐ LƯỢNG" dataDxfId="3261">
      <calculatedColumnFormula>1355+1821+1333</calculatedColumnFormula>
    </tableColumn>
    <tableColumn id="6" xr3:uid="{E1953760-E723-4B84-B239-76A474231EDC}" name="ĐƠN GIÁ" dataDxfId="3260"/>
    <tableColumn id="7" xr3:uid="{1A5A532D-137E-4CEC-BE46-0CE549BCDD38}" name="THÀNH TIỀN" dataDxfId="3259">
      <calculatedColumnFormula>E_Giao_Cty_Bach_Kim[[#This Row],[ĐƠN GIÁ]]*E_Giao_Cty_Bach_Kim[[#This Row],[SỐ LƯỢNG]]</calculatedColumnFormula>
    </tableColumn>
    <tableColumn id="8" xr3:uid="{5EA697DE-0BF4-42F9-AA8D-D54CD4D55FBF}" name="THANH TOÁN" dataDxfId="3258"/>
    <tableColumn id="9" xr3:uid="{3E81DF95-0444-4A68-B796-4692163A3E45}" name="CÔNG NỢ_x000a_ CÒN LẠI" dataDxfId="3257">
      <calculatedColumnFormula>J9+E_Giao_Cty_Bach_Kim[[#This Row],[THÀNH TIỀN]]-E_Giao_Cty_Bach_Kim[[#This Row],[THANH TOÁN]]</calculatedColumnFormula>
    </tableColumn>
    <tableColumn id="10" xr3:uid="{FE66FACE-ED25-4F74-B747-BE08863E3198}" name="Ghi chú" dataDxfId="3256"/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91AAF10-0843-4EDC-A687-A69108FBF81A}" name="C_Thuy_HP" displayName="C_Thuy_HP" ref="A9:K101" totalsRowShown="0" headerRowDxfId="3255" dataDxfId="3253" headerRowBorderDxfId="3254" tableBorderDxfId="3252" totalsRowBorderDxfId="3251">
  <autoFilter ref="A9:K101" xr:uid="{3227F2BD-2C9D-4FFF-9F44-8C9E66133B6C}"/>
  <sortState xmlns:xlrd2="http://schemas.microsoft.com/office/spreadsheetml/2017/richdata2" ref="A10:K93">
    <sortCondition ref="B90:B93"/>
  </sortState>
  <tableColumns count="11">
    <tableColumn id="1" xr3:uid="{0ADA6FAB-17D5-4E6C-9366-0BE34B76F528}" name="Số phiếu" dataDxfId="3250"/>
    <tableColumn id="2" xr3:uid="{FFF82AE3-E5C3-4E07-8724-372570006674}" name="Ngày_x000a_ tháng" dataDxfId="3249"/>
    <tableColumn id="3" xr3:uid="{0D2AE0D2-3468-4C70-9F2C-47A873707523}" name="Nội dung" dataDxfId="3248"/>
    <tableColumn id="12" xr3:uid="{F40C3F58-D78E-4701-9BF6-E578532098D3}" name="Chủng loại" dataDxfId="3247"/>
    <tableColumn id="4" xr3:uid="{6BAB9FE5-3428-4453-811D-4334FAA071D9}" name="Quy cách" dataDxfId="3246"/>
    <tableColumn id="5" xr3:uid="{B050BD2C-E914-4C04-BCE7-2F3D61AD0113}" name="SỐ LƯỢNG" dataDxfId="3245">
      <calculatedColumnFormula>1355+1821+1333</calculatedColumnFormula>
    </tableColumn>
    <tableColumn id="6" xr3:uid="{CC94CB4E-9793-4861-80F9-D19A96EEB279}" name="ĐƠN GIÁ" dataDxfId="3244"/>
    <tableColumn id="7" xr3:uid="{A241EC57-B79F-4FAE-9DB5-5F18705B28DF}" name="THÀNH TIỀN" dataDxfId="3243">
      <calculatedColumnFormula>C_Thuy_HP[[#This Row],[ĐƠN GIÁ]]*C_Thuy_HP[[#This Row],[SỐ LƯỢNG]]</calculatedColumnFormula>
    </tableColumn>
    <tableColumn id="8" xr3:uid="{9CDBBBB6-021E-4735-9337-1E7AE9EC4BFE}" name="THANH TOÁN" dataDxfId="3242"/>
    <tableColumn id="9" xr3:uid="{6E273176-A766-4D9A-81C9-5A0B39613DC0}" name="CÔNG NỢ_x000a_ CÒN LẠI" dataDxfId="3241">
      <calculatedColumnFormula>J9+C_Thuy_HP[[#This Row],[THÀNH TIỀN]]-C_Thuy_HP[[#This Row],[THANH TOÁN]]</calculatedColumnFormula>
    </tableColumn>
    <tableColumn id="10" xr3:uid="{26B146D0-EFB3-4B88-970A-5B91A759E69B}" name="Ghi chú" dataDxfId="3240"/>
  </tableColumns>
  <tableStyleInfo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985152F-5AAE-4305-968A-C34D0CA80ECB}" name="Cty_An_Phat_HP" displayName="Cty_An_Phat_HP" ref="A9:K69" totalsRowShown="0" headerRowDxfId="3239" dataDxfId="3237" headerRowBorderDxfId="3238" tableBorderDxfId="3236" totalsRowBorderDxfId="3235">
  <autoFilter ref="A9:K69" xr:uid="{3227F2BD-2C9D-4FFF-9F44-8C9E66133B6C}"/>
  <sortState xmlns:xlrd2="http://schemas.microsoft.com/office/spreadsheetml/2017/richdata2" ref="A10:K56">
    <sortCondition ref="B53:B56"/>
  </sortState>
  <tableColumns count="11">
    <tableColumn id="1" xr3:uid="{C4AD24BE-85B7-45CB-A93C-0D5BE0C94165}" name="Số phiếu" dataDxfId="3234"/>
    <tableColumn id="2" xr3:uid="{497ECE1C-EB0C-4AA4-AEEA-1DE9A4FC50C4}" name="Ngày_x000a_ tháng" dataDxfId="3233"/>
    <tableColumn id="3" xr3:uid="{F5F6BE18-87DE-4821-ABB1-F4C7EC807866}" name="Nội dung" dataDxfId="3232"/>
    <tableColumn id="12" xr3:uid="{AA491E19-48BE-4890-8CF1-EC140F8EC33B}" name="Chủng loại" dataDxfId="3231"/>
    <tableColumn id="4" xr3:uid="{3B163CC8-8E6B-4A48-A53D-69B47535AD02}" name="Quy cách" dataDxfId="3230"/>
    <tableColumn id="5" xr3:uid="{48B1424D-496F-46C3-A5F4-443CC4669801}" name="SỐ LƯỢNG" dataDxfId="3229">
      <calculatedColumnFormula>1355+1821+1333</calculatedColumnFormula>
    </tableColumn>
    <tableColumn id="6" xr3:uid="{F8DF9387-1A15-43F8-9A9A-F15F3B328856}" name="ĐƠN GIÁ" dataDxfId="3228"/>
    <tableColumn id="7" xr3:uid="{E4DD77BB-6B41-4972-AE77-EFEE69B09F7B}" name="THÀNH TIỀN" dataDxfId="3227">
      <calculatedColumnFormula>Cty_An_Phat_HP[[#This Row],[ĐƠN GIÁ]]*Cty_An_Phat_HP[[#This Row],[SỐ LƯỢNG]]</calculatedColumnFormula>
    </tableColumn>
    <tableColumn id="8" xr3:uid="{8A58A454-3425-477E-BDF3-06FE5CDC435F}" name="THANH TOÁN" dataDxfId="3226"/>
    <tableColumn id="9" xr3:uid="{F1D73DEC-D069-4F13-B329-A30BA66660C7}" name="CÔNG NỢ_x000a_ CÒN LẠI" dataDxfId="3225">
      <calculatedColumnFormula>J9+Cty_An_Phat_HP[[#This Row],[THÀNH TIỀN]]-Cty_An_Phat_HP[[#This Row],[THANH TOÁN]]</calculatedColumnFormula>
    </tableColumn>
    <tableColumn id="10" xr3:uid="{E6B5A91B-974E-4D8F-A557-39F0A68744A9}" name="Ghi chú" dataDxfId="3224"/>
  </tableColumns>
  <tableStyleInfo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6C38E952-4AA2-42AF-BE55-302E6CB8F6E9}" name="E_Duy_Cty_Hai_Au" displayName="E_Duy_Cty_Hai_Au" ref="A9:K27" totalsRowShown="0" headerRowDxfId="3223" dataDxfId="3221" headerRowBorderDxfId="3222" tableBorderDxfId="3220" totalsRowBorderDxfId="3219">
  <autoFilter ref="A9:K27" xr:uid="{3227F2BD-2C9D-4FFF-9F44-8C9E66133B6C}"/>
  <sortState xmlns:xlrd2="http://schemas.microsoft.com/office/spreadsheetml/2017/richdata2" ref="A10:K26">
    <sortCondition ref="B14:B26"/>
  </sortState>
  <tableColumns count="11">
    <tableColumn id="1" xr3:uid="{52C63617-A90A-4D0D-9F45-A4986F810AC7}" name="Số phiếu" dataDxfId="3218"/>
    <tableColumn id="2" xr3:uid="{FA27212E-A9A5-42F2-8DDD-618A20A04217}" name="Ngày_x000a_ tháng" dataDxfId="3217"/>
    <tableColumn id="3" xr3:uid="{2F3C09BB-9223-4F76-8CFE-64D38C2747CF}" name="Nội dung" dataDxfId="3216"/>
    <tableColumn id="12" xr3:uid="{9B3B8159-6C44-4CCE-8105-6F8B3568F03C}" name="Chủng loại" dataDxfId="3215"/>
    <tableColumn id="4" xr3:uid="{1082AF3F-42DB-4BFA-8831-9D271594258F}" name="Quy cách" dataDxfId="3214"/>
    <tableColumn id="5" xr3:uid="{EFED447F-BB7F-471E-B895-7A93C1E06028}" name="SỐ LƯỢNG" dataDxfId="3213">
      <calculatedColumnFormula>739+543</calculatedColumnFormula>
    </tableColumn>
    <tableColumn id="6" xr3:uid="{A20E972E-E53D-442F-BC69-52CDBF6E447A}" name="ĐƠN GIÁ" dataDxfId="3212"/>
    <tableColumn id="7" xr3:uid="{13223F99-3A06-4B76-8F8D-38CF16E56969}" name="THÀNH TIỀN" dataDxfId="3211">
      <calculatedColumnFormula>E_Duy_Cty_Hai_Au[[#This Row],[ĐƠN GIÁ]]*E_Duy_Cty_Hai_Au[[#This Row],[SỐ LƯỢNG]]</calculatedColumnFormula>
    </tableColumn>
    <tableColumn id="8" xr3:uid="{81E88816-4B0C-4DC9-A273-D76D79BE33B1}" name="THANH TOÁN" dataDxfId="3210"/>
    <tableColumn id="9" xr3:uid="{ED016475-63F3-4CAC-8802-979487DA818D}" name="CÔNG NỢ_x000a_ CÒN LẠI" dataDxfId="3209">
      <calculatedColumnFormula>J9+E_Duy_Cty_Hai_Au[[#This Row],[THÀNH TIỀN]]-E_Duy_Cty_Hai_Au[[#This Row],[THANH TOÁN]]</calculatedColumnFormula>
    </tableColumn>
    <tableColumn id="10" xr3:uid="{8820A12D-B1CA-4A89-8B51-EC0B04C62976}" name="Ghi chú" dataDxfId="3208"/>
  </tableColumns>
  <tableStyleInfo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D65D12ED-58FC-4234-8386-8B2DA7458512}" name="Cty_An_Phu" displayName="Cty_An_Phu" ref="A9:K29" totalsRowShown="0" headerRowDxfId="3207" dataDxfId="3205" headerRowBorderDxfId="3206" tableBorderDxfId="3204" totalsRowBorderDxfId="3203">
  <autoFilter ref="A9:K29" xr:uid="{3227F2BD-2C9D-4FFF-9F44-8C9E66133B6C}"/>
  <sortState xmlns:xlrd2="http://schemas.microsoft.com/office/spreadsheetml/2017/richdata2" ref="A10:K25">
    <sortCondition ref="B18:B25"/>
  </sortState>
  <tableColumns count="11">
    <tableColumn id="1" xr3:uid="{75A48AD8-31E4-42AB-9AD5-FF86909F54C8}" name="Số phiếu" dataDxfId="3202"/>
    <tableColumn id="2" xr3:uid="{691AD935-55E4-41D0-A737-9F31A03052D5}" name="Ngày_x000a_ tháng" dataDxfId="3201"/>
    <tableColumn id="3" xr3:uid="{1F551884-F70B-4E1C-9079-BA8320B77750}" name="Nội dung" dataDxfId="3200"/>
    <tableColumn id="12" xr3:uid="{00F336F0-F9D4-4C3D-997F-FA7566C14EB9}" name="Chủng loại" dataDxfId="3199"/>
    <tableColumn id="4" xr3:uid="{212C3FAD-27D6-44DB-B2F1-897B56CE9DBC}" name="Quy cách" dataDxfId="3198"/>
    <tableColumn id="5" xr3:uid="{CDC055DC-7634-4FBD-B6D9-A0935C904F98}" name="SỐ LƯỢNG" dataDxfId="3197">
      <calculatedColumnFormula>739+543</calculatedColumnFormula>
    </tableColumn>
    <tableColumn id="6" xr3:uid="{9E50C3E2-3AE8-4393-9DA5-128064183830}" name="ĐƠN GIÁ" dataDxfId="3196"/>
    <tableColumn id="7" xr3:uid="{8CC086AC-8AA8-4F0D-A253-7DB5004003E0}" name="THÀNH TIỀN" dataDxfId="3195">
      <calculatedColumnFormula>Cty_An_Phu[[#This Row],[ĐƠN GIÁ]]*Cty_An_Phu[[#This Row],[SỐ LƯỢNG]]</calculatedColumnFormula>
    </tableColumn>
    <tableColumn id="8" xr3:uid="{C7D4D923-73E0-4564-9676-18AAAD868077}" name="THANH TOÁN" dataDxfId="3194"/>
    <tableColumn id="9" xr3:uid="{BAB69642-0DDE-4DF4-8A2C-1119C2BD8449}" name="CÔNG NỢ_x000a_ CÒN LẠI" dataDxfId="3193">
      <calculatedColumnFormula>N(INDIRECT("R[-1]C", FALSE)) + Cty_An_Phu[[#This Row],[THÀNH TIỀN]] - Cty_An_Phu[[#This Row],[THANH TOÁN]]</calculatedColumnFormula>
    </tableColumn>
    <tableColumn id="10" xr3:uid="{8E1366DB-CE4B-4516-8961-7453E1764A6F}" name="Ghi chú" dataDxfId="3192"/>
  </tableColumns>
  <tableStyleInfo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207536D0-3BDB-4C3E-97CF-178E01F1064E}" name="Cty_Cuong_Thinh" displayName="Cty_Cuong_Thinh" ref="A9:K53" totalsRowShown="0" headerRowDxfId="3191" dataDxfId="3189" headerRowBorderDxfId="3190" tableBorderDxfId="3188" totalsRowBorderDxfId="3187">
  <autoFilter ref="A9:K53" xr:uid="{3227F2BD-2C9D-4FFF-9F44-8C9E66133B6C}"/>
  <sortState xmlns:xlrd2="http://schemas.microsoft.com/office/spreadsheetml/2017/richdata2" ref="A10:K42">
    <sortCondition ref="B10:B42"/>
  </sortState>
  <tableColumns count="11">
    <tableColumn id="1" xr3:uid="{42B5354D-A65A-436E-B426-6C2C36C463F3}" name="Số phiếu" dataDxfId="3186"/>
    <tableColumn id="2" xr3:uid="{8E8428A0-D7CA-4CF7-8155-78972B9254D1}" name="Ngày_x000a_ tháng" dataDxfId="3185"/>
    <tableColumn id="3" xr3:uid="{FFB6A123-F032-4699-BC23-51CBB4EA3E69}" name="Nội dung" dataDxfId="3184"/>
    <tableColumn id="12" xr3:uid="{262BEBA9-75CE-46FA-8C39-6E92D7B7E9D8}" name="Chủng loại" dataDxfId="3183"/>
    <tableColumn id="4" xr3:uid="{5A0F22FE-C2B7-4B47-84F9-55A53E990FEC}" name="Quy cách" dataDxfId="3182"/>
    <tableColumn id="5" xr3:uid="{7DD90279-3ADF-4863-86B5-8E927EA93F8D}" name="SỐ LƯỢNG" dataDxfId="3181">
      <calculatedColumnFormula>739+543</calculatedColumnFormula>
    </tableColumn>
    <tableColumn id="6" xr3:uid="{DB490DB6-48A9-41D6-8D8D-0EEF7349FF1B}" name="ĐƠN GIÁ" dataDxfId="3180"/>
    <tableColumn id="7" xr3:uid="{031C7290-074F-4CFC-9652-8D1DBF79E77B}" name="THÀNH TIỀN" dataDxfId="3179">
      <calculatedColumnFormula>Cty_Cuong_Thinh[[#This Row],[ĐƠN GIÁ]]*Cty_Cuong_Thinh[[#This Row],[SỐ LƯỢNG]]</calculatedColumnFormula>
    </tableColumn>
    <tableColumn id="8" xr3:uid="{A6ED8316-994E-461A-AB56-25EA46AF0759}" name="THANH TOÁN" dataDxfId="3178"/>
    <tableColumn id="9" xr3:uid="{A411E248-0DCF-4435-920B-208577B310AC}" name="CÔNG NỢ_x000a_ CÒN LẠI" dataDxfId="3177">
      <calculatedColumnFormula>J9+Cty_Cuong_Thinh[[#This Row],[THÀNH TIỀN]]-Cty_Cuong_Thinh[[#This Row],[THANH TOÁN]]</calculatedColumnFormula>
    </tableColumn>
    <tableColumn id="10" xr3:uid="{691B96A4-5C89-4644-96AF-D97B7F47BAA3}" name="Ghi chú" dataDxfId="3176"/>
  </tableColumns>
  <tableStyleInfo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D2D31AE-8FCC-46D2-8CE4-A0D250AFFE9C}" name="E_Duyen_Rua" displayName="E_Duyen_Rua" ref="A9:K31" totalsRowShown="0" headerRowDxfId="3175" dataDxfId="3173" headerRowBorderDxfId="3174" tableBorderDxfId="3172" totalsRowBorderDxfId="3171">
  <autoFilter ref="A9:K31" xr:uid="{3227F2BD-2C9D-4FFF-9F44-8C9E66133B6C}"/>
  <sortState xmlns:xlrd2="http://schemas.microsoft.com/office/spreadsheetml/2017/richdata2" ref="A10:K30">
    <sortCondition ref="B24:B30"/>
  </sortState>
  <tableColumns count="11">
    <tableColumn id="1" xr3:uid="{1438761B-CB47-40B6-91CA-BE4ADFD7C789}" name="Số phiếu" dataDxfId="3170"/>
    <tableColumn id="2" xr3:uid="{9204126F-B2A2-4369-8869-58AE29E90AF1}" name="Ngày_x000a_ tháng" dataDxfId="3169"/>
    <tableColumn id="3" xr3:uid="{EAAED240-4C23-46EE-8145-0ACC1575EF72}" name="Nội dung" dataDxfId="3168"/>
    <tableColumn id="12" xr3:uid="{83B9672D-8BAF-4FFC-A863-2563B3F2B62B}" name="Chủng loại" dataDxfId="3167"/>
    <tableColumn id="4" xr3:uid="{2BB0E926-2A87-47E2-A2AF-1C651A69D043}" name="Quy cách" dataDxfId="3166"/>
    <tableColumn id="5" xr3:uid="{C7D47E3F-E8C0-4DE5-9DE5-03EC34A5AA95}" name="SỐ LƯỢNG" dataDxfId="3165">
      <calculatedColumnFormula>739+543</calculatedColumnFormula>
    </tableColumn>
    <tableColumn id="6" xr3:uid="{C08F1783-0C93-4E90-9E9A-92A74EE9032D}" name="ĐƠN GIÁ" dataDxfId="3164"/>
    <tableColumn id="7" xr3:uid="{AA795E1E-18CE-42F5-BFCA-6B446A6FD2C2}" name="THÀNH TIỀN" dataDxfId="3163">
      <calculatedColumnFormula>E_Duyen_Rua[[#This Row],[ĐƠN GIÁ]]*E_Duyen_Rua[[#This Row],[SỐ LƯỢNG]]</calculatedColumnFormula>
    </tableColumn>
    <tableColumn id="8" xr3:uid="{84213FFE-902D-4038-AEED-8E52ED1AE420}" name="THANH TOÁN" dataDxfId="3162"/>
    <tableColumn id="9" xr3:uid="{54346CA8-0C60-4967-863E-D823A39263C8}" name="CÔNG NỢ_x000a_ CÒN LẠI" dataDxfId="3161">
      <calculatedColumnFormula>J9+E_Duyen_Rua[[#This Row],[THÀNH TIỀN]]-E_Duyen_Rua[[#This Row],[THANH TOÁN]]</calculatedColumnFormula>
    </tableColumn>
    <tableColumn id="10" xr3:uid="{FDDC0E50-1C4D-4D37-8C58-17B0720A98C6}" name="Ghi chú" dataDxfId="3160"/>
  </tableColumns>
  <tableStyleInfo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CA89D35-3E7A-4AE5-85D2-6C514811E8C9}" name="Cty_Hyundai_DN" displayName="Cty_Hyundai_DN" ref="A9:K87" totalsRowShown="0" headerRowDxfId="3159" dataDxfId="3157" headerRowBorderDxfId="3158" tableBorderDxfId="3156" totalsRowBorderDxfId="3155">
  <autoFilter ref="A9:K87" xr:uid="{3227F2BD-2C9D-4FFF-9F44-8C9E66133B6C}"/>
  <sortState xmlns:xlrd2="http://schemas.microsoft.com/office/spreadsheetml/2017/richdata2" ref="A10:K86">
    <sortCondition ref="B82:B86"/>
  </sortState>
  <tableColumns count="11">
    <tableColumn id="1" xr3:uid="{54ADD3D0-361B-47AC-AC39-567CE6B6EFB6}" name="Số phiếu" dataDxfId="3154"/>
    <tableColumn id="2" xr3:uid="{1E1005B0-897B-4855-B6C7-BBB0A35E8387}" name="Ngày_x000a_ tháng" dataDxfId="3153"/>
    <tableColumn id="3" xr3:uid="{2DBF471D-744B-46B2-A5B4-7056F4153D4D}" name="Nội dung" dataDxfId="3152"/>
    <tableColumn id="12" xr3:uid="{53041A5A-9F8B-4E11-AE83-14CABBFBE09C}" name="Chủng loại" dataDxfId="3151"/>
    <tableColumn id="4" xr3:uid="{0107C6E1-A1B5-4E6B-92D1-4A1EE5FAC947}" name="Quy cách" dataDxfId="3150"/>
    <tableColumn id="5" xr3:uid="{86AAEC7C-3B95-4C06-AFDB-C16B9C303435}" name="SỐ LƯỢNG" dataDxfId="3149">
      <calculatedColumnFormula>739+543</calculatedColumnFormula>
    </tableColumn>
    <tableColumn id="6" xr3:uid="{C7952566-739E-41C5-83AD-6313252D32BC}" name="ĐƠN GIÁ" dataDxfId="3148"/>
    <tableColumn id="7" xr3:uid="{03B2B131-652D-42BF-A2E4-64363FBBC420}" name="THÀNH TIỀN" dataDxfId="3147">
      <calculatedColumnFormula>Cty_Hyundai_DN[[#This Row],[ĐƠN GIÁ]]*Cty_Hyundai_DN[[#This Row],[SỐ LƯỢNG]]</calculatedColumnFormula>
    </tableColumn>
    <tableColumn id="8" xr3:uid="{40C499E7-F098-407D-8B2C-36AB4B3C7C05}" name="THANH TOÁN" dataDxfId="3146"/>
    <tableColumn id="9" xr3:uid="{6DE24314-48FF-4A07-A234-40F94324C888}" name="CÔNG NỢ_x000a_ CÒN LẠI" dataDxfId="3145">
      <calculatedColumnFormula>J9+Cty_Hyundai_DN[[#This Row],[THÀNH TIỀN]]-Cty_Hyundai_DN[[#This Row],[THANH TOÁN]]</calculatedColumnFormula>
    </tableColumn>
    <tableColumn id="10" xr3:uid="{8786B989-CD7F-48E4-A663-4D520FB8F1EE}" name="Ghi chú" dataDxfId="3144"/>
  </tableColumns>
  <tableStyleInfo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97F23631-BF26-4AC8-9D14-EDF0D9189AFE}" name="E_Phuc_Cty_Duc_Phuc" displayName="E_Phuc_Cty_Duc_Phuc" ref="A9:K19" totalsRowShown="0" headerRowDxfId="3143" dataDxfId="3141" headerRowBorderDxfId="3142" tableBorderDxfId="3140" totalsRowBorderDxfId="3139">
  <autoFilter ref="A9:K19" xr:uid="{3227F2BD-2C9D-4FFF-9F44-8C9E66133B6C}"/>
  <tableColumns count="11">
    <tableColumn id="1" xr3:uid="{DBC82EB0-A56D-4702-8B9B-15A4442197AD}" name="Số phiếu" dataDxfId="3138"/>
    <tableColumn id="2" xr3:uid="{3597C3D3-7C7B-43B1-AD6F-077AE1E14D76}" name="Ngày_x000a_ tháng" dataDxfId="3137"/>
    <tableColumn id="3" xr3:uid="{C4D22230-B3C1-4529-8520-91B3C4238FB1}" name="Nội dung" dataDxfId="3136"/>
    <tableColumn id="12" xr3:uid="{A3F153C6-977B-4D6A-B8C6-DC313F2A8181}" name="Chủng loại" dataDxfId="3135"/>
    <tableColumn id="4" xr3:uid="{3A2BABD6-D04B-44CB-952E-72421DC2DBB8}" name="Quy cách" dataDxfId="3134"/>
    <tableColumn id="5" xr3:uid="{AA2BBD50-B34D-4BAC-95F2-DDD6A3FD05F5}" name="SỐ LƯỢNG" dataDxfId="3133">
      <calculatedColumnFormula>739+543</calculatedColumnFormula>
    </tableColumn>
    <tableColumn id="6" xr3:uid="{B33E4C7C-732C-4667-AE34-FE92FDFEAF59}" name="ĐƠN GIÁ" dataDxfId="3132"/>
    <tableColumn id="7" xr3:uid="{0A5BFE59-EC93-4DD9-85FF-6B65D0022B23}" name="THÀNH TIỀN" dataDxfId="3131">
      <calculatedColumnFormula>E_Phuc_Cty_Duc_Phuc[[#This Row],[ĐƠN GIÁ]]*E_Phuc_Cty_Duc_Phuc[[#This Row],[SỐ LƯỢNG]]</calculatedColumnFormula>
    </tableColumn>
    <tableColumn id="8" xr3:uid="{ACCD24AF-9EBD-4529-BFB3-2356FEDD3BEC}" name="THANH TOÁN" dataDxfId="3130"/>
    <tableColumn id="9" xr3:uid="{8C485949-9D5C-48FE-8941-241A7F98E8D4}" name="CÔNG NỢ_x000a_ CÒN LẠI" dataDxfId="3129">
      <calculatedColumnFormula>J9+E_Phuc_Cty_Duc_Phuc[[#This Row],[THÀNH TIỀN]]-E_Phuc_Cty_Duc_Phuc[[#This Row],[THANH TOÁN]]</calculatedColumnFormula>
    </tableColumn>
    <tableColumn id="10" xr3:uid="{B1BB983F-DFD8-4CE9-B1BD-F26B149C34F5}" name="Ghi chú" dataDxfId="3128"/>
  </tableColumns>
  <tableStyleInfo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218E2C0-39B9-4FC6-BD3B-F1216A1239E2}" name="Cty_Ly_Duong_Hung_DN" displayName="Cty_Ly_Duong_Hung_DN" ref="A9:K42" totalsRowShown="0" headerRowDxfId="3127" dataDxfId="3125" headerRowBorderDxfId="3126" tableBorderDxfId="3124" totalsRowBorderDxfId="3123">
  <autoFilter ref="A9:K42" xr:uid="{3227F2BD-2C9D-4FFF-9F44-8C9E66133B6C}"/>
  <sortState xmlns:xlrd2="http://schemas.microsoft.com/office/spreadsheetml/2017/richdata2" ref="A10:K34">
    <sortCondition ref="B12:B34"/>
  </sortState>
  <tableColumns count="11">
    <tableColumn id="1" xr3:uid="{36F3FCF8-5E95-4016-AFD2-AE8065410424}" name="Số phiếu" dataDxfId="3122"/>
    <tableColumn id="2" xr3:uid="{79E338A4-5261-4D5C-9916-8417FA55CF82}" name="Ngày_x000a_ tháng" dataDxfId="3121"/>
    <tableColumn id="3" xr3:uid="{ABA80B26-E656-43EC-A9E4-ACC0FD0903C5}" name="Nội dung" dataDxfId="3120"/>
    <tableColumn id="12" xr3:uid="{B63744F2-ACC9-4EEF-A252-9B6D2235FC8A}" name="Chủng loại" dataDxfId="3119"/>
    <tableColumn id="4" xr3:uid="{378CB87A-034C-4E39-9646-1BB89C05FB31}" name="Quy cách" dataDxfId="3118"/>
    <tableColumn id="5" xr3:uid="{B2934CC4-E1C7-48F9-B065-5FA139621C07}" name="SỐ LƯỢNG" dataDxfId="3117">
      <calculatedColumnFormula>739+543</calculatedColumnFormula>
    </tableColumn>
    <tableColumn id="6" xr3:uid="{2CF888B1-9189-4257-9086-3256A6BCF2D9}" name="ĐƠN GIÁ" dataDxfId="3116"/>
    <tableColumn id="7" xr3:uid="{396E1A0C-F10D-43F7-AD36-58DDCEE83A6E}" name="THÀNH TIỀN" dataDxfId="3115">
      <calculatedColumnFormula>Cty_Ly_Duong_Hung_DN[[#This Row],[ĐƠN GIÁ]]*Cty_Ly_Duong_Hung_DN[[#This Row],[SỐ LƯỢNG]]</calculatedColumnFormula>
    </tableColumn>
    <tableColumn id="8" xr3:uid="{540689B5-7F9D-493B-96B1-1508A93FC0C5}" name="THANH TOÁN" dataDxfId="3114"/>
    <tableColumn id="9" xr3:uid="{909FAD64-0053-4F84-B9C1-BCFEC1CEBC09}" name="CÔNG NỢ_x000a_ CÒN LẠI" dataDxfId="3113">
      <calculatedColumnFormula>J9+Cty_Ly_Duong_Hung_DN[[#This Row],[THÀNH TIỀN]]-Cty_Ly_Duong_Hung_DN[[#This Row],[THANH TOÁN]]</calculatedColumnFormula>
    </tableColumn>
    <tableColumn id="10" xr3:uid="{CD745DEE-40FD-4BA8-BC50-2D122D048895}" name="Ghi chú" dataDxfId="3112"/>
  </tableColumns>
  <tableStyleInfo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A4C377F2-D68A-48EB-95E9-976A4BCFAFD9}" name="A_Tuan_Cty_Hung_Phat" displayName="A_Tuan_Cty_Hung_Phat" ref="A9:K19" totalsRowShown="0" headerRowDxfId="3111" dataDxfId="3109" headerRowBorderDxfId="3110" tableBorderDxfId="3108" totalsRowBorderDxfId="3107">
  <autoFilter ref="A9:K19" xr:uid="{3227F2BD-2C9D-4FFF-9F44-8C9E66133B6C}"/>
  <sortState xmlns:xlrd2="http://schemas.microsoft.com/office/spreadsheetml/2017/richdata2" ref="A10:K18">
    <sortCondition ref="B13:B18"/>
  </sortState>
  <tableColumns count="11">
    <tableColumn id="1" xr3:uid="{4103BB93-8D58-40AF-84C7-4CD7AA0593ED}" name="Số phiếu" dataDxfId="3106"/>
    <tableColumn id="2" xr3:uid="{8D8008AD-D8B3-4C58-9FBC-9E5CB758AF82}" name="Ngày_x000a_ tháng" dataDxfId="3105"/>
    <tableColumn id="3" xr3:uid="{9EC09FFF-7411-4D59-96ED-EE16A2057639}" name="Nội dung" dataDxfId="3104"/>
    <tableColumn id="12" xr3:uid="{6909BB8A-C0E2-43B9-8224-70BC9CE1D6D2}" name="Chủng loại" dataDxfId="3103"/>
    <tableColumn id="4" xr3:uid="{49146AA9-B9C5-44FD-B59A-A54F7F727719}" name="Quy cách" dataDxfId="3102"/>
    <tableColumn id="5" xr3:uid="{3EEF2122-AEE1-49DD-9851-957D7E4E349A}" name="SỐ LƯỢNG" dataDxfId="3101">
      <calculatedColumnFormula>1091+958+901</calculatedColumnFormula>
    </tableColumn>
    <tableColumn id="6" xr3:uid="{5C2C676B-89F9-4E41-8F91-A25463FB7BC6}" name="ĐƠN GIÁ" dataDxfId="3100"/>
    <tableColumn id="7" xr3:uid="{1DB29632-6345-4196-AFF9-69FD328BB08D}" name="THÀNH TIỀN" dataDxfId="3099">
      <calculatedColumnFormula>A_Tuan_Cty_Hung_Phat[[#This Row],[ĐƠN GIÁ]]*A_Tuan_Cty_Hung_Phat[[#This Row],[SỐ LƯỢNG]]</calculatedColumnFormula>
    </tableColumn>
    <tableColumn id="8" xr3:uid="{264B7006-1A9A-4EA1-B2E0-691CA835790C}" name="THANH TOÁN" dataDxfId="3098"/>
    <tableColumn id="9" xr3:uid="{6DB9B396-0C82-49E4-9B1E-40E57C4E3925}" name="CÔNG NỢ_x000a_ CÒN LẠI" dataDxfId="3097">
      <calculatedColumnFormula>J9+A_Tuan_Cty_Hung_Phat[[#This Row],[THÀNH TIỀN]]-A_Tuan_Cty_Hung_Phat[[#This Row],[THANH TOÁN]]</calculatedColumnFormula>
    </tableColumn>
    <tableColumn id="10" xr3:uid="{8F8B0351-3BAC-4E10-A87E-966AA8FB9237}" name="Ghi chú" dataDxfId="3096"/>
  </tableColumns>
  <tableStyleInfo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5E69B8A8-74DD-4509-A1B7-24BD1C028F1C}" name="C_Nam_Dao_Cau_Duong" displayName="C_Nam_Dao_Cau_Duong" ref="A9:K32" totalsRowShown="0" headerRowDxfId="3095" dataDxfId="3093" headerRowBorderDxfId="3094" tableBorderDxfId="3092" totalsRowBorderDxfId="3091">
  <autoFilter ref="A9:K32" xr:uid="{3227F2BD-2C9D-4FFF-9F44-8C9E66133B6C}"/>
  <sortState xmlns:xlrd2="http://schemas.microsoft.com/office/spreadsheetml/2017/richdata2" ref="A10:K32">
    <sortCondition ref="B26:B32"/>
  </sortState>
  <tableColumns count="11">
    <tableColumn id="1" xr3:uid="{A59E063B-15A1-4BAE-9ED3-BCC812C7DDC0}" name="Số phiếu" dataDxfId="3090"/>
    <tableColumn id="2" xr3:uid="{4F201242-A6D9-4A92-9316-3CA012F9683C}" name="Ngày_x000a_ tháng" dataDxfId="3089"/>
    <tableColumn id="3" xr3:uid="{83E25100-17C8-4202-A69F-21D420FD0D24}" name="Nội dung" dataDxfId="3088"/>
    <tableColumn id="12" xr3:uid="{16E2E810-1EE7-4B52-9944-495C2C54575A}" name="Chủng loại" dataDxfId="3087"/>
    <tableColumn id="4" xr3:uid="{9D08F230-0C9E-48D7-BD71-55EF78DEBEAC}" name="Quy cách" dataDxfId="3086"/>
    <tableColumn id="5" xr3:uid="{A7AD6BAC-44CA-43FB-A6E3-43781B872C37}" name="SỐ LƯỢNG" dataDxfId="3085">
      <calculatedColumnFormula>1091+958+901</calculatedColumnFormula>
    </tableColumn>
    <tableColumn id="6" xr3:uid="{155B63CA-B5DD-4DCC-8D88-3681F64F293B}" name="ĐƠN GIÁ" dataDxfId="3084"/>
    <tableColumn id="7" xr3:uid="{D4BDE25C-356C-46CE-AF49-C92BC5651121}" name="THÀNH TIỀN" dataDxfId="3083">
      <calculatedColumnFormula>C_Nam_Dao_Cau_Duong[[#This Row],[ĐƠN GIÁ]]*C_Nam_Dao_Cau_Duong[[#This Row],[SỐ LƯỢNG]]</calculatedColumnFormula>
    </tableColumn>
    <tableColumn id="8" xr3:uid="{280D4368-B34D-4E10-AF08-10F88481786A}" name="THANH TOÁN" dataDxfId="3082"/>
    <tableColumn id="9" xr3:uid="{83C4FD81-A7BF-4201-967D-787A057A3C6B}" name="CÔNG NỢ_x000a_ CÒN LẠI" dataDxfId="3081">
      <calculatedColumnFormula>J9+C_Nam_Dao_Cau_Duong[[#This Row],[THÀNH TIỀN]]-C_Nam_Dao_Cau_Duong[[#This Row],[THANH TOÁN]]</calculatedColumnFormula>
    </tableColumn>
    <tableColumn id="10" xr3:uid="{26504A36-1D37-4113-8303-841EA6287363}" name="Ghi chú" dataDxfId="3080"/>
  </tableColumns>
  <tableStyleInfo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778A1958-D3C2-4C54-99C8-A038E2DF21DB}" name="Khach_le" displayName="Khach_le" ref="A9:K70" totalsRowShown="0" headerRowDxfId="3079" dataDxfId="3077" headerRowBorderDxfId="3078" tableBorderDxfId="3076" totalsRowBorderDxfId="3075">
  <autoFilter ref="A9:K70" xr:uid="{3227F2BD-2C9D-4FFF-9F44-8C9E66133B6C}"/>
  <sortState xmlns:xlrd2="http://schemas.microsoft.com/office/spreadsheetml/2017/richdata2" ref="A10:K60">
    <sortCondition ref="B60"/>
  </sortState>
  <tableColumns count="11">
    <tableColumn id="1" xr3:uid="{1D8F7A4C-8B07-47BA-B691-988E4DFF464B}" name="Số phiếu" dataDxfId="3074"/>
    <tableColumn id="2" xr3:uid="{AE12A1E4-414B-4F0B-9764-B935D6DCFAC5}" name="Ngày_x000a_ tháng" dataDxfId="3073"/>
    <tableColumn id="3" xr3:uid="{299E58D2-D2AA-4A70-82D3-F5D090345A96}" name="Nội dung" dataDxfId="3072"/>
    <tableColumn id="12" xr3:uid="{4372D864-A9D5-4AE2-B0AD-01A2D170CCE1}" name="Chủng loại" dataDxfId="3071"/>
    <tableColumn id="4" xr3:uid="{FA6F2D4D-D3C6-42BB-BA9B-D027E6B46FB8}" name="Quy cách" dataDxfId="3070"/>
    <tableColumn id="5" xr3:uid="{9804831D-B5AA-4A1B-BF4D-1F84CF8BEE47}" name="SỐ LƯỢNG" dataDxfId="3069">
      <calculatedColumnFormula>1091+958+901</calculatedColumnFormula>
    </tableColumn>
    <tableColumn id="6" xr3:uid="{C025EE0A-3117-440A-BB01-E9A9585457F1}" name="ĐƠN GIÁ" dataDxfId="3068"/>
    <tableColumn id="7" xr3:uid="{4E127E5E-DC7B-4CFA-BB76-2EC644A7F76E}" name="THÀNH TIỀN" dataDxfId="3067">
      <calculatedColumnFormula>Khach_le[[#This Row],[ĐƠN GIÁ]]*Khach_le[[#This Row],[SỐ LƯỢNG]]</calculatedColumnFormula>
    </tableColumn>
    <tableColumn id="8" xr3:uid="{9B527514-A8D4-4EF2-9F8A-05F75ADEF12F}" name="THANH TOÁN" dataDxfId="3066">
      <calculatedColumnFormula>Khach_le[[#This Row],[THÀNH TIỀN]]</calculatedColumnFormula>
    </tableColumn>
    <tableColumn id="9" xr3:uid="{F82B5D8F-1ECF-4687-90F8-8F7A2EA36868}" name="CÔNG NỢ_x000a_ CÒN LẠI" dataDxfId="3065">
      <calculatedColumnFormula>J9+Khach_le[[#This Row],[THÀNH TIỀN]]-Khach_le[[#This Row],[THANH TOÁN]]</calculatedColumnFormula>
    </tableColumn>
    <tableColumn id="10" xr3:uid="{76831B02-A522-4137-967F-B391F15E3F2F}" name="Ghi chú" dataDxfId="3064"/>
  </tableColumns>
  <tableStyleInfo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78BC31C0-6325-4AF0-97BE-D5251B32A89D}" name="Cty_Nam_Khanh" displayName="Cty_Nam_Khanh" ref="A9:K88" totalsRowShown="0" headerRowDxfId="3063" dataDxfId="3061" headerRowBorderDxfId="3062" tableBorderDxfId="3060" totalsRowBorderDxfId="3059">
  <autoFilter ref="A9:K88" xr:uid="{3227F2BD-2C9D-4FFF-9F44-8C9E66133B6C}"/>
  <sortState xmlns:xlrd2="http://schemas.microsoft.com/office/spreadsheetml/2017/richdata2" ref="A10:K63">
    <sortCondition ref="B60:B63"/>
  </sortState>
  <tableColumns count="11">
    <tableColumn id="1" xr3:uid="{BA0A6FEB-368D-4DF0-9A9D-6453ADB9ABC1}" name="Số phiếu" dataDxfId="3058"/>
    <tableColumn id="2" xr3:uid="{C9A65E08-4433-4C3A-9C75-7BC0CB8FC3AD}" name="Ngày_x000a_ tháng" dataDxfId="3057"/>
    <tableColumn id="3" xr3:uid="{E8603490-BC55-42B8-A0BF-9A89FE71C762}" name="Nội dung" dataDxfId="3056"/>
    <tableColumn id="12" xr3:uid="{004B0646-F362-48CE-8B1C-576533AC29DE}" name="Chủng loại" dataDxfId="3055"/>
    <tableColumn id="4" xr3:uid="{349D54F8-BD79-4F5D-B6A7-4B21E7B8420E}" name="Quy cách" dataDxfId="3054"/>
    <tableColumn id="5" xr3:uid="{87BD9DDC-A967-4F70-B941-1E595ED9C91C}" name="SỐ LƯỢNG" dataDxfId="3053">
      <calculatedColumnFormula>1091+958+901</calculatedColumnFormula>
    </tableColumn>
    <tableColumn id="6" xr3:uid="{57BB8F38-709C-4622-84B8-952CEE6FD94B}" name="ĐƠN GIÁ" dataDxfId="3052"/>
    <tableColumn id="7" xr3:uid="{5EE98A2A-0F1A-4B21-B70B-E8DB0636B854}" name="THÀNH TIỀN" dataDxfId="3051">
      <calculatedColumnFormula>Cty_Nam_Khanh[[#This Row],[ĐƠN GIÁ]]*Cty_Nam_Khanh[[#This Row],[SỐ LƯỢNG]]</calculatedColumnFormula>
    </tableColumn>
    <tableColumn id="8" xr3:uid="{C36DFA7D-29B6-4F99-91FF-5FFFEC4CDFF2}" name="THANH TOÁN" dataDxfId="3050"/>
    <tableColumn id="9" xr3:uid="{71AADF92-409C-4A3B-81AD-8417316368B8}" name="CÔNG NỢ_x000a_ CÒN LẠI" dataDxfId="3049">
      <calculatedColumnFormula>J9+Cty_Nam_Khanh[[#This Row],[THÀNH TIỀN]]-Cty_Nam_Khanh[[#This Row],[THANH TOÁN]]</calculatedColumnFormula>
    </tableColumn>
    <tableColumn id="10" xr3:uid="{83410B10-D693-4DAF-BA91-D37EBC60E0BC}" name="Ghi chú" dataDxfId="3048"/>
  </tableColumns>
  <tableStyleInfo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B2299232-87AF-4FCE-89CE-8C4E6BC4C85A}" name="Cty_Tan_Phat" displayName="Cty_Tan_Phat" ref="A9:K18" totalsRowShown="0" headerRowDxfId="3047" dataDxfId="3045" headerRowBorderDxfId="3046" tableBorderDxfId="3044" totalsRowBorderDxfId="3043">
  <autoFilter ref="A9:K18" xr:uid="{3227F2BD-2C9D-4FFF-9F44-8C9E66133B6C}"/>
  <tableColumns count="11">
    <tableColumn id="1" xr3:uid="{2A202D63-8135-4D30-96AF-69DBCB2B1F31}" name="Số phiếu" dataDxfId="3042"/>
    <tableColumn id="2" xr3:uid="{66E8F53B-C14C-4BBE-9198-844F6472A6FC}" name="Ngày_x000a_ tháng" dataDxfId="3041"/>
    <tableColumn id="3" xr3:uid="{FED2F1AE-ED8D-406E-97AC-1223C0B44DE9}" name="Nội dung" dataDxfId="3040"/>
    <tableColumn id="12" xr3:uid="{F8048E2F-4265-406F-82C5-8988796165C5}" name="Chủng loại" dataDxfId="3039"/>
    <tableColumn id="4" xr3:uid="{961AF710-FAC9-4797-82D9-8EAF9F234D15}" name="Quy cách" dataDxfId="3038"/>
    <tableColumn id="5" xr3:uid="{066CB4EE-0288-49CD-B756-B729E5D0648D}" name="SỐ LƯỢNG" dataDxfId="3037">
      <calculatedColumnFormula>1091+958+901</calculatedColumnFormula>
    </tableColumn>
    <tableColumn id="6" xr3:uid="{8F815921-3BB4-4CEE-9AF9-DD4BCBFD19A8}" name="ĐƠN GIÁ" dataDxfId="3036"/>
    <tableColumn id="7" xr3:uid="{6BCEE432-BA6B-4FC7-BA2D-31F5C7625C76}" name="THÀNH TIỀN" dataDxfId="3035">
      <calculatedColumnFormula>Cty_Tan_Phat[[#This Row],[ĐƠN GIÁ]]*Cty_Tan_Phat[[#This Row],[SỐ LƯỢNG]]</calculatedColumnFormula>
    </tableColumn>
    <tableColumn id="8" xr3:uid="{CCE4AA8E-F46C-454E-B6FD-75DD807353C5}" name="THANH TOÁN" dataDxfId="3034"/>
    <tableColumn id="9" xr3:uid="{28DEFBAA-DBEE-4008-BF79-F951D295605C}" name="CÔNG NỢ_x000a_ CÒN LẠI" dataDxfId="3033">
      <calculatedColumnFormula>J9+Cty_Tan_Phat[[#This Row],[THÀNH TIỀN]]-Cty_Tan_Phat[[#This Row],[THANH TOÁN]]</calculatedColumnFormula>
    </tableColumn>
    <tableColumn id="10" xr3:uid="{18098A1B-609A-4ED5-9CFE-8E79AC389E99}" name="Ghi chú" dataDxfId="3032"/>
  </tableColumns>
  <tableStyleInfo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1F0A362B-BEB1-4394-907B-372C2EFD861F}" name="A_Tung_HD" displayName="A_Tung_HD" ref="A9:K27" totalsRowShown="0" headerRowDxfId="3031" dataDxfId="3029" headerRowBorderDxfId="3030" tableBorderDxfId="3028" totalsRowBorderDxfId="3027">
  <autoFilter ref="A9:K27" xr:uid="{3227F2BD-2C9D-4FFF-9F44-8C9E66133B6C}"/>
  <tableColumns count="11">
    <tableColumn id="1" xr3:uid="{0DC95C16-4FE1-4788-8D28-70BB8531C279}" name="Số phiếu" dataDxfId="3026"/>
    <tableColumn id="2" xr3:uid="{B8758CF1-F873-49C8-8F2C-6277D4D8A90A}" name="Ngày_x000a_ tháng" dataDxfId="3025"/>
    <tableColumn id="3" xr3:uid="{82BE40DE-9D45-4B86-8EEF-DE0FFF57B104}" name="Nội dung" dataDxfId="3024"/>
    <tableColumn id="12" xr3:uid="{60B6F5C0-22D1-41C4-9E98-92290CA741B3}" name="Chủng loại" dataDxfId="3023"/>
    <tableColumn id="4" xr3:uid="{AD0362F9-1F33-4A1F-B3BD-9CB32316FC9B}" name="Quy cách" dataDxfId="3022"/>
    <tableColumn id="5" xr3:uid="{15ED0D6A-602B-455B-9288-19498303AA37}" name="SỐ LƯỢNG" dataDxfId="3021">
      <calculatedColumnFormula>1091+958+901</calculatedColumnFormula>
    </tableColumn>
    <tableColumn id="6" xr3:uid="{31038792-1153-4CA6-B7D9-EF6B587EB45E}" name="ĐƠN GIÁ" dataDxfId="3020"/>
    <tableColumn id="7" xr3:uid="{2172C0E8-0B44-43A0-B6DB-B7F238818DFF}" name="THÀNH TIỀN" dataDxfId="3019">
      <calculatedColumnFormula>F10*G10</calculatedColumnFormula>
    </tableColumn>
    <tableColumn id="8" xr3:uid="{4702A2BB-77B1-45E5-96FC-667627156A02}" name="THANH TOÁN" dataDxfId="3018"/>
    <tableColumn id="9" xr3:uid="{E2242846-EA9C-49E4-B62C-86B40DF8E06B}" name="CÔNG NỢ_x000a_ CÒN LẠI" dataDxfId="3017">
      <calculatedColumnFormula>J9+A_Tung_HD[[#This Row],[THÀNH TIỀN]]-A_Tung_HD[[#This Row],[THANH TOÁN]]</calculatedColumnFormula>
    </tableColumn>
    <tableColumn id="10" xr3:uid="{11AC23C7-C116-47CC-BE32-EEBAA9EF202C}" name="Ghi chú" dataDxfId="3016"/>
  </tableColumns>
  <tableStyleInfo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7B712E0E-CD8A-44DE-8752-C54916FCB068}" name="E_Kien_HD" displayName="E_Kien_HD" ref="A9:K80" totalsRowShown="0" headerRowDxfId="3015" dataDxfId="3013" headerRowBorderDxfId="3014" tableBorderDxfId="3012" totalsRowBorderDxfId="3011">
  <autoFilter ref="A9:K80" xr:uid="{3227F2BD-2C9D-4FFF-9F44-8C9E66133B6C}"/>
  <sortState xmlns:xlrd2="http://schemas.microsoft.com/office/spreadsheetml/2017/richdata2" ref="A10:K72">
    <sortCondition ref="B62:B72"/>
  </sortState>
  <tableColumns count="11">
    <tableColumn id="1" xr3:uid="{2A3A1A3E-F31D-42DA-BAE5-1A5391B5F453}" name="Số phiếu" dataDxfId="3010"/>
    <tableColumn id="2" xr3:uid="{B1A14750-B0B7-4AA9-B473-40E7AE3EF722}" name="Ngày_x000a_ tháng" dataDxfId="3009"/>
    <tableColumn id="3" xr3:uid="{13BC82FC-06C0-475D-9DA0-BBD7799B7811}" name="Nội dung" dataDxfId="3008"/>
    <tableColumn id="12" xr3:uid="{1BBBD82C-B477-403C-A339-92BCE8B26FDD}" name="Chủng loại" dataDxfId="3007"/>
    <tableColumn id="4" xr3:uid="{21E3F9B7-E270-497C-9AF1-A12F09B261EE}" name="Quy cách" dataDxfId="3006"/>
    <tableColumn id="5" xr3:uid="{BAEE8E27-0ADD-4799-9C15-3583B49D1BCE}" name="SỐ LƯỢNG" dataDxfId="3005">
      <calculatedColumnFormula>1091+958+901</calculatedColumnFormula>
    </tableColumn>
    <tableColumn id="6" xr3:uid="{0C084039-7A66-4376-8EBE-216A0CA7B86D}" name="ĐƠN GIÁ" dataDxfId="3004"/>
    <tableColumn id="7" xr3:uid="{484BA717-25FF-4439-89E8-258DC2EA8F9E}" name="THÀNH TIỀN" dataDxfId="3003">
      <calculatedColumnFormula>E_Kien_HD[[#This Row],[ĐƠN GIÁ]]*E_Kien_HD[[#This Row],[SỐ LƯỢNG]]</calculatedColumnFormula>
    </tableColumn>
    <tableColumn id="8" xr3:uid="{14943CAE-5D74-470B-8BFD-68B3E7800E38}" name="THANH TOÁN" dataDxfId="3002"/>
    <tableColumn id="9" xr3:uid="{5EFCEA4A-EE1A-44AE-88AF-2D9537D2DC24}" name="CÔNG NỢ_x000a_ CÒN LẠI" dataDxfId="3001">
      <calculatedColumnFormula>J9+E_Kien_HD[[#This Row],[THÀNH TIỀN]]-E_Kien_HD[[#This Row],[THANH TOÁN]]</calculatedColumnFormula>
    </tableColumn>
    <tableColumn id="10" xr3:uid="{53C4703C-1740-49E8-9222-F93A42CB8E3C}" name="Ghi chú" dataDxfId="3000"/>
  </tableColumns>
  <tableStyleInfo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CD444029-2A26-493D-9E3E-BFF71ED1529C}" name="C_Ha_HY" displayName="C_Ha_HY" ref="A9:K26" totalsRowShown="0" headerRowDxfId="2999" dataDxfId="2997" headerRowBorderDxfId="2998" tableBorderDxfId="2996" totalsRowBorderDxfId="2995">
  <autoFilter ref="A9:K26" xr:uid="{3227F2BD-2C9D-4FFF-9F44-8C9E66133B6C}"/>
  <sortState xmlns:xlrd2="http://schemas.microsoft.com/office/spreadsheetml/2017/richdata2" ref="A10:K20">
    <sortCondition ref="B14:B20"/>
  </sortState>
  <tableColumns count="11">
    <tableColumn id="1" xr3:uid="{E08B3A2F-8A2E-4B61-B920-3E7EE0EC980E}" name="Số phiếu" dataDxfId="2994"/>
    <tableColumn id="2" xr3:uid="{EAF81ED3-95A4-453E-B42E-D3782BFD7733}" name="Ngày_x000a_ tháng" dataDxfId="2993"/>
    <tableColumn id="3" xr3:uid="{04A0D4DD-1CE5-4680-B38C-69DED716EB69}" name="Nội dung" dataDxfId="2992"/>
    <tableColumn id="12" xr3:uid="{206ACB98-4E45-48DE-9701-6594ED70A37E}" name="Chủng loại" dataDxfId="2991"/>
    <tableColumn id="4" xr3:uid="{3A711122-0A04-48C4-8380-D7FF60525FA2}" name="Quy cách" dataDxfId="2990"/>
    <tableColumn id="5" xr3:uid="{6255A4E6-142F-42C3-B923-738D99B19948}" name="SỐ LƯỢNG" dataDxfId="2989">
      <calculatedColumnFormula>1091+958+901</calculatedColumnFormula>
    </tableColumn>
    <tableColumn id="6" xr3:uid="{58ABCB67-1E7F-4926-89B8-4F8E4CF0F67A}" name="ĐƠN GIÁ" dataDxfId="2988"/>
    <tableColumn id="7" xr3:uid="{A75A8F13-EE55-4355-91DA-F9EEFA21D1E2}" name="THÀNH TIỀN" dataDxfId="2987">
      <calculatedColumnFormula>C_Ha_HY[[#This Row],[ĐƠN GIÁ]]*C_Ha_HY[[#This Row],[SỐ LƯỢNG]]</calculatedColumnFormula>
    </tableColumn>
    <tableColumn id="8" xr3:uid="{1034E44D-8275-4941-A537-4AFA89361B28}" name="THANH TOÁN" dataDxfId="2986"/>
    <tableColumn id="9" xr3:uid="{80A774A4-D7CA-48D9-BF42-283E6AD0918F}" name="CÔNG NỢ_x000a_ CÒN LẠI" dataDxfId="2985">
      <calculatedColumnFormula>J9+C_Ha_HY[[#This Row],[THÀNH TIỀN]]-C_Ha_HY[[#This Row],[THANH TOÁN]]</calculatedColumnFormula>
    </tableColumn>
    <tableColumn id="10" xr3:uid="{DB842170-6EF2-4303-9CD2-C954C4227948}" name="Ghi chú" dataDxfId="2984"/>
  </tableColumns>
  <tableStyleInfo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35A998EA-C7D8-48A0-B42D-C1BA8B6EE6A3}" name="Cty_Phu_Thanh" displayName="Cty_Phu_Thanh" ref="A9:K18" totalsRowShown="0" headerRowDxfId="2983" dataDxfId="2981" headerRowBorderDxfId="2982" tableBorderDxfId="2980" totalsRowBorderDxfId="2979">
  <autoFilter ref="A9:K18" xr:uid="{3227F2BD-2C9D-4FFF-9F44-8C9E66133B6C}"/>
  <tableColumns count="11">
    <tableColumn id="1" xr3:uid="{E63D2D57-42D5-411D-9312-6D7248877CF7}" name="Số phiếu" dataDxfId="2978"/>
    <tableColumn id="2" xr3:uid="{188740C6-5CD8-4F89-9650-4F2BA618CDAC}" name="Ngày_x000a_ tháng" dataDxfId="2977"/>
    <tableColumn id="3" xr3:uid="{8F07CC9E-374C-4F9F-9C55-F7E9B768712F}" name="Nội dung" dataDxfId="2976"/>
    <tableColumn id="12" xr3:uid="{39753DFC-C5BC-4A6D-AC66-80838D4ECE49}" name="Chủng loại" dataDxfId="2975"/>
    <tableColumn id="4" xr3:uid="{AAE50A1B-AF3B-4418-870D-37013D8A305B}" name="Quy cách" dataDxfId="2974"/>
    <tableColumn id="5" xr3:uid="{6E174D18-FEB1-4897-9A41-8FB2F0D1F8A0}" name="SỐ LƯỢNG" dataDxfId="2973">
      <calculatedColumnFormula>1091+958+901</calculatedColumnFormula>
    </tableColumn>
    <tableColumn id="6" xr3:uid="{9E962E05-91B3-44DE-8479-41EDC04C8FA7}" name="ĐƠN GIÁ" dataDxfId="2972"/>
    <tableColumn id="7" xr3:uid="{9A5D3FBF-A5DF-40EC-BDAF-B55E3D04BA8D}" name="THÀNH TIỀN" dataDxfId="2971">
      <calculatedColumnFormula>Cty_Phu_Thanh[[#This Row],[ĐƠN GIÁ]]*Cty_Phu_Thanh[[#This Row],[SỐ LƯỢNG]]</calculatedColumnFormula>
    </tableColumn>
    <tableColumn id="8" xr3:uid="{755AC825-669A-4FD4-A70D-5660BF0BC7BC}" name="THANH TOÁN" dataDxfId="2970"/>
    <tableColumn id="9" xr3:uid="{3EA4028C-5808-444E-A955-8B9B0CE99081}" name="CÔNG NỢ_x000a_ CÒN LẠI" dataDxfId="2969">
      <calculatedColumnFormula>J9+Cty_Phu_Thanh[[#This Row],[THÀNH TIỀN]]-Cty_Phu_Thanh[[#This Row],[THANH TOÁN]]</calculatedColumnFormula>
    </tableColumn>
    <tableColumn id="10" xr3:uid="{BA4F3481-1A0C-4948-A7B1-C55FDF8BECE4}" name="Ghi chú" dataDxfId="2968"/>
  </tableColumns>
  <tableStyleInfo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AB6EFC38-AEFE-40DF-9EEF-51B4333ED177}" name="Cty_Viet_Anh" displayName="Cty_Viet_Anh" ref="A9:K706" totalsRowShown="0" headerRowDxfId="2967" dataDxfId="2965" headerRowBorderDxfId="2966" tableBorderDxfId="2964" totalsRowBorderDxfId="2963">
  <autoFilter ref="A9:K706" xr:uid="{3227F2BD-2C9D-4FFF-9F44-8C9E66133B6C}"/>
  <sortState xmlns:xlrd2="http://schemas.microsoft.com/office/spreadsheetml/2017/richdata2" ref="A10:K672">
    <sortCondition ref="B626:B672"/>
  </sortState>
  <tableColumns count="11">
    <tableColumn id="1" xr3:uid="{DF2547C7-8927-4C8F-9292-455989803F43}" name="Số phiếu" dataDxfId="2962" totalsRowDxfId="2961"/>
    <tableColumn id="2" xr3:uid="{2F39BFDD-5B09-4EDE-9272-68B37C06D14A}" name="Ngày_x000a_ tháng" dataDxfId="2960" totalsRowDxfId="2959"/>
    <tableColumn id="3" xr3:uid="{F66D0C78-52EC-4962-A1D1-266B0AC4184D}" name="Nội dung" dataDxfId="2958" totalsRowDxfId="2957"/>
    <tableColumn id="12" xr3:uid="{2745C7D0-8BE0-4CE3-A2AC-8F2FBC13FC53}" name="Chủng loại" dataDxfId="2956" totalsRowDxfId="2955"/>
    <tableColumn id="4" xr3:uid="{A964EFF7-696B-49A5-8491-83D069BAAD47}" name="Quy cách" dataDxfId="2954" totalsRowDxfId="2953"/>
    <tableColumn id="5" xr3:uid="{56A3E933-EAB0-428E-BA3D-9982F12A9CDF}" name="SỐ LƯỢNG" dataDxfId="2952" totalsRowDxfId="2951">
      <calculatedColumnFormula>1091+958+901</calculatedColumnFormula>
    </tableColumn>
    <tableColumn id="6" xr3:uid="{C6EA347A-AB92-4992-A168-20F70A501C42}" name="ĐƠN GIÁ" dataDxfId="2950" totalsRowDxfId="2949"/>
    <tableColumn id="7" xr3:uid="{327692FC-1591-44D8-B9F2-641CF0C18515}" name="THÀNH TIỀN" dataDxfId="2948" totalsRowDxfId="2947">
      <calculatedColumnFormula>Cty_Viet_Anh[[#This Row],[ĐƠN GIÁ]]*Cty_Viet_Anh[[#This Row],[SỐ LƯỢNG]]</calculatedColumnFormula>
    </tableColumn>
    <tableColumn id="8" xr3:uid="{02072466-B2B6-41B5-A6C6-1DF6F2A592D7}" name="THANH TOÁN" dataDxfId="2946" totalsRowDxfId="2945"/>
    <tableColumn id="9" xr3:uid="{4F69DEB7-6A77-4DE7-8F37-FF0E5DFD7796}" name="CÔNG NỢ_x000a_ CÒN LẠI" dataDxfId="2944" totalsRowDxfId="2943">
      <calculatedColumnFormula>N(INDIRECT("R[-1]C", FALSE)) + Cty_Viet_Anh[[#This Row],[THÀNH TIỀN]] - Cty_Viet_Anh[[#This Row],[THANH TOÁN]]</calculatedColumnFormula>
    </tableColumn>
    <tableColumn id="10" xr3:uid="{4EBE0120-9AA1-48B8-9295-E42ED4E220EA}" name="Ghi chú" dataDxfId="2942" totalsRowDxfId="2941"/>
  </tableColumns>
  <tableStyleInfo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1C6CDE3B-A626-4411-82A1-C27E852C5C56}" name="Cty_Thep_Ha_Noi" displayName="Cty_Thep_Ha_Noi" ref="A9:K40" totalsRowShown="0" headerRowDxfId="2940" dataDxfId="2938" headerRowBorderDxfId="2939" tableBorderDxfId="2937" totalsRowBorderDxfId="2936">
  <autoFilter ref="A9:K40" xr:uid="{3227F2BD-2C9D-4FFF-9F44-8C9E66133B6C}"/>
  <sortState xmlns:xlrd2="http://schemas.microsoft.com/office/spreadsheetml/2017/richdata2" ref="A10:K34">
    <sortCondition ref="B33:B34"/>
  </sortState>
  <tableColumns count="11">
    <tableColumn id="1" xr3:uid="{84E853AC-0351-4643-A34E-959C6714E7E2}" name="Số phiếu" dataDxfId="2935"/>
    <tableColumn id="2" xr3:uid="{987C35C5-7284-45D6-9CC3-474891743DCD}" name="Ngày_x000a_ tháng" dataDxfId="2934"/>
    <tableColumn id="3" xr3:uid="{B9766BD2-E56E-4B6A-B0D4-4D31DE4ED749}" name="Nội dung" dataDxfId="2933"/>
    <tableColumn id="12" xr3:uid="{659BA6C5-ED71-41EB-AA1A-3472075F7391}" name="Chủng loại" dataDxfId="2932"/>
    <tableColumn id="4" xr3:uid="{E9C36F7F-1262-4789-BA3C-35449B9958A1}" name="Quy cách" dataDxfId="2931"/>
    <tableColumn id="5" xr3:uid="{415EF02B-B9D3-42AA-AEC0-5C7A4EBF8F51}" name="SỐ LƯỢNG" dataDxfId="2930">
      <calculatedColumnFormula>1091+958+901</calculatedColumnFormula>
    </tableColumn>
    <tableColumn id="6" xr3:uid="{9040A6F0-1CEA-427D-AA9E-06DC38E66A56}" name="ĐƠN GIÁ" dataDxfId="2929"/>
    <tableColumn id="7" xr3:uid="{45D94CB7-B760-4E25-BC6D-F564E7045E69}" name="THÀNH TIỀN" dataDxfId="2928">
      <calculatedColumnFormula>Cty_Thep_Ha_Noi[[#This Row],[ĐƠN GIÁ]]*Cty_Thep_Ha_Noi[[#This Row],[SỐ LƯỢNG]]</calculatedColumnFormula>
    </tableColumn>
    <tableColumn id="8" xr3:uid="{2E9CD4A2-7691-4E45-BE87-44B11C8961B2}" name="THANH TOÁN" dataDxfId="2927"/>
    <tableColumn id="9" xr3:uid="{8C5386B5-3EB6-43FB-8C27-B74AA5F7BB57}" name="CÔNG NỢ_x000a_ CÒN LẠI" dataDxfId="2926">
      <calculatedColumnFormula>J9+Cty_Thep_Ha_Noi[[#This Row],[THÀNH TIỀN]]-Cty_Thep_Ha_Noi[[#This Row],[THANH TOÁN]]</calculatedColumnFormula>
    </tableColumn>
    <tableColumn id="10" xr3:uid="{1DEAAA6E-ACB4-4598-A1F2-C90CA2CC8977}" name="Ghi chú" dataDxfId="2925"/>
  </tableColumns>
  <tableStyleInfo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3FB1CD-9073-4756-ACC0-85B9A0CF9BDB}" name="C_Thuy_TH" displayName="C_Thuy_TH" ref="A9:K58" totalsRowShown="0" headerRowDxfId="2924" dataDxfId="2922" headerRowBorderDxfId="2923" tableBorderDxfId="2921" totalsRowBorderDxfId="2920">
  <autoFilter ref="A9:K58" xr:uid="{3227F2BD-2C9D-4FFF-9F44-8C9E66133B6C}"/>
  <sortState xmlns:xlrd2="http://schemas.microsoft.com/office/spreadsheetml/2017/richdata2" ref="A10:K49">
    <sortCondition ref="B49"/>
  </sortState>
  <tableColumns count="11">
    <tableColumn id="1" xr3:uid="{92C1A4E2-E6CF-47E7-B3EA-A6589DB86A1F}" name="Số phiếu" dataDxfId="2919"/>
    <tableColumn id="2" xr3:uid="{B1407770-7ED3-4ABC-BAC7-91AA07B978AB}" name="Ngày_x000a_ tháng" dataDxfId="2918"/>
    <tableColumn id="3" xr3:uid="{436BFDAC-C8BE-44BC-A0F2-5771E7C48A4B}" name="Nội dung" dataDxfId="2917"/>
    <tableColumn id="12" xr3:uid="{88E39325-4DF9-45E6-B398-7BD452371F1C}" name="Chủng loại" dataDxfId="2916"/>
    <tableColumn id="4" xr3:uid="{2C43F2DC-EB17-41BC-A532-868E21EAD567}" name="Quy cách" dataDxfId="2915"/>
    <tableColumn id="5" xr3:uid="{1279D1BB-B923-4627-B460-E1C71466E187}" name="SỐ LƯỢNG" dataDxfId="2914">
      <calculatedColumnFormula>1091+958+901</calculatedColumnFormula>
    </tableColumn>
    <tableColumn id="6" xr3:uid="{EB6CB1D2-8DE3-4399-B3DE-5A3CA3B747BF}" name="ĐƠN GIÁ" dataDxfId="2913"/>
    <tableColumn id="7" xr3:uid="{C3BF2153-4596-46A7-8EB4-4ED99B63372D}" name="THÀNH TIỀN" dataDxfId="2912">
      <calculatedColumnFormula>C_Thuy_TH[[#This Row],[ĐƠN GIÁ]]*C_Thuy_TH[[#This Row],[SỐ LƯỢNG]]</calculatedColumnFormula>
    </tableColumn>
    <tableColumn id="8" xr3:uid="{08E81AEB-CDB6-4901-AB91-F267DC61AB0B}" name="THANH TOÁN" dataDxfId="2911"/>
    <tableColumn id="9" xr3:uid="{14B41AB1-9018-412C-A78B-18048BD275D2}" name="CÔNG NỢ_x000a_ CÒN LẠI" dataDxfId="2910">
      <calculatedColumnFormula>J9+C_Thuy_TH[[#This Row],[THÀNH TIỀN]]-C_Thuy_TH[[#This Row],[THANH TOÁN]]</calculatedColumnFormula>
    </tableColumn>
    <tableColumn id="10" xr3:uid="{2F584E94-FE03-40B8-9C7A-04E2AEC84902}" name="Ghi chú" dataDxfId="2909"/>
  </tableColumns>
  <tableStyleInfo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E2832253-D2E8-4BC0-AE38-99583D1252DD}" name="Cty_Van_Xuan" displayName="Cty_Van_Xuan" ref="A9:K78" totalsRowShown="0" headerRowDxfId="2908" dataDxfId="2906" headerRowBorderDxfId="2907" tableBorderDxfId="2905" totalsRowBorderDxfId="2904">
  <autoFilter ref="A9:K78" xr:uid="{3227F2BD-2C9D-4FFF-9F44-8C9E66133B6C}"/>
  <sortState xmlns:xlrd2="http://schemas.microsoft.com/office/spreadsheetml/2017/richdata2" ref="A10:K64">
    <sortCondition ref="B64"/>
  </sortState>
  <tableColumns count="11">
    <tableColumn id="1" xr3:uid="{DC5B5777-AEB9-4E7A-B6DD-055BB2208FCD}" name="Số phiếu" dataDxfId="2903"/>
    <tableColumn id="2" xr3:uid="{24DA6E79-0574-4AF9-A7C2-8CFE20464ACF}" name="Ngày_x000a_ tháng" dataDxfId="2902"/>
    <tableColumn id="3" xr3:uid="{839C8ED4-D8EC-48A3-9DA4-E330C0468AC2}" name="Nội dung" dataDxfId="2901"/>
    <tableColumn id="12" xr3:uid="{E3A21388-08DC-471B-94A9-AA6F3B9AE79B}" name="Chủng loại" dataDxfId="2900"/>
    <tableColumn id="4" xr3:uid="{119C98C0-B823-4167-8460-6A1FE86E842D}" name="Quy cách" dataDxfId="2899"/>
    <tableColumn id="5" xr3:uid="{C9435B84-96A2-46C1-ACA7-5E546459CE16}" name="SỐ LƯỢNG" dataDxfId="2898">
      <calculatedColumnFormula>1091+958+901</calculatedColumnFormula>
    </tableColumn>
    <tableColumn id="6" xr3:uid="{2E3CE805-0E87-44BD-8E17-E6AE5F43C1DB}" name="ĐƠN GIÁ" dataDxfId="2897"/>
    <tableColumn id="7" xr3:uid="{BB9CA36F-DB4E-43EF-AE74-92326AA439C3}" name="THÀNH TIỀN" dataDxfId="2896">
      <calculatedColumnFormula>Cty_Van_Xuan[[#This Row],[ĐƠN GIÁ]]*Cty_Van_Xuan[[#This Row],[SỐ LƯỢNG]]</calculatedColumnFormula>
    </tableColumn>
    <tableColumn id="8" xr3:uid="{0379C062-B383-4309-B7CC-993981D8B1A0}" name="THANH TOÁN" dataDxfId="2895"/>
    <tableColumn id="9" xr3:uid="{FA8A16B5-9B5D-4E64-AC24-D88870AEEDE0}" name="CÔNG NỢ_x000a_ CÒN LẠI" dataDxfId="2894">
      <calculatedColumnFormula>N(INDIRECT("R[-1]C", FALSE)) + Cty_Van_Xuan[[#This Row],[THÀNH TIỀN]] - Cty_Van_Xuan[[#This Row],[THANH TOÁN]]</calculatedColumnFormula>
    </tableColumn>
    <tableColumn id="10" xr3:uid="{9A17E4E2-39AE-4037-82F4-63F708EF1857}" name="Ghi chú" dataDxfId="2893"/>
  </tableColumns>
  <tableStyleInfo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D8045ECB-4E89-4828-BDA9-4239171EC9C8}" name="E_Dac_ND" displayName="E_Dac_ND" ref="A9:K92" totalsRowShown="0" headerRowDxfId="2892" dataDxfId="2890" headerRowBorderDxfId="2891" tableBorderDxfId="2889" totalsRowBorderDxfId="2888">
  <autoFilter ref="A9:K92" xr:uid="{3227F2BD-2C9D-4FFF-9F44-8C9E66133B6C}"/>
  <sortState xmlns:xlrd2="http://schemas.microsoft.com/office/spreadsheetml/2017/richdata2" ref="A10:K86">
    <sortCondition ref="B80:B86"/>
  </sortState>
  <tableColumns count="11">
    <tableColumn id="1" xr3:uid="{33F8AFE5-3741-4E68-A36B-7C527E1AE683}" name="Số phiếu" dataDxfId="2887"/>
    <tableColumn id="2" xr3:uid="{D40C326A-3579-4543-BF17-114793541276}" name="Ngày_x000a_ tháng" dataDxfId="2886"/>
    <tableColumn id="3" xr3:uid="{DD25BB73-EA76-4893-82E7-9741E7FF0C82}" name="Nội dung" dataDxfId="2885"/>
    <tableColumn id="12" xr3:uid="{512A1A08-99A4-440F-AF55-934E1A038E6B}" name="Chủng loại" dataDxfId="2884"/>
    <tableColumn id="4" xr3:uid="{BF8CD7EB-5450-4A08-AE59-0DEEDEEAF370}" name="Quy cách" dataDxfId="2883"/>
    <tableColumn id="5" xr3:uid="{0762F4EA-18CA-4488-8C5E-87B77B261013}" name="SỐ LƯỢNG" dataDxfId="2882">
      <calculatedColumnFormula>1091+958+901</calculatedColumnFormula>
    </tableColumn>
    <tableColumn id="6" xr3:uid="{1BC2D659-A06A-4C96-BC6F-0BAB4F968244}" name="ĐƠN GIÁ" dataDxfId="2881"/>
    <tableColumn id="7" xr3:uid="{A6CB7DD9-16CB-4EEC-A959-BFC30DFC4759}" name="THÀNH TIỀN" dataDxfId="2880">
      <calculatedColumnFormula>E_Dac_ND[[#This Row],[ĐƠN GIÁ]]*E_Dac_ND[[#This Row],[SỐ LƯỢNG]]</calculatedColumnFormula>
    </tableColumn>
    <tableColumn id="8" xr3:uid="{0F914004-AEEB-4F66-B29B-5DAC69DDC8DE}" name="THANH TOÁN" dataDxfId="2879"/>
    <tableColumn id="9" xr3:uid="{8E92BC7F-74DA-44D1-8F85-E4B5A54D578A}" name="CÔNG NỢ_x000a_ CÒN LẠI" dataDxfId="2878">
      <calculatedColumnFormula>N(INDIRECT("R[-1]C", FALSE)) + E_Dac_ND[[#This Row],[THÀNH TIỀN]] - E_Dac_ND[[#This Row],[THANH TOÁN]]</calculatedColumnFormula>
    </tableColumn>
    <tableColumn id="10" xr3:uid="{BD07617B-2F78-4AC8-A9F7-042799C17B4C}" name="Ghi chú" dataDxfId="2877"/>
  </tableColumns>
  <tableStyleInfo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740D388C-B428-46D0-86E4-A58998E3DE6B}" name="Cty_Dai_Thuy" displayName="Cty_Dai_Thuy" ref="A9:K209" totalsRowShown="0" headerRowDxfId="2876" dataDxfId="2874" headerRowBorderDxfId="2875" tableBorderDxfId="2873" totalsRowBorderDxfId="2872">
  <autoFilter ref="A9:K209" xr:uid="{3227F2BD-2C9D-4FFF-9F44-8C9E66133B6C}"/>
  <sortState xmlns:xlrd2="http://schemas.microsoft.com/office/spreadsheetml/2017/richdata2" ref="A10:K206">
    <sortCondition ref="B196:B206"/>
  </sortState>
  <tableColumns count="11">
    <tableColumn id="1" xr3:uid="{91C070A2-571B-4EDE-9F62-500AA30E961D}" name="Số phiếu" dataDxfId="2871"/>
    <tableColumn id="2" xr3:uid="{CEB8ACEC-91D9-4389-B2D9-EAFC55130501}" name="Ngày_x000a_ tháng" dataDxfId="2870"/>
    <tableColumn id="3" xr3:uid="{078E1C2A-F809-4C39-805E-CDD36BFAA78E}" name="Nội dung" dataDxfId="2869"/>
    <tableColumn id="12" xr3:uid="{41016179-6C1E-4092-B901-24BBF062B150}" name="Chủng loại" dataDxfId="2868"/>
    <tableColumn id="4" xr3:uid="{308CB74F-D27D-45D6-BB60-6A7BC08BFA87}" name="Quy cách" dataDxfId="2867"/>
    <tableColumn id="5" xr3:uid="{83C5E9BE-E75F-46DC-8E5F-77E5BCAB6D2F}" name="SỐ LƯỢNG" dataDxfId="2866">
      <calculatedColumnFormula>1091+958+901</calculatedColumnFormula>
    </tableColumn>
    <tableColumn id="6" xr3:uid="{F04745B7-DF05-4617-A704-434459C7B9F0}" name="ĐƠN GIÁ" dataDxfId="2865"/>
    <tableColumn id="7" xr3:uid="{4D12A670-B2D7-4578-8DD7-1CBCF205C60C}" name="THÀNH TIỀN" dataDxfId="2864">
      <calculatedColumnFormula>Cty_Dai_Thuy[[#This Row],[ĐƠN GIÁ]]*Cty_Dai_Thuy[[#This Row],[SỐ LƯỢNG]]</calculatedColumnFormula>
    </tableColumn>
    <tableColumn id="8" xr3:uid="{E48CA34B-E329-4D67-9F23-7DAE754622F7}" name="THANH TOÁN" dataDxfId="2863"/>
    <tableColumn id="9" xr3:uid="{4EBD1FB2-2183-4EEA-A3DF-A37726C936C6}" name="CÔNG NỢ_x000a_ CÒN LẠI" dataDxfId="2862">
      <calculatedColumnFormula>N(INDIRECT("R[-1]C", FALSE)) + Cty_Dai_Thuy[[#This Row],[THÀNH TIỀN]] - Cty_Dai_Thuy[[#This Row],[THANH TOÁN]]</calculatedColumnFormula>
    </tableColumn>
    <tableColumn id="10" xr3:uid="{A00078E4-D66A-4A74-AA2C-7E927AE8615B}" name="Ghi chú" dataDxfId="2861"/>
  </tableColumns>
  <tableStyleInfo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BD34CBA7-F6BB-4241-9D73-13710E766D41}" name="Cty_Thien_Hoa_An" displayName="Cty_Thien_Hoa_An" ref="A9:K28" totalsRowShown="0" headerRowDxfId="2860" dataDxfId="2858" headerRowBorderDxfId="2859" tableBorderDxfId="2857" totalsRowBorderDxfId="2856">
  <autoFilter ref="A9:K28" xr:uid="{3227F2BD-2C9D-4FFF-9F44-8C9E66133B6C}"/>
  <tableColumns count="11">
    <tableColumn id="1" xr3:uid="{1F847DD6-91B0-4290-9DDC-83A805227E6D}" name="Số phiếu" dataDxfId="2855"/>
    <tableColumn id="2" xr3:uid="{CB99D515-5501-45A8-95EC-B0B92FFB95DB}" name="Ngày_x000a_ tháng" dataDxfId="2854"/>
    <tableColumn id="3" xr3:uid="{7955EB89-105C-41FA-9BCB-1217AF4F2C6D}" name="Nội dung" dataDxfId="2853"/>
    <tableColumn id="12" xr3:uid="{977C9750-9B48-439A-AD1C-AAA38E9C32B5}" name="Chủng loại" dataDxfId="2852"/>
    <tableColumn id="4" xr3:uid="{0D03C423-6A54-43D8-9236-00334FA3B9F7}" name="Quy cách" dataDxfId="2851"/>
    <tableColumn id="5" xr3:uid="{5F0FC68E-0051-4C13-9AF6-8E67286BE9E1}" name="SỐ LƯỢNG" dataDxfId="2850">
      <calculatedColumnFormula>1091+958+901</calculatedColumnFormula>
    </tableColumn>
    <tableColumn id="6" xr3:uid="{ABC84A2A-9307-43A4-85B6-C24F113A790F}" name="ĐƠN GIÁ" dataDxfId="2849"/>
    <tableColumn id="7" xr3:uid="{6F353F5C-2F22-4BC4-9160-6E06B807CD5B}" name="THÀNH TIỀN" dataDxfId="2848">
      <calculatedColumnFormula>Cty_Thien_Hoa_An[[#This Row],[ĐƠN GIÁ]]*Cty_Thien_Hoa_An[[#This Row],[SỐ LƯỢNG]]</calculatedColumnFormula>
    </tableColumn>
    <tableColumn id="8" xr3:uid="{77843B99-D7AC-40BF-9B38-AE1F260123C3}" name="THANH TOÁN" dataDxfId="2847"/>
    <tableColumn id="9" xr3:uid="{4B350414-ED13-427F-8A8B-56AD40B6BB7A}" name="CÔNG NỢ_x000a_ CÒN LẠI" dataDxfId="2846">
      <calculatedColumnFormula>J9+Cty_Thien_Hoa_An[[#This Row],[THÀNH TIỀN]]-Cty_Thien_Hoa_An[[#This Row],[THANH TOÁN]]</calculatedColumnFormula>
    </tableColumn>
    <tableColumn id="10" xr3:uid="{C8496D73-3E83-4BEC-A13F-94C5D1CB250E}" name="Ghi chú" dataDxfId="2845"/>
  </tableColumns>
  <tableStyleInfo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AF786AD4-8E2F-491B-8586-1153F0DE8404}" name="E_Quan_CMy" displayName="E_Quan_CMy" ref="A9:K20" totalsRowShown="0" headerRowDxfId="2844" dataDxfId="2842" headerRowBorderDxfId="2843" tableBorderDxfId="2841" totalsRowBorderDxfId="2840">
  <autoFilter ref="A9:K20" xr:uid="{3227F2BD-2C9D-4FFF-9F44-8C9E66133B6C}"/>
  <sortState xmlns:xlrd2="http://schemas.microsoft.com/office/spreadsheetml/2017/richdata2" ref="A10:K18">
    <sortCondition ref="B15:B18"/>
  </sortState>
  <tableColumns count="11">
    <tableColumn id="1" xr3:uid="{85F45C56-FC34-4353-B684-EFB67D28AB53}" name="Số phiếu" dataDxfId="2839"/>
    <tableColumn id="2" xr3:uid="{57D82DBF-E295-458B-9F9A-F5DB0A391A86}" name="Ngày_x000a_ tháng" dataDxfId="2838"/>
    <tableColumn id="3" xr3:uid="{B2CF83E4-89C9-44BB-90BA-9909FC913515}" name="Nội dung" dataDxfId="2837"/>
    <tableColumn id="12" xr3:uid="{FAEC41AD-AEA4-49DA-B73F-4B44F70F4379}" name="Chủng loại" dataDxfId="2836"/>
    <tableColumn id="4" xr3:uid="{50650ACF-59FD-4A34-848C-897DCE7386CB}" name="Quy cách" dataDxfId="2835"/>
    <tableColumn id="5" xr3:uid="{4BCC41E3-871C-4012-830E-15F3388F7FD9}" name="SỐ LƯỢNG" dataDxfId="2834">
      <calculatedColumnFormula>1091+958+901</calculatedColumnFormula>
    </tableColumn>
    <tableColumn id="6" xr3:uid="{3B66DFFD-9B9E-4518-AE5A-9F383A3A517E}" name="ĐƠN GIÁ" dataDxfId="2833"/>
    <tableColumn id="7" xr3:uid="{FCBA5220-D0E8-462C-B1C4-0B6988495E31}" name="THÀNH TIỀN" dataDxfId="2832">
      <calculatedColumnFormula>E_Quan_CMy[[#This Row],[ĐƠN GIÁ]]*E_Quan_CMy[[#This Row],[SỐ LƯỢNG]]</calculatedColumnFormula>
    </tableColumn>
    <tableColumn id="8" xr3:uid="{BBAC290A-D01C-4780-9B7B-EA4923647669}" name="THANH TOÁN" dataDxfId="2831"/>
    <tableColumn id="9" xr3:uid="{8D37B188-202A-4681-BD7E-EE3471B34F55}" name="CÔNG NỢ_x000a_ CÒN LẠI" dataDxfId="2830">
      <calculatedColumnFormula>J9+E_Quan_CMy[[#This Row],[THÀNH TIỀN]]-E_Quan_CMy[[#This Row],[THANH TOÁN]]</calculatedColumnFormula>
    </tableColumn>
    <tableColumn id="10" xr3:uid="{3CD8B538-A401-4AD4-AF2A-CC4FE184A70A}" name="Ghi chú" dataDxfId="2829"/>
  </tableColumns>
  <tableStyleInfo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47C08091-0E70-4FE9-A84E-21B0C69082D5}" name="A_Trung" displayName="A_Trung" ref="A9:K140" totalsRowShown="0" headerRowDxfId="2828" dataDxfId="2826" headerRowBorderDxfId="2827" tableBorderDxfId="2825" totalsRowBorderDxfId="2824">
  <autoFilter ref="A9:K140" xr:uid="{3227F2BD-2C9D-4FFF-9F44-8C9E66133B6C}"/>
  <sortState xmlns:xlrd2="http://schemas.microsoft.com/office/spreadsheetml/2017/richdata2" ref="A10:K131">
    <sortCondition ref="B101:B131"/>
  </sortState>
  <tableColumns count="11">
    <tableColumn id="1" xr3:uid="{897161B3-A629-4031-ABC6-E5014255F308}" name="Số phiếu" dataDxfId="2823"/>
    <tableColumn id="2" xr3:uid="{502499B1-33F5-4275-92CF-F5DCAC2B40B8}" name="Ngày_x000a_ tháng" dataDxfId="2822"/>
    <tableColumn id="3" xr3:uid="{84B89F33-17D2-4DBD-8922-495A95B5B773}" name="Nội dung" dataDxfId="2821"/>
    <tableColumn id="12" xr3:uid="{E8C57C53-E7ED-4BE0-A6F3-1BFF8C8E32A8}" name="Chủng loại" dataDxfId="2820"/>
    <tableColumn id="4" xr3:uid="{14AF56A1-6BE8-45B4-B183-53CDFC59A433}" name="Quy cách" dataDxfId="2819"/>
    <tableColumn id="5" xr3:uid="{32351786-55F7-4528-AC4C-8FA13DBD1422}" name="SỐ LƯỢNG" dataDxfId="2818">
      <calculatedColumnFormula>1091+958+901</calculatedColumnFormula>
    </tableColumn>
    <tableColumn id="6" xr3:uid="{473F70B0-423A-4BEF-8442-A698CA618B6E}" name="ĐƠN GIÁ" dataDxfId="2817"/>
    <tableColumn id="7" xr3:uid="{9E0CE2CA-B6F3-4333-8E34-17F57E3BD1E3}" name="THÀNH TIỀN" dataDxfId="2816">
      <calculatedColumnFormula>A_Trung[[#This Row],[ĐƠN GIÁ]]*A_Trung[[#This Row],[SỐ LƯỢNG]]</calculatedColumnFormula>
    </tableColumn>
    <tableColumn id="8" xr3:uid="{1435EE0E-09EF-415F-8185-3E6396202DFD}" name="THANH TOÁN" dataDxfId="2815"/>
    <tableColumn id="9" xr3:uid="{DACBDB7A-A7BC-4424-83AF-FD7C826566A9}" name="CÔNG NỢ_x000a_ CÒN LẠI" dataDxfId="2814">
      <calculatedColumnFormula>N(INDIRECT("R[-1]C", FALSE)) + A_Trung[[#This Row],[THÀNH TIỀN]] - A_Trung[[#This Row],[THANH TOÁN]]</calculatedColumnFormula>
    </tableColumn>
    <tableColumn id="10" xr3:uid="{FF4D5E94-48B6-4687-8065-EEA715CB7E6E}" name="Ghi chú" dataDxfId="2813"/>
  </tableColumns>
  <tableStyleInfo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32E709EB-A7E6-4395-B070-CA8E7852523E}" name="Cty_Tan_Dat" displayName="Cty_Tan_Dat" ref="A9:K80" totalsRowShown="0" headerRowDxfId="2812" dataDxfId="2810" headerRowBorderDxfId="2811" tableBorderDxfId="2809" totalsRowBorderDxfId="2808">
  <autoFilter ref="A9:K80" xr:uid="{3227F2BD-2C9D-4FFF-9F44-8C9E66133B6C}"/>
  <sortState xmlns:xlrd2="http://schemas.microsoft.com/office/spreadsheetml/2017/richdata2" ref="A10:K68">
    <sortCondition ref="B58:B68"/>
  </sortState>
  <tableColumns count="11">
    <tableColumn id="1" xr3:uid="{A0BC599F-A521-4A6E-9CD4-EB20604780ED}" name="Số phiếu" dataDxfId="2807"/>
    <tableColumn id="2" xr3:uid="{74DDF9D9-169C-45D7-9727-CD45F578838A}" name="Ngày_x000a_ tháng" dataDxfId="2806"/>
    <tableColumn id="3" xr3:uid="{B53A4ED2-D81C-4501-9D33-2D4FDB29EA71}" name="Nội dung" dataDxfId="2805"/>
    <tableColumn id="12" xr3:uid="{BF391CC5-9BF4-4CFC-B382-2F27E9ABF822}" name="Chủng loại" dataDxfId="2804"/>
    <tableColumn id="4" xr3:uid="{B71168BF-E697-4AC6-8E47-3DC9245EF1E9}" name="Quy cách" dataDxfId="2803"/>
    <tableColumn id="5" xr3:uid="{61F318E0-5939-4C9F-BADE-9BFBD63616BD}" name="SỐ LƯỢNG" dataDxfId="2802">
      <calculatedColumnFormula>1091+958+901</calculatedColumnFormula>
    </tableColumn>
    <tableColumn id="6" xr3:uid="{195D5969-8CA3-45D4-A41F-31B14D27CF87}" name="ĐƠN GIÁ" dataDxfId="2801"/>
    <tableColumn id="7" xr3:uid="{B14A3F16-BEFB-495C-80F6-FA0D3B4A579C}" name="THÀNH TIỀN" dataDxfId="2800">
      <calculatedColumnFormula>Cty_Tan_Dat[[#This Row],[ĐƠN GIÁ]]*Cty_Tan_Dat[[#This Row],[SỐ LƯỢNG]]</calculatedColumnFormula>
    </tableColumn>
    <tableColumn id="8" xr3:uid="{62431787-8447-4871-8D1A-69FC845ABC1B}" name="THANH TOÁN" dataDxfId="2799"/>
    <tableColumn id="9" xr3:uid="{5F365828-600B-45BD-BE97-A7F048E08CE0}" name="CÔNG NỢ_x000a_ CÒN LẠI" dataDxfId="2798">
      <calculatedColumnFormula>J9+Cty_Tan_Dat[[#This Row],[THÀNH TIỀN]]-Cty_Tan_Dat[[#This Row],[THANH TOÁN]]</calculatedColumnFormula>
    </tableColumn>
    <tableColumn id="10" xr3:uid="{9AD04CEF-B1A8-4424-BAD2-E458101DCA37}" name="Ghi chú" dataDxfId="2797"/>
  </tableColumns>
  <tableStyleInfo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86690421-724E-4B96-81BD-AE5D19B3DD34}" name="Cty_Anh_Duong" displayName="Cty_Anh_Duong" ref="A9:K35" totalsRowShown="0" headerRowDxfId="2796" dataDxfId="2794" headerRowBorderDxfId="2795" tableBorderDxfId="2793" totalsRowBorderDxfId="2792">
  <autoFilter ref="A9:K35" xr:uid="{3227F2BD-2C9D-4FFF-9F44-8C9E66133B6C}"/>
  <sortState xmlns:xlrd2="http://schemas.microsoft.com/office/spreadsheetml/2017/richdata2" ref="A10:K28">
    <sortCondition ref="B10:B28"/>
  </sortState>
  <tableColumns count="11">
    <tableColumn id="1" xr3:uid="{0EA00D76-ADB0-4180-9B98-64213DAE28D2}" name="Số phiếu" dataDxfId="2791"/>
    <tableColumn id="2" xr3:uid="{A46A3F5E-1414-43A3-83A7-D888AFAA3470}" name="Ngày_x000a_ tháng" dataDxfId="2790"/>
    <tableColumn id="3" xr3:uid="{D8EC69E6-8300-4792-8830-2F5F01E8E3EC}" name="Nội dung" dataDxfId="2789"/>
    <tableColumn id="12" xr3:uid="{A57AC334-98A8-4B4C-BC20-46598AFC24C7}" name="Chủng loại" dataDxfId="2788"/>
    <tableColumn id="4" xr3:uid="{705E0957-A6C4-49FF-AE9A-CC09640F844E}" name="Quy cách" dataDxfId="2787"/>
    <tableColumn id="5" xr3:uid="{0CBEAD92-9D81-438D-B4D6-A8A11E9D7AF3}" name="SỐ LƯỢNG" dataDxfId="2786">
      <calculatedColumnFormula>1091+958+901</calculatedColumnFormula>
    </tableColumn>
    <tableColumn id="6" xr3:uid="{E887D44E-03D7-40D2-95FD-B561566BC034}" name="ĐƠN GIÁ" dataDxfId="2785"/>
    <tableColumn id="7" xr3:uid="{AB976E4A-654D-4BEA-A4EC-789C160A4AC8}" name="THÀNH TIỀN" dataDxfId="2784">
      <calculatedColumnFormula>Cty_Anh_Duong[[#This Row],[ĐƠN GIÁ]]*Cty_Anh_Duong[[#This Row],[SỐ LƯỢNG]]</calculatedColumnFormula>
    </tableColumn>
    <tableColumn id="8" xr3:uid="{0EE58E43-CB85-45C1-88BD-D05C7C4B2F36}" name="THANH TOÁN" dataDxfId="2783"/>
    <tableColumn id="9" xr3:uid="{34CC06FB-9C0A-4485-97A7-4FE15481AA4B}" name="CÔNG NỢ_x000a_ CÒN LẠI" dataDxfId="2782">
      <calculatedColumnFormula>J9+Cty_Anh_Duong[[#This Row],[THÀNH TIỀN]]-Cty_Anh_Duong[[#This Row],[THANH TOÁN]]</calculatedColumnFormula>
    </tableColumn>
    <tableColumn id="10" xr3:uid="{060D8F23-BB98-4BEF-A90D-8C9F4248E1A8}" name="Ghi chú" dataDxfId="2781"/>
  </tableColumns>
  <tableStyleInfo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AFE1964A-DD20-4667-9DB3-43657B9A63E8}" name="E_Hoai_ND" displayName="E_Hoai_ND" ref="A9:K94" totalsRowShown="0" headerRowDxfId="2780" dataDxfId="2778" headerRowBorderDxfId="2779" tableBorderDxfId="2777" totalsRowBorderDxfId="2776">
  <autoFilter ref="A9:K94" xr:uid="{3227F2BD-2C9D-4FFF-9F44-8C9E66133B6C}"/>
  <sortState xmlns:xlrd2="http://schemas.microsoft.com/office/spreadsheetml/2017/richdata2" ref="A10:K87">
    <sortCondition ref="B12:B87"/>
  </sortState>
  <tableColumns count="11">
    <tableColumn id="1" xr3:uid="{D93FAEA3-B23A-4FC4-83A1-AE276C3C5D3A}" name="Số phiếu" dataDxfId="2775"/>
    <tableColumn id="2" xr3:uid="{1387F580-D1CC-44E0-8CA5-AF71A314121A}" name="Ngày_x000a_ tháng" dataDxfId="2774"/>
    <tableColumn id="3" xr3:uid="{D3E1E1C6-8CB0-4234-B06B-2426CA8092CF}" name="Nội dung" dataDxfId="2773"/>
    <tableColumn id="12" xr3:uid="{2D11F12D-4A93-4CBD-8E97-3471BE832420}" name="Chủng loại" dataDxfId="2772"/>
    <tableColumn id="4" xr3:uid="{9CB1CDF2-920F-40B4-95C9-A31CFE1DC015}" name="Quy cách" dataDxfId="2771"/>
    <tableColumn id="5" xr3:uid="{D011A076-7CBD-40BC-8050-B33FAA06EDC1}" name="SỐ LƯỢNG" dataDxfId="2770">
      <calculatedColumnFormula>1091+958+901</calculatedColumnFormula>
    </tableColumn>
    <tableColumn id="6" xr3:uid="{4AE8BC1F-2CED-4AE8-8CD9-1548DF9B4E04}" name="ĐƠN GIÁ" dataDxfId="2769"/>
    <tableColumn id="7" xr3:uid="{CA441EE5-FFFB-4834-9EB9-EDD3489572A3}" name="THÀNH TIỀN" dataDxfId="2768">
      <calculatedColumnFormula>E_Hoai_ND[[#This Row],[ĐƠN GIÁ]]*E_Hoai_ND[[#This Row],[SỐ LƯỢNG]]</calculatedColumnFormula>
    </tableColumn>
    <tableColumn id="8" xr3:uid="{049A5B09-1663-4CA5-AD6E-016206AEA52A}" name="THANH TOÁN" dataDxfId="2767"/>
    <tableColumn id="9" xr3:uid="{4BB11DC5-969E-442B-94C2-71B4BC73FE5C}" name="CÔNG NỢ_x000a_ CÒN LẠI" dataDxfId="2766">
      <calculatedColumnFormula>J9+E_Hoai_ND[[#This Row],[THÀNH TIỀN]]-E_Hoai_ND[[#This Row],[THANH TOÁN]]</calculatedColumnFormula>
    </tableColumn>
    <tableColumn id="10" xr3:uid="{E039468A-577C-453C-921B-71DEE67D3A06}" name="Ghi chú" dataDxfId="2765"/>
  </tableColumns>
  <tableStyleInfo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33275617-0AD4-45CB-9B04-C51E53AE28FD}" name="E_Mao_NB" displayName="E_Mao_NB" ref="A9:K21" totalsRowShown="0" headerRowDxfId="2764" dataDxfId="2762" headerRowBorderDxfId="2763" tableBorderDxfId="2761" totalsRowBorderDxfId="2760">
  <autoFilter ref="A9:K21" xr:uid="{3227F2BD-2C9D-4FFF-9F44-8C9E66133B6C}"/>
  <tableColumns count="11">
    <tableColumn id="1" xr3:uid="{A9079C2A-FE72-4D35-8991-F845580B041A}" name="Số phiếu" dataDxfId="2759"/>
    <tableColumn id="2" xr3:uid="{435A12D5-9C36-4C19-8777-5A7F521F9B87}" name="Ngày_x000a_ tháng" dataDxfId="2758"/>
    <tableColumn id="3" xr3:uid="{917EDF15-9AC1-4C3E-9DE5-AB39AE9E02A9}" name="Nội dung" dataDxfId="2757"/>
    <tableColumn id="12" xr3:uid="{CCF7A33C-E0CF-4495-9DE7-EC71A606ACE1}" name="Chủng loại" dataDxfId="2756"/>
    <tableColumn id="4" xr3:uid="{E453FB38-F44B-42A5-9F8F-C2EB1840BAEF}" name="Quy cách" dataDxfId="2755"/>
    <tableColumn id="5" xr3:uid="{E95117B2-0859-424F-B3E9-A758A488E071}" name="SỐ LƯỢNG" dataDxfId="2754">
      <calculatedColumnFormula>1091+958+901</calculatedColumnFormula>
    </tableColumn>
    <tableColumn id="6" xr3:uid="{8AE9449C-C03F-445A-995D-F2F984D86B72}" name="ĐƠN GIÁ" dataDxfId="2753"/>
    <tableColumn id="7" xr3:uid="{37D38A60-623B-40B7-8AB2-6A34F0EEE4D3}" name="THÀNH TIỀN" dataDxfId="2752">
      <calculatedColumnFormula>E_Mao_NB[[#This Row],[ĐƠN GIÁ]]*E_Mao_NB[[#This Row],[SỐ LƯỢNG]]</calculatedColumnFormula>
    </tableColumn>
    <tableColumn id="8" xr3:uid="{2D13ECA2-A215-4D1F-9684-7C0DE7C3A625}" name="THANH TOÁN" dataDxfId="2751"/>
    <tableColumn id="9" xr3:uid="{46F3779B-3A9E-4767-9F82-E80199F8A723}" name="CÔNG NỢ_x000a_ CÒN LẠI" dataDxfId="2750">
      <calculatedColumnFormula>J9+E_Mao_NB[[#This Row],[THÀNH TIỀN]]-E_Mao_NB[[#This Row],[THANH TOÁN]]</calculatedColumnFormula>
    </tableColumn>
    <tableColumn id="10" xr3:uid="{64030C0A-715E-467F-9BD3-72659675DD5F}" name="Ghi chú" dataDxfId="2749"/>
  </tableColumns>
  <tableStyleInfo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70DBDD63-1940-404D-8615-B4AD5B1967E8}" name="Cty_Minh_Tien" displayName="Cty_Minh_Tien" ref="A9:K15" totalsRowShown="0" headerRowDxfId="2748" dataDxfId="2746" headerRowBorderDxfId="2747" tableBorderDxfId="2745" totalsRowBorderDxfId="2744">
  <autoFilter ref="A9:K15" xr:uid="{3227F2BD-2C9D-4FFF-9F44-8C9E66133B6C}"/>
  <tableColumns count="11">
    <tableColumn id="1" xr3:uid="{75744A8A-2780-496E-93D6-4392B7F4A7BA}" name="Số phiếu" dataDxfId="2743"/>
    <tableColumn id="2" xr3:uid="{50975E92-031E-4028-A2D4-5D6B0E58A53C}" name="Ngày_x000a_ tháng" dataDxfId="2742"/>
    <tableColumn id="3" xr3:uid="{5D89436B-1311-4E5E-AB28-30512EBB0B7A}" name="Nội dung" dataDxfId="2741"/>
    <tableColumn id="12" xr3:uid="{C73143B2-AE12-45D7-9B92-F4E55A5E80D4}" name="Chủng loại" dataDxfId="2740"/>
    <tableColumn id="4" xr3:uid="{65ABAB38-3191-4621-B9DF-CDA2F9225E9A}" name="Quy cách" dataDxfId="2739"/>
    <tableColumn id="5" xr3:uid="{7367C11C-95BB-490D-86E4-E277B36554A2}" name="SỐ LƯỢNG" dataDxfId="2738">
      <calculatedColumnFormula>1091+958+901</calculatedColumnFormula>
    </tableColumn>
    <tableColumn id="6" xr3:uid="{85D256FB-1508-413E-9A63-D07D8E2FB00F}" name="ĐƠN GIÁ" dataDxfId="2737"/>
    <tableColumn id="7" xr3:uid="{265A2461-1758-4C13-8AC2-B5361A2B8966}" name="THÀNH TIỀN" dataDxfId="2736">
      <calculatedColumnFormula>Cty_Minh_Tien[[#This Row],[ĐƠN GIÁ]]*Cty_Minh_Tien[[#This Row],[SỐ LƯỢNG]]</calculatedColumnFormula>
    </tableColumn>
    <tableColumn id="8" xr3:uid="{2D147130-AB11-48B8-8DF5-7AB0576992DC}" name="THANH TOÁN" dataDxfId="2735"/>
    <tableColumn id="9" xr3:uid="{5C59BFCA-027B-4644-95D8-E82C157919C9}" name="CÔNG NỢ_x000a_ CÒN LẠI" dataDxfId="2734">
      <calculatedColumnFormula>J9+Cty_Minh_Tien[[#This Row],[THÀNH TIỀN]]-Cty_Minh_Tien[[#This Row],[THANH TOÁN]]</calculatedColumnFormula>
    </tableColumn>
    <tableColumn id="10" xr3:uid="{8E70A631-A1C0-4836-A125-6827E9393A27}" name="Ghi chú" dataDxfId="2733"/>
  </tableColumns>
  <tableStyleInfo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2AD941CF-1651-4339-B06B-BE88C40C4DA2}" name="C_Hung_HP" displayName="C_Hung_HP" ref="A9:K54" totalsRowShown="0" headerRowDxfId="2732" dataDxfId="2730" headerRowBorderDxfId="2731" tableBorderDxfId="2729" totalsRowBorderDxfId="2728">
  <autoFilter ref="A9:K54" xr:uid="{3227F2BD-2C9D-4FFF-9F44-8C9E66133B6C}"/>
  <sortState xmlns:xlrd2="http://schemas.microsoft.com/office/spreadsheetml/2017/richdata2" ref="A10:K47">
    <sortCondition ref="B34:B47"/>
  </sortState>
  <tableColumns count="11">
    <tableColumn id="1" xr3:uid="{C76C3B76-D98B-4F04-9095-251EC9234ABC}" name="Số phiếu" dataDxfId="2727"/>
    <tableColumn id="2" xr3:uid="{99F7AE68-2761-4433-96F2-3644561860AD}" name="Ngày_x000a_ tháng" dataDxfId="2726"/>
    <tableColumn id="3" xr3:uid="{8E67B538-7FF3-4B8B-B2DC-04DC3260AA1E}" name="Nội dung" dataDxfId="2725"/>
    <tableColumn id="12" xr3:uid="{EF307FA5-CB1E-4C06-B399-75EB16C98CAF}" name="Chủng loại" dataDxfId="2724"/>
    <tableColumn id="4" xr3:uid="{CB7A8CBD-DAC3-4954-BA37-44BDC4456D5B}" name="Quy cách" dataDxfId="2723"/>
    <tableColumn id="5" xr3:uid="{F55C5755-E10E-4679-A972-B09C3F96822D}" name="SỐ LƯỢNG" dataDxfId="2722">
      <calculatedColumnFormula>1091+958+901</calculatedColumnFormula>
    </tableColumn>
    <tableColumn id="6" xr3:uid="{922DAFAC-D20B-4E1B-9127-98D50ADF74A3}" name="ĐƠN GIÁ" dataDxfId="2721"/>
    <tableColumn id="7" xr3:uid="{3ED008E4-81C8-485C-8084-C7DDBA16F07F}" name="THÀNH TIỀN" dataDxfId="2720">
      <calculatedColumnFormula>C_Hung_HP[[#This Row],[ĐƠN GIÁ]]*C_Hung_HP[[#This Row],[SỐ LƯỢNG]]</calculatedColumnFormula>
    </tableColumn>
    <tableColumn id="8" xr3:uid="{7D28E86D-7A49-48D1-9DA2-AC4B1C9A3032}" name="THANH TOÁN" dataDxfId="2719"/>
    <tableColumn id="9" xr3:uid="{0A07036A-7F08-4292-9DD6-FC2919B64ECE}" name="CÔNG NỢ_x000a_ CÒN LẠI" dataDxfId="2718">
      <calculatedColumnFormula>J9+C_Hung_HP[[#This Row],[THÀNH TIỀN]]-C_Hung_HP[[#This Row],[THANH TOÁN]]</calculatedColumnFormula>
    </tableColumn>
    <tableColumn id="10" xr3:uid="{4882C0C5-3C96-46FC-8121-B17CC55059B4}" name="Ghi chú" dataDxfId="2717"/>
  </tableColumns>
  <tableStyleInfo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D445D1C4-E326-4D8D-B318-8FD7BB40ED3C}" name="C_Thuyen_Cty_Gia_Hung" displayName="C_Thuyen_Cty_Gia_Hung" ref="A9:K37" totalsRowShown="0" headerRowDxfId="2716" dataDxfId="2714" headerRowBorderDxfId="2715" tableBorderDxfId="2713" totalsRowBorderDxfId="2712">
  <autoFilter ref="A9:K37" xr:uid="{3227F2BD-2C9D-4FFF-9F44-8C9E66133B6C}"/>
  <sortState xmlns:xlrd2="http://schemas.microsoft.com/office/spreadsheetml/2017/richdata2" ref="A10:K31">
    <sortCondition ref="B20:B31"/>
  </sortState>
  <tableColumns count="11">
    <tableColumn id="1" xr3:uid="{B9044ADF-832D-4AFC-AA46-C50050066053}" name="Số phiếu" dataDxfId="2711"/>
    <tableColumn id="2" xr3:uid="{8A9B5D73-07A6-43BA-A439-AF532E4352C3}" name="Ngày_x000a_ tháng" dataDxfId="2710"/>
    <tableColumn id="3" xr3:uid="{EB200EB3-A62C-4D44-9686-92B0460BED10}" name="Nội dung" dataDxfId="2709"/>
    <tableColumn id="12" xr3:uid="{17229EEC-A7EA-4AFA-8055-9A28FCE3F1C0}" name="Chủng loại" dataDxfId="2708"/>
    <tableColumn id="4" xr3:uid="{DEE474A3-5F50-4462-AF4E-8D35D7AA7D2E}" name="Quy cách" dataDxfId="2707"/>
    <tableColumn id="5" xr3:uid="{C29AA488-0AD1-4FC5-B0B9-2A071B2018C6}" name="SỐ LƯỢNG" dataDxfId="2706">
      <calculatedColumnFormula>1091+958+901</calculatedColumnFormula>
    </tableColumn>
    <tableColumn id="6" xr3:uid="{6B2C309E-B796-4A56-A39E-762CF7F21DF6}" name="ĐƠN GIÁ" dataDxfId="2705"/>
    <tableColumn id="7" xr3:uid="{10199C77-3A04-4B32-82B1-940A5075356F}" name="THÀNH TIỀN" dataDxfId="2704">
      <calculatedColumnFormula>C_Thuyen_Cty_Gia_Hung[[#This Row],[ĐƠN GIÁ]]*C_Thuyen_Cty_Gia_Hung[[#This Row],[SỐ LƯỢNG]]</calculatedColumnFormula>
    </tableColumn>
    <tableColumn id="8" xr3:uid="{7F273431-444D-4FFF-AD87-4833D8FA6A90}" name="THANH TOÁN" dataDxfId="2703"/>
    <tableColumn id="9" xr3:uid="{5900A7AD-E6A8-4D41-8F50-B1237DB9EA90}" name="CÔNG NỢ_x000a_ CÒN LẠI" dataDxfId="2702">
      <calculatedColumnFormula>J9+C_Thuyen_Cty_Gia_Hung[[#This Row],[THÀNH TIỀN]]-C_Thuyen_Cty_Gia_Hung[[#This Row],[THANH TOÁN]]</calculatedColumnFormula>
    </tableColumn>
    <tableColumn id="10" xr3:uid="{02E52A76-5550-47C3-80CA-C5E096371A94}" name="Ghi chú" dataDxfId="2701"/>
  </tableColumns>
  <tableStyleInfo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CBE62653-9AC5-48B1-AC89-728355DB8ED9}" name="Cty_Dai_Dong" displayName="Cty_Dai_Dong" ref="A9:K42" totalsRowShown="0" headerRowDxfId="2700" dataDxfId="2698" headerRowBorderDxfId="2699" tableBorderDxfId="2697" totalsRowBorderDxfId="2696">
  <autoFilter ref="A9:K42" xr:uid="{3227F2BD-2C9D-4FFF-9F44-8C9E66133B6C}"/>
  <tableColumns count="11">
    <tableColumn id="1" xr3:uid="{3BDC1300-59F8-44C4-942F-8A610B5E8C6D}" name="Số phiếu" dataDxfId="2695"/>
    <tableColumn id="2" xr3:uid="{B48932C4-BEC2-4ADA-B442-0DFCFD4BDF95}" name="Ngày_x000a_ tháng" dataDxfId="2694"/>
    <tableColumn id="3" xr3:uid="{3F049931-E1C3-459B-B6DA-9C9D4ACDB0D1}" name="Nội dung" dataDxfId="2693"/>
    <tableColumn id="12" xr3:uid="{10EFA35A-8404-438A-B806-6F08B0710FF4}" name="Chủng loại" dataDxfId="2692"/>
    <tableColumn id="4" xr3:uid="{FB85A073-913D-4387-BBAF-1941685B4351}" name="Quy cách" dataDxfId="2691"/>
    <tableColumn id="5" xr3:uid="{10575FA9-DCB2-4FD4-AAC4-C67A9DEEDC7F}" name="SỐ LƯỢNG" dataDxfId="2690">
      <calculatedColumnFormula>1091+958+901</calculatedColumnFormula>
    </tableColumn>
    <tableColumn id="6" xr3:uid="{D0BFF45B-1271-4913-A923-4B2DFE78F7DB}" name="ĐƠN GIÁ" dataDxfId="2689"/>
    <tableColumn id="7" xr3:uid="{2CE5F596-9FEE-49A1-8D4E-C4E7420D463D}" name="THÀNH TIỀN" dataDxfId="2688">
      <calculatedColumnFormula>Cty_Dai_Dong[[#This Row],[ĐƠN GIÁ]]*Cty_Dai_Dong[[#This Row],[SỐ LƯỢNG]]</calculatedColumnFormula>
    </tableColumn>
    <tableColumn id="8" xr3:uid="{068F4A0D-BD7A-49A9-B45B-C3AF6CA2540E}" name="THANH TOÁN" dataDxfId="2687"/>
    <tableColumn id="9" xr3:uid="{AA47F77E-A0A9-4F46-B52A-52DDFCB87EFE}" name="CÔNG NỢ_x000a_ CÒN LẠI" dataDxfId="2686">
      <calculatedColumnFormula>J9+Cty_Dai_Dong[[#This Row],[THÀNH TIỀN]]-Cty_Dai_Dong[[#This Row],[THANH TOÁN]]</calculatedColumnFormula>
    </tableColumn>
    <tableColumn id="10" xr3:uid="{410528DA-1504-4D8F-A464-50C4AC7D7BC4}" name="Ghi chú" dataDxfId="2685"/>
  </tableColumns>
  <tableStyleInfo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9CDF90F8-CB06-4844-B2CD-278503CBDAB5}" name="Cty_Tan_Tien" displayName="Cty_Tan_Tien" ref="A9:K18" totalsRowShown="0" headerRowDxfId="2684" dataDxfId="2682" headerRowBorderDxfId="2683" tableBorderDxfId="2681" totalsRowBorderDxfId="2680">
  <autoFilter ref="A9:K18" xr:uid="{3227F2BD-2C9D-4FFF-9F44-8C9E66133B6C}"/>
  <tableColumns count="11">
    <tableColumn id="1" xr3:uid="{F6FA7257-98BB-45DE-8C7B-D23C16D90495}" name="Số phiếu" dataDxfId="2679"/>
    <tableColumn id="2" xr3:uid="{6626CCD6-C257-43C3-B127-18E1B24D9E62}" name="Ngày_x000a_ tháng" dataDxfId="2678"/>
    <tableColumn id="3" xr3:uid="{8646E78C-65F7-429F-9F59-A5C3AEAB7DFB}" name="Nội dung" dataDxfId="2677"/>
    <tableColumn id="12" xr3:uid="{D58F37FB-F19D-4377-9DA9-5C4C944D396E}" name="Chủng loại" dataDxfId="2676"/>
    <tableColumn id="4" xr3:uid="{79FA41B8-E783-423E-B4CF-D93CE54CDA1B}" name="Quy cách" dataDxfId="2675"/>
    <tableColumn id="5" xr3:uid="{6D00D64D-6130-4539-89D3-F6334FBBEF89}" name="SỐ LƯỢNG" dataDxfId="2674">
      <calculatedColumnFormula>1091+958+901</calculatedColumnFormula>
    </tableColumn>
    <tableColumn id="6" xr3:uid="{D95D3895-9978-4BB8-BD87-6A363BAEAAC1}" name="ĐƠN GIÁ" dataDxfId="2673"/>
    <tableColumn id="7" xr3:uid="{87BDEDE5-B6BE-4F9E-9A0C-39B4726CF418}" name="THÀNH TIỀN" dataDxfId="2672">
      <calculatedColumnFormula>Cty_Tan_Tien[[#This Row],[ĐƠN GIÁ]]*Cty_Tan_Tien[[#This Row],[SỐ LƯỢNG]]</calculatedColumnFormula>
    </tableColumn>
    <tableColumn id="8" xr3:uid="{8885DC0F-2EA5-4010-9F1D-37F0B9202230}" name="THANH TOÁN" dataDxfId="2671"/>
    <tableColumn id="9" xr3:uid="{59198967-3B59-40CE-B054-EC3CE3D90C2A}" name="CÔNG NỢ_x000a_ CÒN LẠI" dataDxfId="2670">
      <calculatedColumnFormula>J9+Cty_Tan_Tien[[#This Row],[THÀNH TIỀN]]-Cty_Tan_Tien[[#This Row],[THANH TOÁN]]</calculatedColumnFormula>
    </tableColumn>
    <tableColumn id="10" xr3:uid="{A11043D5-48A8-48F2-ACFA-A7135893F173}" name="Ghi chú" dataDxfId="2669"/>
  </tableColumns>
  <tableStyleInfo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37F9FF29-460D-423E-9940-EE1F774E9CBC}" name="Cty_Thien_An" displayName="Cty_Thien_An" ref="A9:K34" totalsRowShown="0" headerRowDxfId="2668" dataDxfId="2666" headerRowBorderDxfId="2667" tableBorderDxfId="2665" totalsRowBorderDxfId="2664">
  <autoFilter ref="A9:K34" xr:uid="{3227F2BD-2C9D-4FFF-9F44-8C9E66133B6C}"/>
  <sortState xmlns:xlrd2="http://schemas.microsoft.com/office/spreadsheetml/2017/richdata2" ref="A10:K29">
    <sortCondition ref="B10:B29"/>
  </sortState>
  <tableColumns count="11">
    <tableColumn id="1" xr3:uid="{1FA61638-9ECA-47CD-9E98-01751F44B993}" name="Số phiếu" dataDxfId="2663"/>
    <tableColumn id="2" xr3:uid="{BC02C0DC-98DD-4EB8-A611-5152ABC40DB0}" name="Ngày_x000a_ tháng" dataDxfId="2662"/>
    <tableColumn id="3" xr3:uid="{B3127875-AAB5-44CA-8A8F-DD2EA7C68859}" name="Nội dung" dataDxfId="2661"/>
    <tableColumn id="12" xr3:uid="{69B148DB-2E14-4954-AD45-BA28692E0078}" name="Chủng loại" dataDxfId="2660"/>
    <tableColumn id="4" xr3:uid="{5E0A8CF1-2197-4502-9202-740ABF61B3DC}" name="Quy cách" dataDxfId="2659"/>
    <tableColumn id="5" xr3:uid="{FC023481-3971-4491-8EE7-8E60049F07E2}" name="SỐ LƯỢNG" dataDxfId="2658">
      <calculatedColumnFormula>1091+958+901</calculatedColumnFormula>
    </tableColumn>
    <tableColumn id="6" xr3:uid="{4B081B8B-0632-40B6-BE8E-A8DC88BA5203}" name="ĐƠN GIÁ" dataDxfId="2657"/>
    <tableColumn id="7" xr3:uid="{0804D367-7C43-41E7-BEA7-E2DACF8783F1}" name="THÀNH TIỀN" dataDxfId="2656">
      <calculatedColumnFormula>Cty_Thien_An[[#This Row],[ĐƠN GIÁ]]*Cty_Thien_An[[#This Row],[SỐ LƯỢNG]]</calculatedColumnFormula>
    </tableColumn>
    <tableColumn id="8" xr3:uid="{CA52920A-8661-4E70-9C53-A691F5842679}" name="THANH TOÁN" dataDxfId="2655"/>
    <tableColumn id="9" xr3:uid="{1179A01E-5E89-4B58-AFCE-CEC49BB9B5CE}" name="CÔNG NỢ_x000a_ CÒN LẠI" dataDxfId="2654">
      <calculatedColumnFormula>J9+Cty_Thien_An[[#This Row],[THÀNH TIỀN]]-Cty_Thien_An[[#This Row],[THANH TOÁN]]</calculatedColumnFormula>
    </tableColumn>
    <tableColumn id="10" xr3:uid="{D2BDDF2A-6B4B-4B1A-95C2-D8A2C6E41691}" name="Ghi chú" dataDxfId="2653"/>
  </tableColumns>
  <tableStyleInfo showFirstColumn="0" showLastColumn="0" showRowStripes="1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E304F4A1-1461-4D9E-B5E7-A5D95BEFACED}" name="Cty_Ha_Cuong" displayName="Cty_Ha_Cuong" ref="A9:K83" totalsRowShown="0" headerRowDxfId="2652" dataDxfId="2650" headerRowBorderDxfId="2651" tableBorderDxfId="2649" totalsRowBorderDxfId="2648">
  <autoFilter ref="A9:K83" xr:uid="{3227F2BD-2C9D-4FFF-9F44-8C9E66133B6C}"/>
  <sortState xmlns:xlrd2="http://schemas.microsoft.com/office/spreadsheetml/2017/richdata2" ref="A10:K81">
    <sortCondition ref="B56:B81"/>
  </sortState>
  <tableColumns count="11">
    <tableColumn id="1" xr3:uid="{A01F6404-61A7-4845-AF20-0F5C78D8F5E2}" name="Số phiếu" dataDxfId="2647"/>
    <tableColumn id="2" xr3:uid="{E28EEC75-E32A-47CD-A4F9-5C514A7C1DBC}" name="Ngày_x000a_ tháng" dataDxfId="2646"/>
    <tableColumn id="3" xr3:uid="{424003DC-E636-4C0C-8E4C-29A813C07E2B}" name="Nội dung" dataDxfId="2645"/>
    <tableColumn id="12" xr3:uid="{04CDC653-2448-4532-9847-C91F4D8D6CD4}" name="Chủng loại" dataDxfId="2644"/>
    <tableColumn id="4" xr3:uid="{EA31C518-661C-4CE1-A293-2E4083E80801}" name="Quy cách" dataDxfId="2643"/>
    <tableColumn id="5" xr3:uid="{D5DB1A83-A3E2-4241-9CF3-055CDF895C3C}" name="SỐ LƯỢNG" dataDxfId="2642">
      <calculatedColumnFormula>1091+958+901</calculatedColumnFormula>
    </tableColumn>
    <tableColumn id="6" xr3:uid="{05461BB4-34C2-4CFA-8AFB-23FAB0189569}" name="ĐƠN GIÁ" dataDxfId="2641"/>
    <tableColumn id="7" xr3:uid="{B86CD3E4-DE10-4F89-94F8-D6108A98144B}" name="THÀNH TIỀN" dataDxfId="2640">
      <calculatedColumnFormula>Cty_Ha_Cuong[[#This Row],[ĐƠN GIÁ]]*Cty_Ha_Cuong[[#This Row],[SỐ LƯỢNG]]</calculatedColumnFormula>
    </tableColumn>
    <tableColumn id="8" xr3:uid="{A416F690-B513-40C8-A4C6-C0ADD327DA14}" name="THANH TOÁN" dataDxfId="2639"/>
    <tableColumn id="9" xr3:uid="{21B377C7-E636-4B2D-81DE-CE5BF36554ED}" name="CÔNG NỢ_x000a_ CÒN LẠI" dataDxfId="2638">
      <calculatedColumnFormula>J9+Cty_Ha_Cuong[[#This Row],[THÀNH TIỀN]]-Cty_Ha_Cuong[[#This Row],[THANH TOÁN]]</calculatedColumnFormula>
    </tableColumn>
    <tableColumn id="10" xr3:uid="{B2772EB0-4533-4C05-BA27-A2D7228A2CA7}" name="Ghi chú" dataDxfId="2637"/>
  </tableColumns>
  <tableStyleInfo showFirstColumn="0" showLastColumn="0" showRowStripes="1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505FE1B2-8A6F-4004-BCE6-CAFAB5A8A281}" name="Cty_Anh_Thu_Hong_Van" displayName="Cty_Anh_Thu_Hong_Van" ref="A9:K25" totalsRowShown="0" headerRowDxfId="2636" dataDxfId="2634" headerRowBorderDxfId="2635" tableBorderDxfId="2633" totalsRowBorderDxfId="2632">
  <autoFilter ref="A9:K25" xr:uid="{3227F2BD-2C9D-4FFF-9F44-8C9E66133B6C}"/>
  <tableColumns count="11">
    <tableColumn id="1" xr3:uid="{6ACE0180-F934-4F97-91F2-6448B60AB1C9}" name="Số phiếu" dataDxfId="2631"/>
    <tableColumn id="2" xr3:uid="{6ACAF6FF-CE98-4EB1-94EC-4212D897BC18}" name="Ngày_x000a_ tháng" dataDxfId="2630"/>
    <tableColumn id="3" xr3:uid="{7B95E39D-41DF-4F08-BCFD-3C2EFBDFA47E}" name="Nội dung" dataDxfId="2629"/>
    <tableColumn id="12" xr3:uid="{3B691CAC-C988-48EC-A0D9-69450AD29C84}" name="Chủng loại" dataDxfId="2628"/>
    <tableColumn id="4" xr3:uid="{054F4AF9-C114-4B45-9EE6-B35A5EF0D3F7}" name="Quy cách" dataDxfId="2627"/>
    <tableColumn id="5" xr3:uid="{53F5D17D-0C96-4EEE-B802-0EB3BDCA0D46}" name="SỐ LƯỢNG" dataDxfId="2626">
      <calculatedColumnFormula>1091+958+901</calculatedColumnFormula>
    </tableColumn>
    <tableColumn id="6" xr3:uid="{88BD994A-3C9B-4A98-9C57-4DD0E9D88629}" name="ĐƠN GIÁ" dataDxfId="2625"/>
    <tableColumn id="7" xr3:uid="{A01329B3-847C-4E63-B678-8FC398EC830D}" name="THÀNH TIỀN" dataDxfId="2624">
      <calculatedColumnFormula>Cty_Anh_Thu_Hong_Van[[#This Row],[ĐƠN GIÁ]]*Cty_Anh_Thu_Hong_Van[[#This Row],[SỐ LƯỢNG]]</calculatedColumnFormula>
    </tableColumn>
    <tableColumn id="8" xr3:uid="{C784411D-4B61-4079-B28A-7F4D93530A2F}" name="THANH TOÁN" dataDxfId="2623"/>
    <tableColumn id="9" xr3:uid="{F3DFF472-20A1-436A-8950-7ABFA48A14C8}" name="CÔNG NỢ_x000a_ CÒN LẠI" dataDxfId="2622">
      <calculatedColumnFormula>J9+Cty_Anh_Thu_Hong_Van[[#This Row],[THÀNH TIỀN]]-Cty_Anh_Thu_Hong_Van[[#This Row],[THANH TOÁN]]</calculatedColumnFormula>
    </tableColumn>
    <tableColumn id="10" xr3:uid="{A22AF94B-4C5D-4BBD-92E6-EE37B94A86A3}" name="Ghi chú" dataDxfId="2621"/>
  </tableColumns>
  <tableStyleInfo showFirstColumn="0" showLastColumn="0" showRowStripes="1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4C8303DF-9199-41BC-BDF6-1A1BDD7EC18E}" name="E_Thuan_Ngoc_Diep" displayName="E_Thuan_Ngoc_Diep" ref="A9:K22" totalsRowShown="0" headerRowDxfId="2620" dataDxfId="2618" headerRowBorderDxfId="2619" tableBorderDxfId="2617" totalsRowBorderDxfId="2616">
  <autoFilter ref="A9:K22" xr:uid="{3227F2BD-2C9D-4FFF-9F44-8C9E66133B6C}"/>
  <sortState xmlns:xlrd2="http://schemas.microsoft.com/office/spreadsheetml/2017/richdata2" ref="A10:K21">
    <sortCondition ref="B13:B21"/>
  </sortState>
  <tableColumns count="11">
    <tableColumn id="1" xr3:uid="{79B084BD-CC5D-4EB8-BFFD-1CDD70B74DFD}" name="Số phiếu" dataDxfId="2615"/>
    <tableColumn id="2" xr3:uid="{E34E5ED3-6AD6-406E-9E9E-F86EAB41A078}" name="Ngày_x000a_ tháng" dataDxfId="2614"/>
    <tableColumn id="3" xr3:uid="{7398F9BB-5AF7-4900-AECA-C5E3072A6456}" name="Nội dung" dataDxfId="2613"/>
    <tableColumn id="12" xr3:uid="{A2E0A304-EB28-4E3A-80E2-002A7A48EBDA}" name="Chủng loại" dataDxfId="2612"/>
    <tableColumn id="4" xr3:uid="{481FA043-6BC3-41B7-B7FF-341B5B782EE3}" name="Quy cách" dataDxfId="2611"/>
    <tableColumn id="5" xr3:uid="{41D43835-D3CF-4200-986D-736A29503B44}" name="SỐ LƯỢNG" dataDxfId="2610">
      <calculatedColumnFormula>1091+958+901</calculatedColumnFormula>
    </tableColumn>
    <tableColumn id="6" xr3:uid="{2FEFC03C-324F-499D-895A-AD919BF4CAC4}" name="ĐƠN GIÁ" dataDxfId="2609"/>
    <tableColumn id="7" xr3:uid="{E1D1E286-2A26-45AA-9566-16F26E7064E8}" name="THÀNH TIỀN" dataDxfId="2608">
      <calculatedColumnFormula>E_Thuan_Ngoc_Diep[[#This Row],[ĐƠN GIÁ]]*E_Thuan_Ngoc_Diep[[#This Row],[SỐ LƯỢNG]]</calculatedColumnFormula>
    </tableColumn>
    <tableColumn id="8" xr3:uid="{F7CA502C-CA85-4E96-9D2F-8E0AD7607D6B}" name="THANH TOÁN" dataDxfId="2607"/>
    <tableColumn id="9" xr3:uid="{3B7390B9-7276-4AD9-9D01-6A59BBF92EAE}" name="CÔNG NỢ_x000a_ CÒN LẠI" dataDxfId="2606">
      <calculatedColumnFormula>J9+E_Thuan_Ngoc_Diep[[#This Row],[THÀNH TIỀN]]-E_Thuan_Ngoc_Diep[[#This Row],[THANH TOÁN]]</calculatedColumnFormula>
    </tableColumn>
    <tableColumn id="10" xr3:uid="{9A8D35CF-9955-47D2-81A2-F33A7360EC43}" name="Ghi chú" dataDxfId="2605"/>
  </tableColumns>
  <tableStyleInfo showFirstColumn="0" showLastColumn="0" showRowStripes="1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18C92163-7218-480B-B217-6D790DFA6FFD}" name="Cty_Minh_Vu" displayName="Cty_Minh_Vu" ref="A9:K38" totalsRowShown="0" headerRowDxfId="2604" dataDxfId="2602" headerRowBorderDxfId="2603" tableBorderDxfId="2601" totalsRowBorderDxfId="2600">
  <autoFilter ref="A9:K38" xr:uid="{3227F2BD-2C9D-4FFF-9F44-8C9E66133B6C}"/>
  <sortState xmlns:xlrd2="http://schemas.microsoft.com/office/spreadsheetml/2017/richdata2" ref="A10:K33">
    <sortCondition ref="B28:B33"/>
  </sortState>
  <tableColumns count="11">
    <tableColumn id="1" xr3:uid="{A924781D-96C7-4E10-8465-3CA52C426BE1}" name="Số phiếu" dataDxfId="2599"/>
    <tableColumn id="2" xr3:uid="{681ACC8D-5F29-4109-9224-708AE2C199BC}" name="Ngày_x000a_ tháng" dataDxfId="2598"/>
    <tableColumn id="3" xr3:uid="{DF5739A6-7EE9-46AB-80AB-B70AE339B863}" name="Nội dung" dataDxfId="2597"/>
    <tableColumn id="12" xr3:uid="{20388A82-6658-4769-9470-A380BBC25FD2}" name="Chủng loại" dataDxfId="2596"/>
    <tableColumn id="4" xr3:uid="{E1E8449B-15C7-4DF5-849B-84E53808B587}" name="Quy cách" dataDxfId="2595"/>
    <tableColumn id="5" xr3:uid="{A95725C1-79C8-44C7-B054-8F446C300D59}" name="SỐ LƯỢNG" dataDxfId="2594">
      <calculatedColumnFormula>1091+958+901</calculatedColumnFormula>
    </tableColumn>
    <tableColumn id="6" xr3:uid="{8D0D2056-83DE-4CD6-B228-D1608C1D0486}" name="ĐƠN GIÁ" dataDxfId="2593"/>
    <tableColumn id="7" xr3:uid="{78FADA4F-1731-4CC4-B6A2-283A333ACDB0}" name="THÀNH TIỀN" dataDxfId="2592">
      <calculatedColumnFormula>Cty_Minh_Vu[[#This Row],[ĐƠN GIÁ]]*Cty_Minh_Vu[[#This Row],[SỐ LƯỢNG]]</calculatedColumnFormula>
    </tableColumn>
    <tableColumn id="8" xr3:uid="{E1D087D8-BE29-43EE-BBC2-BC5B16C6269A}" name="THANH TOÁN" dataDxfId="2591"/>
    <tableColumn id="9" xr3:uid="{2AFF5932-A40C-4845-BB02-B762620013D9}" name="CÔNG NỢ_x000a_ CÒN LẠI" dataDxfId="2590">
      <calculatedColumnFormula>J9+Cty_Minh_Vu[[#This Row],[THÀNH TIỀN]]-Cty_Minh_Vu[[#This Row],[THANH TOÁN]]</calculatedColumnFormula>
    </tableColumn>
    <tableColumn id="10" xr3:uid="{C6565212-38EA-42F8-B6FE-F39AF6063ADD}" name="Ghi chú" dataDxfId="2589"/>
  </tableColumns>
  <tableStyleInfo showFirstColumn="0" showLastColumn="0" showRowStripes="1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74816671-2406-444C-8F07-EB141DB70AE5}" name="Cty_CP_An_Phat_TT" displayName="Cty_CP_An_Phat_TT" ref="A9:K63" totalsRowShown="0" headerRowDxfId="2588" dataDxfId="2586" headerRowBorderDxfId="2587" tableBorderDxfId="2585" totalsRowBorderDxfId="2584">
  <autoFilter ref="A9:K63" xr:uid="{3227F2BD-2C9D-4FFF-9F44-8C9E66133B6C}"/>
  <sortState xmlns:xlrd2="http://schemas.microsoft.com/office/spreadsheetml/2017/richdata2" ref="A10:K34">
    <sortCondition ref="B34"/>
  </sortState>
  <tableColumns count="11">
    <tableColumn id="1" xr3:uid="{7DC73905-57AE-4823-BDC7-265D1078FFF2}" name="Số phiếu" dataDxfId="2583"/>
    <tableColumn id="2" xr3:uid="{B5BA3CB0-240F-4410-B47F-C67D178FEBF4}" name="Ngày_x000a_ tháng" dataDxfId="2582"/>
    <tableColumn id="3" xr3:uid="{3D5A19F0-1E94-4183-9E94-EC36D7A4FCA6}" name="Nội dung" dataDxfId="2581"/>
    <tableColumn id="12" xr3:uid="{261A372E-359E-491B-8995-ED2F5B31BB3C}" name="Chủng loại" dataDxfId="2580"/>
    <tableColumn id="4" xr3:uid="{C8D0059D-E357-4909-BB24-DFC14291179E}" name="Quy cách" dataDxfId="2579"/>
    <tableColumn id="5" xr3:uid="{BDCD6798-736A-4F53-AFCA-8234FBA3DDF1}" name="SỐ LƯỢNG" dataDxfId="2578">
      <calculatedColumnFormula>1091+958+901</calculatedColumnFormula>
    </tableColumn>
    <tableColumn id="6" xr3:uid="{207F1054-9084-4DE0-9E00-55D2D3C3C28F}" name="ĐƠN GIÁ" dataDxfId="2577"/>
    <tableColumn id="7" xr3:uid="{418BF55F-9819-450E-9552-8A3FB704CDEF}" name="THÀNH TIỀN" dataDxfId="2576">
      <calculatedColumnFormula>Cty_CP_An_Phat_TT[[#This Row],[ĐƠN GIÁ]]*Cty_CP_An_Phat_TT[[#This Row],[SỐ LƯỢNG]]</calculatedColumnFormula>
    </tableColumn>
    <tableColumn id="8" xr3:uid="{32C53330-DE81-4A20-A400-072052A6430D}" name="THANH TOÁN" dataDxfId="2575"/>
    <tableColumn id="9" xr3:uid="{F59F1969-A187-4109-9FDA-81419A48B5CA}" name="CÔNG NỢ_x000a_ CÒN LẠI" dataDxfId="2574">
      <calculatedColumnFormula>J9+Cty_CP_An_Phat_TT[[#This Row],[THÀNH TIỀN]]-Cty_CP_An_Phat_TT[[#This Row],[THANH TOÁN]]</calculatedColumnFormula>
    </tableColumn>
    <tableColumn id="10" xr3:uid="{313AD0E0-322F-4AE3-9D10-37AC5F1B7C42}" name="Ghi chú" dataDxfId="2573"/>
  </tableColumns>
  <tableStyleInfo showFirstColumn="0" showLastColumn="0" showRowStripes="1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2299A638-ECB0-4DB5-A1F3-006CDB76F77D}" name="A_Tung_Cty_Xuan_Thanh" displayName="A_Tung_Cty_Xuan_Thanh" ref="A9:K33" totalsRowShown="0" headerRowDxfId="2572" dataDxfId="2570" headerRowBorderDxfId="2571" tableBorderDxfId="2569" totalsRowBorderDxfId="2568">
  <autoFilter ref="A9:K33" xr:uid="{3227F2BD-2C9D-4FFF-9F44-8C9E66133B6C}"/>
  <tableColumns count="11">
    <tableColumn id="1" xr3:uid="{163DA082-EF2F-4DEF-B62F-0A79D2A41E9E}" name="Số phiếu" dataDxfId="2567"/>
    <tableColumn id="2" xr3:uid="{5C475CEE-D454-43D9-B709-1A4EDA9D6DB4}" name="Ngày_x000a_ tháng" dataDxfId="2566"/>
    <tableColumn id="3" xr3:uid="{351AB623-C1BB-405A-929F-C6E3B2CB0DAF}" name="Nội dung" dataDxfId="2565"/>
    <tableColumn id="12" xr3:uid="{0C536283-1C13-4C0C-9A6E-9405746C48E5}" name="Chủng loại" dataDxfId="2564"/>
    <tableColumn id="4" xr3:uid="{22253154-9AC6-467C-9ACF-EA8442A67F24}" name="Quy cách" dataDxfId="2563"/>
    <tableColumn id="5" xr3:uid="{BD26347D-6F49-4AE7-8AFC-C8D12EF0EF2A}" name="SỐ LƯỢNG" dataDxfId="2562">
      <calculatedColumnFormula>1091+958+901</calculatedColumnFormula>
    </tableColumn>
    <tableColumn id="6" xr3:uid="{F349FAB7-E842-4EA8-963A-0A6898963266}" name="ĐƠN GIÁ" dataDxfId="2561"/>
    <tableColumn id="7" xr3:uid="{A3938A59-2278-4099-AA4D-FE9C3E91479F}" name="THÀNH TIỀN" dataDxfId="2560">
      <calculatedColumnFormula>A_Tung_Cty_Xuan_Thanh[[#This Row],[ĐƠN GIÁ]]*A_Tung_Cty_Xuan_Thanh[[#This Row],[SỐ LƯỢNG]]</calculatedColumnFormula>
    </tableColumn>
    <tableColumn id="8" xr3:uid="{FBF34A1E-0370-417E-B9E1-0691B1411083}" name="THANH TOÁN" dataDxfId="2559"/>
    <tableColumn id="9" xr3:uid="{6434CA1B-FA76-4B0A-9C48-D46538D12C78}" name="CÔNG NỢ_x000a_ CÒN LẠI" dataDxfId="2558">
      <calculatedColumnFormula>J9+A_Tung_Cty_Xuan_Thanh[[#This Row],[THÀNH TIỀN]]-A_Tung_Cty_Xuan_Thanh[[#This Row],[THANH TOÁN]]</calculatedColumnFormula>
    </tableColumn>
    <tableColumn id="10" xr3:uid="{CDD5CAFB-05C9-48B2-872E-AA53A82D9D60}" name="Ghi chú" dataDxfId="2557"/>
  </tableColumns>
  <tableStyleInfo showFirstColumn="0" showLastColumn="0" showRowStripes="1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B95C048A-1720-40BE-A516-732E529E3315}" name="A_Bay_ND" displayName="A_Bay_ND" ref="A9:K34" totalsRowShown="0" headerRowDxfId="2556" dataDxfId="2554" headerRowBorderDxfId="2555" tableBorderDxfId="2553" totalsRowBorderDxfId="2552">
  <autoFilter ref="A9:K34" xr:uid="{3227F2BD-2C9D-4FFF-9F44-8C9E66133B6C}"/>
  <sortState xmlns:xlrd2="http://schemas.microsoft.com/office/spreadsheetml/2017/richdata2" ref="A10:K34">
    <sortCondition ref="B21:B34"/>
  </sortState>
  <tableColumns count="11">
    <tableColumn id="1" xr3:uid="{49B6C728-B40C-494F-957C-1063706BB072}" name="Số phiếu" dataDxfId="2551"/>
    <tableColumn id="2" xr3:uid="{3675EE9F-415F-403C-AF9C-2EB6E5AA617D}" name="Ngày_x000a_ tháng" dataDxfId="2550"/>
    <tableColumn id="3" xr3:uid="{F1C3BBE3-2BD5-44A6-ADDF-5D820E83BC7E}" name="Nội dung" dataDxfId="2549"/>
    <tableColumn id="12" xr3:uid="{2CAA402E-2A3D-4735-AA08-CBD8B4673A38}" name="Chủng loại" dataDxfId="2548"/>
    <tableColumn id="4" xr3:uid="{A7FC03BB-2B1C-4CF6-BCF6-7F4538463B40}" name="Quy cách" dataDxfId="2547"/>
    <tableColumn id="5" xr3:uid="{238A8F7C-B79C-4645-99A7-46FDCDBC7870}" name="SỐ LƯỢNG" dataDxfId="2546">
      <calculatedColumnFormula>601+501</calculatedColumnFormula>
    </tableColumn>
    <tableColumn id="6" xr3:uid="{CF451DD5-F7DD-41B1-B0B4-4BF11C7C5A1E}" name="ĐƠN GIÁ" dataDxfId="2545"/>
    <tableColumn id="7" xr3:uid="{2793F529-741F-4066-B220-C4AA28424F20}" name="THÀNH TIỀN" dataDxfId="2544">
      <calculatedColumnFormula>A_Bay_ND[[#This Row],[ĐƠN GIÁ]]*A_Bay_ND[[#This Row],[SỐ LƯỢNG]]</calculatedColumnFormula>
    </tableColumn>
    <tableColumn id="8" xr3:uid="{57910366-393E-4B3C-9AA6-58A2A66E0C6A}" name="THANH TOÁN" dataDxfId="2543"/>
    <tableColumn id="9" xr3:uid="{E2443F5F-0A1E-41B3-9EA9-7DE5E01D454A}" name="CÔNG NỢ_x000a_ CÒN LẠI" dataDxfId="2542">
      <calculatedColumnFormula>J9+A_Bay_ND[[#This Row],[THÀNH TIỀN]]-A_Bay_ND[[#This Row],[THANH TOÁN]]</calculatedColumnFormula>
    </tableColumn>
    <tableColumn id="10" xr3:uid="{FAF28895-F539-4E09-B429-26A6F8577CBF}" name="Ghi chú" dataDxfId="2541"/>
  </tableColumns>
  <tableStyleInfo showFirstColumn="0" showLastColumn="0" showRowStripes="1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7ECDBDA5-E4CE-4B49-B42C-C5E0EC58A347}" name="A_Dong_ND" displayName="A_Dong_ND" ref="A9:K77" totalsRowShown="0" headerRowDxfId="2540" dataDxfId="2538" headerRowBorderDxfId="2539" tableBorderDxfId="2537" totalsRowBorderDxfId="2536">
  <autoFilter ref="A9:K77" xr:uid="{7ECDBDA5-E4CE-4B49-B42C-C5E0EC58A347}"/>
  <sortState xmlns:xlrd2="http://schemas.microsoft.com/office/spreadsheetml/2017/richdata2" ref="A10:K71">
    <sortCondition ref="B70:B71"/>
  </sortState>
  <tableColumns count="11">
    <tableColumn id="1" xr3:uid="{9777467D-E926-473F-800C-6C1B0316D8DF}" name="Số phiếu" dataDxfId="2535"/>
    <tableColumn id="2" xr3:uid="{FBA2F448-57E6-4865-B7D1-46C4CF19AE99}" name="Ngày_x000a_ tháng" dataDxfId="2534"/>
    <tableColumn id="3" xr3:uid="{9AB1FF8F-77F4-4CF5-8601-E2577B2288D3}" name="Nội dung" dataDxfId="2533"/>
    <tableColumn id="12" xr3:uid="{33CFD0D7-2CB5-4328-A4C6-5B07BD489B76}" name="Chủng loại" dataDxfId="2532"/>
    <tableColumn id="4" xr3:uid="{B5120BFB-C83E-4C6B-9BFB-DE403F9C9659}" name="Quy cách" dataDxfId="2531"/>
    <tableColumn id="5" xr3:uid="{51CB6AFF-BB0B-47E3-A642-3D37B904350C}" name="SỐ LƯỢNG" dataDxfId="2530">
      <calculatedColumnFormula>1091+958+901</calculatedColumnFormula>
    </tableColumn>
    <tableColumn id="6" xr3:uid="{9CF5FC4E-5E89-4C78-BCEF-B15FB601A61D}" name="ĐƠN GIÁ" dataDxfId="2529"/>
    <tableColumn id="7" xr3:uid="{A0C32E27-F99C-443A-BE80-2DC23693CAD2}" name="THÀNH TIỀN" dataDxfId="2528">
      <calculatedColumnFormula>A_Dong_ND[[#This Row],[ĐƠN GIÁ]]*A_Dong_ND[[#This Row],[SỐ LƯỢNG]]</calculatedColumnFormula>
    </tableColumn>
    <tableColumn id="8" xr3:uid="{0306B6AE-A91C-48A9-8C05-1AF9B00C023C}" name="THANH TOÁN" dataDxfId="2527"/>
    <tableColumn id="9" xr3:uid="{FB119E68-811D-48FE-9DDA-0A1159CF4752}" name="CÔNG NỢ_x000a_ CÒN LẠI" dataDxfId="2526">
      <calculatedColumnFormula>J9+A_Dong_ND[[#This Row],[THÀNH TIỀN]]-A_Dong_ND[[#This Row],[THANH TOÁN]]</calculatedColumnFormula>
    </tableColumn>
    <tableColumn id="10" xr3:uid="{9306DFEB-F191-49C0-86D8-69847006F787}" name="Ghi chú" dataDxfId="2525"/>
  </tableColumns>
  <tableStyleInfo showFirstColumn="0" showLastColumn="0" showRowStripes="1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0A59623A-4F76-4C42-8A07-4D0FC885436A}" name="Cty_Quang_Nga_Phu_Ly" displayName="Cty_Quang_Nga_Phu_Ly" ref="A9:K36" totalsRowShown="0" headerRowDxfId="2524" dataDxfId="2522" headerRowBorderDxfId="2523" tableBorderDxfId="2521" totalsRowBorderDxfId="2520">
  <autoFilter ref="A9:K36" xr:uid="{3227F2BD-2C9D-4FFF-9F44-8C9E66133B6C}"/>
  <sortState xmlns:xlrd2="http://schemas.microsoft.com/office/spreadsheetml/2017/richdata2" ref="A10:K32">
    <sortCondition ref="B29:B32"/>
  </sortState>
  <tableColumns count="11">
    <tableColumn id="1" xr3:uid="{A1C17F23-2CAB-4DB1-B7D7-741788D3EBBA}" name="Số phiếu" dataDxfId="2519"/>
    <tableColumn id="2" xr3:uid="{2DF7951F-BA49-4E1B-8020-34C1DA24D1C1}" name="Ngày_x000a_ tháng" dataDxfId="2518"/>
    <tableColumn id="3" xr3:uid="{DD11911E-B105-4AFC-B451-C42F0CECA173}" name="Nội dung" dataDxfId="2517"/>
    <tableColumn id="12" xr3:uid="{9550CC30-8E4A-41B8-A8E7-640056520FFF}" name="Chủng loại" dataDxfId="2516"/>
    <tableColumn id="4" xr3:uid="{133C0D7C-4C32-4F39-BC01-2CD59E8405BB}" name="Quy cách" dataDxfId="2515"/>
    <tableColumn id="5" xr3:uid="{5271429E-FA42-4044-B188-DDD289960B21}" name="SỐ LƯỢNG" dataDxfId="2514">
      <calculatedColumnFormula>1091+958+901</calculatedColumnFormula>
    </tableColumn>
    <tableColumn id="6" xr3:uid="{8A26DE23-ED55-4143-BF43-54991968713D}" name="ĐƠN GIÁ" dataDxfId="2513"/>
    <tableColumn id="7" xr3:uid="{90922B98-1019-43E0-AB0F-03BD4AB1F388}" name="THÀNH TIỀN" dataDxfId="2512">
      <calculatedColumnFormula>Cty_Quang_Nga_Phu_Ly[[#This Row],[ĐƠN GIÁ]]*Cty_Quang_Nga_Phu_Ly[[#This Row],[SỐ LƯỢNG]]</calculatedColumnFormula>
    </tableColumn>
    <tableColumn id="8" xr3:uid="{E17428FD-C85B-455E-B6CA-6F66781DB3D7}" name="THANH TOÁN" dataDxfId="2511"/>
    <tableColumn id="9" xr3:uid="{C9D06886-F398-46E6-97A2-FE1907585E58}" name="CÔNG NỢ_x000a_ CÒN LẠI" dataDxfId="2510">
      <calculatedColumnFormula>J9+Cty_Quang_Nga_Phu_Ly[[#This Row],[THÀNH TIỀN]]-Cty_Quang_Nga_Phu_Ly[[#This Row],[THANH TOÁN]]</calculatedColumnFormula>
    </tableColumn>
    <tableColumn id="10" xr3:uid="{FF9F187C-A640-4075-B696-18507334C952}" name="Ghi chú" dataDxfId="2509"/>
  </tableColumns>
  <tableStyleInfo showFirstColumn="0" showLastColumn="0" showRowStripes="1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CC780790-EE69-42B7-BE1D-9363211C34F5}" name="A_Nguyen_Cty_Gia_Anh" displayName="A_Nguyen_Cty_Gia_Anh" ref="A9:K45" totalsRowShown="0" headerRowDxfId="2508" dataDxfId="2506" headerRowBorderDxfId="2507" tableBorderDxfId="2505" totalsRowBorderDxfId="2504">
  <autoFilter ref="A9:K45" xr:uid="{3227F2BD-2C9D-4FFF-9F44-8C9E66133B6C}"/>
  <sortState xmlns:xlrd2="http://schemas.microsoft.com/office/spreadsheetml/2017/richdata2" ref="A10:K44">
    <sortCondition ref="B10:B44"/>
  </sortState>
  <tableColumns count="11">
    <tableColumn id="1" xr3:uid="{631DB954-57B1-4C7F-9487-7D0136F6D0F5}" name="Số phiếu" dataDxfId="2503"/>
    <tableColumn id="2" xr3:uid="{17FBC986-8342-47CA-8BA9-7F96AC77C702}" name="Ngày_x000a_ tháng" dataDxfId="2502"/>
    <tableColumn id="3" xr3:uid="{C209C1A4-3E5E-4DFB-8B44-89B77823A983}" name="Nội dung" dataDxfId="2501"/>
    <tableColumn id="12" xr3:uid="{8C423A02-A249-4DBC-937B-F262EDD58A99}" name="Chủng loại" dataDxfId="2500"/>
    <tableColumn id="4" xr3:uid="{9E285060-22A6-474A-9C61-B15E4BBFED97}" name="Quy cách" dataDxfId="2499"/>
    <tableColumn id="5" xr3:uid="{C08DFE52-479E-4282-AEFC-AE790E8AC5C8}" name="SỐ LƯỢNG" dataDxfId="2498">
      <calculatedColumnFormula>1091+958+901</calculatedColumnFormula>
    </tableColumn>
    <tableColumn id="6" xr3:uid="{5C51DBBD-BF5B-4B22-A83C-293F7672578E}" name="ĐƠN GIÁ" dataDxfId="2497"/>
    <tableColumn id="7" xr3:uid="{4D381563-648F-44E1-AC5A-05C06C077879}" name="THÀNH TIỀN" dataDxfId="2496">
      <calculatedColumnFormula>A_Nguyen_Cty_Gia_Anh[[#This Row],[ĐƠN GIÁ]]*A_Nguyen_Cty_Gia_Anh[[#This Row],[SỐ LƯỢNG]]</calculatedColumnFormula>
    </tableColumn>
    <tableColumn id="8" xr3:uid="{8DEB5F4C-7FEB-4B8F-8958-9552F9211F98}" name="THANH TOÁN" dataDxfId="2495"/>
    <tableColumn id="9" xr3:uid="{12DD84C8-92A4-41B3-A909-CEE3AC07BC62}" name="CÔNG NỢ_x000a_ CÒN LẠI" dataDxfId="2494">
      <calculatedColumnFormula>J9+A_Nguyen_Cty_Gia_Anh[[#This Row],[THÀNH TIỀN]]-A_Nguyen_Cty_Gia_Anh[[#This Row],[THANH TOÁN]]</calculatedColumnFormula>
    </tableColumn>
    <tableColumn id="10" xr3:uid="{11A80D5C-A730-40B2-A1F7-53EBEF0B110E}" name="Ghi chú" dataDxfId="2493"/>
  </tableColumns>
  <tableStyleInfo showFirstColumn="0" showLastColumn="0" showRowStripes="1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BF2ECD02-BD16-4399-BCFF-DBA0A4B552F8}" name="Cty_Hien_Thinh_HP" displayName="Cty_Hien_Thinh_HP" ref="A9:K47" totalsRowShown="0" headerRowDxfId="2492" dataDxfId="2490" headerRowBorderDxfId="2491" tableBorderDxfId="2489" totalsRowBorderDxfId="2488">
  <autoFilter ref="A9:K47" xr:uid="{3227F2BD-2C9D-4FFF-9F44-8C9E66133B6C}"/>
  <sortState xmlns:xlrd2="http://schemas.microsoft.com/office/spreadsheetml/2017/richdata2" ref="A10:K44">
    <sortCondition ref="B12:B44"/>
  </sortState>
  <tableColumns count="11">
    <tableColumn id="1" xr3:uid="{5E2E6815-A702-4104-8F3F-ED8F9826048C}" name="Số phiếu" dataDxfId="2487"/>
    <tableColumn id="2" xr3:uid="{F87A4BDB-500E-453B-8477-7FC215A92A9A}" name="Ngày_x000a_ tháng" dataDxfId="2486"/>
    <tableColumn id="3" xr3:uid="{6F2B8C84-9775-49F0-8D4D-36F7447C2604}" name="Nội dung" dataDxfId="2485"/>
    <tableColumn id="12" xr3:uid="{6D3FBF78-7F83-4AB6-AD65-66BE2B15D5B2}" name="Chủng loại" dataDxfId="2484"/>
    <tableColumn id="4" xr3:uid="{B9D37D45-91FA-41AA-97D5-5BF37CEF968D}" name="Quy cách" dataDxfId="2483"/>
    <tableColumn id="5" xr3:uid="{4B79F087-AD14-416D-BA2C-BFDD94D65A25}" name="SỐ LƯỢNG" dataDxfId="2482">
      <calculatedColumnFormula>1091+958+901</calculatedColumnFormula>
    </tableColumn>
    <tableColumn id="6" xr3:uid="{D4EA9600-C744-4BFF-8531-E675A66B07A6}" name="ĐƠN GIÁ" dataDxfId="2481"/>
    <tableColumn id="7" xr3:uid="{DF35A07A-AC97-4DA9-A1FE-7DFD6B66E35E}" name="THÀNH TIỀN" dataDxfId="2480">
      <calculatedColumnFormula>Cty_Hien_Thinh_HP[[#This Row],[ĐƠN GIÁ]]*Cty_Hien_Thinh_HP[[#This Row],[SỐ LƯỢNG]]</calculatedColumnFormula>
    </tableColumn>
    <tableColumn id="8" xr3:uid="{195BB1FC-2089-4F14-8657-C34C40CF8DA3}" name="THANH TOÁN" dataDxfId="2479"/>
    <tableColumn id="9" xr3:uid="{C6373FE3-4773-4D12-BC0E-FDE0187D0955}" name="CÔNG NỢ_x000a_ CÒN LẠI" dataDxfId="2478">
      <calculatedColumnFormula>J9+Cty_Hien_Thinh_HP[[#This Row],[THÀNH TIỀN]]-Cty_Hien_Thinh_HP[[#This Row],[THANH TOÁN]]</calculatedColumnFormula>
    </tableColumn>
    <tableColumn id="10" xr3:uid="{A560AADF-7361-4D78-AA68-1A5B1C07AD84}" name="Ghi chú" dataDxfId="2477"/>
  </tableColumns>
  <tableStyleInfo showFirstColumn="0" showLastColumn="0" showRowStripes="1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3C01413F-255E-43B0-989E-F7061B6213C4}" name="A_Hung_HP" displayName="A_Hung_HP" ref="A9:K53" totalsRowShown="0" headerRowDxfId="2476" dataDxfId="2474" headerRowBorderDxfId="2475" tableBorderDxfId="2473" totalsRowBorderDxfId="2472">
  <autoFilter ref="A9:K53" xr:uid="{3227F2BD-2C9D-4FFF-9F44-8C9E66133B6C}"/>
  <sortState xmlns:xlrd2="http://schemas.microsoft.com/office/spreadsheetml/2017/richdata2" ref="A10:K41">
    <sortCondition ref="B10:B41"/>
  </sortState>
  <tableColumns count="11">
    <tableColumn id="1" xr3:uid="{1FD79624-1A1C-4FC5-A0C6-0D38887B657E}" name="Số phiếu" dataDxfId="2471"/>
    <tableColumn id="2" xr3:uid="{FB09E061-DD91-4D87-BA65-0B6B1C63A52B}" name="Ngày_x000a_ tháng" dataDxfId="2470"/>
    <tableColumn id="3" xr3:uid="{0AFEE17E-75B4-4F1B-9F3E-D1B62EA8AF43}" name="Nội dung" dataDxfId="2469"/>
    <tableColumn id="12" xr3:uid="{1405787E-EBD3-491E-B915-F4E2B2E63E53}" name="Chủng loại" dataDxfId="2468"/>
    <tableColumn id="4" xr3:uid="{59AA4450-F781-413B-8439-54D86CBBBCC9}" name="Quy cách" dataDxfId="2467"/>
    <tableColumn id="5" xr3:uid="{6291E86A-DDA6-432C-BF67-15E832DB30F1}" name="SỐ LƯỢNG" dataDxfId="2466">
      <calculatedColumnFormula>1091+958+901</calculatedColumnFormula>
    </tableColumn>
    <tableColumn id="6" xr3:uid="{A91D283F-F50D-495F-BA2E-7B020C9633A5}" name="ĐƠN GIÁ" dataDxfId="2465"/>
    <tableColumn id="7" xr3:uid="{C64F4294-911A-4F12-83B6-1414D94EBDA6}" name="THÀNH TIỀN" dataDxfId="2464">
      <calculatedColumnFormula>A_Hung_HP[[#This Row],[ĐƠN GIÁ]]*A_Hung_HP[[#This Row],[SỐ LƯỢNG]]</calculatedColumnFormula>
    </tableColumn>
    <tableColumn id="8" xr3:uid="{60F812A6-7F9C-405C-8607-43F18B355A0A}" name="THANH TOÁN" dataDxfId="2463"/>
    <tableColumn id="9" xr3:uid="{23CEE904-E128-46EC-959B-5C69C0F38AD2}" name="CÔNG NỢ_x000a_ CÒN LẠI" dataDxfId="2462">
      <calculatedColumnFormula>J9+A_Hung_HP[[#This Row],[THÀNH TIỀN]]-A_Hung_HP[[#This Row],[THANH TOÁN]]</calculatedColumnFormula>
    </tableColumn>
    <tableColumn id="10" xr3:uid="{38BEDB34-9A5E-493C-B4A4-5C71E54C9961}" name="Ghi chú" dataDxfId="2461"/>
  </tableColumns>
  <tableStyleInfo showFirstColumn="0" showLastColumn="0" showRowStripes="1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0C853442-92A2-43DA-84CA-B6C5ABDBBBE7}" name="Cty_Hoa_Hung" displayName="Cty_Hoa_Hung" ref="A9:K106" totalsRowShown="0" headerRowDxfId="2460" dataDxfId="2458" headerRowBorderDxfId="2459" tableBorderDxfId="2457" totalsRowBorderDxfId="2456">
  <autoFilter ref="A9:K106" xr:uid="{3227F2BD-2C9D-4FFF-9F44-8C9E66133B6C}"/>
  <sortState xmlns:xlrd2="http://schemas.microsoft.com/office/spreadsheetml/2017/richdata2" ref="A10:K98">
    <sortCondition ref="K84:K98"/>
  </sortState>
  <tableColumns count="11">
    <tableColumn id="1" xr3:uid="{943A24D0-B6DB-4FCB-8BEB-6043E67A5F8C}" name="Số phiếu" dataDxfId="2455"/>
    <tableColumn id="2" xr3:uid="{50D4FCAD-843B-40E3-832D-A7F7728B01B4}" name="Ngày_x000a_ tháng" dataDxfId="2454"/>
    <tableColumn id="3" xr3:uid="{6E86D945-960E-4324-993D-3077CF26C348}" name="Nội dung" dataDxfId="2453"/>
    <tableColumn id="12" xr3:uid="{8E8A9B16-E595-4A45-A400-4BD49561ADF8}" name="Chủng loại" dataDxfId="2452"/>
    <tableColumn id="4" xr3:uid="{5F04B80B-045A-4983-8E94-46970281BF85}" name="Quy cách" dataDxfId="2451"/>
    <tableColumn id="5" xr3:uid="{F46CAE22-C7FF-4C7C-ACDC-4EED5CD845E2}" name="SỐ LƯỢNG" dataDxfId="2450">
      <calculatedColumnFormula>1091+958+901</calculatedColumnFormula>
    </tableColumn>
    <tableColumn id="6" xr3:uid="{F2B31E70-8320-4CA1-AE1E-006045B8ACBB}" name="ĐƠN GIÁ" dataDxfId="2449"/>
    <tableColumn id="7" xr3:uid="{A59A129C-9AE4-4932-9EAF-0C1DE837E5CA}" name="THÀNH TIỀN" dataDxfId="2448">
      <calculatedColumnFormula>Cty_Hoa_Hung[[#This Row],[ĐƠN GIÁ]]*Cty_Hoa_Hung[[#This Row],[SỐ LƯỢNG]]</calculatedColumnFormula>
    </tableColumn>
    <tableColumn id="8" xr3:uid="{1D951717-B242-41D3-A999-73AC16B3194F}" name="THANH TOÁN" dataDxfId="2447"/>
    <tableColumn id="9" xr3:uid="{96B97FD3-EA89-474B-B192-A8B4AB487EF7}" name="CÔNG NỢ_x000a_ CÒN LẠI" dataDxfId="2446">
      <calculatedColumnFormula>J9+Cty_Hoa_Hung[[#This Row],[THÀNH TIỀN]]-Cty_Hoa_Hung[[#This Row],[THANH TOÁN]]</calculatedColumnFormula>
    </tableColumn>
    <tableColumn id="10" xr3:uid="{F445DA82-D124-40B0-9754-69EC291F7E69}" name="Ghi chú" dataDxfId="2445"/>
  </tableColumns>
  <tableStyleInfo showFirstColumn="0" showLastColumn="0" showRowStripes="1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434E183B-4E3B-4E06-A716-97D389D7EA85}" name="Cty_Quang_Long_HD" displayName="Cty_Quang_Long_HD" ref="A9:K50" totalsRowShown="0" headerRowDxfId="2444" dataDxfId="2442" headerRowBorderDxfId="2443" tableBorderDxfId="2441" totalsRowBorderDxfId="2440">
  <autoFilter ref="A9:K50" xr:uid="{3227F2BD-2C9D-4FFF-9F44-8C9E66133B6C}"/>
  <sortState xmlns:xlrd2="http://schemas.microsoft.com/office/spreadsheetml/2017/richdata2" ref="A10:K44">
    <sortCondition ref="B33:B44"/>
  </sortState>
  <tableColumns count="11">
    <tableColumn id="1" xr3:uid="{640BAAB3-5A73-41BE-A9ED-34EAD6B8B796}" name="Số phiếu" dataDxfId="2439"/>
    <tableColumn id="2" xr3:uid="{6306FCC7-79EF-4EC4-87BE-7E43D25D25D9}" name="Ngày_x000a_ tháng" dataDxfId="2438"/>
    <tableColumn id="3" xr3:uid="{385DAA6F-8460-462E-8ED3-EA7B8CC79EE2}" name="Nội dung" dataDxfId="2437"/>
    <tableColumn id="12" xr3:uid="{BD40DDEC-521F-4D85-B5AD-D715B0356A63}" name="Chủng loại" dataDxfId="2436"/>
    <tableColumn id="4" xr3:uid="{E538EF8C-3D42-4BEF-A5C9-C99CD679A039}" name="Quy cách" dataDxfId="2435"/>
    <tableColumn id="5" xr3:uid="{8327309E-E2A0-458C-B42D-B35D12515CE7}" name="SỐ LƯỢNG" dataDxfId="2434">
      <calculatedColumnFormula>1091+958+901</calculatedColumnFormula>
    </tableColumn>
    <tableColumn id="6" xr3:uid="{2BAD7B32-98C8-45C0-8E5E-5EF29CCA9836}" name="ĐƠN GIÁ" dataDxfId="2433"/>
    <tableColumn id="7" xr3:uid="{338FEE9D-1EA4-4384-95CB-91CE7FF4DFA9}" name="THÀNH TIỀN" dataDxfId="2432">
      <calculatedColumnFormula>Cty_Quang_Long_HD[[#This Row],[ĐƠN GIÁ]]*Cty_Quang_Long_HD[[#This Row],[SỐ LƯỢNG]]</calculatedColumnFormula>
    </tableColumn>
    <tableColumn id="8" xr3:uid="{3C32743A-A150-42A6-BA6A-AE7683B64A58}" name="THANH TOÁN" dataDxfId="2431"/>
    <tableColumn id="9" xr3:uid="{08574162-A9F9-412C-8AFF-1300CCFECD00}" name="CÔNG NỢ_x000a_ CÒN LẠI" dataDxfId="2430">
      <calculatedColumnFormula>J9+Cty_Quang_Long_HD[[#This Row],[THÀNH TIỀN]]-Cty_Quang_Long_HD[[#This Row],[THANH TOÁN]]</calculatedColumnFormula>
    </tableColumn>
    <tableColumn id="10" xr3:uid="{76228FD3-D7D0-43CF-B1D8-CF78D5B182A7}" name="Ghi chú" dataDxfId="2429"/>
  </tableColumns>
  <tableStyleInfo showFirstColumn="0" showLastColumn="0" showRowStripes="1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59DDBC9C-BF24-436C-880D-F0A9C140A84B}" name="Cty_Minh_Chau_TN" displayName="Cty_Minh_Chau_TN" ref="A9:K71" totalsRowShown="0" headerRowDxfId="2428" dataDxfId="2426" headerRowBorderDxfId="2427" tableBorderDxfId="2425" totalsRowBorderDxfId="2424">
  <autoFilter ref="A9:K71" xr:uid="{3227F2BD-2C9D-4FFF-9F44-8C9E66133B6C}"/>
  <sortState xmlns:xlrd2="http://schemas.microsoft.com/office/spreadsheetml/2017/richdata2" ref="A10:K68">
    <sortCondition ref="B57:B68"/>
  </sortState>
  <tableColumns count="11">
    <tableColumn id="1" xr3:uid="{684411BF-244C-41D6-B29B-0827C27A0974}" name="Số phiếu" dataDxfId="2423"/>
    <tableColumn id="2" xr3:uid="{56B73175-9715-4E77-AD15-9DD801B8293F}" name="Ngày_x000a_ tháng" dataDxfId="2422"/>
    <tableColumn id="3" xr3:uid="{B4C14DC7-9DC2-4EBA-9B68-C1ABF16BCD12}" name="Nội dung" dataDxfId="2421"/>
    <tableColumn id="12" xr3:uid="{9D9880C1-CD2C-4E2A-9F92-08A133EFA19F}" name="Chủng loại" dataDxfId="2420"/>
    <tableColumn id="4" xr3:uid="{9DDD9E70-7ACE-442F-BA59-BCB20C3AEF43}" name="Quy cách" dataDxfId="2419"/>
    <tableColumn id="5" xr3:uid="{908CCF72-D494-4917-BB01-C872E43B395D}" name="SỐ LƯỢNG" dataDxfId="2418">
      <calculatedColumnFormula>1091+958+901</calculatedColumnFormula>
    </tableColumn>
    <tableColumn id="6" xr3:uid="{74D1064B-4A46-4509-B637-D7FDD6BCA279}" name="ĐƠN GIÁ" dataDxfId="2417"/>
    <tableColumn id="7" xr3:uid="{FE999259-E9EA-4720-90E6-0B197AB332FE}" name="THÀNH TIỀN" dataDxfId="2416">
      <calculatedColumnFormula>Cty_Minh_Chau_TN[[#This Row],[ĐƠN GIÁ]]*Cty_Minh_Chau_TN[[#This Row],[SỐ LƯỢNG]]</calculatedColumnFormula>
    </tableColumn>
    <tableColumn id="8" xr3:uid="{9B610600-CA29-4748-B0C1-0327538A87E7}" name="THANH TOÁN" dataDxfId="2415"/>
    <tableColumn id="9" xr3:uid="{C724C028-9567-4A5F-905B-2C02F1FC72CE}" name="CÔNG NỢ_x000a_ CÒN LẠI" dataDxfId="2414">
      <calculatedColumnFormula>J9+Cty_Minh_Chau_TN[[#This Row],[THÀNH TIỀN]]-Cty_Minh_Chau_TN[[#This Row],[THANH TOÁN]]</calculatedColumnFormula>
    </tableColumn>
    <tableColumn id="10" xr3:uid="{7455B7E8-FB7C-416B-BA20-0A023FDDA1E8}" name="Ghi chú" dataDxfId="2413"/>
  </tableColumns>
  <tableStyleInfo showFirstColumn="0" showLastColumn="0" showRowStripes="1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18F5ACBC-6090-4070-925A-7F4BC1EEA448}" name="Cty_Anh_Linh_TT" displayName="Cty_Anh_Linh_TT" ref="A9:K27" totalsRowShown="0" headerRowDxfId="2412" dataDxfId="2410" headerRowBorderDxfId="2411" tableBorderDxfId="2409" totalsRowBorderDxfId="2408">
  <autoFilter ref="A9:K27" xr:uid="{3227F2BD-2C9D-4FFF-9F44-8C9E66133B6C}"/>
  <tableColumns count="11">
    <tableColumn id="1" xr3:uid="{55D6C2D7-469E-4BA1-B392-52B6553FF073}" name="Số phiếu" dataDxfId="2407"/>
    <tableColumn id="2" xr3:uid="{64504A13-D13C-4013-A7F1-2990B08AE0B5}" name="Ngày_x000a_ tháng" dataDxfId="2406"/>
    <tableColumn id="3" xr3:uid="{573C5CDB-B296-4479-A814-36B1FCF673E2}" name="Nội dung" dataDxfId="2405"/>
    <tableColumn id="12" xr3:uid="{F26BE114-D9DE-43A9-B1C1-83D7821C4CC4}" name="Chủng loại" dataDxfId="2404"/>
    <tableColumn id="4" xr3:uid="{4BE16021-77AC-4FB2-A7AC-782094A3D07A}" name="Quy cách" dataDxfId="2403"/>
    <tableColumn id="5" xr3:uid="{8D1DA861-D881-4CDE-9A47-0A323B7B34B6}" name="SỐ LƯỢNG" dataDxfId="2402">
      <calculatedColumnFormula>1091+958+901</calculatedColumnFormula>
    </tableColumn>
    <tableColumn id="6" xr3:uid="{9EEFC672-9D4E-4E8C-BE69-A167D6D07A52}" name="ĐƠN GIÁ" dataDxfId="2401"/>
    <tableColumn id="7" xr3:uid="{E6DEE7A6-21A2-4AAE-90BD-9EFAD0ABE0B5}" name="THÀNH TIỀN" dataDxfId="2400">
      <calculatedColumnFormula>Cty_Anh_Linh_TT[[#This Row],[ĐƠN GIÁ]]*Cty_Anh_Linh_TT[[#This Row],[SỐ LƯỢNG]]</calculatedColumnFormula>
    </tableColumn>
    <tableColumn id="8" xr3:uid="{49888D40-3090-4B62-AD95-77CD740909D5}" name="THANH TOÁN" dataDxfId="2399"/>
    <tableColumn id="9" xr3:uid="{CCFD0A11-B0C5-41CC-AF15-E0BE141BDBBC}" name="CÔNG NỢ_x000a_ CÒN LẠI" dataDxfId="2398">
      <calculatedColumnFormula>J9+Cty_Anh_Linh_TT[[#This Row],[THÀNH TIỀN]]-Cty_Anh_Linh_TT[[#This Row],[THANH TOÁN]]</calculatedColumnFormula>
    </tableColumn>
    <tableColumn id="10" xr3:uid="{99C1DF85-923F-4310-9058-F6B85C4051AC}" name="Ghi chú" dataDxfId="2397"/>
  </tableColumns>
  <tableStyleInfo showFirstColumn="0" showLastColumn="0" showRowStripes="1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BD9B56E0-3F49-4D15-9D64-35525D242426}" name="Cty_Dung_Tuoi_Yen_Bai" displayName="Cty_Dung_Tuoi_Yen_Bai" ref="A9:K24" totalsRowShown="0" headerRowDxfId="2396" dataDxfId="2394" headerRowBorderDxfId="2395" tableBorderDxfId="2393" totalsRowBorderDxfId="2392">
  <autoFilter ref="A9:K24" xr:uid="{3227F2BD-2C9D-4FFF-9F44-8C9E66133B6C}"/>
  <sortState xmlns:xlrd2="http://schemas.microsoft.com/office/spreadsheetml/2017/richdata2" ref="A10:K24">
    <sortCondition ref="B21:B24"/>
  </sortState>
  <tableColumns count="11">
    <tableColumn id="1" xr3:uid="{EA5BAF37-A482-4310-8E0C-61D7A90CB303}" name="Số phiếu" dataDxfId="2391"/>
    <tableColumn id="2" xr3:uid="{C4B5725E-9DAA-4B9A-A739-0106E26B5425}" name="Ngày_x000a_ tháng" dataDxfId="2390"/>
    <tableColumn id="3" xr3:uid="{D1449EA0-C649-465C-8A2F-3A1145EA7271}" name="Nội dung" dataDxfId="2389"/>
    <tableColumn id="12" xr3:uid="{43998205-DF02-4271-BE95-2D35A9ADE958}" name="Chủng loại" dataDxfId="2388"/>
    <tableColumn id="4" xr3:uid="{6F8C424F-1C00-4230-81C6-8454D7707B69}" name="Quy cách" dataDxfId="2387"/>
    <tableColumn id="5" xr3:uid="{C6E890B0-F8AE-407B-B810-3AD3BBE52F4E}" name="SỐ LƯỢNG" dataDxfId="2386">
      <calculatedColumnFormula>1091+958+901</calculatedColumnFormula>
    </tableColumn>
    <tableColumn id="6" xr3:uid="{7EB79886-E757-4BBE-BC59-F9FF6F9B83C4}" name="ĐƠN GIÁ" dataDxfId="2385"/>
    <tableColumn id="7" xr3:uid="{17A802BF-3C65-4D8E-BBC8-28B4CBFCABAC}" name="THÀNH TIỀN" dataDxfId="2384">
      <calculatedColumnFormula>Cty_Dung_Tuoi_Yen_Bai[[#This Row],[ĐƠN GIÁ]]*Cty_Dung_Tuoi_Yen_Bai[[#This Row],[SỐ LƯỢNG]]</calculatedColumnFormula>
    </tableColumn>
    <tableColumn id="8" xr3:uid="{C5B6246D-DB6A-459B-9687-9D31611C7F19}" name="THANH TOÁN" dataDxfId="2383"/>
    <tableColumn id="9" xr3:uid="{C884D374-5E93-4028-A4DB-027DF25A78A9}" name="CÔNG NỢ_x000a_ CÒN LẠI" dataDxfId="2382">
      <calculatedColumnFormula>J9+Cty_Dung_Tuoi_Yen_Bai[[#This Row],[THÀNH TIỀN]]-Cty_Dung_Tuoi_Yen_Bai[[#This Row],[THANH TOÁN]]</calculatedColumnFormula>
    </tableColumn>
    <tableColumn id="10" xr3:uid="{A5FE8CA4-7F67-4209-A64B-3DBE58DAF413}" name="Ghi chú" dataDxfId="2381"/>
  </tableColumns>
  <tableStyleInfo showFirstColumn="0" showLastColumn="0" showRowStripes="1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BDC4B677-E3BE-4B95-BBD9-6FEC17D829D6}" name="Cty_Hoang_Anh_Viet_Nam" displayName="Cty_Hoang_Anh_Viet_Nam" ref="A9:K52" totalsRowShown="0" headerRowDxfId="2380" dataDxfId="2378" headerRowBorderDxfId="2379" tableBorderDxfId="2377" totalsRowBorderDxfId="2376">
  <autoFilter ref="A9:K52" xr:uid="{3227F2BD-2C9D-4FFF-9F44-8C9E66133B6C}"/>
  <sortState xmlns:xlrd2="http://schemas.microsoft.com/office/spreadsheetml/2017/richdata2" ref="A10:K48">
    <sortCondition ref="B10:B48"/>
  </sortState>
  <tableColumns count="11">
    <tableColumn id="1" xr3:uid="{24D1A979-6856-4989-87A4-254B3597DC65}" name="Số phiếu" dataDxfId="2375"/>
    <tableColumn id="2" xr3:uid="{09AEE0B5-A540-4797-B7B5-B3C42983331F}" name="Ngày_x000a_ tháng" dataDxfId="2374"/>
    <tableColumn id="3" xr3:uid="{FD00717E-527D-4867-AA90-4369553B5641}" name="Nội dung" dataDxfId="2373"/>
    <tableColumn id="12" xr3:uid="{1633D789-E625-4D19-8F2C-5305042191BA}" name="Chủng loại" dataDxfId="2372"/>
    <tableColumn id="4" xr3:uid="{FB19F3BF-5B6F-40D5-8658-A643575636C0}" name="Quy cách" dataDxfId="2371"/>
    <tableColumn id="5" xr3:uid="{CF9CC26E-4D00-41EA-9AB4-FB6E385ACCAF}" name="SỐ LƯỢNG" dataDxfId="2370">
      <calculatedColumnFormula>1091+958+901</calculatedColumnFormula>
    </tableColumn>
    <tableColumn id="6" xr3:uid="{1CA8D8C1-6A06-49EA-9D6A-5F1D185FCFB2}" name="ĐƠN GIÁ" dataDxfId="2369"/>
    <tableColumn id="7" xr3:uid="{8DEB134D-2CF9-4F1B-B034-EAAE7AF4D77F}" name="THÀNH TIỀN" dataDxfId="2368">
      <calculatedColumnFormula>Cty_Hoang_Anh_Viet_Nam[[#This Row],[ĐƠN GIÁ]]*Cty_Hoang_Anh_Viet_Nam[[#This Row],[SỐ LƯỢNG]]</calculatedColumnFormula>
    </tableColumn>
    <tableColumn id="8" xr3:uid="{22C10E0B-8689-4709-B963-82DDAD973526}" name="THANH TOÁN" dataDxfId="2367"/>
    <tableColumn id="9" xr3:uid="{EED2B98B-A51E-4D4A-AC48-38D4FE946C58}" name="CÔNG NỢ_x000a_ CÒN LẠI" dataDxfId="2366">
      <calculatedColumnFormula>J9+Cty_Hoang_Anh_Viet_Nam[[#This Row],[THÀNH TIỀN]]-Cty_Hoang_Anh_Viet_Nam[[#This Row],[THANH TOÁN]]</calculatedColumnFormula>
    </tableColumn>
    <tableColumn id="10" xr3:uid="{718036A7-AF18-409F-B150-FFD6E5C38BA4}" name="Ghi chú" dataDxfId="2365"/>
  </tableColumns>
  <tableStyleInfo showFirstColumn="0" showLastColumn="0" showRowStripes="1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D0A44C69-BFC2-4F15-9085-BB7B147D67C8}" name="Cty_Hoang_Quan_Phat" displayName="Cty_Hoang_Quan_Phat" ref="A9:K33" totalsRowShown="0" headerRowDxfId="2364" dataDxfId="2362" headerRowBorderDxfId="2363" tableBorderDxfId="2361" totalsRowBorderDxfId="2360">
  <autoFilter ref="A9:K33" xr:uid="{3227F2BD-2C9D-4FFF-9F44-8C9E66133B6C}"/>
  <sortState xmlns:xlrd2="http://schemas.microsoft.com/office/spreadsheetml/2017/richdata2" ref="A10:K28">
    <sortCondition ref="B14:B28"/>
  </sortState>
  <tableColumns count="11">
    <tableColumn id="1" xr3:uid="{935D99AC-3304-452A-8013-583BCE620DAA}" name="Số phiếu" dataDxfId="2359"/>
    <tableColumn id="2" xr3:uid="{9CB0D1E0-3F51-4E53-B246-20D1F8BEE69C}" name="Ngày_x000a_ tháng" dataDxfId="2358"/>
    <tableColumn id="3" xr3:uid="{D0E1177E-6009-4285-AB0D-2716CE7C96E8}" name="Nội dung" dataDxfId="2357"/>
    <tableColumn id="12" xr3:uid="{3DAFF628-1FA2-4888-A06E-4AD1A24CD26F}" name="Chủng loại" dataDxfId="2356"/>
    <tableColumn id="4" xr3:uid="{36226140-36B7-4EDE-8388-EDFF0AE48D2B}" name="Quy cách" dataDxfId="2355"/>
    <tableColumn id="5" xr3:uid="{D7E8F366-DADA-4876-91B2-695E7DF9AC85}" name="SỐ LƯỢNG" dataDxfId="2354">
      <calculatedColumnFormula>1091+958+901</calculatedColumnFormula>
    </tableColumn>
    <tableColumn id="6" xr3:uid="{9B71C31A-3718-41DC-88C6-9A32D7434972}" name="ĐƠN GIÁ" dataDxfId="2353"/>
    <tableColumn id="7" xr3:uid="{723DE160-179C-4BEA-BC85-F4ED9B0CE478}" name="THÀNH TIỀN" dataDxfId="2352">
      <calculatedColumnFormula>Cty_Hoang_Quan_Phat[[#This Row],[ĐƠN GIÁ]]*Cty_Hoang_Quan_Phat[[#This Row],[SỐ LƯỢNG]]</calculatedColumnFormula>
    </tableColumn>
    <tableColumn id="8" xr3:uid="{44F339EF-2B44-4766-A718-905D1FABB752}" name="THANH TOÁN" dataDxfId="2351"/>
    <tableColumn id="9" xr3:uid="{2B1DEF5E-F8B5-4D01-84EB-D48D31E167D2}" name="CÔNG NỢ_x000a_ CÒN LẠI" dataDxfId="2350">
      <calculatedColumnFormula>J9+Cty_Hoang_Quan_Phat[[#This Row],[THÀNH TIỀN]]-Cty_Hoang_Quan_Phat[[#This Row],[THANH TOÁN]]</calculatedColumnFormula>
    </tableColumn>
    <tableColumn id="10" xr3:uid="{243A1609-A510-4097-ADE9-A3CC78DE9480}" name="Ghi chú" dataDxfId="2349"/>
  </tableColumns>
  <tableStyleInfo showFirstColumn="0" showLastColumn="0" showRowStripes="1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ED7AA71C-7C1E-4F8D-BF63-DA62B74929F0}" name="Cty_Tan_Hung" displayName="Cty_Tan_Hung" ref="A9:K20" totalsRowShown="0" headerRowDxfId="2348" dataDxfId="2346" headerRowBorderDxfId="2347" tableBorderDxfId="2345" totalsRowBorderDxfId="2344">
  <autoFilter ref="A9:K20" xr:uid="{3227F2BD-2C9D-4FFF-9F44-8C9E66133B6C}"/>
  <tableColumns count="11">
    <tableColumn id="1" xr3:uid="{9FC5ACAC-89E6-4CD3-8E5D-3F99600564E0}" name="Số phiếu" dataDxfId="2343"/>
    <tableColumn id="2" xr3:uid="{B1EAE74E-DCEF-41D8-B9AC-1889BC6E238A}" name="Ngày_x000a_ tháng" dataDxfId="2342"/>
    <tableColumn id="3" xr3:uid="{AA3C7E18-2D9C-40E1-A9B7-35D4C19773F7}" name="Nội dung" dataDxfId="2341"/>
    <tableColumn id="12" xr3:uid="{09051C97-F66C-4F01-AF85-925E6A1C1952}" name="Chủng loại" dataDxfId="2340"/>
    <tableColumn id="4" xr3:uid="{86AB6AA5-92B4-4EF0-A7D0-9368B60E83D2}" name="Quy cách" dataDxfId="2339"/>
    <tableColumn id="5" xr3:uid="{58306ED7-4F49-48F3-8076-E19C62E12C46}" name="SỐ LƯỢNG" dataDxfId="2338">
      <calculatedColumnFormula>1091+958+901</calculatedColumnFormula>
    </tableColumn>
    <tableColumn id="6" xr3:uid="{2EF1FA5B-2648-4D54-B582-665521A8941D}" name="ĐƠN GIÁ" dataDxfId="2337"/>
    <tableColumn id="7" xr3:uid="{3AF593A8-3453-47C0-8F57-7CB74CA8B2CD}" name="THÀNH TIỀN" dataDxfId="2336">
      <calculatedColumnFormula>Cty_Tan_Hung[[#This Row],[ĐƠN GIÁ]]*Cty_Tan_Hung[[#This Row],[SỐ LƯỢNG]]</calculatedColumnFormula>
    </tableColumn>
    <tableColumn id="8" xr3:uid="{30A0A23A-3EAB-485E-8028-E66DE75380B0}" name="THANH TOÁN" dataDxfId="2335"/>
    <tableColumn id="9" xr3:uid="{201874A2-4A36-4A4F-BF3D-4489966D2D74}" name="CÔNG NỢ_x000a_ CÒN LẠI" dataDxfId="2334">
      <calculatedColumnFormula>J9+Cty_Tan_Hung[[#This Row],[THÀNH TIỀN]]-Cty_Tan_Hung[[#This Row],[THANH TOÁN]]</calculatedColumnFormula>
    </tableColumn>
    <tableColumn id="10" xr3:uid="{97557F8E-CF16-4BCE-92C9-7E3015A1CE5C}" name="Ghi chú" dataDxfId="2333"/>
  </tableColumns>
  <tableStyleInfo showFirstColumn="0" showLastColumn="0" showRowStripes="1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9AAAD6B2-5CC3-49CD-B948-1164BFA6A5CD}" name="Cty_Thanh_Duong_DN" displayName="Cty_Thanh_Duong_DN" ref="A9:K31" totalsRowShown="0" headerRowDxfId="2332" dataDxfId="2330" headerRowBorderDxfId="2331" tableBorderDxfId="2329" totalsRowBorderDxfId="2328">
  <autoFilter ref="A9:K31" xr:uid="{3227F2BD-2C9D-4FFF-9F44-8C9E66133B6C}"/>
  <tableColumns count="11">
    <tableColumn id="1" xr3:uid="{90C5858E-766A-43D6-B4F9-B1B29B8102CC}" name="Số phiếu" dataDxfId="2327"/>
    <tableColumn id="2" xr3:uid="{7CF46431-EBAC-41E1-A7C5-B1D2646BC8FF}" name="Ngày_x000a_ tháng" dataDxfId="2326"/>
    <tableColumn id="3" xr3:uid="{22F3E7BF-D5C0-4FD4-AEE1-770689CE4197}" name="Nội dung" dataDxfId="2325"/>
    <tableColumn id="12" xr3:uid="{A15A7AC7-B40C-44BE-8804-48231D30D246}" name="Chủng loại" dataDxfId="2324"/>
    <tableColumn id="4" xr3:uid="{82291A9C-FABB-4074-82EB-CA39EB13E33A}" name="Quy cách" dataDxfId="2323"/>
    <tableColumn id="5" xr3:uid="{FB22E67D-C73B-4F5D-A795-96FEB7AE537F}" name="SỐ LƯỢNG" dataDxfId="2322">
      <calculatedColumnFormula>1091+958+901</calculatedColumnFormula>
    </tableColumn>
    <tableColumn id="6" xr3:uid="{D5B59D94-DDB9-44FB-93C3-B6A6EDD0066E}" name="ĐƠN GIÁ" dataDxfId="2321"/>
    <tableColumn id="7" xr3:uid="{3FBB246D-9A49-42D8-9A5D-621887B0A239}" name="THÀNH TIỀN" dataDxfId="2320">
      <calculatedColumnFormula>Cty_Thanh_Duong_DN[[#This Row],[ĐƠN GIÁ]]*Cty_Thanh_Duong_DN[[#This Row],[SỐ LƯỢNG]]</calculatedColumnFormula>
    </tableColumn>
    <tableColumn id="8" xr3:uid="{86F911A1-823E-46A3-854A-7F2E2D42DB49}" name="THANH TOÁN" dataDxfId="2319"/>
    <tableColumn id="9" xr3:uid="{FAC504B4-9517-4421-BD4D-95FBF34657B9}" name="CÔNG NỢ_x000a_ CÒN LẠI" dataDxfId="2318">
      <calculatedColumnFormula>J9+Cty_Thanh_Duong_DN[[#This Row],[THÀNH TIỀN]]-Cty_Thanh_Duong_DN[[#This Row],[THANH TOÁN]]</calculatedColumnFormula>
    </tableColumn>
    <tableColumn id="10" xr3:uid="{19741604-1339-40C3-BDB2-5D318FAA2EAD}" name="Ghi chú" dataDxfId="2317"/>
  </tableColumns>
  <tableStyleInfo showFirstColumn="0" showLastColumn="0" showRowStripes="1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44FC125B-4DD4-4E16-ACCB-4C0E0C14C35C}" name="Cty_Thep_Viet" displayName="Cty_Thep_Viet" ref="A9:K100" totalsRowShown="0" headerRowDxfId="2316" dataDxfId="2314" headerRowBorderDxfId="2315" tableBorderDxfId="2313" totalsRowBorderDxfId="2312">
  <autoFilter ref="A9:K100" xr:uid="{3227F2BD-2C9D-4FFF-9F44-8C9E66133B6C}"/>
  <sortState xmlns:xlrd2="http://schemas.microsoft.com/office/spreadsheetml/2017/richdata2" ref="A10:K73">
    <sortCondition ref="B47:B73"/>
  </sortState>
  <tableColumns count="11">
    <tableColumn id="1" xr3:uid="{CD1263EC-B034-4C8F-B13B-8A31B60DC922}" name="Số phiếu" dataDxfId="2311"/>
    <tableColumn id="2" xr3:uid="{616BEC32-2BBC-47E9-BF7B-C13721675AAF}" name="Ngày_x000a_ tháng" dataDxfId="2310"/>
    <tableColumn id="3" xr3:uid="{524E5891-8B63-44F2-9C0A-C92507FD4806}" name="Nội dung" dataDxfId="2309"/>
    <tableColumn id="12" xr3:uid="{06BE7F41-26C2-4AA3-95AF-AAD914BA651D}" name="Chủng loại" dataDxfId="2308"/>
    <tableColumn id="4" xr3:uid="{1A17040E-9F5A-42AE-973C-3B8874E0A92D}" name="Quy cách" dataDxfId="2307"/>
    <tableColumn id="5" xr3:uid="{2DAA94A2-513E-4DC2-8024-841FD7BD8C99}" name="SỐ LƯỢNG" dataDxfId="2306">
      <calculatedColumnFormula>1091+958+901</calculatedColumnFormula>
    </tableColumn>
    <tableColumn id="6" xr3:uid="{F821150C-CCBD-465F-B88C-96F4875DC443}" name="ĐƠN GIÁ" dataDxfId="2305"/>
    <tableColumn id="7" xr3:uid="{34528278-5756-4737-94D6-AA3444E46523}" name="THÀNH TIỀN" dataDxfId="2304">
      <calculatedColumnFormula>Cty_Thep_Viet[[#This Row],[ĐƠN GIÁ]]*Cty_Thep_Viet[[#This Row],[SỐ LƯỢNG]]</calculatedColumnFormula>
    </tableColumn>
    <tableColumn id="8" xr3:uid="{2ABD1DB2-B4FC-4258-B0C1-5AA1365AAC6E}" name="THANH TOÁN" dataDxfId="2303"/>
    <tableColumn id="9" xr3:uid="{1607B542-4714-4AA0-9D52-61FF05BA41B3}" name="CÔNG NỢ_x000a_ CÒN LẠI" dataDxfId="2302">
      <calculatedColumnFormula>J9+Cty_Thep_Viet[[#This Row],[THÀNH TIỀN]]-Cty_Thep_Viet[[#This Row],[THANH TOÁN]]</calculatedColumnFormula>
    </tableColumn>
    <tableColumn id="10" xr3:uid="{8E02B65D-8B56-481C-8D51-0E9EABE77859}" name="Ghi chú" dataDxfId="2301"/>
  </tableColumns>
  <tableStyleInfo showFirstColumn="0" showLastColumn="0" showRowStripes="1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E2409108-3265-4F70-B489-5BC84CE82346}" name="A_Long_Mo" displayName="A_Long_Mo" ref="A9:K64" totalsRowShown="0" headerRowDxfId="2300" dataDxfId="2298" headerRowBorderDxfId="2299" tableBorderDxfId="2297" totalsRowBorderDxfId="2296">
  <autoFilter ref="A9:K64" xr:uid="{3227F2BD-2C9D-4FFF-9F44-8C9E66133B6C}"/>
  <sortState xmlns:xlrd2="http://schemas.microsoft.com/office/spreadsheetml/2017/richdata2" ref="A10:K59">
    <sortCondition ref="B59"/>
  </sortState>
  <tableColumns count="11">
    <tableColumn id="1" xr3:uid="{159FA6A3-192A-45A8-AAD6-5477DA78CE79}" name="Số phiếu" dataDxfId="2295"/>
    <tableColumn id="2" xr3:uid="{10FC4693-4882-418B-B918-1F44AEB323FB}" name="Ngày_x000a_ tháng" dataDxfId="2294"/>
    <tableColumn id="3" xr3:uid="{24AAEEC7-1355-43EF-966C-AD746D6E00F4}" name="Nội dung" dataDxfId="2293"/>
    <tableColumn id="12" xr3:uid="{777AD622-4A45-4B1B-B36A-D0F9F4461337}" name="Chủng loại" dataDxfId="2292"/>
    <tableColumn id="4" xr3:uid="{E51D23B3-1843-41EE-9FDC-3AC43A1D3BE4}" name="Quy cách" dataDxfId="2291"/>
    <tableColumn id="5" xr3:uid="{CAFD47D5-71D5-4C7B-9F9F-1C52860636BB}" name="SỐ LƯỢNG" dataDxfId="2290">
      <calculatedColumnFormula>1091+958+901</calculatedColumnFormula>
    </tableColumn>
    <tableColumn id="6" xr3:uid="{D697E144-A415-4564-8ECC-51092BA4051B}" name="ĐƠN GIÁ" dataDxfId="2289"/>
    <tableColumn id="7" xr3:uid="{92FA37F7-ABB5-4C54-AF51-ABD29B24D53D}" name="THÀNH TIỀN" dataDxfId="2288">
      <calculatedColumnFormula>A_Long_Mo[[#This Row],[ĐƠN GIÁ]]*A_Long_Mo[[#This Row],[SỐ LƯỢNG]]</calculatedColumnFormula>
    </tableColumn>
    <tableColumn id="8" xr3:uid="{3B3B182E-DC97-43B0-B0BA-9A97A05B9E2A}" name="THANH TOÁN" dataDxfId="2287"/>
    <tableColumn id="9" xr3:uid="{115502C6-EFE5-4EC6-A2B9-6EA09BE10F84}" name="CÔNG NỢ_x000a_ CÒN LẠI" dataDxfId="2286">
      <calculatedColumnFormula>J9+A_Long_Mo[[#This Row],[THÀNH TIỀN]]-A_Long_Mo[[#This Row],[THANH TOÁN]]</calculatedColumnFormula>
    </tableColumn>
    <tableColumn id="10" xr3:uid="{7FF59006-B71E-4AE3-83E5-B22CDECF6B37}" name="Ghi chú" dataDxfId="2285"/>
  </tableColumns>
  <tableStyleInfo showFirstColumn="0" showLastColumn="0" showRowStripes="1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2458731C-6D14-4416-B8DB-86E58E5955BF}" name="E_Tao_ND" displayName="E_Tao_ND" ref="A9:K73" totalsRowShown="0" headerRowDxfId="2284" dataDxfId="2282" headerRowBorderDxfId="2283" tableBorderDxfId="2281" totalsRowBorderDxfId="2280">
  <autoFilter ref="A9:K73" xr:uid="{3227F2BD-2C9D-4FFF-9F44-8C9E66133B6C}"/>
  <sortState xmlns:xlrd2="http://schemas.microsoft.com/office/spreadsheetml/2017/richdata2" ref="A10:K69">
    <sortCondition ref="B12:B69"/>
  </sortState>
  <tableColumns count="11">
    <tableColumn id="1" xr3:uid="{9654FB7F-3E54-46D1-B466-30B24CB41948}" name="Số phiếu" dataDxfId="2279"/>
    <tableColumn id="2" xr3:uid="{3E1BD557-8FD4-4AAA-9C6B-68841144F74A}" name="Ngày_x000a_ tháng" dataDxfId="2278"/>
    <tableColumn id="3" xr3:uid="{35792B4C-5863-430E-8AE0-EF040D84B0BA}" name="Nội dung" dataDxfId="2277"/>
    <tableColumn id="12" xr3:uid="{5EAD89C2-E85C-4FF6-854D-C8F89C2A2243}" name="Chủng loại" dataDxfId="2276"/>
    <tableColumn id="4" xr3:uid="{D405195F-6E73-4633-8909-500FCE8D2225}" name="Quy cách" dataDxfId="2275"/>
    <tableColumn id="5" xr3:uid="{74678BD2-D931-4445-B654-289138C22C25}" name="SỐ LƯỢNG" dataDxfId="2274">
      <calculatedColumnFormula>1091+958+901</calculatedColumnFormula>
    </tableColumn>
    <tableColumn id="6" xr3:uid="{5B8588B0-FC5A-4133-A4B2-E86E32FDE2DB}" name="ĐƠN GIÁ" dataDxfId="2273"/>
    <tableColumn id="7" xr3:uid="{4F8983B9-68A7-496C-ACCB-5A50A9DBA4E6}" name="THÀNH TIỀN" dataDxfId="2272">
      <calculatedColumnFormula>E_Tao_ND[[#This Row],[ĐƠN GIÁ]]*E_Tao_ND[[#This Row],[SỐ LƯỢNG]]</calculatedColumnFormula>
    </tableColumn>
    <tableColumn id="8" xr3:uid="{BB4BEB07-F5F7-4B48-89A7-165C0FFCC63F}" name="THANH TOÁN" dataDxfId="2271"/>
    <tableColumn id="9" xr3:uid="{7E976C86-B9BC-4C36-9623-69E6596D24CF}" name="CÔNG NỢ_x000a_ CÒN LẠI" dataDxfId="2270">
      <calculatedColumnFormula>J9+E_Tao_ND[[#This Row],[THÀNH TIỀN]]-E_Tao_ND[[#This Row],[THANH TOÁN]]</calculatedColumnFormula>
    </tableColumn>
    <tableColumn id="10" xr3:uid="{DF8FE634-2111-4FDD-8EB1-8EBF37791013}" name="Ghi chú" dataDxfId="2269"/>
  </tableColumns>
  <tableStyleInfo showFirstColumn="0" showLastColumn="0" showRowStripes="1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E62D0D47-F292-481A-959B-6560583A6547}" name="Cty_Thai_Duong" displayName="Cty_Thai_Duong" ref="A9:K56" totalsRowShown="0" headerRowDxfId="2268" dataDxfId="2266" headerRowBorderDxfId="2267" tableBorderDxfId="2265" totalsRowBorderDxfId="2264">
  <autoFilter ref="A9:K56" xr:uid="{3227F2BD-2C9D-4FFF-9F44-8C9E66133B6C}"/>
  <sortState xmlns:xlrd2="http://schemas.microsoft.com/office/spreadsheetml/2017/richdata2" ref="A10:K49">
    <sortCondition ref="B44:B49"/>
  </sortState>
  <tableColumns count="11">
    <tableColumn id="1" xr3:uid="{1066A81C-8DC5-477C-B5A0-9CF8C38946B9}" name="Số phiếu" dataDxfId="2263"/>
    <tableColumn id="2" xr3:uid="{A2FA4EC1-2D50-4324-9608-09AC1C440C6A}" name="Ngày_x000a_ tháng" dataDxfId="2262"/>
    <tableColumn id="3" xr3:uid="{0503DB06-3BBD-4906-8E4C-A84AD9614F73}" name="Nội dung" dataDxfId="2261"/>
    <tableColumn id="12" xr3:uid="{B9160375-F9D0-4608-9E06-BB72992FF44C}" name="Chủng loại" dataDxfId="2260"/>
    <tableColumn id="4" xr3:uid="{08097143-2CD6-4978-A02B-E997B65D934C}" name="Quy cách" dataDxfId="2259"/>
    <tableColumn id="5" xr3:uid="{398FF437-E143-4D4B-B464-CF996F7E2DFE}" name="SỐ LƯỢNG" dataDxfId="2258">
      <calculatedColumnFormula>1091+958+901</calculatedColumnFormula>
    </tableColumn>
    <tableColumn id="6" xr3:uid="{DD52D92B-3617-4B39-A51B-9FCD1409098D}" name="ĐƠN GIÁ" dataDxfId="2257"/>
    <tableColumn id="7" xr3:uid="{070D8CA0-F6A6-45EC-AE08-0E0CF182A729}" name="THÀNH TIỀN" dataDxfId="2256">
      <calculatedColumnFormula>Cty_Thai_Duong[[#This Row],[ĐƠN GIÁ]]*Cty_Thai_Duong[[#This Row],[SỐ LƯỢNG]]</calculatedColumnFormula>
    </tableColumn>
    <tableColumn id="8" xr3:uid="{3D367FBC-7B60-4A78-97B5-3105DA6B04F9}" name="THANH TOÁN" dataDxfId="2255"/>
    <tableColumn id="9" xr3:uid="{5F5A1FED-20E9-412C-9A87-995A3A75A629}" name="CÔNG NỢ_x000a_ CÒN LẠI" dataDxfId="2254">
      <calculatedColumnFormula>J9+Cty_Thai_Duong[[#This Row],[THÀNH TIỀN]]-Cty_Thai_Duong[[#This Row],[THANH TOÁN]]</calculatedColumnFormula>
    </tableColumn>
    <tableColumn id="10" xr3:uid="{E4CE518A-AEA7-4C1A-B6AA-43B3D26A2244}" name="Ghi chú" dataDxfId="2253"/>
  </tableColumns>
  <tableStyleInfo showFirstColumn="0" showLastColumn="0" showRowStripes="1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F1E95636-06AF-4F1B-AD33-29AC3EA8448C}" name="Cty_Hong_Tam_Phu_Ly" displayName="Cty_Hong_Tam_Phu_Ly" ref="A9:K51" totalsRowShown="0" headerRowDxfId="2252" dataDxfId="2250" headerRowBorderDxfId="2251" tableBorderDxfId="2249" totalsRowBorderDxfId="2248">
  <autoFilter ref="A9:K51" xr:uid="{3227F2BD-2C9D-4FFF-9F44-8C9E66133B6C}"/>
  <tableColumns count="11">
    <tableColumn id="1" xr3:uid="{3D369273-D8C9-4C53-A7A7-1EEF4906032D}" name="Số phiếu" dataDxfId="2247"/>
    <tableColumn id="2" xr3:uid="{1EEE3BEE-49A2-44AC-B828-0C362310BCD0}" name="Ngày_x000a_ tháng" dataDxfId="2246"/>
    <tableColumn id="3" xr3:uid="{5B992E1E-3EB4-4A74-A6DF-F4B423D68283}" name="Nội dung" dataDxfId="2245"/>
    <tableColumn id="12" xr3:uid="{092C0D93-83DC-49BB-A395-2F78F7590FF5}" name="Chủng loại" dataDxfId="2244"/>
    <tableColumn id="4" xr3:uid="{053BD41F-7AFD-4761-8400-50918EF52F87}" name="Quy cách" dataDxfId="2243"/>
    <tableColumn id="5" xr3:uid="{3CE66DAC-3269-404C-8C3A-02DB37BAEBAE}" name="SỐ LƯỢNG" dataDxfId="2242">
      <calculatedColumnFormula>1091+958+901</calculatedColumnFormula>
    </tableColumn>
    <tableColumn id="6" xr3:uid="{588B33FB-BFAF-475E-B834-207853C67228}" name="ĐƠN GIÁ" dataDxfId="2241"/>
    <tableColumn id="7" xr3:uid="{730F12D9-BFBA-4FA3-B398-67D09B9FAFAC}" name="THÀNH TIỀN" dataDxfId="2240">
      <calculatedColumnFormula>Cty_Hong_Tam_Phu_Ly[[#This Row],[ĐƠN GIÁ]]*Cty_Hong_Tam_Phu_Ly[[#This Row],[SỐ LƯỢNG]]</calculatedColumnFormula>
    </tableColumn>
    <tableColumn id="8" xr3:uid="{94B58210-DA2B-418B-B49E-B05D5992752F}" name="THANH TOÁN" dataDxfId="2239"/>
    <tableColumn id="9" xr3:uid="{569C76F9-B68A-411D-BD8A-4A154889B4ED}" name="CÔNG NỢ_x000a_ CÒN LẠI" dataDxfId="2238">
      <calculatedColumnFormula>J9+Cty_Hong_Tam_Phu_Ly[[#This Row],[THÀNH TIỀN]]-Cty_Hong_Tam_Phu_Ly[[#This Row],[THANH TOÁN]]</calculatedColumnFormula>
    </tableColumn>
    <tableColumn id="10" xr3:uid="{4B7B3037-0518-4117-97C3-415DBDA9CC98}" name="Ghi chú" dataDxfId="2237"/>
  </tableColumns>
  <tableStyleInfo showFirstColumn="0" showLastColumn="0" showRowStripes="1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83164347-0C72-4A94-BA58-490BB8A83B30}" name="A_Kien_Long_Bien" displayName="A_Kien_Long_Bien" ref="A9:K66" totalsRowShown="0" headerRowDxfId="2236" dataDxfId="2234" headerRowBorderDxfId="2235" tableBorderDxfId="2233" totalsRowBorderDxfId="2232">
  <autoFilter ref="A9:K66" xr:uid="{3227F2BD-2C9D-4FFF-9F44-8C9E66133B6C}"/>
  <sortState xmlns:xlrd2="http://schemas.microsoft.com/office/spreadsheetml/2017/richdata2" ref="A10:K60">
    <sortCondition ref="B13:B60"/>
  </sortState>
  <tableColumns count="11">
    <tableColumn id="1" xr3:uid="{F8EC4F59-0072-4C98-B1AB-4555D57C73A7}" name="Số phiếu" dataDxfId="2231"/>
    <tableColumn id="2" xr3:uid="{85550968-84A9-44D3-87C0-20CDEE5A55A3}" name="Ngày_x000a_ tháng" dataDxfId="2230"/>
    <tableColumn id="3" xr3:uid="{0C3A389A-A437-43C2-91A2-884A1A1C754D}" name="Nội dung" dataDxfId="2229"/>
    <tableColumn id="12" xr3:uid="{770EF894-C106-413B-A592-A6CF4A72147C}" name="Chủng loại" dataDxfId="2228"/>
    <tableColumn id="4" xr3:uid="{6B82347D-FD5F-447E-96E1-C9FF6B9163BF}" name="Quy cách" dataDxfId="2227"/>
    <tableColumn id="5" xr3:uid="{7A9F01FF-F5F4-46E1-B81B-AC802D717AB1}" name="SỐ LƯỢNG" dataDxfId="2226">
      <calculatedColumnFormula>1091+958+901</calculatedColumnFormula>
    </tableColumn>
    <tableColumn id="6" xr3:uid="{0BA03971-8901-45C5-A014-42645A367534}" name="ĐƠN GIÁ" dataDxfId="2225"/>
    <tableColumn id="7" xr3:uid="{28342C88-B36C-422F-8734-AEC8159E8691}" name="THÀNH TIỀN" dataDxfId="2224">
      <calculatedColumnFormula>A_Kien_Long_Bien[[#This Row],[ĐƠN GIÁ]]*A_Kien_Long_Bien[[#This Row],[SỐ LƯỢNG]]</calculatedColumnFormula>
    </tableColumn>
    <tableColumn id="8" xr3:uid="{7DA23795-E841-4947-900D-A7CCFDF52C11}" name="THANH TOÁN" dataDxfId="2223"/>
    <tableColumn id="9" xr3:uid="{059B8BDE-1B41-4F8D-93AD-8F4BB06D3F0A}" name="CÔNG NỢ_x000a_ CÒN LẠI" dataDxfId="2222">
      <calculatedColumnFormula>J9+A_Kien_Long_Bien[[#This Row],[THÀNH TIỀN]]-A_Kien_Long_Bien[[#This Row],[THANH TOÁN]]</calculatedColumnFormula>
    </tableColumn>
    <tableColumn id="10" xr3:uid="{2D7EE080-4441-4986-BDA7-7A81C4F11D73}" name="Ghi chú" dataDxfId="2221"/>
  </tableColumns>
  <tableStyleInfo showFirstColumn="0" showLastColumn="0" showRowStripes="1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8" xr:uid="{23C42603-09C9-4BA7-9D2C-837DD87C5BA8}" name="C_Ha_Khoa_Hoc_HY" displayName="C_Ha_Khoa_Hoc_HY" ref="A9:K26" totalsRowShown="0" headerRowDxfId="2220" dataDxfId="2218" headerRowBorderDxfId="2219" tableBorderDxfId="2217" totalsRowBorderDxfId="2216">
  <autoFilter ref="A9:K26" xr:uid="{3227F2BD-2C9D-4FFF-9F44-8C9E66133B6C}"/>
  <sortState xmlns:xlrd2="http://schemas.microsoft.com/office/spreadsheetml/2017/richdata2" ref="A10:K25">
    <sortCondition ref="B14:B25"/>
  </sortState>
  <tableColumns count="11">
    <tableColumn id="1" xr3:uid="{6E322551-34AB-4ABD-BA58-DC450FEE2DDF}" name="Số phiếu" dataDxfId="2215"/>
    <tableColumn id="2" xr3:uid="{CBCCDEEA-01E6-4110-9737-3829BDB07DFB}" name="Ngày_x000a_ tháng" dataDxfId="2214"/>
    <tableColumn id="3" xr3:uid="{5CF4D722-B826-43EA-9D59-48107EFE4CF6}" name="Nội dung" dataDxfId="2213"/>
    <tableColumn id="12" xr3:uid="{FD197B31-3FA4-4F1F-96D8-5651EAFA542F}" name="Chủng loại" dataDxfId="2212"/>
    <tableColumn id="4" xr3:uid="{DC12E5D3-41A8-4E10-A573-8338174538BE}" name="Quy cách" dataDxfId="2211"/>
    <tableColumn id="5" xr3:uid="{F733FBA9-2E5A-4B28-BD1A-33590AEBAF84}" name="SỐ LƯỢNG" dataDxfId="2210">
      <calculatedColumnFormula>1091+958+901</calculatedColumnFormula>
    </tableColumn>
    <tableColumn id="6" xr3:uid="{978E3B38-E22D-49CC-A0CC-3A9C103FAE73}" name="ĐƠN GIÁ" dataDxfId="2209"/>
    <tableColumn id="7" xr3:uid="{946CED57-41F5-44E4-BF95-57AECB62BD07}" name="THÀNH TIỀN" dataDxfId="2208">
      <calculatedColumnFormula>C_Ha_Khoa_Hoc_HY[[#This Row],[ĐƠN GIÁ]]*C_Ha_Khoa_Hoc_HY[[#This Row],[SỐ LƯỢNG]]</calculatedColumnFormula>
    </tableColumn>
    <tableColumn id="8" xr3:uid="{6ED1F5BD-6970-4C3F-ABBA-230806A73348}" name="THANH TOÁN" dataDxfId="2207"/>
    <tableColumn id="9" xr3:uid="{FAD9C565-322E-499D-A25D-88C615912A9B}" name="CÔNG NỢ_x000a_ CÒN LẠI" dataDxfId="2206">
      <calculatedColumnFormula>J9+C_Ha_Khoa_Hoc_HY[[#This Row],[THÀNH TIỀN]]-C_Ha_Khoa_Hoc_HY[[#This Row],[THANH TOÁN]]</calculatedColumnFormula>
    </tableColumn>
    <tableColumn id="10" xr3:uid="{0CB9F19B-D370-42BC-903E-58F5C1136AA3}" name="Ghi chú" dataDxfId="2205"/>
  </tableColumns>
  <tableStyleInfo showFirstColumn="0" showLastColumn="0" showRowStripes="1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9" xr:uid="{DDAAEC8A-208D-413F-B9EC-89F3821DA7C1}" name="E_Trung_Cty_Ha_Anh" displayName="E_Trung_Cty_Ha_Anh" ref="A9:K45" totalsRowShown="0" headerRowDxfId="2204" dataDxfId="2202" headerRowBorderDxfId="2203" tableBorderDxfId="2201" totalsRowBorderDxfId="2200">
  <autoFilter ref="A9:K45" xr:uid="{3227F2BD-2C9D-4FFF-9F44-8C9E66133B6C}"/>
  <sortState xmlns:xlrd2="http://schemas.microsoft.com/office/spreadsheetml/2017/richdata2" ref="A10:K43">
    <sortCondition ref="B13:B43"/>
  </sortState>
  <tableColumns count="11">
    <tableColumn id="1" xr3:uid="{AA673534-4AFA-4072-8785-76FBFD178560}" name="Số phiếu" dataDxfId="2199"/>
    <tableColumn id="2" xr3:uid="{D83934F2-CEA6-4C08-A39F-1138F340D6CF}" name="Ngày_x000a_ tháng" dataDxfId="2198"/>
    <tableColumn id="3" xr3:uid="{596A388B-36C7-4445-9745-205BA5813ED6}" name="Nội dung" dataDxfId="2197"/>
    <tableColumn id="12" xr3:uid="{3B2E7150-9024-47C5-A7CF-80DE001E6B8D}" name="Chủng loại" dataDxfId="2196"/>
    <tableColumn id="4" xr3:uid="{E7CD65B1-46E1-4836-B41D-3D65F02A750B}" name="Quy cách" dataDxfId="2195"/>
    <tableColumn id="5" xr3:uid="{09D8B75B-816B-41AD-8FDD-1F0D5B7C85A7}" name="SỐ LƯỢNG" dataDxfId="2194">
      <calculatedColumnFormula>1091+958+901</calculatedColumnFormula>
    </tableColumn>
    <tableColumn id="6" xr3:uid="{1B74F4D2-3092-4F66-8157-252B42BC669C}" name="ĐƠN GIÁ" dataDxfId="2193"/>
    <tableColumn id="7" xr3:uid="{2579E58C-7790-46A7-BEED-CCA141F38AA9}" name="THÀNH TIỀN" dataDxfId="2192">
      <calculatedColumnFormula>E_Trung_Cty_Ha_Anh[[#This Row],[ĐƠN GIÁ]]*E_Trung_Cty_Ha_Anh[[#This Row],[SỐ LƯỢNG]]</calculatedColumnFormula>
    </tableColumn>
    <tableColumn id="8" xr3:uid="{18903422-55AF-46C3-8886-DAD2EA18214B}" name="THANH TOÁN" dataDxfId="2191"/>
    <tableColumn id="9" xr3:uid="{33738312-B6BB-445F-B5AD-CBDC0563E13D}" name="CÔNG NỢ_x000a_ CÒN LẠI" dataDxfId="2190">
      <calculatedColumnFormula>J9+E_Trung_Cty_Ha_Anh[[#This Row],[THÀNH TIỀN]]-E_Trung_Cty_Ha_Anh[[#This Row],[THANH TOÁN]]</calculatedColumnFormula>
    </tableColumn>
    <tableColumn id="10" xr3:uid="{08588DC3-80B8-403A-A00C-3B8EA3665111}" name="Ghi chú" dataDxfId="2189"/>
  </tableColumns>
  <tableStyleInfo showFirstColumn="0" showLastColumn="0" showRowStripes="1" showColumnStripes="0"/>
</table>
</file>

<file path=xl/tables/table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0" xr:uid="{68F1ACEA-65B3-4103-BC71-2911844EBB2A}" name="Cty_Bui_Gia" displayName="Cty_Bui_Gia" ref="A9:K20" totalsRowShown="0" headerRowDxfId="2188" dataDxfId="2186" headerRowBorderDxfId="2187" tableBorderDxfId="2185" totalsRowBorderDxfId="2184">
  <autoFilter ref="A9:K20" xr:uid="{3227F2BD-2C9D-4FFF-9F44-8C9E66133B6C}"/>
  <tableColumns count="11">
    <tableColumn id="1" xr3:uid="{D1A1DD57-83D2-4BFB-BB1F-C3C967969AB7}" name="Số phiếu" dataDxfId="2183"/>
    <tableColumn id="2" xr3:uid="{D9305D3F-FF24-4D65-A8E5-C3D21FB63A3D}" name="Ngày_x000a_ tháng" dataDxfId="2182"/>
    <tableColumn id="3" xr3:uid="{FE192E73-688E-4685-AB38-B84ADB84415D}" name="Nội dung" dataDxfId="2181"/>
    <tableColumn id="12" xr3:uid="{270B217D-6818-4DC5-8551-040538E29088}" name="Chủng loại" dataDxfId="2180"/>
    <tableColumn id="4" xr3:uid="{C870E3CE-042C-4645-B595-DCB6A4897B92}" name="Quy cách" dataDxfId="2179"/>
    <tableColumn id="5" xr3:uid="{AE297EB5-AAD6-4B21-BD53-1C9234FF820A}" name="SỐ LƯỢNG" dataDxfId="2178">
      <calculatedColumnFormula>1091+958+901</calculatedColumnFormula>
    </tableColumn>
    <tableColumn id="6" xr3:uid="{A9D9B7D5-E694-4143-B46C-9AA26E7AF68E}" name="ĐƠN GIÁ" dataDxfId="2177"/>
    <tableColumn id="7" xr3:uid="{E1CCFE28-EA19-4D65-A877-B49B3CB69D40}" name="THÀNH TIỀN" dataDxfId="2176">
      <calculatedColumnFormula>Cty_Bui_Gia[[#This Row],[ĐƠN GIÁ]]*Cty_Bui_Gia[[#This Row],[SỐ LƯỢNG]]</calculatedColumnFormula>
    </tableColumn>
    <tableColumn id="8" xr3:uid="{1CCE05A4-A9F1-4BDE-B105-2BE857FBB690}" name="THANH TOÁN" dataDxfId="2175"/>
    <tableColumn id="9" xr3:uid="{0FE2A755-5593-4DF1-A16E-5559FDCAC6E3}" name="CÔNG NỢ_x000a_ CÒN LẠI" dataDxfId="2174">
      <calculatedColumnFormula>J9+Cty_Bui_Gia[[#This Row],[THÀNH TIỀN]]-Cty_Bui_Gia[[#This Row],[THANH TOÁN]]</calculatedColumnFormula>
    </tableColumn>
    <tableColumn id="10" xr3:uid="{3A0BD83E-408E-483C-895D-AFA217685269}" name="Ghi chú" dataDxfId="2173"/>
  </tableColumns>
  <tableStyleInfo showFirstColumn="0" showLastColumn="0" showRowStripes="1" showColumnStripes="0"/>
</table>
</file>

<file path=xl/tables/table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1" xr:uid="{B38641B6-3B9E-4595-A130-74C899155E8A}" name="Cty_Hien_Hoa_ND" displayName="Cty_Hien_Hoa_ND" ref="A9:K29" totalsRowShown="0" headerRowDxfId="2172" dataDxfId="2170" headerRowBorderDxfId="2171" tableBorderDxfId="2169" totalsRowBorderDxfId="2168">
  <autoFilter ref="A9:K29" xr:uid="{3227F2BD-2C9D-4FFF-9F44-8C9E66133B6C}"/>
  <tableColumns count="11">
    <tableColumn id="1" xr3:uid="{9A454494-64A0-41E4-8C81-FF17A3D6FF1E}" name="Số phiếu" dataDxfId="2167"/>
    <tableColumn id="2" xr3:uid="{E65312F9-86EE-4332-A3FE-E81D0D9A7DF6}" name="Ngày_x000a_ tháng" dataDxfId="2166"/>
    <tableColumn id="3" xr3:uid="{FD75E8ED-E8CB-4505-A5EA-B74E8AD76AC2}" name="Nội dung" dataDxfId="2165"/>
    <tableColumn id="12" xr3:uid="{C67BA2CE-610E-404E-BC60-7483556990DF}" name="Chủng loại" dataDxfId="2164"/>
    <tableColumn id="4" xr3:uid="{6D1BD40C-4C71-43AB-9AD4-522F7B760344}" name="Quy cách" dataDxfId="2163"/>
    <tableColumn id="5" xr3:uid="{2E9587F3-656E-4E19-8395-17DE33155BDD}" name="SỐ LƯỢNG" dataDxfId="2162">
      <calculatedColumnFormula>1091+958+901</calculatedColumnFormula>
    </tableColumn>
    <tableColumn id="6" xr3:uid="{E30914A5-B7D9-4000-9E01-F2575FB7FCC6}" name="ĐƠN GIÁ" dataDxfId="2161"/>
    <tableColumn id="7" xr3:uid="{DE3AD9EE-7FED-4B96-9E2B-F27C115B325B}" name="THÀNH TIỀN" dataDxfId="2160">
      <calculatedColumnFormula>Cty_Hien_Hoa_ND[[#This Row],[ĐƠN GIÁ]]*Cty_Hien_Hoa_ND[[#This Row],[SỐ LƯỢNG]]</calculatedColumnFormula>
    </tableColumn>
    <tableColumn id="8" xr3:uid="{1317F4E7-BF8E-4F21-AB86-E79866A7C82D}" name="THANH TOÁN" dataDxfId="2159"/>
    <tableColumn id="9" xr3:uid="{644E7B10-76A9-49EA-B19E-EF7A77F27907}" name="CÔNG NỢ_x000a_ CÒN LẠI" dataDxfId="2158">
      <calculatedColumnFormula>J9+Cty_Hien_Hoa_ND[[#This Row],[THÀNH TIỀN]]-Cty_Hien_Hoa_ND[[#This Row],[THANH TOÁN]]</calculatedColumnFormula>
    </tableColumn>
    <tableColumn id="10" xr3:uid="{231C8707-4F5C-42A7-B9A8-4966148B3BA9}" name="Ghi chú" dataDxfId="2157"/>
  </tableColumns>
  <tableStyleInfo showFirstColumn="0" showLastColumn="0" showRowStripes="1" showColumnStripes="0"/>
</table>
</file>

<file path=xl/tables/table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2" xr:uid="{1AE3E597-F7F8-439E-98A4-7FFCE58EF822}" name="A_Cuong_Linh_Dam" displayName="A_Cuong_Linh_Dam" ref="A9:K70" totalsRowShown="0" headerRowDxfId="2156" dataDxfId="2154" headerRowBorderDxfId="2155" tableBorderDxfId="2153" totalsRowBorderDxfId="2152">
  <autoFilter ref="A9:K70" xr:uid="{3227F2BD-2C9D-4FFF-9F44-8C9E66133B6C}"/>
  <sortState xmlns:xlrd2="http://schemas.microsoft.com/office/spreadsheetml/2017/richdata2" ref="A10:K70">
    <sortCondition ref="B58:B70"/>
  </sortState>
  <tableColumns count="11">
    <tableColumn id="1" xr3:uid="{8C956D17-D08F-4C40-98D8-1F8011BA6A42}" name="Số phiếu" dataDxfId="2151"/>
    <tableColumn id="2" xr3:uid="{8FCB53AA-A9A5-44E6-8221-AECCF03F6E04}" name="Ngày_x000a_ tháng" dataDxfId="2150"/>
    <tableColumn id="3" xr3:uid="{3F113F68-0CCF-4728-8522-1AD47A8361A5}" name="Nội dung" dataDxfId="2149"/>
    <tableColumn id="12" xr3:uid="{FCBA1E86-D4AF-434A-BF94-BED36FB5A848}" name="Chủng loại" dataDxfId="2148"/>
    <tableColumn id="4" xr3:uid="{D7CEC11E-46CC-4AB0-A955-DFAA31A3414A}" name="Quy cách" dataDxfId="2147"/>
    <tableColumn id="5" xr3:uid="{B6AC2B9C-A68B-4FD0-BD2A-A01889E86361}" name="SỐ LƯỢNG" dataDxfId="2146">
      <calculatedColumnFormula>1091+958+901</calculatedColumnFormula>
    </tableColumn>
    <tableColumn id="6" xr3:uid="{6381AAFE-5948-4F5C-8F4F-651A6CB44CC9}" name="ĐƠN GIÁ" dataDxfId="2145"/>
    <tableColumn id="7" xr3:uid="{BCBAC921-2B92-41F2-BE36-428AFE3F99E3}" name="THÀNH TIỀN" dataDxfId="2144">
      <calculatedColumnFormula>A_Cuong_Linh_Dam[[#This Row],[ĐƠN GIÁ]]*A_Cuong_Linh_Dam[[#This Row],[SỐ LƯỢNG]]</calculatedColumnFormula>
    </tableColumn>
    <tableColumn id="8" xr3:uid="{EA25EAB2-9089-4452-BA4A-B2B0B6FCF056}" name="THANH TOÁN" dataDxfId="2143"/>
    <tableColumn id="9" xr3:uid="{E984505A-1577-4565-960C-81FCBCB5D5FF}" name="CÔNG NỢ_x000a_ CÒN LẠI" dataDxfId="2142">
      <calculatedColumnFormula>J9+A_Cuong_Linh_Dam[[#This Row],[THÀNH TIỀN]]-A_Cuong_Linh_Dam[[#This Row],[THANH TOÁN]]</calculatedColumnFormula>
    </tableColumn>
    <tableColumn id="10" xr3:uid="{0A72E07F-B76D-4EF2-AE02-559E35AFB4BA}" name="Ghi chú" dataDxfId="2141"/>
  </tableColumns>
  <tableStyleInfo showFirstColumn="0" showLastColumn="0" showRowStripes="1" showColumnStripes="0"/>
</table>
</file>

<file path=xl/tables/table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9E41A76A-A257-4022-ADBB-C011CE3CD37C}" name="C_Dung_HD" displayName="C_Dung_HD" ref="A9:K44" totalsRowShown="0" headerRowDxfId="2140" dataDxfId="2138" headerRowBorderDxfId="2139" tableBorderDxfId="2137" totalsRowBorderDxfId="2136">
  <autoFilter ref="A9:K44" xr:uid="{3227F2BD-2C9D-4FFF-9F44-8C9E66133B6C}"/>
  <tableColumns count="11">
    <tableColumn id="1" xr3:uid="{13D49860-E16A-4F9C-A8F5-679559A93293}" name="Số phiếu" dataDxfId="2135"/>
    <tableColumn id="2" xr3:uid="{D2D2873B-5743-4A3F-900E-F974C9F160CB}" name="Ngày_x000a_ tháng" dataDxfId="2134"/>
    <tableColumn id="3" xr3:uid="{564F31D9-83AE-4FD9-B0EF-90D595C4CA40}" name="Nội dung" dataDxfId="2133"/>
    <tableColumn id="12" xr3:uid="{1355FAB5-8C1D-4D42-8F45-369556EBFA5A}" name="Chủng loại" dataDxfId="2132"/>
    <tableColumn id="4" xr3:uid="{2E506CD7-AD0A-4753-87BE-49F6EBD0EA91}" name="Quy cách" dataDxfId="2131"/>
    <tableColumn id="5" xr3:uid="{DAC6A369-8540-4136-9A20-A16A1D124F09}" name="SỐ LƯỢNG" dataDxfId="2130">
      <calculatedColumnFormula>1091+958+901</calculatedColumnFormula>
    </tableColumn>
    <tableColumn id="6" xr3:uid="{F290A911-33CE-4316-BDE8-3BA6157F3F32}" name="ĐƠN GIÁ" dataDxfId="2129"/>
    <tableColumn id="7" xr3:uid="{4C97CBD5-88E0-45F2-8431-136891213F8B}" name="THÀNH TIỀN" dataDxfId="2128">
      <calculatedColumnFormula>C_Dung_HD[[#This Row],[ĐƠN GIÁ]]*C_Dung_HD[[#This Row],[SỐ LƯỢNG]]</calculatedColumnFormula>
    </tableColumn>
    <tableColumn id="8" xr3:uid="{A77FFA60-CC6D-4419-9E9B-395D9FE26D33}" name="THANH TOÁN" dataDxfId="2127"/>
    <tableColumn id="9" xr3:uid="{C9F6AD3B-B3F9-43D4-9038-1860DE10DB17}" name="CÔNG NỢ_x000a_ CÒN LẠI" dataDxfId="2126">
      <calculatedColumnFormula>J9+C_Dung_HD[[#This Row],[THÀNH TIỀN]]-C_Dung_HD[[#This Row],[THANH TOÁN]]</calculatedColumnFormula>
    </tableColumn>
    <tableColumn id="10" xr3:uid="{E854F3ED-2FC8-4F3C-B538-F798C9212373}" name="Ghi chú" dataDxfId="2125"/>
  </tableColumns>
  <tableStyleInfo showFirstColumn="0" showLastColumn="0" showRowStripes="1" showColumnStripes="0"/>
</table>
</file>

<file path=xl/tables/table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4" xr:uid="{2C989888-C816-4152-9120-EF1E1E917272}" name="Cty_Co_Khi_CTM_Phu_Thinh_DN" displayName="Cty_Co_Khi_CTM_Phu_Thinh_DN" ref="A9:K26" totalsRowShown="0" headerRowDxfId="2124" dataDxfId="2122" headerRowBorderDxfId="2123" tableBorderDxfId="2121" totalsRowBorderDxfId="2120">
  <autoFilter ref="A9:K26" xr:uid="{3227F2BD-2C9D-4FFF-9F44-8C9E66133B6C}"/>
  <tableColumns count="11">
    <tableColumn id="1" xr3:uid="{121BCC9B-A42B-432C-8584-CADF91857A0F}" name="Số phiếu" dataDxfId="2119"/>
    <tableColumn id="2" xr3:uid="{C599C23A-BC0D-4530-ACEE-FB9F0B927D51}" name="Ngày_x000a_ tháng" dataDxfId="2118"/>
    <tableColumn id="3" xr3:uid="{9486AEEF-5233-49B3-9307-91A004366AE0}" name="Nội dung" dataDxfId="2117"/>
    <tableColumn id="12" xr3:uid="{11601103-7276-4655-8E5F-D9EB54E59F0A}" name="Chủng loại" dataDxfId="2116"/>
    <tableColumn id="4" xr3:uid="{E70A3AE3-34C1-4394-8877-676CF055D7BE}" name="Quy cách" dataDxfId="2115"/>
    <tableColumn id="5" xr3:uid="{9EF3E0AE-A7B3-49B6-A19E-BE548E60D591}" name="SỐ LƯỢNG" dataDxfId="2114">
      <calculatedColumnFormula>1091+958+901</calculatedColumnFormula>
    </tableColumn>
    <tableColumn id="6" xr3:uid="{70301E3B-386A-4F12-ADEB-BF1AE1B97CE3}" name="ĐƠN GIÁ" dataDxfId="2113"/>
    <tableColumn id="7" xr3:uid="{96775C19-0128-49A1-863A-5894F6A3A9F2}" name="THÀNH TIỀN" dataDxfId="2112">
      <calculatedColumnFormula>Cty_Co_Khi_CTM_Phu_Thinh_DN[[#This Row],[ĐƠN GIÁ]]*Cty_Co_Khi_CTM_Phu_Thinh_DN[[#This Row],[SỐ LƯỢNG]]</calculatedColumnFormula>
    </tableColumn>
    <tableColumn id="8" xr3:uid="{8D717FA2-1F0D-474D-9F41-48FAA595A972}" name="THANH TOÁN" dataDxfId="2111"/>
    <tableColumn id="9" xr3:uid="{352D7DAF-C9DF-44C9-87FD-C91371C5B391}" name="CÔNG NỢ_x000a_ CÒN LẠI" dataDxfId="2110">
      <calculatedColumnFormula>J9+Cty_Co_Khi_CTM_Phu_Thinh_DN[[#This Row],[THÀNH TIỀN]]-Cty_Co_Khi_CTM_Phu_Thinh_DN[[#This Row],[THANH TOÁN]]</calculatedColumnFormula>
    </tableColumn>
    <tableColumn id="10" xr3:uid="{AE525767-1469-4558-8844-4A374F9E837A}" name="Ghi chú" dataDxfId="2109"/>
  </tableColumns>
  <tableStyleInfo showFirstColumn="0" showLastColumn="0" showRowStripes="1" showColumnStripes="0"/>
</table>
</file>

<file path=xl/tables/table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5" xr:uid="{5C6907C2-9F63-4056-869D-B15B31E2C196}" name="Cty_Toan_Viet" displayName="Cty_Toan_Viet" ref="A9:K30" totalsRowShown="0" headerRowDxfId="2108" dataDxfId="2106" headerRowBorderDxfId="2107" tableBorderDxfId="2105" totalsRowBorderDxfId="2104">
  <autoFilter ref="A9:K30" xr:uid="{3227F2BD-2C9D-4FFF-9F44-8C9E66133B6C}"/>
  <sortState xmlns:xlrd2="http://schemas.microsoft.com/office/spreadsheetml/2017/richdata2" ref="A10:K28">
    <sortCondition ref="B10:B28"/>
  </sortState>
  <tableColumns count="11">
    <tableColumn id="1" xr3:uid="{77531405-EEC6-46CB-9C47-8E54093921E8}" name="Số phiếu" dataDxfId="2103"/>
    <tableColumn id="2" xr3:uid="{A7AE0F52-3446-499C-940B-59C6906D6E63}" name="Ngày_x000a_ tháng" dataDxfId="2102"/>
    <tableColumn id="3" xr3:uid="{3436C35B-F885-416E-B837-3FF68FE3CBD5}" name="Nội dung" dataDxfId="2101"/>
    <tableColumn id="12" xr3:uid="{E9C22693-4A4F-4319-B73C-F1781CD3AF7C}" name="Chủng loại" dataDxfId="2100"/>
    <tableColumn id="4" xr3:uid="{E7534C2C-A303-4F35-B25B-AFD99DCF9025}" name="Quy cách" dataDxfId="2099"/>
    <tableColumn id="5" xr3:uid="{C9CEE182-482D-41F7-9F78-092500C5F635}" name="SỐ LƯỢNG" dataDxfId="2098">
      <calculatedColumnFormula>1091+958+901</calculatedColumnFormula>
    </tableColumn>
    <tableColumn id="6" xr3:uid="{48D65E02-C13E-49AC-A7D5-2DE000491172}" name="ĐƠN GIÁ" dataDxfId="2097"/>
    <tableColumn id="7" xr3:uid="{48F29E56-70C7-4C6B-B205-F0804E52F6B6}" name="THÀNH TIỀN" dataDxfId="2096">
      <calculatedColumnFormula>Cty_Toan_Viet[[#This Row],[ĐƠN GIÁ]]*Cty_Toan_Viet[[#This Row],[SỐ LƯỢNG]]</calculatedColumnFormula>
    </tableColumn>
    <tableColumn id="8" xr3:uid="{333F373C-16DD-4B0F-800B-6FB0A0F515E3}" name="THANH TOÁN" dataDxfId="2095"/>
    <tableColumn id="9" xr3:uid="{0BB511B2-CD51-46F2-8844-7127E247E188}" name="CÔNG NỢ_x000a_ CÒN LẠI" dataDxfId="2094">
      <calculatedColumnFormula>J9+Cty_Toan_Viet[[#This Row],[THÀNH TIỀN]]-Cty_Toan_Viet[[#This Row],[THANH TOÁN]]</calculatedColumnFormula>
    </tableColumn>
    <tableColumn id="10" xr3:uid="{75D47D12-8F3D-4E4A-B66F-45B739ABA5FC}" name="Ghi chú" dataDxfId="2093"/>
  </tableColumns>
  <tableStyleInfo showFirstColumn="0" showLastColumn="0" showRowStripes="1" showColumnStripes="0"/>
</table>
</file>

<file path=xl/tables/table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6" xr:uid="{E8DCF7EC-D81C-4741-B782-5BBB4E4975B2}" name="Cty_Thao_Trang" displayName="Cty_Thao_Trang" ref="A9:K14" totalsRowShown="0" headerRowDxfId="2092" dataDxfId="2090" headerRowBorderDxfId="2091" tableBorderDxfId="2089" totalsRowBorderDxfId="2088">
  <autoFilter ref="A9:K14" xr:uid="{3227F2BD-2C9D-4FFF-9F44-8C9E66133B6C}"/>
  <tableColumns count="11">
    <tableColumn id="1" xr3:uid="{CA5A876E-CFA3-4478-B27C-2EB2E2718801}" name="Số phiếu" dataDxfId="2087"/>
    <tableColumn id="2" xr3:uid="{153EA1CF-BA87-4B7E-A3F3-01852BD7B343}" name="Ngày_x000a_ tháng" dataDxfId="2086"/>
    <tableColumn id="3" xr3:uid="{7E267C56-70BB-490E-A02C-C78120C01F67}" name="Nội dung" dataDxfId="2085"/>
    <tableColumn id="12" xr3:uid="{8A20CAFC-F186-4100-A351-9954DD3CA389}" name="Chủng loại" dataDxfId="2084"/>
    <tableColumn id="4" xr3:uid="{90F22608-EEEE-422C-87C2-42D9CB3A62DA}" name="Quy cách" dataDxfId="2083"/>
    <tableColumn id="5" xr3:uid="{08A0BD4A-ED67-4B0E-8952-4D83DA674FC9}" name="SỐ LƯỢNG" dataDxfId="2082">
      <calculatedColumnFormula>1091+958+901</calculatedColumnFormula>
    </tableColumn>
    <tableColumn id="6" xr3:uid="{D8FD7BDB-49B3-4549-BC3D-48820E073555}" name="ĐƠN GIÁ" dataDxfId="2081"/>
    <tableColumn id="7" xr3:uid="{487E6745-46FF-4603-9D8E-FB55CABCFF59}" name="THÀNH TIỀN" dataDxfId="2080">
      <calculatedColumnFormula>Cty_Thao_Trang[[#This Row],[ĐƠN GIÁ]]*Cty_Thao_Trang[[#This Row],[SỐ LƯỢNG]]</calculatedColumnFormula>
    </tableColumn>
    <tableColumn id="8" xr3:uid="{61F6B69A-6DA8-4E38-8192-5AAC5FC5579B}" name="THANH TOÁN" dataDxfId="2079"/>
    <tableColumn id="9" xr3:uid="{F83D2368-991B-43EB-8A18-F22EFA104D8F}" name="CÔNG NỢ_x000a_ CÒN LẠI" dataDxfId="2078">
      <calculatedColumnFormula>J9+Cty_Thao_Trang[[#This Row],[THÀNH TIỀN]]-Cty_Thao_Trang[[#This Row],[THANH TOÁN]]</calculatedColumnFormula>
    </tableColumn>
    <tableColumn id="10" xr3:uid="{ECFC8C3F-8637-439E-8DC0-0FED6CA3B523}" name="Ghi chú" dataDxfId="2077"/>
  </tableColumns>
  <tableStyleInfo showFirstColumn="0" showLastColumn="0" showRowStripes="1" showColumnStripes="0"/>
</table>
</file>

<file path=xl/tables/table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7" xr:uid="{2EBC3B7C-1E76-4CA9-9039-D4E42B82F481}" name="C_Dung_Cau_Dien" displayName="C_Dung_Cau_Dien" ref="A9:K23" totalsRowShown="0" headerRowDxfId="2076" dataDxfId="2074" headerRowBorderDxfId="2075" tableBorderDxfId="2073" totalsRowBorderDxfId="2072">
  <autoFilter ref="A9:K23" xr:uid="{3227F2BD-2C9D-4FFF-9F44-8C9E66133B6C}"/>
  <tableColumns count="11">
    <tableColumn id="1" xr3:uid="{C267A4FF-745C-46E4-AC47-EA4AA3AA075D}" name="Số phiếu" dataDxfId="2071"/>
    <tableColumn id="2" xr3:uid="{4C766F28-36ED-4D33-9B14-8A8614A82FFB}" name="Ngày_x000a_ tháng" dataDxfId="2070"/>
    <tableColumn id="3" xr3:uid="{BF23E87A-F1F4-4587-AC43-270271A955F5}" name="Nội dung" dataDxfId="2069"/>
    <tableColumn id="12" xr3:uid="{B36DFB4C-105A-4840-B021-9BB4A87A0FC9}" name="Chủng loại" dataDxfId="2068"/>
    <tableColumn id="4" xr3:uid="{08B4E932-D3DE-4D44-AE28-FFFAD48A7E7A}" name="Quy cách" dataDxfId="2067"/>
    <tableColumn id="5" xr3:uid="{D6D79E0D-E6D9-4F63-9AE2-166BC9977C4E}" name="SỐ LƯỢNG" dataDxfId="2066">
      <calculatedColumnFormula>1091+958+901</calculatedColumnFormula>
    </tableColumn>
    <tableColumn id="6" xr3:uid="{FB052BC4-514F-4C35-B1B1-DD5BF94549E2}" name="ĐƠN GIÁ" dataDxfId="2065"/>
    <tableColumn id="7" xr3:uid="{64EE3C53-E196-47B0-BD85-2375AA6296B8}" name="THÀNH TIỀN" dataDxfId="2064">
      <calculatedColumnFormula>C_Dung_Cau_Dien[[#This Row],[ĐƠN GIÁ]]*C_Dung_Cau_Dien[[#This Row],[SỐ LƯỢNG]]</calculatedColumnFormula>
    </tableColumn>
    <tableColumn id="8" xr3:uid="{385EC7C8-CC28-4FB4-BB5B-F43DC0332909}" name="THANH TOÁN" dataDxfId="2063"/>
    <tableColumn id="9" xr3:uid="{D4184EC4-8AB2-44E8-AE81-497FAF4927A9}" name="CÔNG NỢ_x000a_ CÒN LẠI" dataDxfId="2062">
      <calculatedColumnFormula>J9+C_Dung_Cau_Dien[[#This Row],[THÀNH TIỀN]]-C_Dung_Cau_Dien[[#This Row],[THANH TOÁN]]</calculatedColumnFormula>
    </tableColumn>
    <tableColumn id="10" xr3:uid="{7B633DA5-C6ED-4343-9E35-52095F372854}" name="Ghi chú" dataDxfId="2061"/>
  </tableColumns>
  <tableStyleInfo showFirstColumn="0" showLastColumn="0" showRowStripes="1" showColumnStripes="0"/>
</table>
</file>

<file path=xl/tables/table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9" xr:uid="{3533998D-4F0C-4F24-BD08-FD068EE7D07D}" name="Cty_Cuong_Huong_PX" displayName="Cty_Cuong_Huong_PX" ref="A9:K19" totalsRowShown="0" headerRowDxfId="2060" dataDxfId="2058" headerRowBorderDxfId="2059" tableBorderDxfId="2057" totalsRowBorderDxfId="2056">
  <autoFilter ref="A9:K19" xr:uid="{3227F2BD-2C9D-4FFF-9F44-8C9E66133B6C}"/>
  <tableColumns count="11">
    <tableColumn id="1" xr3:uid="{07FAA62A-1B49-4A5A-B97F-996DCC0BBA7D}" name="Số phiếu" dataDxfId="2055"/>
    <tableColumn id="2" xr3:uid="{38D53F93-38E1-4D23-B189-DF3469661B46}" name="Ngày_x000a_ tháng" dataDxfId="2054"/>
    <tableColumn id="3" xr3:uid="{68FCFBC3-8062-4858-9B85-64949915B9E5}" name="Nội dung" dataDxfId="2053"/>
    <tableColumn id="12" xr3:uid="{29E7E3B8-E400-48F9-BA42-21C45CE87C3D}" name="Chủng loại" dataDxfId="2052"/>
    <tableColumn id="4" xr3:uid="{A67A02F4-7A59-4438-BDFE-53463B74F5B9}" name="Quy cách" dataDxfId="2051"/>
    <tableColumn id="5" xr3:uid="{B272847F-EEDC-4120-A2C1-5E4F1B5D94DA}" name="SỐ LƯỢNG" dataDxfId="2050">
      <calculatedColumnFormula>1091+958+901</calculatedColumnFormula>
    </tableColumn>
    <tableColumn id="6" xr3:uid="{93E086D4-9DD4-4CE6-810B-2803C2D58327}" name="ĐƠN GIÁ" dataDxfId="2049"/>
    <tableColumn id="7" xr3:uid="{CBE41AE6-0229-4E33-A220-E93EAB0091B1}" name="THÀNH TIỀN" dataDxfId="2048">
      <calculatedColumnFormula>Cty_Cuong_Huong_PX[[#This Row],[ĐƠN GIÁ]]*Cty_Cuong_Huong_PX[[#This Row],[SỐ LƯỢNG]]</calculatedColumnFormula>
    </tableColumn>
    <tableColumn id="8" xr3:uid="{05465621-6BE3-4C90-841E-3D7A61C5BA98}" name="THANH TOÁN" dataDxfId="2047"/>
    <tableColumn id="9" xr3:uid="{B58ACCF9-66E2-40F9-AC66-4269FA728297}" name="CÔNG NỢ_x000a_ CÒN LẠI" dataDxfId="2046">
      <calculatedColumnFormula>J9+Cty_Cuong_Huong_PX[[#This Row],[THÀNH TIỀN]]-Cty_Cuong_Huong_PX[[#This Row],[THANH TOÁN]]</calculatedColumnFormula>
    </tableColumn>
    <tableColumn id="10" xr3:uid="{F9BD662F-D7B7-45D7-8A55-D836F471AD3B}" name="Ghi chú" dataDxfId="2045"/>
  </tableColumns>
  <tableStyleInfo showFirstColumn="0" showLastColumn="0" showRowStripes="1" showColumnStripes="0"/>
</table>
</file>

<file path=xl/tables/table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0" xr:uid="{2EE4951F-0AAD-4B8F-9F52-A919532308CF}" name="Cty_INOX_Viet" displayName="Cty_INOX_Viet" ref="A9:K16" totalsRowShown="0" headerRowDxfId="2044" dataDxfId="2042" headerRowBorderDxfId="2043" tableBorderDxfId="2041" totalsRowBorderDxfId="2040">
  <autoFilter ref="A9:K16" xr:uid="{3227F2BD-2C9D-4FFF-9F44-8C9E66133B6C}"/>
  <tableColumns count="11">
    <tableColumn id="1" xr3:uid="{F6A90073-4FAF-4ACB-9F05-E4B68281D40D}" name="Số phiếu" dataDxfId="2039"/>
    <tableColumn id="2" xr3:uid="{D6624E9A-66AE-47A9-834B-AF96CC3115C2}" name="Ngày_x000a_ tháng" dataDxfId="2038"/>
    <tableColumn id="3" xr3:uid="{775ED0EE-AE57-4DD5-B874-E5F2E408F6B8}" name="Nội dung" dataDxfId="2037"/>
    <tableColumn id="12" xr3:uid="{C2F9CCEE-1548-499D-8927-0C324226BC74}" name="Chủng loại" dataDxfId="2036"/>
    <tableColumn id="4" xr3:uid="{52C5DA7F-F1CE-4F88-BE14-E0C0B88BAF62}" name="Quy cách" dataDxfId="2035"/>
    <tableColumn id="5" xr3:uid="{074EE1F9-0A18-4887-8C6A-5376B67BD72D}" name="SỐ LƯỢNG" dataDxfId="2034">
      <calculatedColumnFormula>1091+958+901</calculatedColumnFormula>
    </tableColumn>
    <tableColumn id="6" xr3:uid="{A16BCEF2-F72E-4D15-B2AF-9AAFC5010F02}" name="ĐƠN GIÁ" dataDxfId="2033"/>
    <tableColumn id="7" xr3:uid="{701AD5EF-88B5-4189-BE63-3249CFA81097}" name="THÀNH TIỀN" dataDxfId="2032">
      <calculatedColumnFormula>Cty_INOX_Viet[[#This Row],[ĐƠN GIÁ]]*Cty_INOX_Viet[[#This Row],[SỐ LƯỢNG]]</calculatedColumnFormula>
    </tableColumn>
    <tableColumn id="8" xr3:uid="{25E977F8-61DE-4ECD-B361-1CF10E880BDE}" name="THANH TOÁN" dataDxfId="2031"/>
    <tableColumn id="9" xr3:uid="{51783BEA-072C-4F5D-99A5-7FC94EABCEC1}" name="CÔNG NỢ_x000a_ CÒN LẠI" dataDxfId="2030">
      <calculatedColumnFormula>J9+Cty_INOX_Viet[[#This Row],[THÀNH TIỀN]]-Cty_INOX_Viet[[#This Row],[THANH TOÁN]]</calculatedColumnFormula>
    </tableColumn>
    <tableColumn id="10" xr3:uid="{46185A48-5438-413C-97DA-65F9383FCE19}" name="Ghi chú" dataDxfId="2029"/>
  </tableColumns>
  <tableStyleInfo showFirstColumn="0" showLastColumn="0" showRowStripes="1" showColumnStripes="0"/>
</table>
</file>

<file path=xl/tables/table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1" xr:uid="{FBD3A7C6-9448-4E66-81E7-7DCBB846B323}" name="A_Phong_Cty_Viet_Duc" displayName="A_Phong_Cty_Viet_Duc" ref="A9:K18" totalsRowShown="0" headerRowDxfId="2028" dataDxfId="2026" headerRowBorderDxfId="2027" tableBorderDxfId="2025" totalsRowBorderDxfId="2024">
  <autoFilter ref="A9:K18" xr:uid="{3227F2BD-2C9D-4FFF-9F44-8C9E66133B6C}"/>
  <sortState xmlns:xlrd2="http://schemas.microsoft.com/office/spreadsheetml/2017/richdata2" ref="A10:K17">
    <sortCondition ref="B10:B17"/>
  </sortState>
  <tableColumns count="11">
    <tableColumn id="1" xr3:uid="{FAAAAC61-E1AC-4291-BA54-0A339A77FA69}" name="Số phiếu" dataDxfId="2023"/>
    <tableColumn id="2" xr3:uid="{75D8677A-E3B7-46E7-88CE-7052071E60E5}" name="Ngày_x000a_ tháng" dataDxfId="2022"/>
    <tableColumn id="3" xr3:uid="{AD25B9B7-5FBD-429D-B03B-3CFA49C44AC3}" name="Nội dung" dataDxfId="2021"/>
    <tableColumn id="12" xr3:uid="{3BE9ED32-0D4B-4598-8ED4-048FF5F7C8CC}" name="Chủng loại" dataDxfId="2020"/>
    <tableColumn id="4" xr3:uid="{6B602B21-6664-4C74-8912-ED8E87D8AB3E}" name="Quy cách" dataDxfId="2019"/>
    <tableColumn id="5" xr3:uid="{A76598FB-128F-40BD-B67B-DC590BC6A2A5}" name="SỐ LƯỢNG" dataDxfId="2018">
      <calculatedColumnFormula>1091+958+901</calculatedColumnFormula>
    </tableColumn>
    <tableColumn id="6" xr3:uid="{E956D667-F14D-4C66-A7A5-1A72785EC753}" name="ĐƠN GIÁ" dataDxfId="2017"/>
    <tableColumn id="7" xr3:uid="{739BA309-ED2D-474C-8E36-C317FD06C207}" name="THÀNH TIỀN" dataDxfId="2016">
      <calculatedColumnFormula>A_Phong_Cty_Viet_Duc[[#This Row],[ĐƠN GIÁ]]*A_Phong_Cty_Viet_Duc[[#This Row],[SỐ LƯỢNG]]</calculatedColumnFormula>
    </tableColumn>
    <tableColumn id="8" xr3:uid="{B5F69DB9-00FD-4038-A4EE-FC5F61DD6C00}" name="THANH TOÁN" dataDxfId="2015"/>
    <tableColumn id="9" xr3:uid="{3CD712B5-4358-4962-B2BB-B780915E04F8}" name="CÔNG NỢ_x000a_ CÒN LẠI" dataDxfId="2014">
      <calculatedColumnFormula>J9+A_Phong_Cty_Viet_Duc[[#This Row],[THÀNH TIỀN]]-A_Phong_Cty_Viet_Duc[[#This Row],[THANH TOÁN]]</calculatedColumnFormula>
    </tableColumn>
    <tableColumn id="10" xr3:uid="{42D86762-563B-4348-B318-946A16EF4C62}" name="Ghi chú" dataDxfId="2013"/>
  </tableColumns>
  <tableStyleInfo showFirstColumn="0" showLastColumn="0" showRowStripes="1" showColumnStripes="0"/>
</table>
</file>

<file path=xl/tables/table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8" xr:uid="{20FC5687-1196-4388-8F35-6437B3DCD384}" name="Cty_Thiet_Bi_Y_Te_Hoang_Gia" displayName="Cty_Thiet_Bi_Y_Te_Hoang_Gia" ref="A9:K42" totalsRowShown="0" headerRowDxfId="2012" dataDxfId="2010" headerRowBorderDxfId="2011" tableBorderDxfId="2009" totalsRowBorderDxfId="2008">
  <autoFilter ref="A9:K42" xr:uid="{3227F2BD-2C9D-4FFF-9F44-8C9E66133B6C}"/>
  <sortState xmlns:xlrd2="http://schemas.microsoft.com/office/spreadsheetml/2017/richdata2" ref="A10:K33">
    <sortCondition ref="B10:B33"/>
  </sortState>
  <tableColumns count="11">
    <tableColumn id="1" xr3:uid="{8596B1BB-921F-469A-A3B3-84696A2BA5C4}" name="Số phiếu" dataDxfId="2007"/>
    <tableColumn id="2" xr3:uid="{A1C700EA-8FD3-4A74-9D99-C8B3FE68164F}" name="Ngày_x000a_ tháng" dataDxfId="2006"/>
    <tableColumn id="3" xr3:uid="{36BE6F18-E454-4DE4-85D6-DA7761E31E54}" name="Nội dung" dataDxfId="2005"/>
    <tableColumn id="12" xr3:uid="{66A163B5-ABC2-4751-9E5F-8A34A70CB1C0}" name="Chủng loại" dataDxfId="2004"/>
    <tableColumn id="4" xr3:uid="{72DB8F26-7100-43CC-9BD3-53BE1FBFD57F}" name="Quy cách" dataDxfId="2003"/>
    <tableColumn id="5" xr3:uid="{027179B4-D555-469F-A531-BCF6E16C165C}" name="SỐ LƯỢNG" dataDxfId="2002">
      <calculatedColumnFormula>1091+958+901</calculatedColumnFormula>
    </tableColumn>
    <tableColumn id="6" xr3:uid="{B4B56507-5B80-4CE6-9509-5FF0EFF0DF0A}" name="ĐƠN GIÁ" dataDxfId="2001"/>
    <tableColumn id="7" xr3:uid="{E5913C6E-8F8A-4CA7-99CA-231BE09FB3E7}" name="THÀNH TIỀN" dataDxfId="2000">
      <calculatedColumnFormula>Cty_Thiet_Bi_Y_Te_Hoang_Gia[[#This Row],[ĐƠN GIÁ]]*Cty_Thiet_Bi_Y_Te_Hoang_Gia[[#This Row],[SỐ LƯỢNG]]</calculatedColumnFormula>
    </tableColumn>
    <tableColumn id="8" xr3:uid="{CB122FA0-FCD3-4A9C-98CE-711DC60695D7}" name="THANH TOÁN" dataDxfId="1999"/>
    <tableColumn id="9" xr3:uid="{0CDE69FB-4026-4527-A1C6-C245F585E775}" name="CÔNG NỢ_x000a_ CÒN LẠI" dataDxfId="1998">
      <calculatedColumnFormula>J9+Cty_Thiet_Bi_Y_Te_Hoang_Gia[[#This Row],[THÀNH TIỀN]]-Cty_Thiet_Bi_Y_Te_Hoang_Gia[[#This Row],[THANH TOÁN]]</calculatedColumnFormula>
    </tableColumn>
    <tableColumn id="10" xr3:uid="{954C1248-4744-488F-AA8B-D0E7CA02C3AE}" name="Ghi chú" dataDxfId="1997"/>
  </tableColumns>
  <tableStyleInfo showFirstColumn="0" showLastColumn="0" showRowStripes="1" showColumnStripes="0"/>
</table>
</file>

<file path=xl/tables/table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2" xr:uid="{81C494D9-4945-4D32-A0E6-6385750CF77E}" name="A_Duc_Cty_Hoa_Phat" displayName="A_Duc_Cty_Hoa_Phat" ref="A9:K42" totalsRowShown="0" headerRowDxfId="1996" dataDxfId="1994" headerRowBorderDxfId="1995" tableBorderDxfId="1993" totalsRowBorderDxfId="1992">
  <autoFilter ref="A9:K42" xr:uid="{3227F2BD-2C9D-4FFF-9F44-8C9E66133B6C}"/>
  <sortState xmlns:xlrd2="http://schemas.microsoft.com/office/spreadsheetml/2017/richdata2" ref="A10:K39">
    <sortCondition ref="B12:B39"/>
  </sortState>
  <tableColumns count="11">
    <tableColumn id="1" xr3:uid="{2D6C05AE-6F13-4081-87C4-4947E9D9B535}" name="Số phiếu" dataDxfId="1991"/>
    <tableColumn id="2" xr3:uid="{D009559B-E38C-44F4-9955-7E86DAD15F9B}" name="Ngày_x000a_ tháng" dataDxfId="1990"/>
    <tableColumn id="3" xr3:uid="{7C3DD1B0-16D2-48EC-9CF2-DC04B93C9DE1}" name="Nội dung" dataDxfId="1989"/>
    <tableColumn id="12" xr3:uid="{34C8FB68-CE6E-4EA6-BD7C-5910212BB4F1}" name="Chủng loại" dataDxfId="1988"/>
    <tableColumn id="4" xr3:uid="{3D553832-03E5-4B13-A454-2F7E35B4D5DE}" name="Quy cách" dataDxfId="1987"/>
    <tableColumn id="5" xr3:uid="{0AC6A619-4351-4743-AC0E-923AB0CC0880}" name="SỐ LƯỢNG" dataDxfId="1986">
      <calculatedColumnFormula>1091+958+901</calculatedColumnFormula>
    </tableColumn>
    <tableColumn id="6" xr3:uid="{EE5E8173-2927-4924-B4CA-D314FBAE7779}" name="ĐƠN GIÁ" dataDxfId="1985"/>
    <tableColumn id="7" xr3:uid="{03AF8ED8-CF7E-42B9-8ADB-4DD7E3867EF3}" name="THÀNH TIỀN" dataDxfId="1984">
      <calculatedColumnFormula>A_Duc_Cty_Hoa_Phat[[#This Row],[ĐƠN GIÁ]]*A_Duc_Cty_Hoa_Phat[[#This Row],[SỐ LƯỢNG]]</calculatedColumnFormula>
    </tableColumn>
    <tableColumn id="8" xr3:uid="{0EAE5276-17C8-40B4-8313-598D322414F5}" name="THANH TOÁN" dataDxfId="1983"/>
    <tableColumn id="9" xr3:uid="{5D5B699D-CDCD-4DBB-8DE4-52AC4E79BBBB}" name="CÔNG NỢ_x000a_ CÒN LẠI" dataDxfId="1982">
      <calculatedColumnFormula>J9+A_Duc_Cty_Hoa_Phat[[#This Row],[THÀNH TIỀN]]-A_Duc_Cty_Hoa_Phat[[#This Row],[THANH TOÁN]]</calculatedColumnFormula>
    </tableColumn>
    <tableColumn id="10" xr3:uid="{C4CF8EEA-ADC5-412B-886D-86AFB0B88A77}" name="Ghi chú" dataDxfId="1981"/>
  </tableColumns>
  <tableStyleInfo showFirstColumn="0" showLastColumn="0" showRowStripes="1" showColumnStripes="0"/>
</table>
</file>

<file path=xl/tables/table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3" xr:uid="{B0499A9D-534D-4DF3-92B4-0D1599A948B3}" name="Cty_Dong_Duong" displayName="Cty_Dong_Duong" ref="A9:K40" totalsRowShown="0" headerRowDxfId="1980" dataDxfId="1978" headerRowBorderDxfId="1979" tableBorderDxfId="1977" totalsRowBorderDxfId="1976">
  <autoFilter ref="A9:K40" xr:uid="{3227F2BD-2C9D-4FFF-9F44-8C9E66133B6C}"/>
  <sortState xmlns:xlrd2="http://schemas.microsoft.com/office/spreadsheetml/2017/richdata2" ref="A10:K36">
    <sortCondition ref="B11:B36"/>
  </sortState>
  <tableColumns count="11">
    <tableColumn id="1" xr3:uid="{248B3157-ABF4-4E59-8D4E-A1B756E13697}" name="Số phiếu" dataDxfId="1975"/>
    <tableColumn id="2" xr3:uid="{FE8A2891-4E33-4822-BEC2-D7C2C3695F9F}" name="Ngày_x000a_ tháng" dataDxfId="1974"/>
    <tableColumn id="3" xr3:uid="{CDA6EF05-BE5A-409A-B4FF-0D01D7FB411D}" name="Nội dung" dataDxfId="1973"/>
    <tableColumn id="12" xr3:uid="{BB464AE9-ACD5-4678-8D0F-385C7BDCBCCD}" name="Chủng loại" dataDxfId="1972"/>
    <tableColumn id="4" xr3:uid="{4013A9B6-5235-4F29-9790-9C7409185E16}" name="Quy cách" dataDxfId="1971"/>
    <tableColumn id="5" xr3:uid="{39D07815-AB16-455D-8BE4-E96809F252BC}" name="SỐ LƯỢNG" dataDxfId="1970">
      <calculatedColumnFormula>1091+958+901</calculatedColumnFormula>
    </tableColumn>
    <tableColumn id="6" xr3:uid="{B8C1C1EB-9951-4EA4-99AA-15B72ED687FA}" name="ĐƠN GIÁ" dataDxfId="1969"/>
    <tableColumn id="7" xr3:uid="{6DDF0710-5815-497B-98B2-2BF63076FB04}" name="THÀNH TIỀN" dataDxfId="1968">
      <calculatedColumnFormula>Cty_Dong_Duong[[#This Row],[ĐƠN GIÁ]]*Cty_Dong_Duong[[#This Row],[SỐ LƯỢNG]]</calculatedColumnFormula>
    </tableColumn>
    <tableColumn id="8" xr3:uid="{A482C1BB-D3F2-4D7B-8A35-664984A11981}" name="THANH TOÁN" dataDxfId="1967"/>
    <tableColumn id="9" xr3:uid="{B00CE1C5-8B76-4C2A-95B3-2F698377B90D}" name="CÔNG NỢ_x000a_ CÒN LẠI" dataDxfId="1966">
      <calculatedColumnFormula>N(INDIRECT("R[-1]C", FALSE)) + Cty_Dong_Duong[[#This Row],[THÀNH TIỀN]] - Cty_Dong_Duong[[#This Row],[THANH TOÁN]]</calculatedColumnFormula>
    </tableColumn>
    <tableColumn id="10" xr3:uid="{59571ACD-583A-499C-A7EB-84DADB75DC39}" name="Ghi chú" dataDxfId="1965"/>
  </tableColumns>
  <tableStyleInfo showFirstColumn="0" showLastColumn="0" showRowStripes="1" showColumnStripes="0"/>
</table>
</file>

<file path=xl/tables/table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4" xr:uid="{5AD88267-A654-4A0A-8DE9-73A2BEDB7302}" name="Cty_TH_Viet_Nam" displayName="Cty_TH_Viet_Nam" ref="A9:K34" totalsRowShown="0" headerRowDxfId="1964" dataDxfId="1962" headerRowBorderDxfId="1963" tableBorderDxfId="1961" totalsRowBorderDxfId="1960">
  <autoFilter ref="A9:K34" xr:uid="{3227F2BD-2C9D-4FFF-9F44-8C9E66133B6C}"/>
  <sortState xmlns:xlrd2="http://schemas.microsoft.com/office/spreadsheetml/2017/richdata2" ref="A10:K33">
    <sortCondition ref="B11:B33"/>
  </sortState>
  <tableColumns count="11">
    <tableColumn id="1" xr3:uid="{9BF64411-5D4C-430E-9422-D259BC537628}" name="Số phiếu" dataDxfId="1959"/>
    <tableColumn id="2" xr3:uid="{13B63E1F-5617-4B53-845E-AE6615DB3F80}" name="Ngày_x000a_ tháng" dataDxfId="1958"/>
    <tableColumn id="3" xr3:uid="{0FCF5C9D-A087-4540-B610-E212EB1A02C2}" name="Nội dung" dataDxfId="1957"/>
    <tableColumn id="12" xr3:uid="{8BE003F4-9571-4DF5-ADAE-B3E638A09991}" name="Chủng loại" dataDxfId="1956"/>
    <tableColumn id="4" xr3:uid="{F775AB67-6F33-4141-8C04-E25CDFB3056A}" name="Quy cách" dataDxfId="1955"/>
    <tableColumn id="5" xr3:uid="{C79146EA-C91F-4E79-8996-1352F6580A82}" name="SỐ LƯỢNG" dataDxfId="1954">
      <calculatedColumnFormula>1091+958+901</calculatedColumnFormula>
    </tableColumn>
    <tableColumn id="6" xr3:uid="{0E6FBE99-B7D8-42EF-8DBD-E0DC28DEBE38}" name="ĐƠN GIÁ" dataDxfId="1953"/>
    <tableColumn id="7" xr3:uid="{456A7212-0C6F-46BA-8201-1F99A4B83C3D}" name="THÀNH TIỀN" dataDxfId="1952">
      <calculatedColumnFormula>Cty_TH_Viet_Nam[[#This Row],[ĐƠN GIÁ]]*Cty_TH_Viet_Nam[[#This Row],[SỐ LƯỢNG]]</calculatedColumnFormula>
    </tableColumn>
    <tableColumn id="8" xr3:uid="{193FA03C-1464-4407-B30E-0B2E896104E2}" name="THANH TOÁN" dataDxfId="1951"/>
    <tableColumn id="9" xr3:uid="{009F2CA5-5077-44E7-A326-14FD7045C96E}" name="CÔNG NỢ_x000a_ CÒN LẠI" dataDxfId="1950">
      <calculatedColumnFormula>J9+Cty_TH_Viet_Nam[[#This Row],[THÀNH TIỀN]]-Cty_TH_Viet_Nam[[#This Row],[THANH TOÁN]]</calculatedColumnFormula>
    </tableColumn>
    <tableColumn id="10" xr3:uid="{7BC7DD01-BFD0-47F1-B3B4-62E608BDDF90}" name="Ghi chú" dataDxfId="1949"/>
  </tableColumns>
  <tableStyleInfo showFirstColumn="0" showLastColumn="0" showRowStripes="1" showColumnStripes="0"/>
</table>
</file>

<file path=xl/tables/table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5" xr:uid="{1E855D82-F31A-4BA8-B161-FA4224F140AC}" name="E_An_Thai_Nguyen" displayName="E_An_Thai_Nguyen" ref="A9:K26" totalsRowShown="0" headerRowDxfId="1948" dataDxfId="1946" headerRowBorderDxfId="1947" tableBorderDxfId="1945" totalsRowBorderDxfId="1944">
  <autoFilter ref="A9:K26" xr:uid="{3227F2BD-2C9D-4FFF-9F44-8C9E66133B6C}"/>
  <sortState xmlns:xlrd2="http://schemas.microsoft.com/office/spreadsheetml/2017/richdata2" ref="A10:K25">
    <sortCondition ref="B12:B25"/>
  </sortState>
  <tableColumns count="11">
    <tableColumn id="1" xr3:uid="{AAA0B240-F3B4-42FD-9BB2-8FB40C23D8DB}" name="Số phiếu" dataDxfId="1943"/>
    <tableColumn id="2" xr3:uid="{E5657741-F47C-431F-81ED-6882731FFBAF}" name="Ngày_x000a_ tháng" dataDxfId="1942"/>
    <tableColumn id="3" xr3:uid="{B6CB02C2-2E2A-4D98-BC39-3F94D8C5D634}" name="Nội dung" dataDxfId="1941"/>
    <tableColumn id="12" xr3:uid="{35ACADAB-9D5F-4C22-8942-8BB3A21A5286}" name="Chủng loại" dataDxfId="1940"/>
    <tableColumn id="4" xr3:uid="{F8ED2220-8DBC-4951-BBB4-8BF0A36808A3}" name="Quy cách" dataDxfId="1939"/>
    <tableColumn id="5" xr3:uid="{087BFFAF-22B2-403D-9493-2212AAF8E23C}" name="SỐ LƯỢNG" dataDxfId="1938">
      <calculatedColumnFormula>1091+958+901</calculatedColumnFormula>
    </tableColumn>
    <tableColumn id="6" xr3:uid="{7A52477C-7E32-425B-95E8-9F36B0527D3F}" name="ĐƠN GIÁ" dataDxfId="1937"/>
    <tableColumn id="7" xr3:uid="{B9A83115-581B-4C07-908A-F566F3E11ADA}" name="THÀNH TIỀN" dataDxfId="1936">
      <calculatedColumnFormula>E_An_Thai_Nguyen[[#This Row],[ĐƠN GIÁ]]*E_An_Thai_Nguyen[[#This Row],[SỐ LƯỢNG]]</calculatedColumnFormula>
    </tableColumn>
    <tableColumn id="8" xr3:uid="{36535854-90F2-4DEE-B6EF-5409704DEAAD}" name="THANH TOÁN" dataDxfId="1935"/>
    <tableColumn id="9" xr3:uid="{9B582571-267A-443C-80D0-CDDEE071050E}" name="CÔNG NỢ_x000a_ CÒN LẠI" dataDxfId="1934">
      <calculatedColumnFormula>J9+E_An_Thai_Nguyen[[#This Row],[THÀNH TIỀN]]-E_An_Thai_Nguyen[[#This Row],[THANH TOÁN]]</calculatedColumnFormula>
    </tableColumn>
    <tableColumn id="10" xr3:uid="{5185301E-64D4-47AA-88E2-FD8FF8E327AD}" name="Ghi chú" dataDxfId="1933"/>
  </tableColumns>
  <tableStyleInfo showFirstColumn="0" showLastColumn="0" showRowStripes="1" showColumnStripes="0"/>
</table>
</file>

<file path=xl/tables/table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6" xr:uid="{201E9EB3-F461-4EEF-8F75-815A07CEA0C0}" name="E_Nguyen_Cty_Huy_Hoang" displayName="E_Nguyen_Cty_Huy_Hoang" ref="A9:K23" totalsRowShown="0" headerRowDxfId="1932" dataDxfId="1930" headerRowBorderDxfId="1931" tableBorderDxfId="1929" totalsRowBorderDxfId="1928">
  <autoFilter ref="A9:K23" xr:uid="{3227F2BD-2C9D-4FFF-9F44-8C9E66133B6C}"/>
  <sortState xmlns:xlrd2="http://schemas.microsoft.com/office/spreadsheetml/2017/richdata2" ref="A10:K20">
    <sortCondition ref="B13:B20"/>
  </sortState>
  <tableColumns count="11">
    <tableColumn id="1" xr3:uid="{12634D39-A97C-4504-9E7F-D0E4C6F0F02B}" name="Số phiếu" dataDxfId="1927"/>
    <tableColumn id="2" xr3:uid="{CE5F3391-347D-41FE-AA11-514F9A30EA64}" name="Ngày_x000a_ tháng" dataDxfId="1926"/>
    <tableColumn id="3" xr3:uid="{EBDFAF52-CB96-42BF-99EE-5C8073A0C5F6}" name="Nội dung" dataDxfId="1925"/>
    <tableColumn id="12" xr3:uid="{1DC20909-CE28-4FF4-B0BB-B831AC084BEE}" name="Chủng loại" dataDxfId="1924"/>
    <tableColumn id="4" xr3:uid="{74898608-EBDB-42EB-9B87-5264C784345F}" name="Quy cách" dataDxfId="1923"/>
    <tableColumn id="5" xr3:uid="{610510D5-9A61-493A-A5CD-7C2399B25C70}" name="SỐ LƯỢNG" dataDxfId="1922">
      <calculatedColumnFormula>1091+958+901</calculatedColumnFormula>
    </tableColumn>
    <tableColumn id="6" xr3:uid="{7A886811-F719-4D9E-8158-1398500FC9E2}" name="ĐƠN GIÁ" dataDxfId="1921"/>
    <tableColumn id="7" xr3:uid="{D0A2D341-10FA-4627-B226-D81A7F22AA4D}" name="THÀNH TIỀN" dataDxfId="1920">
      <calculatedColumnFormula>E_Nguyen_Cty_Huy_Hoang[[#This Row],[ĐƠN GIÁ]]*E_Nguyen_Cty_Huy_Hoang[[#This Row],[SỐ LƯỢNG]]</calculatedColumnFormula>
    </tableColumn>
    <tableColumn id="8" xr3:uid="{ACD7D0E9-0C5F-43C5-9EC4-BD099E538E8A}" name="THANH TOÁN" dataDxfId="1919"/>
    <tableColumn id="9" xr3:uid="{26EA0028-1513-4CAB-8037-7F7790F3F850}" name="CÔNG NỢ_x000a_ CÒN LẠI" dataDxfId="1918">
      <calculatedColumnFormula>J9+E_Nguyen_Cty_Huy_Hoang[[#This Row],[THÀNH TIỀN]]-E_Nguyen_Cty_Huy_Hoang[[#This Row],[THANH TOÁN]]</calculatedColumnFormula>
    </tableColumn>
    <tableColumn id="10" xr3:uid="{5B466A43-CE1C-4C34-85FB-CCFEC3CF51D8}" name="Ghi chú" dataDxfId="1917"/>
  </tableColumns>
  <tableStyleInfo showFirstColumn="0" showLastColumn="0" showRowStripes="1" showColumnStripes="0"/>
</table>
</file>

<file path=xl/tables/table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7" xr:uid="{F75D2394-80D0-494B-98C4-766069D15AD5}" name="Cty_Hung_Phat_ND" displayName="Cty_Hung_Phat_ND" ref="A9:K36" totalsRowShown="0" headerRowDxfId="1916" dataDxfId="1914" headerRowBorderDxfId="1915" tableBorderDxfId="1913" totalsRowBorderDxfId="1912">
  <autoFilter ref="A9:K36" xr:uid="{3227F2BD-2C9D-4FFF-9F44-8C9E66133B6C}"/>
  <tableColumns count="11">
    <tableColumn id="1" xr3:uid="{AEFB16C0-8B82-4ED3-AE85-C5E0022C15AA}" name="Số phiếu" dataDxfId="1911"/>
    <tableColumn id="2" xr3:uid="{407A148D-80A9-4836-8BE5-48DDF272A882}" name="Ngày_x000a_ tháng" dataDxfId="1910"/>
    <tableColumn id="3" xr3:uid="{15593D72-1240-4353-8E73-7B50882F8151}" name="Nội dung" dataDxfId="1909"/>
    <tableColumn id="12" xr3:uid="{3E701F8A-A921-4E6F-99AE-DF478A1204F3}" name="Chủng loại" dataDxfId="1908"/>
    <tableColumn id="4" xr3:uid="{D7E6FB08-1FAC-4780-96C3-384B8DDA3DED}" name="Quy cách" dataDxfId="1907"/>
    <tableColumn id="5" xr3:uid="{99403772-57CA-4571-9ED2-5712030ACFF4}" name="SỐ LƯỢNG" dataDxfId="1906">
      <calculatedColumnFormula>1091+958+901</calculatedColumnFormula>
    </tableColumn>
    <tableColumn id="6" xr3:uid="{DA346EAD-D78F-4390-95CA-4ACEABA408A8}" name="ĐƠN GIÁ" dataDxfId="1905"/>
    <tableColumn id="7" xr3:uid="{D5094E54-A6EE-4B3B-9578-42BFEC03C8D1}" name="THÀNH TIỀN" dataDxfId="1904">
      <calculatedColumnFormula>Cty_Hung_Phat_ND[[#This Row],[ĐƠN GIÁ]]*Cty_Hung_Phat_ND[[#This Row],[SỐ LƯỢNG]]</calculatedColumnFormula>
    </tableColumn>
    <tableColumn id="8" xr3:uid="{F8037215-5F4C-474E-9020-E7ADB6D1429B}" name="THANH TOÁN" dataDxfId="1903"/>
    <tableColumn id="9" xr3:uid="{A8DCA4C1-F353-4BFF-9CCC-1258802AA3C1}" name="CÔNG NỢ_x000a_ CÒN LẠI" dataDxfId="1902">
      <calculatedColumnFormula>J9+Cty_Hung_Phat_ND[[#This Row],[THÀNH TIỀN]]-Cty_Hung_Phat_ND[[#This Row],[THANH TOÁN]]</calculatedColumnFormula>
    </tableColumn>
    <tableColumn id="10" xr3:uid="{DD0ACEEA-7F85-484F-8A28-57318D17824B}" name="Ghi chú" dataDxfId="1901"/>
  </tableColumns>
  <tableStyleInfo showFirstColumn="0" showLastColumn="0" showRowStripes="1" showColumnStripes="0"/>
</table>
</file>

<file path=xl/tables/table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1C8E1BE9-8377-4289-A85F-57CC91D83F7D}" name="Co_Cuc_Rua" displayName="Co_Cuc_Rua" ref="A9:K15" totalsRowShown="0" headerRowDxfId="1900" dataDxfId="1898" headerRowBorderDxfId="1899" tableBorderDxfId="1897" totalsRowBorderDxfId="1896">
  <autoFilter ref="A9:K15" xr:uid="{3227F2BD-2C9D-4FFF-9F44-8C9E66133B6C}"/>
  <tableColumns count="11">
    <tableColumn id="1" xr3:uid="{F25650B3-7361-4E47-9FFB-B1E9E961CAD0}" name="Số phiếu" dataDxfId="1895"/>
    <tableColumn id="2" xr3:uid="{8ECFD56A-71EB-4DF5-A1F6-A2AC09A8C0B8}" name="Ngày_x000a_ tháng" dataDxfId="1894"/>
    <tableColumn id="3" xr3:uid="{6AFE72F4-41DF-48AE-A09E-567CA8F0DD33}" name="Nội dung" dataDxfId="1893"/>
    <tableColumn id="12" xr3:uid="{21ED2DF1-C4BD-4F30-B81F-75CFBEBF3B2A}" name="Chủng loại" dataDxfId="1892"/>
    <tableColumn id="4" xr3:uid="{402B4207-492A-4F1F-98A4-40C44DD8F0FA}" name="Quy cách" dataDxfId="1891"/>
    <tableColumn id="5" xr3:uid="{FF420706-F192-42B5-B273-D735556E3085}" name="SỐ LƯỢNG" dataDxfId="1890">
      <calculatedColumnFormula>1091+958+901</calculatedColumnFormula>
    </tableColumn>
    <tableColumn id="6" xr3:uid="{93A17812-0109-4ACD-93F2-465F5EBBCA7C}" name="ĐƠN GIÁ" dataDxfId="1889"/>
    <tableColumn id="7" xr3:uid="{3345E156-8BEA-4E89-B686-D647DCE485A8}" name="THÀNH TIỀN" dataDxfId="1888">
      <calculatedColumnFormula>Co_Cuc_Rua[[#This Row],[ĐƠN GIÁ]]*Co_Cuc_Rua[[#This Row],[SỐ LƯỢNG]]</calculatedColumnFormula>
    </tableColumn>
    <tableColumn id="8" xr3:uid="{F192A47B-CEB0-4EA6-BB3B-F175DE631B73}" name="THANH TOÁN" dataDxfId="1887"/>
    <tableColumn id="9" xr3:uid="{EECF0B29-3BED-446E-946D-3276FF370E00}" name="CÔNG NỢ_x000a_ CÒN LẠI" dataDxfId="1886">
      <calculatedColumnFormula>J9+Co_Cuc_Rua[[#This Row],[THÀNH TIỀN]]-Co_Cuc_Rua[[#This Row],[THANH TOÁN]]</calculatedColumnFormula>
    </tableColumn>
    <tableColumn id="10" xr3:uid="{A4678E48-BC06-45B8-ACB2-ACEB0100AD89}" name="Ghi chú" dataDxfId="1885"/>
  </tableColumns>
  <tableStyleInfo showFirstColumn="0" showLastColumn="0" showRowStripes="1" showColumnStripes="0"/>
</table>
</file>

<file path=xl/tables/table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9" xr:uid="{A21F5952-C39E-46D7-9089-00C7108EABF0}" name="Cty_Nguyen_Hung_HT" displayName="Cty_Nguyen_Hung_HT" ref="A9:K20" totalsRowShown="0" headerRowDxfId="1884" dataDxfId="1882" headerRowBorderDxfId="1883" tableBorderDxfId="1881" totalsRowBorderDxfId="1880">
  <autoFilter ref="A9:K20" xr:uid="{3227F2BD-2C9D-4FFF-9F44-8C9E66133B6C}"/>
  <tableColumns count="11">
    <tableColumn id="1" xr3:uid="{B5FF7750-29CE-4987-87DF-2C39B1A608AA}" name="Số phiếu" dataDxfId="1879"/>
    <tableColumn id="2" xr3:uid="{B8DB3C08-361B-4A4A-BA1B-C075C7FC11F2}" name="Ngày_x000a_ tháng" dataDxfId="1878"/>
    <tableColumn id="3" xr3:uid="{37881F0A-C0F7-466F-8ECB-368695DFEE76}" name="Nội dung" dataDxfId="1877"/>
    <tableColumn id="12" xr3:uid="{07A27E43-4A43-43E3-A4D9-20DD0AD487DB}" name="Chủng loại" dataDxfId="1876"/>
    <tableColumn id="4" xr3:uid="{94D9A37F-2ED3-4F8B-BF85-CEA70C72AB54}" name="Quy cách" dataDxfId="1875"/>
    <tableColumn id="5" xr3:uid="{120157C1-1677-4F3F-9E5B-23474D345A54}" name="SỐ LƯỢNG" dataDxfId="1874">
      <calculatedColumnFormula>1091+958+901</calculatedColumnFormula>
    </tableColumn>
    <tableColumn id="6" xr3:uid="{FA3F9F8B-971B-446A-8766-F52287588037}" name="ĐƠN GIÁ" dataDxfId="1873"/>
    <tableColumn id="7" xr3:uid="{C00055D1-BBB9-4EEF-A0D0-C7550087E4E2}" name="THÀNH TIỀN" dataDxfId="1872">
      <calculatedColumnFormula>Cty_Nguyen_Hung_HT[[#This Row],[ĐƠN GIÁ]]*Cty_Nguyen_Hung_HT[[#This Row],[SỐ LƯỢNG]]</calculatedColumnFormula>
    </tableColumn>
    <tableColumn id="8" xr3:uid="{BCAEA55A-BF3B-488F-982F-ED5AEC4A4EB2}" name="THANH TOÁN" dataDxfId="1871"/>
    <tableColumn id="9" xr3:uid="{455B91DC-9554-41EF-A365-CA54B426C0F6}" name="CÔNG NỢ_x000a_ CÒN LẠI" dataDxfId="1870">
      <calculatedColumnFormula>J9+Cty_Nguyen_Hung_HT[[#This Row],[THÀNH TIỀN]]-Cty_Nguyen_Hung_HT[[#This Row],[THANH TOÁN]]</calculatedColumnFormula>
    </tableColumn>
    <tableColumn id="10" xr3:uid="{7BE83A6D-917F-4AF0-A7ED-3CE75EF4AF08}" name="Ghi chú" dataDxfId="1869"/>
  </tableColumns>
  <tableStyleInfo showFirstColumn="0" showLastColumn="0" showRowStripes="1" showColumnStripes="0"/>
</table>
</file>

<file path=xl/tables/table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0" xr:uid="{2EE34561-57F3-4523-A93F-25DF2C1CB892}" name="Cty_Thanh_Phat" displayName="Cty_Thanh_Phat" ref="A9:K32" totalsRowShown="0" headerRowDxfId="1868" dataDxfId="1866" headerRowBorderDxfId="1867" tableBorderDxfId="1865" totalsRowBorderDxfId="1864">
  <autoFilter ref="A9:K32" xr:uid="{3227F2BD-2C9D-4FFF-9F44-8C9E66133B6C}"/>
  <tableColumns count="11">
    <tableColumn id="1" xr3:uid="{D6ABED15-C2BD-4B91-A28C-904CDA645333}" name="Số phiếu" dataDxfId="1863"/>
    <tableColumn id="2" xr3:uid="{297D0C28-A906-481A-9E26-DD549BB5C158}" name="Ngày_x000a_ tháng" dataDxfId="1862"/>
    <tableColumn id="3" xr3:uid="{0FE853BE-6723-41C2-9855-1D615C522981}" name="Nội dung" dataDxfId="1861"/>
    <tableColumn id="12" xr3:uid="{41B91DB2-203D-40D7-84EA-38D5372540BE}" name="Chủng loại" dataDxfId="1860"/>
    <tableColumn id="4" xr3:uid="{0BFA5871-34F2-49D2-A43D-7F8BB4583584}" name="Quy cách" dataDxfId="1859"/>
    <tableColumn id="5" xr3:uid="{E51DFB38-FFFC-4F3B-B72C-26FF6552296E}" name="SỐ LƯỢNG" dataDxfId="1858">
      <calculatedColumnFormula>1091+958+901</calculatedColumnFormula>
    </tableColumn>
    <tableColumn id="6" xr3:uid="{0067BFD9-B207-459F-8517-11C34FF8669F}" name="ĐƠN GIÁ" dataDxfId="1857"/>
    <tableColumn id="7" xr3:uid="{58C3848B-6596-4F3F-9F81-DAACBDD930FC}" name="THÀNH TIỀN" dataDxfId="1856">
      <calculatedColumnFormula>Cty_Thanh_Phat[[#This Row],[ĐƠN GIÁ]]*Cty_Thanh_Phat[[#This Row],[SỐ LƯỢNG]]</calculatedColumnFormula>
    </tableColumn>
    <tableColumn id="8" xr3:uid="{9DC9D7CF-7CB8-48DD-902C-514438A6BA5E}" name="THANH TOÁN" dataDxfId="1855"/>
    <tableColumn id="9" xr3:uid="{719D11BA-2D35-4EB9-AFF7-32517D7F565F}" name="CÔNG NỢ_x000a_ CÒN LẠI" dataDxfId="1854">
      <calculatedColumnFormula>J9+Cty_Thanh_Phat[[#This Row],[THÀNH TIỀN]]-Cty_Thanh_Phat[[#This Row],[THANH TOÁN]]</calculatedColumnFormula>
    </tableColumn>
    <tableColumn id="10" xr3:uid="{DC43C283-5FC5-4168-AB12-DDA82964427B}" name="Ghi chú" dataDxfId="1853"/>
  </tableColumns>
  <tableStyleInfo showFirstColumn="0" showLastColumn="0" showRowStripes="1" showColumnStripes="0"/>
</table>
</file>

<file path=xl/tables/table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1" xr:uid="{577BF1F9-2D25-405B-B308-8F363CE9589C}" name="E_My_Rua" displayName="E_My_Rua" ref="A9:K52" totalsRowShown="0" headerRowDxfId="1852" dataDxfId="1850" headerRowBorderDxfId="1851" tableBorderDxfId="1849" totalsRowBorderDxfId="1848">
  <autoFilter ref="A9:K52" xr:uid="{3227F2BD-2C9D-4FFF-9F44-8C9E66133B6C}"/>
  <sortState xmlns:xlrd2="http://schemas.microsoft.com/office/spreadsheetml/2017/richdata2" ref="A10:K52">
    <sortCondition ref="B47:B52"/>
  </sortState>
  <tableColumns count="11">
    <tableColumn id="1" xr3:uid="{B1651F89-81D5-4C92-8007-A26DCF51E762}" name="Số phiếu" dataDxfId="1847"/>
    <tableColumn id="2" xr3:uid="{0E43B617-5F93-4AE2-9C08-6E0BF3AD0C99}" name="Ngày_x000a_ tháng" dataDxfId="1846"/>
    <tableColumn id="3" xr3:uid="{4177ADC3-32C2-4573-836D-C701B9322DC7}" name="Nội dung" dataDxfId="1845"/>
    <tableColumn id="12" xr3:uid="{8CAB684B-E40B-46FA-8817-C95CCC91C051}" name="Chủng loại" dataDxfId="1844"/>
    <tableColumn id="4" xr3:uid="{40AA3195-2324-44E4-994E-CA76A4D8638D}" name="Quy cách" dataDxfId="1843"/>
    <tableColumn id="5" xr3:uid="{03C7F653-358C-4F39-8285-2CC819AAA39F}" name="SỐ LƯỢNG" dataDxfId="1842">
      <calculatedColumnFormula>1091+958+901</calculatedColumnFormula>
    </tableColumn>
    <tableColumn id="6" xr3:uid="{ABBA3062-0657-48F1-BEB6-DE30AA0FDD09}" name="ĐƠN GIÁ" dataDxfId="1841"/>
    <tableColumn id="7" xr3:uid="{A654D3C5-5265-4A3D-89B0-A0323D3CC7D3}" name="THÀNH TIỀN" dataDxfId="1840">
      <calculatedColumnFormula>E_My_Rua[[#This Row],[ĐƠN GIÁ]]*E_My_Rua[[#This Row],[SỐ LƯỢNG]]</calculatedColumnFormula>
    </tableColumn>
    <tableColumn id="8" xr3:uid="{2DF0BC9A-EB9C-466E-924F-D04062F3782B}" name="THANH TOÁN" dataDxfId="1839"/>
    <tableColumn id="9" xr3:uid="{60C77011-D446-4883-AB7A-F2EAB345F49D}" name="CÔNG NỢ_x000a_ CÒN LẠI" dataDxfId="1838">
      <calculatedColumnFormula>J9+E_My_Rua[[#This Row],[THÀNH TIỀN]]-E_My_Rua[[#This Row],[THANH TOÁN]]</calculatedColumnFormula>
    </tableColumn>
    <tableColumn id="10" xr3:uid="{9F9F3686-0D02-4069-A33C-7DD9C2AB926A}" name="Ghi chú" dataDxfId="1837"/>
  </tableColumns>
  <tableStyleInfo showFirstColumn="0" showLastColumn="0" showRowStripes="1" showColumnStripes="0"/>
</table>
</file>

<file path=xl/tables/table1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2" xr:uid="{AC18DE40-844F-4898-A8D6-3622EC887673}" name="Cty_Thep_Nam_Phat_Tu_Liem" displayName="Cty_Thep_Nam_Phat_Tu_Liem" ref="A9:K37" totalsRowShown="0" headerRowDxfId="1836" dataDxfId="1834" headerRowBorderDxfId="1835" tableBorderDxfId="1833" totalsRowBorderDxfId="1832">
  <autoFilter ref="A9:K37" xr:uid="{3227F2BD-2C9D-4FFF-9F44-8C9E66133B6C}"/>
  <sortState xmlns:xlrd2="http://schemas.microsoft.com/office/spreadsheetml/2017/richdata2" ref="A10:K33">
    <sortCondition ref="B26:B33"/>
  </sortState>
  <tableColumns count="11">
    <tableColumn id="1" xr3:uid="{10494DE4-E412-4F40-9C9C-FD518C1C12E0}" name="Số phiếu" dataDxfId="1831"/>
    <tableColumn id="2" xr3:uid="{C9E6F31F-E21A-402D-9F5A-907817A3BE98}" name="Ngày_x000a_ tháng" dataDxfId="1830"/>
    <tableColumn id="3" xr3:uid="{DC8B3435-1F0E-4912-AA5C-62CCD5018538}" name="Nội dung" dataDxfId="1829"/>
    <tableColumn id="12" xr3:uid="{852DC8FE-7353-42DB-80CD-D5D7E32B8A93}" name="Chủng loại" dataDxfId="1828"/>
    <tableColumn id="4" xr3:uid="{06A47473-69F7-42BC-A95E-3900C0D7B5A3}" name="Quy cách" dataDxfId="1827"/>
    <tableColumn id="5" xr3:uid="{C27E8F82-C96B-4C02-A18D-8083BD00625A}" name="SỐ LƯỢNG" dataDxfId="1826">
      <calculatedColumnFormula>1091+958+901</calculatedColumnFormula>
    </tableColumn>
    <tableColumn id="6" xr3:uid="{03F00FB9-2880-4E42-9B46-F1AF8C83BC3A}" name="ĐƠN GIÁ" dataDxfId="1825"/>
    <tableColumn id="7" xr3:uid="{C43A0B4E-CBC8-4DDC-9398-44440B922204}" name="THÀNH TIỀN" dataDxfId="1824">
      <calculatedColumnFormula>Cty_Thep_Nam_Phat_Tu_Liem[[#This Row],[ĐƠN GIÁ]]*Cty_Thep_Nam_Phat_Tu_Liem[[#This Row],[SỐ LƯỢNG]]</calculatedColumnFormula>
    </tableColumn>
    <tableColumn id="8" xr3:uid="{65C65622-02DB-4410-9A38-9176FEE9EEE4}" name="THANH TOÁN" dataDxfId="1823"/>
    <tableColumn id="9" xr3:uid="{E2D3E04D-E4A0-488C-A7FF-DCE86DAC2876}" name="CÔNG NỢ_x000a_ CÒN LẠI" dataDxfId="1822">
      <calculatedColumnFormula>N(INDIRECT("R[-1]C", FALSE)) + Cty_Thep_Nam_Phat_Tu_Liem[[#This Row],[THÀNH TIỀN]] - Cty_Thep_Nam_Phat_Tu_Liem[[#This Row],[THANH TOÁN]]</calculatedColumnFormula>
    </tableColumn>
    <tableColumn id="10" xr3:uid="{F05A3D34-9C4D-4009-8B72-64AAE24E5E22}" name="Ghi chú" dataDxfId="1821"/>
  </tableColumns>
  <tableStyleInfo showFirstColumn="0" showLastColumn="0" showRowStripes="1" showColumnStripes="0"/>
</table>
</file>

<file path=xl/tables/table1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3" xr:uid="{19A50539-2B52-4245-B731-D4DA70CE0039}" name="E_Thang_Cty_Quoc_Thang" displayName="E_Thang_Cty_Quoc_Thang" ref="A9:K15" totalsRowShown="0" headerRowDxfId="1820" dataDxfId="1818" headerRowBorderDxfId="1819" tableBorderDxfId="1817" totalsRowBorderDxfId="1816">
  <autoFilter ref="A9:K15" xr:uid="{3227F2BD-2C9D-4FFF-9F44-8C9E66133B6C}"/>
  <tableColumns count="11">
    <tableColumn id="1" xr3:uid="{2F6C37A1-A937-474F-B926-FFDAB344C83D}" name="Số phiếu" dataDxfId="1815"/>
    <tableColumn id="2" xr3:uid="{CB4FC854-D58F-4F90-A807-A9A62010E51E}" name="Ngày_x000a_ tháng" dataDxfId="1814"/>
    <tableColumn id="3" xr3:uid="{A8EE61BA-8184-4A14-932F-F52ED224D485}" name="Nội dung" dataDxfId="1813"/>
    <tableColumn id="12" xr3:uid="{10F8596F-A7D6-4C01-AB39-4A5E58CE388E}" name="Chủng loại" dataDxfId="1812"/>
    <tableColumn id="4" xr3:uid="{68DEA110-CB58-4D4D-A743-D5CE0A8C6930}" name="Quy cách" dataDxfId="1811"/>
    <tableColumn id="5" xr3:uid="{0A60051C-202F-4404-8330-7729192F89DF}" name="SỐ LƯỢNG" dataDxfId="1810">
      <calculatedColumnFormula>1091+958+901</calculatedColumnFormula>
    </tableColumn>
    <tableColumn id="6" xr3:uid="{8F502A2F-454E-4937-B41C-46D6FD01948F}" name="ĐƠN GIÁ" dataDxfId="1809"/>
    <tableColumn id="7" xr3:uid="{FB72F6C7-37D3-4E3D-8BFC-CF153222024C}" name="THÀNH TIỀN" dataDxfId="1808">
      <calculatedColumnFormula>E_Thang_Cty_Quoc_Thang[[#This Row],[ĐƠN GIÁ]]*E_Thang_Cty_Quoc_Thang[[#This Row],[SỐ LƯỢNG]]</calculatedColumnFormula>
    </tableColumn>
    <tableColumn id="8" xr3:uid="{E5CC29A3-348C-4695-BDF4-4453E12F0B72}" name="THANH TOÁN" dataDxfId="1807"/>
    <tableColumn id="9" xr3:uid="{3BEC6F0A-E7FF-4A17-A896-28A6FBAF1B9B}" name="CÔNG NỢ_x000a_ CÒN LẠI" dataDxfId="1806">
      <calculatedColumnFormula>J9+E_Thang_Cty_Quoc_Thang[[#This Row],[THÀNH TIỀN]]-E_Thang_Cty_Quoc_Thang[[#This Row],[THANH TOÁN]]</calculatedColumnFormula>
    </tableColumn>
    <tableColumn id="10" xr3:uid="{D7D19CBF-3590-4B62-941C-DD44F9E27A92}" name="Ghi chú" dataDxfId="1805"/>
  </tableColumns>
  <tableStyleInfo showFirstColumn="0" showLastColumn="0" showRowStripes="1" showColumnStripes="0"/>
</table>
</file>

<file path=xl/tables/table1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4" xr:uid="{ED31C524-6F6E-4F0D-AE5E-D77D1324BB94}" name="E_Hien_Cty_Minh_Hien_HD" displayName="E_Hien_Cty_Minh_Hien_HD" ref="A9:K30" totalsRowShown="0" headerRowDxfId="1804" dataDxfId="1802" headerRowBorderDxfId="1803" tableBorderDxfId="1801" totalsRowBorderDxfId="1800">
  <autoFilter ref="A9:K30" xr:uid="{3227F2BD-2C9D-4FFF-9F44-8C9E66133B6C}"/>
  <sortState xmlns:xlrd2="http://schemas.microsoft.com/office/spreadsheetml/2017/richdata2" ref="A10:K30">
    <sortCondition ref="B23:B30"/>
  </sortState>
  <tableColumns count="11">
    <tableColumn id="1" xr3:uid="{949D5988-D892-48B1-9FEE-5E793865C6D3}" name="Số phiếu" dataDxfId="1799"/>
    <tableColumn id="2" xr3:uid="{A40B37AA-B454-461E-AEA3-50EFCB44BEC1}" name="Ngày_x000a_ tháng" dataDxfId="1798"/>
    <tableColumn id="3" xr3:uid="{B4AABA4B-1EC6-4543-9203-70DB3695DDBD}" name="Nội dung" dataDxfId="1797"/>
    <tableColumn id="12" xr3:uid="{16647C86-1C6F-4D0F-A883-6F80B4A976F1}" name="Chủng loại" dataDxfId="1796"/>
    <tableColumn id="4" xr3:uid="{2EABAF82-1653-4850-BD5B-6AAF57921DA2}" name="Quy cách" dataDxfId="1795"/>
    <tableColumn id="5" xr3:uid="{72F60883-C5C4-4AA6-90DA-ABAAFAAFBE5D}" name="SỐ LƯỢNG" dataDxfId="1794">
      <calculatedColumnFormula>1091+958+901</calculatedColumnFormula>
    </tableColumn>
    <tableColumn id="6" xr3:uid="{D01FD21E-7D32-4E8E-8A0F-1A59B8EA6A7C}" name="ĐƠN GIÁ" dataDxfId="1793"/>
    <tableColumn id="7" xr3:uid="{44310088-DF84-4EBC-9073-4DC749F4F330}" name="THÀNH TIỀN" dataDxfId="1792">
      <calculatedColumnFormula>E_Hien_Cty_Minh_Hien_HD[[#This Row],[ĐƠN GIÁ]]*E_Hien_Cty_Minh_Hien_HD[[#This Row],[SỐ LƯỢNG]]</calculatedColumnFormula>
    </tableColumn>
    <tableColumn id="8" xr3:uid="{034F3070-3AD2-4A98-A705-13D0A4BB1477}" name="THANH TOÁN" dataDxfId="1791"/>
    <tableColumn id="9" xr3:uid="{50638C5B-BCDA-4B55-BA6A-DC6466972D6E}" name="CÔNG NỢ_x000a_ CÒN LẠI" dataDxfId="1790">
      <calculatedColumnFormula>N(INDIRECT("R[-1]C", FALSE)) + E_Hien_Cty_Minh_Hien_HD[[#This Row],[THÀNH TIỀN]] - E_Hien_Cty_Minh_Hien_HD[[#This Row],[THANH TOÁN]]</calculatedColumnFormula>
    </tableColumn>
    <tableColumn id="10" xr3:uid="{8224C348-0CCE-42D6-8174-E95911BF84F6}" name="Ghi chú" dataDxfId="1789"/>
  </tableColumns>
  <tableStyleInfo showFirstColumn="0" showLastColumn="0" showRowStripes="1" showColumnStripes="0"/>
</table>
</file>

<file path=xl/tables/table1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5" xr:uid="{49EC9E32-CE04-48D9-89D8-B4E2E0482AA5}" name="A_Thang_HP" displayName="A_Thang_HP" ref="A9:K57" totalsRowShown="0" headerRowDxfId="1788" dataDxfId="1786" headerRowBorderDxfId="1787" tableBorderDxfId="1785" totalsRowBorderDxfId="1784">
  <autoFilter ref="A9:K57" xr:uid="{3227F2BD-2C9D-4FFF-9F44-8C9E66133B6C}"/>
  <sortState xmlns:xlrd2="http://schemas.microsoft.com/office/spreadsheetml/2017/richdata2" ref="A10:K41">
    <sortCondition ref="B41"/>
  </sortState>
  <tableColumns count="11">
    <tableColumn id="1" xr3:uid="{E0EEB291-D6B3-4A1D-801C-3283132FF1CF}" name="Số phiếu" dataDxfId="1783"/>
    <tableColumn id="2" xr3:uid="{9587EC61-583D-4DDC-8262-F614B87D052A}" name="Ngày_x000a_ tháng" dataDxfId="1782"/>
    <tableColumn id="3" xr3:uid="{106E261F-D1ED-418A-8E7C-08298297A81E}" name="Nội dung" dataDxfId="1781"/>
    <tableColumn id="12" xr3:uid="{CF8434D1-C339-4142-BFFD-9C81D9BE8B9C}" name="Chủng loại" dataDxfId="1780"/>
    <tableColumn id="4" xr3:uid="{CE9733A4-CF4E-4B10-983F-4EEE00A3E17B}" name="Quy cách" dataDxfId="1779"/>
    <tableColumn id="5" xr3:uid="{E2B5CD71-B3BD-45E4-8ABD-16B2C0EAD626}" name="SỐ LƯỢNG" dataDxfId="1778">
      <calculatedColumnFormula>1091+958+901</calculatedColumnFormula>
    </tableColumn>
    <tableColumn id="6" xr3:uid="{5917AB4F-3291-424D-8966-EA4055B8D572}" name="ĐƠN GIÁ" dataDxfId="1777"/>
    <tableColumn id="7" xr3:uid="{C6EBE9CB-5BEF-4F5E-A273-C3EFF0605F54}" name="THÀNH TIỀN" dataDxfId="1776">
      <calculatedColumnFormula>A_Thang_HP[[#This Row],[ĐƠN GIÁ]]*A_Thang_HP[[#This Row],[SỐ LƯỢNG]]</calculatedColumnFormula>
    </tableColumn>
    <tableColumn id="8" xr3:uid="{251743DD-6047-4F0A-9E57-F35C1CB39B20}" name="THANH TOÁN" dataDxfId="1775"/>
    <tableColumn id="9" xr3:uid="{78CBFFDB-DEA1-4796-A1F3-EDDCA7DA568C}" name="CÔNG NỢ_x000a_ CÒN LẠI" dataDxfId="1774">
      <calculatedColumnFormula>J9+A_Thang_HP[[#This Row],[THÀNH TIỀN]]-A_Thang_HP[[#This Row],[THANH TOÁN]]</calculatedColumnFormula>
    </tableColumn>
    <tableColumn id="10" xr3:uid="{C8C779CF-527A-4623-9BB8-F4AC24743368}" name="Ghi chú" dataDxfId="1773"/>
  </tableColumns>
  <tableStyleInfo showFirstColumn="0" showLastColumn="0" showRowStripes="1" showColumnStripes="0"/>
</table>
</file>

<file path=xl/tables/table1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6" xr:uid="{F0819071-36C1-490D-A164-14EA353B28DF}" name="Cty_Thanh_An" displayName="Cty_Thanh_An" ref="A9:K12" totalsRowShown="0" headerRowDxfId="1772" dataDxfId="1770" headerRowBorderDxfId="1771" tableBorderDxfId="1769" totalsRowBorderDxfId="1768">
  <autoFilter ref="A9:K12" xr:uid="{3227F2BD-2C9D-4FFF-9F44-8C9E66133B6C}"/>
  <tableColumns count="11">
    <tableColumn id="1" xr3:uid="{C151235E-23EF-4391-B2A2-395461410DB5}" name="Số phiếu" dataDxfId="1767"/>
    <tableColumn id="2" xr3:uid="{4B421A40-2C26-4680-A645-8421231CB2DB}" name="Ngày_x000a_ tháng" dataDxfId="1766"/>
    <tableColumn id="3" xr3:uid="{A761147B-2793-4C92-A7A4-0C7CD4C1E0F8}" name="Nội dung" dataDxfId="1765"/>
    <tableColumn id="12" xr3:uid="{A4ADFECE-CE9B-4EDB-BBC1-A482FD710D40}" name="Chủng loại" dataDxfId="1764"/>
    <tableColumn id="4" xr3:uid="{A25B1C8D-9B90-4709-BC6B-3F4DCE0D1919}" name="Quy cách" dataDxfId="1763"/>
    <tableColumn id="5" xr3:uid="{9F145D9D-74AF-477E-8D12-A480CF118641}" name="SỐ LƯỢNG" dataDxfId="1762">
      <calculatedColumnFormula>1091+958+901</calculatedColumnFormula>
    </tableColumn>
    <tableColumn id="6" xr3:uid="{B2E976EC-B9F7-487D-9350-434B4858F0D1}" name="ĐƠN GIÁ" dataDxfId="1761"/>
    <tableColumn id="7" xr3:uid="{70439237-1292-4B82-9B22-D1A34F40FE7B}" name="THÀNH TIỀN" dataDxfId="1760">
      <calculatedColumnFormula>Cty_Thanh_An[[#This Row],[ĐƠN GIÁ]]*Cty_Thanh_An[[#This Row],[SỐ LƯỢNG]]</calculatedColumnFormula>
    </tableColumn>
    <tableColumn id="8" xr3:uid="{36A802DA-6345-4127-A6C0-E63EA3ABCD42}" name="THANH TOÁN" dataDxfId="1759"/>
    <tableColumn id="9" xr3:uid="{272FC25E-D8C7-40BB-87BC-CB6C6843CF0C}" name="CÔNG NỢ_x000a_ CÒN LẠI" dataDxfId="1758">
      <calculatedColumnFormula>J9+Cty_Thanh_An[[#This Row],[THÀNH TIỀN]]-Cty_Thanh_An[[#This Row],[THANH TOÁN]]</calculatedColumnFormula>
    </tableColumn>
    <tableColumn id="10" xr3:uid="{82E713DF-2D3E-489E-9630-C3CB92DF07F4}" name="Ghi chú" dataDxfId="1757"/>
  </tableColumns>
  <tableStyleInfo showFirstColumn="0" showLastColumn="0" showRowStripes="1" showColumnStripes="0"/>
</table>
</file>

<file path=xl/tables/table1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7" xr:uid="{C019911D-6614-49EF-8B54-C220EDA79979}" name="Cty_Tam_Viet_TH" displayName="Cty_Tam_Viet_TH" ref="A9:K14" totalsRowShown="0" headerRowDxfId="1756" dataDxfId="1754" headerRowBorderDxfId="1755" tableBorderDxfId="1753" totalsRowBorderDxfId="1752">
  <autoFilter ref="A9:K14" xr:uid="{3227F2BD-2C9D-4FFF-9F44-8C9E66133B6C}"/>
  <tableColumns count="11">
    <tableColumn id="1" xr3:uid="{07BB3BE0-65DD-4F07-B7EF-9A535AF08E64}" name="Số phiếu" dataDxfId="1751"/>
    <tableColumn id="2" xr3:uid="{24A9D203-3BCC-493A-8D1C-41758BC6A9C2}" name="Ngày_x000a_ tháng" dataDxfId="1750"/>
    <tableColumn id="3" xr3:uid="{FB59488B-D4EC-4BF0-9611-6DCBA8031E7E}" name="Nội dung" dataDxfId="1749"/>
    <tableColumn id="12" xr3:uid="{42B91120-7A6E-4749-A9CD-C7FF6048040A}" name="Chủng loại" dataDxfId="1748"/>
    <tableColumn id="4" xr3:uid="{73E439AB-4819-4B5E-8501-5082E25A15CB}" name="Quy cách" dataDxfId="1747"/>
    <tableColumn id="5" xr3:uid="{03207091-02DA-4B81-9DA9-E9870CFD0FA4}" name="SỐ LƯỢNG" dataDxfId="1746">
      <calculatedColumnFormula>1091+958+901</calculatedColumnFormula>
    </tableColumn>
    <tableColumn id="6" xr3:uid="{4B78A806-A8C8-47D9-A2D3-B1FDAE3890E3}" name="ĐƠN GIÁ" dataDxfId="1745"/>
    <tableColumn id="7" xr3:uid="{4D7264F2-8E9C-476E-A583-8374CFC330A7}" name="THÀNH TIỀN" dataDxfId="1744">
      <calculatedColumnFormula>Cty_Tam_Viet_TH[[#This Row],[ĐƠN GIÁ]]*Cty_Tam_Viet_TH[[#This Row],[SỐ LƯỢNG]]</calculatedColumnFormula>
    </tableColumn>
    <tableColumn id="8" xr3:uid="{FE3917AF-E0A1-4FDB-A0C0-78341B5F1093}" name="THANH TOÁN" dataDxfId="1743"/>
    <tableColumn id="9" xr3:uid="{2E608CB9-6021-4E27-A981-D6F0924426B4}" name="CÔNG NỢ_x000a_ CÒN LẠI" dataDxfId="1742">
      <calculatedColumnFormula>J9+Cty_Tam_Viet_TH[[#This Row],[THÀNH TIỀN]]-Cty_Tam_Viet_TH[[#This Row],[THANH TOÁN]]</calculatedColumnFormula>
    </tableColumn>
    <tableColumn id="10" xr3:uid="{3A27DE91-AAA3-4322-8B0A-83A36AFBBCA5}" name="Ghi chú" dataDxfId="1741"/>
  </tableColumns>
  <tableStyleInfo showFirstColumn="0" showLastColumn="0" showRowStripes="1" showColumnStripes="0"/>
</table>
</file>

<file path=xl/tables/table1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8" xr:uid="{F77CC262-AF07-4004-B0FE-2B2239608AE9}" name="E_Dat_Cty_Bao_Phat" displayName="E_Dat_Cty_Bao_Phat" ref="A9:K37" totalsRowShown="0" headerRowDxfId="1740" dataDxfId="1738" headerRowBorderDxfId="1739" tableBorderDxfId="1737" totalsRowBorderDxfId="1736">
  <autoFilter ref="A9:K37" xr:uid="{3227F2BD-2C9D-4FFF-9F44-8C9E66133B6C}"/>
  <sortState xmlns:xlrd2="http://schemas.microsoft.com/office/spreadsheetml/2017/richdata2" ref="A10:K35">
    <sortCondition ref="B28:B35"/>
  </sortState>
  <tableColumns count="11">
    <tableColumn id="1" xr3:uid="{154D6FD4-9337-4A08-9E3B-158F26BEFB1B}" name="Số phiếu" dataDxfId="1735"/>
    <tableColumn id="2" xr3:uid="{3243465E-09E8-4E0A-8BFA-FFEFB01C28C9}" name="Ngày_x000a_ tháng" dataDxfId="1734"/>
    <tableColumn id="3" xr3:uid="{DF9138A4-FD3F-463E-AF26-E663F286EA9F}" name="Nội dung" dataDxfId="1733"/>
    <tableColumn id="12" xr3:uid="{7474F947-0734-4480-A4B7-594F870F2964}" name="Chủng loại" dataDxfId="1732"/>
    <tableColumn id="4" xr3:uid="{6BE3F476-A994-4525-9090-E63C5A8C8240}" name="Quy cách" dataDxfId="1731"/>
    <tableColumn id="5" xr3:uid="{BD759F60-8058-4F54-AF71-2955F4B79EC8}" name="SỐ LƯỢNG" dataDxfId="1730">
      <calculatedColumnFormula>1091+958+901</calculatedColumnFormula>
    </tableColumn>
    <tableColumn id="6" xr3:uid="{FF6429C5-F272-44C6-B239-DA57A0A43A91}" name="ĐƠN GIÁ" dataDxfId="1729"/>
    <tableColumn id="7" xr3:uid="{8F64F83F-01AE-4853-A64E-82C7F17558CF}" name="THÀNH TIỀN" dataDxfId="1728">
      <calculatedColumnFormula>E_Dat_Cty_Bao_Phat[[#This Row],[ĐƠN GIÁ]]*E_Dat_Cty_Bao_Phat[[#This Row],[SỐ LƯỢNG]]</calculatedColumnFormula>
    </tableColumn>
    <tableColumn id="8" xr3:uid="{234480AC-71EE-4363-A926-B635EE19F428}" name="THANH TOÁN" dataDxfId="1727"/>
    <tableColumn id="9" xr3:uid="{7A045812-3297-4DAD-911F-D26B82412C82}" name="CÔNG NỢ_x000a_ CÒN LẠI" dataDxfId="1726">
      <calculatedColumnFormula>J9+E_Dat_Cty_Bao_Phat[[#This Row],[THÀNH TIỀN]]-E_Dat_Cty_Bao_Phat[[#This Row],[THANH TOÁN]]</calculatedColumnFormula>
    </tableColumn>
    <tableColumn id="10" xr3:uid="{F960EF76-C808-4525-B763-B5DFE2BA9B23}" name="Ghi chú" dataDxfId="1725"/>
  </tableColumns>
  <tableStyleInfo showFirstColumn="0" showLastColumn="0" showRowStripes="1" showColumnStripes="0"/>
</table>
</file>

<file path=xl/tables/table1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9" xr:uid="{81B91285-A34A-48C6-B4AA-1EAD3241FC91}" name="A_Hai_NH" displayName="A_Hai_NH" ref="A9:K13" totalsRowShown="0" headerRowDxfId="1724" dataDxfId="1722" headerRowBorderDxfId="1723" tableBorderDxfId="1721" totalsRowBorderDxfId="1720">
  <autoFilter ref="A9:K13" xr:uid="{3227F2BD-2C9D-4FFF-9F44-8C9E66133B6C}"/>
  <tableColumns count="11">
    <tableColumn id="1" xr3:uid="{F8B46F0B-B903-428F-B9C7-C87201E9A2D1}" name="Số phiếu" dataDxfId="1719"/>
    <tableColumn id="2" xr3:uid="{D50EF2FA-62CC-4394-9081-EEAF8367A53B}" name="Ngày_x000a_ tháng" dataDxfId="1718"/>
    <tableColumn id="3" xr3:uid="{E7190490-3D9C-41BE-A47D-0A4AEDF794F7}" name="Nội dung" dataDxfId="1717"/>
    <tableColumn id="12" xr3:uid="{024BBB85-EF5E-42FF-8258-0403A1104FE6}" name="Chủng loại" dataDxfId="1716"/>
    <tableColumn id="4" xr3:uid="{E64398DF-4456-4038-97A5-32BFDAA80406}" name="Quy cách" dataDxfId="1715"/>
    <tableColumn id="5" xr3:uid="{898AB821-012D-4F38-AF52-D75F39BDB811}" name="SỐ LƯỢNG" dataDxfId="1714">
      <calculatedColumnFormula>1091+958+901</calculatedColumnFormula>
    </tableColumn>
    <tableColumn id="6" xr3:uid="{580437A6-F27D-4026-B060-39EDE4E113C5}" name="ĐƠN GIÁ" dataDxfId="1713"/>
    <tableColumn id="7" xr3:uid="{11DF46EF-B4AB-4E2A-A594-141E974E5686}" name="THÀNH TIỀN" dataDxfId="1712">
      <calculatedColumnFormula>A_Hai_NH[[#This Row],[ĐƠN GIÁ]]*A_Hai_NH[[#This Row],[SỐ LƯỢNG]]</calculatedColumnFormula>
    </tableColumn>
    <tableColumn id="8" xr3:uid="{6517E9EE-076E-46F4-8B4A-DBADCD755847}" name="THANH TOÁN" dataDxfId="1711"/>
    <tableColumn id="9" xr3:uid="{094D7271-FCC6-4AE4-B4A9-531F991F9B6A}" name="CÔNG NỢ_x000a_ CÒN LẠI" dataDxfId="1710">
      <calculatedColumnFormula>J9+A_Hai_NH[[#This Row],[THÀNH TIỀN]]-A_Hai_NH[[#This Row],[THANH TOÁN]]</calculatedColumnFormula>
    </tableColumn>
    <tableColumn id="10" xr3:uid="{C1C8AC8F-5476-47AE-89C1-9566EDAB36A1}" name="Ghi chú" dataDxfId="1709"/>
  </tableColumns>
  <tableStyleInfo showFirstColumn="0" showLastColumn="0" showRowStripes="1" showColumnStripes="0"/>
</table>
</file>

<file path=xl/tables/table1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0" xr:uid="{3D0C93DC-3B6B-4714-9433-0BB74C990D68}" name="Cty_Nam_Phat_Ngoc_Hoi" displayName="Cty_Nam_Phat_Ngoc_Hoi" ref="A9:K23" totalsRowShown="0" headerRowDxfId="1708" dataDxfId="1706" headerRowBorderDxfId="1707" tableBorderDxfId="1705" totalsRowBorderDxfId="1704">
  <autoFilter ref="A9:K23" xr:uid="{3227F2BD-2C9D-4FFF-9F44-8C9E66133B6C}"/>
  <tableColumns count="11">
    <tableColumn id="1" xr3:uid="{5C61CB01-7E87-4FAE-9E60-3DAE620B4088}" name="Số phiếu" dataDxfId="1703"/>
    <tableColumn id="2" xr3:uid="{4C034DD0-FB22-487A-BB77-06E0006A5622}" name="Ngày_x000a_ tháng" dataDxfId="1702"/>
    <tableColumn id="3" xr3:uid="{E29FDB12-3A9D-4CCA-BF87-6A7CFAB0E43E}" name="Nội dung" dataDxfId="1701"/>
    <tableColumn id="12" xr3:uid="{8FBD7F93-8B5A-4AC7-86E0-5BDA443C2F8A}" name="Chủng loại" dataDxfId="1700"/>
    <tableColumn id="4" xr3:uid="{3B71339C-DEDD-445D-965A-6FDE075149A0}" name="Quy cách" dataDxfId="1699"/>
    <tableColumn id="5" xr3:uid="{0C7C5A90-48C5-439C-8FF0-64ACC05461AD}" name="SỐ LƯỢNG" dataDxfId="1698">
      <calculatedColumnFormula>1091+958+901</calculatedColumnFormula>
    </tableColumn>
    <tableColumn id="6" xr3:uid="{014FD0CD-354E-42DF-9F5D-A38D0569123E}" name="ĐƠN GIÁ" dataDxfId="1697"/>
    <tableColumn id="7" xr3:uid="{1A567648-5445-4764-B064-FCB4308616ED}" name="THÀNH TIỀN" dataDxfId="1696">
      <calculatedColumnFormula>Cty_Nam_Phat_Ngoc_Hoi[[#This Row],[ĐƠN GIÁ]]*Cty_Nam_Phat_Ngoc_Hoi[[#This Row],[SỐ LƯỢNG]]</calculatedColumnFormula>
    </tableColumn>
    <tableColumn id="8" xr3:uid="{96418A18-714B-4EB5-966C-761BDDB84A9C}" name="THANH TOÁN" dataDxfId="1695"/>
    <tableColumn id="9" xr3:uid="{943689BD-CC2A-456D-A0FB-C95E576BFD26}" name="CÔNG NỢ_x000a_ CÒN LẠI" dataDxfId="1694">
      <calculatedColumnFormula>J9+Cty_Nam_Phat_Ngoc_Hoi[[#This Row],[THÀNH TIỀN]]-Cty_Nam_Phat_Ngoc_Hoi[[#This Row],[THANH TOÁN]]</calculatedColumnFormula>
    </tableColumn>
    <tableColumn id="10" xr3:uid="{5BAB267B-B97C-4C22-8BDB-4F4FADF49D84}" name="Ghi chú" dataDxfId="1693"/>
  </tableColumns>
  <tableStyleInfo showFirstColumn="0" showLastColumn="0" showRowStripes="1" showColumnStripes="0"/>
</table>
</file>

<file path=xl/tables/table1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1" xr:uid="{CFE86EFE-629E-4F6F-9548-24FB38F29581}" name="A_Hung_Cty_Minh_Phat" displayName="A_Hung_Cty_Minh_Phat" ref="A9:K21" totalsRowShown="0" headerRowDxfId="1692" dataDxfId="1690" headerRowBorderDxfId="1691" tableBorderDxfId="1689" totalsRowBorderDxfId="1688">
  <autoFilter ref="A9:K21" xr:uid="{3227F2BD-2C9D-4FFF-9F44-8C9E66133B6C}"/>
  <sortState xmlns:xlrd2="http://schemas.microsoft.com/office/spreadsheetml/2017/richdata2" ref="A10:K20">
    <sortCondition ref="B12:B20"/>
  </sortState>
  <tableColumns count="11">
    <tableColumn id="1" xr3:uid="{0E9CE1C3-E4ED-4E32-9F53-9A66F0624FA4}" name="Số phiếu" dataDxfId="1687"/>
    <tableColumn id="2" xr3:uid="{7D98743C-F629-4222-A6EA-C854AE10E482}" name="Ngày_x000a_ tháng" dataDxfId="1686"/>
    <tableColumn id="3" xr3:uid="{20AF9AA1-6EE4-4466-9BCB-BAB532D453FF}" name="Nội dung" dataDxfId="1685"/>
    <tableColumn id="12" xr3:uid="{F6BC030D-C70D-4DD2-B107-C9F57FAF91F8}" name="Chủng loại" dataDxfId="1684"/>
    <tableColumn id="4" xr3:uid="{E611C0D5-26F6-447F-AE25-DF25D6FFC53E}" name="Quy cách" dataDxfId="1683"/>
    <tableColumn id="5" xr3:uid="{E3A2429E-A014-4F57-BD4B-9AB414953253}" name="SỐ LƯỢNG" dataDxfId="1682">
      <calculatedColumnFormula>1091+958+901</calculatedColumnFormula>
    </tableColumn>
    <tableColumn id="6" xr3:uid="{A32A43F4-AF3C-4498-8236-899916504C0E}" name="ĐƠN GIÁ" dataDxfId="1681"/>
    <tableColumn id="7" xr3:uid="{FD1BEDD7-EE2C-407E-BEF4-263FD1C6D72C}" name="THÀNH TIỀN" dataDxfId="1680">
      <calculatedColumnFormula>A_Hung_Cty_Minh_Phat[[#This Row],[ĐƠN GIÁ]]*A_Hung_Cty_Minh_Phat[[#This Row],[SỐ LƯỢNG]]</calculatedColumnFormula>
    </tableColumn>
    <tableColumn id="8" xr3:uid="{DA057086-D38F-490C-A2DF-DB495345B8A0}" name="THANH TOÁN" dataDxfId="1679"/>
    <tableColumn id="9" xr3:uid="{CA5C1312-B8BC-40E7-A964-23D5F7DC2065}" name="CÔNG NỢ_x000a_ CÒN LẠI" dataDxfId="1678">
      <calculatedColumnFormula>J9+A_Hung_Cty_Minh_Phat[[#This Row],[THÀNH TIỀN]]-A_Hung_Cty_Minh_Phat[[#This Row],[THANH TOÁN]]</calculatedColumnFormula>
    </tableColumn>
    <tableColumn id="10" xr3:uid="{FF99C108-A090-451E-A6D0-272937CB4B27}" name="Ghi chú" dataDxfId="1677"/>
  </tableColumns>
  <tableStyleInfo showFirstColumn="0" showLastColumn="0" showRowStripes="1" showColumnStripes="0"/>
</table>
</file>

<file path=xl/tables/table1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2" xr:uid="{75BCC469-8941-4989-B05A-DC8ABB958E15}" name="C_Ha_Xuan_Mai" displayName="C_Ha_Xuan_Mai" ref="A9:K15" totalsRowShown="0" headerRowDxfId="1676" dataDxfId="1674" headerRowBorderDxfId="1675" tableBorderDxfId="1673" totalsRowBorderDxfId="1672">
  <autoFilter ref="A9:K15" xr:uid="{3227F2BD-2C9D-4FFF-9F44-8C9E66133B6C}"/>
  <tableColumns count="11">
    <tableColumn id="1" xr3:uid="{7C984009-3982-4B79-9C1E-A17C4A25E869}" name="Số phiếu" dataDxfId="1671"/>
    <tableColumn id="2" xr3:uid="{5F25BBC8-7755-4ABF-B61C-B2CC6B267C60}" name="Ngày_x000a_ tháng" dataDxfId="1670"/>
    <tableColumn id="3" xr3:uid="{5430D3F2-B475-41A0-8862-E4824081D371}" name="Nội dung" dataDxfId="1669"/>
    <tableColumn id="12" xr3:uid="{5984770C-5BE1-4F78-AC91-ED14A39F0070}" name="Chủng loại" dataDxfId="1668"/>
    <tableColumn id="4" xr3:uid="{0DA06E15-B254-4062-9F37-03994C8FBAA0}" name="Quy cách" dataDxfId="1667"/>
    <tableColumn id="5" xr3:uid="{43C82CE5-7CDE-464F-8C20-9B2E1B2F39A6}" name="SỐ LƯỢNG" dataDxfId="1666">
      <calculatedColumnFormula>1091+958+901</calculatedColumnFormula>
    </tableColumn>
    <tableColumn id="6" xr3:uid="{B76FC1E1-FC4F-4D82-BBA1-0DC173E641E1}" name="ĐƠN GIÁ" dataDxfId="1665"/>
    <tableColumn id="7" xr3:uid="{7E2B8952-D8F4-427A-B79B-C1624BB37A9D}" name="THÀNH TIỀN" dataDxfId="1664">
      <calculatedColumnFormula>C_Ha_Xuan_Mai[[#This Row],[ĐƠN GIÁ]]*C_Ha_Xuan_Mai[[#This Row],[SỐ LƯỢNG]]</calculatedColumnFormula>
    </tableColumn>
    <tableColumn id="8" xr3:uid="{A423B48C-B2C9-49F2-AC19-C2668EF8E06A}" name="THANH TOÁN" dataDxfId="1663"/>
    <tableColumn id="9" xr3:uid="{0DBD7E9B-EBAD-409A-951E-875751DA609C}" name="CÔNG NỢ_x000a_ CÒN LẠI" dataDxfId="1662">
      <calculatedColumnFormula>J9+C_Ha_Xuan_Mai[[#This Row],[THÀNH TIỀN]]-C_Ha_Xuan_Mai[[#This Row],[THANH TOÁN]]</calculatedColumnFormula>
    </tableColumn>
    <tableColumn id="10" xr3:uid="{3A57908D-3841-40FC-949D-D65601FDCF06}" name="Ghi chú" dataDxfId="1661"/>
  </tableColumns>
  <tableStyleInfo showFirstColumn="0" showLastColumn="0" showRowStripes="1" showColumnStripes="0"/>
</table>
</file>

<file path=xl/tables/table1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3" xr:uid="{DD7716B8-0C69-46F5-B9E7-987FBD38FBA6}" name="E_Doanh_Thanh_Oai" displayName="E_Doanh_Thanh_Oai" ref="A9:K31" totalsRowShown="0" headerRowDxfId="1660" dataDxfId="1658" headerRowBorderDxfId="1659" tableBorderDxfId="1657" totalsRowBorderDxfId="1656">
  <autoFilter ref="A9:K31" xr:uid="{3227F2BD-2C9D-4FFF-9F44-8C9E66133B6C}"/>
  <sortState xmlns:xlrd2="http://schemas.microsoft.com/office/spreadsheetml/2017/richdata2" ref="A10:K27">
    <sortCondition ref="B10:B27"/>
  </sortState>
  <tableColumns count="11">
    <tableColumn id="1" xr3:uid="{0AC0A509-87F2-454D-9759-35A7420DB0B5}" name="Số phiếu" dataDxfId="1655"/>
    <tableColumn id="2" xr3:uid="{4F537882-707E-4DD2-B9F1-8E6CD0B9E598}" name="Ngày_x000a_ tháng" dataDxfId="1654"/>
    <tableColumn id="3" xr3:uid="{59C2A54D-C398-46A0-80AE-32180356BCF2}" name="Nội dung" dataDxfId="1653"/>
    <tableColumn id="12" xr3:uid="{CF05029A-614C-4D82-A0A1-FFFC890BA379}" name="Chủng loại" dataDxfId="1652"/>
    <tableColumn id="4" xr3:uid="{2787E076-7313-4A6C-ABDF-A339FC9D849C}" name="Quy cách" dataDxfId="1651"/>
    <tableColumn id="5" xr3:uid="{B2622F93-EDDB-4895-9044-5B90DCDC5461}" name="SỐ LƯỢNG" dataDxfId="1650">
      <calculatedColumnFormula>1091+958+901</calculatedColumnFormula>
    </tableColumn>
    <tableColumn id="6" xr3:uid="{E6F05680-5FD5-4602-9E80-58A394300532}" name="ĐƠN GIÁ" dataDxfId="1649"/>
    <tableColumn id="7" xr3:uid="{44677B21-8BE3-4699-8E4A-F15AA5011CA4}" name="THÀNH TIỀN" dataDxfId="1648">
      <calculatedColumnFormula>E_Doanh_Thanh_Oai[[#This Row],[ĐƠN GIÁ]]*E_Doanh_Thanh_Oai[[#This Row],[SỐ LƯỢNG]]</calculatedColumnFormula>
    </tableColumn>
    <tableColumn id="8" xr3:uid="{A571AC44-325F-4986-B2FB-5660248C2381}" name="THANH TOÁN" dataDxfId="1647"/>
    <tableColumn id="9" xr3:uid="{45555C8A-96C7-441A-8A8C-AD6C2124B022}" name="CÔNG NỢ_x000a_ CÒN LẠI" dataDxfId="9">
      <calculatedColumnFormula>N(INDIRECT("R[-1]C", FALSE)) + E_Doanh_Thanh_Oai[[#This Row],[THÀNH TIỀN]] - E_Doanh_Thanh_Oai[[#This Row],[THANH TOÁN]]</calculatedColumnFormula>
    </tableColumn>
    <tableColumn id="10" xr3:uid="{175AFFA3-62C0-4720-9F7C-367901F84A81}" name="Ghi chú" dataDxfId="1646"/>
  </tableColumns>
  <tableStyleInfo showFirstColumn="0" showLastColumn="0" showRowStripes="1" showColumnStripes="0"/>
</table>
</file>

<file path=xl/tables/table1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4" xr:uid="{85C0E079-137A-4CC2-8077-0874270FC233}" name="A_Du_ND" displayName="A_Du_ND" ref="A9:K22" totalsRowShown="0" headerRowDxfId="3440" dataDxfId="3438" headerRowBorderDxfId="3439" tableBorderDxfId="3437" totalsRowBorderDxfId="3436">
  <autoFilter ref="A9:K22" xr:uid="{3227F2BD-2C9D-4FFF-9F44-8C9E66133B6C}"/>
  <sortState xmlns:xlrd2="http://schemas.microsoft.com/office/spreadsheetml/2017/richdata2" ref="A10:K19">
    <sortCondition ref="B19"/>
  </sortState>
  <tableColumns count="11">
    <tableColumn id="1" xr3:uid="{3C32864A-EB3A-4C2D-BADD-F21A0DB72582}" name="Số phiếu" dataDxfId="3435"/>
    <tableColumn id="2" xr3:uid="{BF0436E0-6136-4D0A-B5BB-21F18FDCF676}" name="Ngày_x000a_ tháng" dataDxfId="3434"/>
    <tableColumn id="3" xr3:uid="{5E5C9815-C8F5-4692-A780-422A6E52DEE2}" name="Nội dung" dataDxfId="3433"/>
    <tableColumn id="12" xr3:uid="{1F629103-5EDD-44AB-896D-B52AFB5EEF3A}" name="Chủng loại" dataDxfId="3432"/>
    <tableColumn id="4" xr3:uid="{DFA85CD3-64D5-42AE-BC6B-8435A34077F4}" name="Quy cách" dataDxfId="3431"/>
    <tableColumn id="5" xr3:uid="{907A7D76-B721-450D-8439-6DECA4B32061}" name="SỐ LƯỢNG" dataDxfId="3430">
      <calculatedColumnFormula>1091+958+901</calculatedColumnFormula>
    </tableColumn>
    <tableColumn id="6" xr3:uid="{6EFCC888-4FF2-452F-B714-05977C7752A6}" name="ĐƠN GIÁ" dataDxfId="3429"/>
    <tableColumn id="7" xr3:uid="{07E42BF1-9672-4516-901C-EA30A2F58FF5}" name="THÀNH TIỀN" dataDxfId="3428">
      <calculatedColumnFormula>A_Du_ND[[#This Row],[ĐƠN GIÁ]]*A_Du_ND[[#This Row],[SỐ LƯỢNG]]</calculatedColumnFormula>
    </tableColumn>
    <tableColumn id="8" xr3:uid="{327AC843-AB63-44DA-A4C4-CC083809FABA}" name="THANH TOÁN" dataDxfId="3427"/>
    <tableColumn id="9" xr3:uid="{D1C295F9-A456-4245-A561-65C0DF7659D7}" name="CÔNG NỢ_x000a_ CÒN LẠI" dataDxfId="3426">
      <calculatedColumnFormula>J9+A_Du_ND[[#This Row],[THÀNH TIỀN]]-A_Du_ND[[#This Row],[THANH TOÁN]]</calculatedColumnFormula>
    </tableColumn>
    <tableColumn id="10" xr3:uid="{DFA9151D-6E11-4514-AD12-BFAAD5E9BD40}" name="Ghi chú" dataDxfId="3425"/>
  </tableColumns>
  <tableStyleInfo showFirstColumn="0" showLastColumn="0" showRowStripes="1" showColumnStripes="0"/>
</table>
</file>

<file path=xl/tables/table1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5" xr:uid="{03D90776-6AF0-489E-8B43-A00C6F6530FE}" name="Cty_Giang_Phuong" displayName="Cty_Giang_Phuong" ref="A9:K13" totalsRowShown="0" headerRowDxfId="1645" dataDxfId="1643" headerRowBorderDxfId="1644" tableBorderDxfId="1642" totalsRowBorderDxfId="1641">
  <autoFilter ref="A9:K13" xr:uid="{3227F2BD-2C9D-4FFF-9F44-8C9E66133B6C}"/>
  <tableColumns count="11">
    <tableColumn id="1" xr3:uid="{A2C04DC4-8485-4275-970F-426538369053}" name="Số phiếu" dataDxfId="1640"/>
    <tableColumn id="2" xr3:uid="{17D1669B-E679-40EB-B2B3-D7A344842D3C}" name="Ngày_x000a_ tháng" dataDxfId="1639"/>
    <tableColumn id="3" xr3:uid="{FC750705-E3F3-44FD-8543-074545C702FB}" name="Nội dung" dataDxfId="1638"/>
    <tableColumn id="12" xr3:uid="{99931DC6-939D-47D8-8B2D-6F5F9F5A9B11}" name="Chủng loại" dataDxfId="1637"/>
    <tableColumn id="4" xr3:uid="{A93852DC-93E7-49AF-8BD4-47BC84E00993}" name="Quy cách" dataDxfId="1636"/>
    <tableColumn id="5" xr3:uid="{9CBA26E1-1199-4248-98B1-F418F52DAAE6}" name="SỐ LƯỢNG" dataDxfId="1635">
      <calculatedColumnFormula>1091+958+901</calculatedColumnFormula>
    </tableColumn>
    <tableColumn id="6" xr3:uid="{791F4EDF-9F94-4482-8B41-419418FA1C61}" name="ĐƠN GIÁ" dataDxfId="1634"/>
    <tableColumn id="7" xr3:uid="{79300E2F-CC0C-430E-8173-B4EFF682933A}" name="THÀNH TIỀN" dataDxfId="1633">
      <calculatedColumnFormula>Cty_Giang_Phuong[[#This Row],[ĐƠN GIÁ]]*Cty_Giang_Phuong[[#This Row],[SỐ LƯỢNG]]</calculatedColumnFormula>
    </tableColumn>
    <tableColumn id="8" xr3:uid="{42C733A5-BFCE-4D04-97D9-33AAB800E120}" name="THANH TOÁN" dataDxfId="1632"/>
    <tableColumn id="9" xr3:uid="{A3532652-61B2-4B4A-A598-9BE3030DDE35}" name="CÔNG NỢ_x000a_ CÒN LẠI" dataDxfId="1631">
      <calculatedColumnFormula>J9+Cty_Giang_Phuong[[#This Row],[THÀNH TIỀN]]-Cty_Giang_Phuong[[#This Row],[THANH TOÁN]]</calculatedColumnFormula>
    </tableColumn>
    <tableColumn id="10" xr3:uid="{56240F39-43EC-4340-99EC-6D2C241F661E}" name="Ghi chú" dataDxfId="1630"/>
  </tableColumns>
  <tableStyleInfo showFirstColumn="0" showLastColumn="0" showRowStripes="1" showColumnStripes="0"/>
</table>
</file>

<file path=xl/tables/table1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6" xr:uid="{46505FDF-5D23-4345-9F91-70DA2FF00C79}" name="C_Yen_Cty_Tan_Thanh" displayName="C_Yen_Cty_Tan_Thanh" ref="A9:K18" totalsRowShown="0" headerRowDxfId="1629" dataDxfId="1627" headerRowBorderDxfId="1628" tableBorderDxfId="1626" totalsRowBorderDxfId="1625">
  <autoFilter ref="A9:K18" xr:uid="{3227F2BD-2C9D-4FFF-9F44-8C9E66133B6C}"/>
  <tableColumns count="11">
    <tableColumn id="1" xr3:uid="{4A2A15E9-C047-4EB9-883C-1D3F60911ACE}" name="Số phiếu" dataDxfId="1624"/>
    <tableColumn id="2" xr3:uid="{211D72F9-F1F5-4D2E-9C72-274A6FB20FF4}" name="Ngày_x000a_ tháng" dataDxfId="1623"/>
    <tableColumn id="3" xr3:uid="{13592F57-1A38-41E1-9C83-FB1D75C78D5A}" name="Nội dung" dataDxfId="1622"/>
    <tableColumn id="12" xr3:uid="{E306A69F-4AD0-421B-832F-5BF9790B1E0A}" name="Chủng loại" dataDxfId="1621"/>
    <tableColumn id="4" xr3:uid="{F88395F4-678B-4380-8C47-3755312B3763}" name="Quy cách" dataDxfId="1620"/>
    <tableColumn id="5" xr3:uid="{DA79AB81-2625-4ED4-B90A-F99C09D7C235}" name="SỐ LƯỢNG" dataDxfId="1619">
      <calculatedColumnFormula>1091+958+901</calculatedColumnFormula>
    </tableColumn>
    <tableColumn id="6" xr3:uid="{F73DDE2A-A148-4299-8FDC-A3A95EBEFEB8}" name="ĐƠN GIÁ" dataDxfId="1618"/>
    <tableColumn id="7" xr3:uid="{0A1B865D-EE4F-40D0-82C3-DDD3C35A0A22}" name="THÀNH TIỀN" dataDxfId="1617">
      <calculatedColumnFormula>C_Yen_Cty_Tan_Thanh[[#This Row],[ĐƠN GIÁ]]*C_Yen_Cty_Tan_Thanh[[#This Row],[SỐ LƯỢNG]]</calculatedColumnFormula>
    </tableColumn>
    <tableColumn id="8" xr3:uid="{582B23F6-F6AD-4484-B229-4796B02CA296}" name="THANH TOÁN" dataDxfId="1616"/>
    <tableColumn id="9" xr3:uid="{B38220CA-7817-44AF-AFF3-D7C42C60ED3F}" name="CÔNG NỢ_x000a_ CÒN LẠI" dataDxfId="1615">
      <calculatedColumnFormula>J9+C_Yen_Cty_Tan_Thanh[[#This Row],[THÀNH TIỀN]]-C_Yen_Cty_Tan_Thanh[[#This Row],[THANH TOÁN]]</calculatedColumnFormula>
    </tableColumn>
    <tableColumn id="10" xr3:uid="{F6CC3A3C-BD23-4C20-9F53-AC12F55B7FB8}" name="Ghi chú" dataDxfId="1614"/>
  </tableColumns>
  <tableStyleInfo showFirstColumn="0" showLastColumn="0" showRowStripes="1" showColumnStripes="0"/>
</table>
</file>

<file path=xl/tables/table1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7" xr:uid="{3382C4D0-0918-4A73-8DF3-E7D4AD25B01A}" name="Cty_XNK_Thinh_Phat" displayName="Cty_XNK_Thinh_Phat" ref="A9:K61" totalsRowShown="0" headerRowDxfId="1613" dataDxfId="1611" headerRowBorderDxfId="1612" tableBorderDxfId="1610" totalsRowBorderDxfId="1609">
  <autoFilter ref="A9:K61" xr:uid="{3227F2BD-2C9D-4FFF-9F44-8C9E66133B6C}"/>
  <sortState xmlns:xlrd2="http://schemas.microsoft.com/office/spreadsheetml/2017/richdata2" ref="A10:K60">
    <sortCondition ref="B47:B60"/>
  </sortState>
  <tableColumns count="11">
    <tableColumn id="1" xr3:uid="{3B29F878-4683-4391-96E6-D47171734592}" name="Số phiếu" dataDxfId="1608"/>
    <tableColumn id="2" xr3:uid="{48A523EB-1661-44A0-BAE9-43068FB801FA}" name="Ngày_x000a_ tháng" dataDxfId="1607"/>
    <tableColumn id="3" xr3:uid="{282036D5-2A8E-485A-96BC-4EEECB90E766}" name="Nội dung" dataDxfId="1606"/>
    <tableColumn id="12" xr3:uid="{EE2828B2-7EF4-4FDF-80F6-4FF423504173}" name="Chủng loại" dataDxfId="1605"/>
    <tableColumn id="4" xr3:uid="{188FA3A0-6F00-432C-B454-F0A65EC9C091}" name="Quy cách" dataDxfId="1604"/>
    <tableColumn id="5" xr3:uid="{770E4066-4A25-4056-926C-9B0C66A96E1C}" name="SỐ LƯỢNG" dataDxfId="1603">
      <calculatedColumnFormula>1091+958+901</calculatedColumnFormula>
    </tableColumn>
    <tableColumn id="6" xr3:uid="{F572D66A-0921-4FDE-AF0A-A84432C96B48}" name="ĐƠN GIÁ" dataDxfId="1602"/>
    <tableColumn id="7" xr3:uid="{8061F5E9-ABA9-4C43-9717-3A1D13EE9E63}" name="THÀNH TIỀN" dataDxfId="1601">
      <calculatedColumnFormula>Cty_XNK_Thinh_Phat[[#This Row],[ĐƠN GIÁ]]*Cty_XNK_Thinh_Phat[[#This Row],[SỐ LƯỢNG]]</calculatedColumnFormula>
    </tableColumn>
    <tableColumn id="8" xr3:uid="{B68E4DDE-24DF-4644-BC16-BF7CD27F2102}" name="THANH TOÁN" dataDxfId="1600"/>
    <tableColumn id="9" xr3:uid="{692C7DDB-FE90-4DED-B587-9C9DA5C510FA}" name="CÔNG NỢ_x000a_ CÒN LẠI" dataDxfId="1599">
      <calculatedColumnFormula>J9+Cty_XNK_Thinh_Phat[[#This Row],[THÀNH TIỀN]]-Cty_XNK_Thinh_Phat[[#This Row],[THANH TOÁN]]</calculatedColumnFormula>
    </tableColumn>
    <tableColumn id="10" xr3:uid="{AC38C52E-8F9A-4F70-995A-3391B3796B4E}" name="Ghi chú" dataDxfId="1598"/>
  </tableColumns>
  <tableStyleInfo showFirstColumn="0" showLastColumn="0" showRowStripes="1" showColumnStripes="0"/>
</table>
</file>

<file path=xl/tables/table1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8" xr:uid="{62B2F20A-915F-4FD4-A6DC-B33D4D314489}" name="Cty_Han_Viet" displayName="Cty_Han_Viet" ref="A9:K15" totalsRowShown="0" headerRowDxfId="1597" dataDxfId="1595" headerRowBorderDxfId="1596" tableBorderDxfId="1594" totalsRowBorderDxfId="1593">
  <autoFilter ref="A9:K15" xr:uid="{3227F2BD-2C9D-4FFF-9F44-8C9E66133B6C}"/>
  <tableColumns count="11">
    <tableColumn id="1" xr3:uid="{B21C2E0A-22E7-4810-B854-7A8B4A11FE2D}" name="Số phiếu" dataDxfId="1592"/>
    <tableColumn id="2" xr3:uid="{A1416BC1-F7B2-47D5-AA23-61164A131539}" name="Ngày_x000a_ tháng" dataDxfId="1591"/>
    <tableColumn id="3" xr3:uid="{6105158C-0546-4CBB-8C42-3B6607AB21DE}" name="Nội dung" dataDxfId="1590"/>
    <tableColumn id="12" xr3:uid="{B952C9C6-8EEC-4BD3-B8A0-5463BCFFCC95}" name="Chủng loại" dataDxfId="1589"/>
    <tableColumn id="4" xr3:uid="{3CDF830D-C36F-4326-9BF2-4BBF1932F9F7}" name="Quy cách" dataDxfId="1588"/>
    <tableColumn id="5" xr3:uid="{DDE3C37B-BE5C-41DE-B208-D81E27D3AA04}" name="SỐ LƯỢNG" dataDxfId="1587">
      <calculatedColumnFormula>1091+958+901</calculatedColumnFormula>
    </tableColumn>
    <tableColumn id="6" xr3:uid="{ED59E48C-84CE-4864-B4A8-004E0D83CD3A}" name="ĐƠN GIÁ" dataDxfId="1586"/>
    <tableColumn id="7" xr3:uid="{BEE4366C-FC1D-4735-8214-7B0011C496B4}" name="THÀNH TIỀN" dataDxfId="1585">
      <calculatedColumnFormula>Cty_Han_Viet[[#This Row],[ĐƠN GIÁ]]*Cty_Han_Viet[[#This Row],[SỐ LƯỢNG]]</calculatedColumnFormula>
    </tableColumn>
    <tableColumn id="8" xr3:uid="{4425AAEB-C938-450D-8356-4615C30709A1}" name="THANH TOÁN" dataDxfId="1584"/>
    <tableColumn id="9" xr3:uid="{68E23398-6D57-4E1F-BFED-17C7F97C89CB}" name="CÔNG NỢ_x000a_ CÒN LẠI" dataDxfId="1583">
      <calculatedColumnFormula>J9+Cty_Han_Viet[[#This Row],[THÀNH TIỀN]]-Cty_Han_Viet[[#This Row],[THANH TOÁN]]</calculatedColumnFormula>
    </tableColumn>
    <tableColumn id="10" xr3:uid="{80D90C6E-0F04-43D1-950D-E150B3618164}" name="Ghi chú" dataDxfId="1582"/>
  </tableColumns>
  <tableStyleInfo showFirstColumn="0" showLastColumn="0" showRowStripes="1" showColumnStripes="0"/>
</table>
</file>

<file path=xl/tables/table1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9" xr:uid="{4649D07E-55AE-4566-926D-AFE0768D0268}" name="Cty_Nang_Luong_Tu_Hiep" displayName="Cty_Nang_Luong_Tu_Hiep" ref="A9:K26" totalsRowShown="0" headerRowDxfId="1581" dataDxfId="1579" headerRowBorderDxfId="1580" tableBorderDxfId="1578" totalsRowBorderDxfId="1577">
  <autoFilter ref="A9:K26" xr:uid="{3227F2BD-2C9D-4FFF-9F44-8C9E66133B6C}"/>
  <tableColumns count="11">
    <tableColumn id="1" xr3:uid="{40BC6BFA-AB25-4273-AC64-2CFC08280F40}" name="Số phiếu" dataDxfId="1576"/>
    <tableColumn id="2" xr3:uid="{EA0F64E9-51CA-4B70-A718-DF2974FA7143}" name="Ngày_x000a_ tháng" dataDxfId="1575"/>
    <tableColumn id="3" xr3:uid="{16778BFC-8577-4C2F-AEB5-0358D1FEFB55}" name="Nội dung" dataDxfId="1574"/>
    <tableColumn id="12" xr3:uid="{BD1D00A1-C3ED-4C58-8486-C5EAB9BCCE35}" name="Chủng loại" dataDxfId="1573"/>
    <tableColumn id="4" xr3:uid="{12CE05ED-346E-4098-B262-C67882FF9B29}" name="Quy cách" dataDxfId="1572"/>
    <tableColumn id="5" xr3:uid="{73A1F1A2-0C8D-453E-AAA2-0A174237E9D7}" name="SỐ LƯỢNG" dataDxfId="1571">
      <calculatedColumnFormula>1091+958+901</calculatedColumnFormula>
    </tableColumn>
    <tableColumn id="6" xr3:uid="{934D7E3D-A545-4006-A566-9CEFCFDEA770}" name="ĐƠN GIÁ" dataDxfId="1570"/>
    <tableColumn id="7" xr3:uid="{25556491-7CBE-44EC-B1E7-A79EE7F8E49F}" name="THÀNH TIỀN" dataDxfId="1569">
      <calculatedColumnFormula>Cty_Nang_Luong_Tu_Hiep[[#This Row],[ĐƠN GIÁ]]*Cty_Nang_Luong_Tu_Hiep[[#This Row],[SỐ LƯỢNG]]</calculatedColumnFormula>
    </tableColumn>
    <tableColumn id="8" xr3:uid="{5AE65A79-DD2D-4873-A853-D19DBC034FB2}" name="THANH TOÁN" dataDxfId="1568"/>
    <tableColumn id="9" xr3:uid="{680D0454-6984-4E8E-851F-D0CD810EC866}" name="CÔNG NỢ_x000a_ CÒN LẠI" dataDxfId="1567">
      <calculatedColumnFormula>J9+Cty_Nang_Luong_Tu_Hiep[[#This Row],[THÀNH TIỀN]]-Cty_Nang_Luong_Tu_Hiep[[#This Row],[THANH TOÁN]]</calculatedColumnFormula>
    </tableColumn>
    <tableColumn id="10" xr3:uid="{8966C8E9-F4DF-4FB7-B96B-83AD09D10A56}" name="Ghi chú" dataDxfId="1566"/>
  </tableColumns>
  <tableStyleInfo showFirstColumn="0" showLastColumn="0" showRowStripes="1" showColumnStripes="0"/>
</table>
</file>

<file path=xl/tables/table1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0" xr:uid="{067B7E56-0B49-428A-B11A-6D1D83F94692}" name="C_Hanh_Cty_Duc_Phat" displayName="C_Hanh_Cty_Duc_Phat" ref="A9:K20" totalsRowShown="0" headerRowDxfId="1565" dataDxfId="1563" headerRowBorderDxfId="1564" tableBorderDxfId="1562" totalsRowBorderDxfId="1561">
  <autoFilter ref="A9:K20" xr:uid="{3227F2BD-2C9D-4FFF-9F44-8C9E66133B6C}"/>
  <sortState xmlns:xlrd2="http://schemas.microsoft.com/office/spreadsheetml/2017/richdata2" ref="A10:K20">
    <sortCondition ref="B12:B20"/>
  </sortState>
  <tableColumns count="11">
    <tableColumn id="1" xr3:uid="{5714657B-C116-49C0-B576-EC7C2ADADC25}" name="Số phiếu" dataDxfId="1560"/>
    <tableColumn id="2" xr3:uid="{0BC7DF89-0DBB-4F52-A2F8-FBADF84162B5}" name="Ngày_x000a_ tháng" dataDxfId="1559"/>
    <tableColumn id="3" xr3:uid="{57001D08-A618-4BB2-BBC3-E35B528D1BB7}" name="Nội dung" dataDxfId="1558"/>
    <tableColumn id="12" xr3:uid="{DD1490C5-4E3A-4038-890D-B592DF25659F}" name="Chủng loại" dataDxfId="1557"/>
    <tableColumn id="4" xr3:uid="{BF88451C-B1F2-4D6B-BE6D-3A9B45ACC3B2}" name="Quy cách" dataDxfId="1556"/>
    <tableColumn id="5" xr3:uid="{48C74EC8-94B8-425F-8D07-73D6E0EE7ECC}" name="SỐ LƯỢNG" dataDxfId="1555">
      <calculatedColumnFormula>1091+958+901</calculatedColumnFormula>
    </tableColumn>
    <tableColumn id="6" xr3:uid="{EC5ED39E-7B75-4B63-A5B2-79A942A28F94}" name="ĐƠN GIÁ" dataDxfId="1554"/>
    <tableColumn id="7" xr3:uid="{1E08DFB2-88CB-4917-8F58-0C0699187345}" name="THÀNH TIỀN" dataDxfId="1553">
      <calculatedColumnFormula>C_Hanh_Cty_Duc_Phat[[#This Row],[ĐƠN GIÁ]]*C_Hanh_Cty_Duc_Phat[[#This Row],[SỐ LƯỢNG]]</calculatedColumnFormula>
    </tableColumn>
    <tableColumn id="8" xr3:uid="{3A0DB7C1-906A-4FC4-A699-F3F45C997C8F}" name="THANH TOÁN" dataDxfId="1552"/>
    <tableColumn id="9" xr3:uid="{4A73586E-CE57-4579-B2A9-CBB7F51A5E1A}" name="CÔNG NỢ_x000a_ CÒN LẠI" dataDxfId="1551">
      <calculatedColumnFormula>J9+C_Hanh_Cty_Duc_Phat[[#This Row],[THÀNH TIỀN]]-C_Hanh_Cty_Duc_Phat[[#This Row],[THANH TOÁN]]</calculatedColumnFormula>
    </tableColumn>
    <tableColumn id="10" xr3:uid="{62D4EB08-16C7-4F6C-A42A-7DE7EB123D23}" name="Ghi chú" dataDxfId="1550"/>
  </tableColumns>
  <tableStyleInfo showFirstColumn="0" showLastColumn="0" showRowStripes="1" showColumnStripes="0"/>
</table>
</file>

<file path=xl/tables/table1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1" xr:uid="{4E16E1F5-605C-42DF-A6C3-6053112805CB}" name="Cty_Bao_Lam" displayName="Cty_Bao_Lam" ref="A9:K15" totalsRowShown="0" headerRowDxfId="1549" dataDxfId="1547" headerRowBorderDxfId="1548" tableBorderDxfId="1546" totalsRowBorderDxfId="1545">
  <autoFilter ref="A9:K15" xr:uid="{3227F2BD-2C9D-4FFF-9F44-8C9E66133B6C}"/>
  <tableColumns count="11">
    <tableColumn id="1" xr3:uid="{E5A4F636-D4AE-4F5A-AE53-2D0438DD26C3}" name="Số phiếu" dataDxfId="1544"/>
    <tableColumn id="2" xr3:uid="{58F09E1B-EE65-4F6E-A84D-A622F7E6309A}" name="Ngày_x000a_ tháng" dataDxfId="1543"/>
    <tableColumn id="3" xr3:uid="{6B67353C-1929-4EA7-ACD0-375FB754BAB4}" name="Nội dung" dataDxfId="1542"/>
    <tableColumn id="12" xr3:uid="{B890AAF4-EF31-4B92-873D-D11C7FE2C33E}" name="Chủng loại" dataDxfId="1541"/>
    <tableColumn id="4" xr3:uid="{431A6F5C-F94C-4837-A97B-EC6A444D0E7C}" name="Quy cách" dataDxfId="1540"/>
    <tableColumn id="5" xr3:uid="{CA022B5A-5E93-4CF8-A617-4516231F04AD}" name="SỐ LƯỢNG" dataDxfId="1539">
      <calculatedColumnFormula>1091+958+901</calculatedColumnFormula>
    </tableColumn>
    <tableColumn id="6" xr3:uid="{1CCD8650-D8E0-4521-B720-D12D8CCEE9D9}" name="ĐƠN GIÁ" dataDxfId="1538"/>
    <tableColumn id="7" xr3:uid="{9BBFAD99-A529-4162-B8E5-F07588439D22}" name="THÀNH TIỀN" dataDxfId="1537">
      <calculatedColumnFormula>Cty_Bao_Lam[[#This Row],[ĐƠN GIÁ]]*Cty_Bao_Lam[[#This Row],[SỐ LƯỢNG]]</calculatedColumnFormula>
    </tableColumn>
    <tableColumn id="8" xr3:uid="{61F7941C-60F9-45BC-A5F0-68DB0A2B7386}" name="THANH TOÁN" dataDxfId="1536"/>
    <tableColumn id="9" xr3:uid="{1F66E539-5EE5-4AC8-ACB0-5F8F61F1C354}" name="CÔNG NỢ_x000a_ CÒN LẠI" dataDxfId="1535">
      <calculatedColumnFormula>J9+Cty_Bao_Lam[[#This Row],[THÀNH TIỀN]]-Cty_Bao_Lam[[#This Row],[THANH TOÁN]]</calculatedColumnFormula>
    </tableColumn>
    <tableColumn id="10" xr3:uid="{87E55B60-0151-4868-B154-C245D9AD6904}" name="Ghi chú" dataDxfId="1534"/>
  </tableColumns>
  <tableStyleInfo showFirstColumn="0" showLastColumn="0" showRowStripes="1" showColumnStripes="0"/>
</table>
</file>

<file path=xl/tables/table1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2" xr:uid="{C9CFD56D-4718-48C8-84E3-92B3CE045450}" name="Cty_Toan_Phat_HP" displayName="Cty_Toan_Phat_HP" ref="A9:K20" totalsRowShown="0" headerRowDxfId="1533" dataDxfId="1531" headerRowBorderDxfId="1532" tableBorderDxfId="1530" totalsRowBorderDxfId="1529">
  <autoFilter ref="A9:K20" xr:uid="{3227F2BD-2C9D-4FFF-9F44-8C9E66133B6C}"/>
  <tableColumns count="11">
    <tableColumn id="1" xr3:uid="{DBD8F3D2-599E-4C7B-8C45-294CBA69C062}" name="Số phiếu" dataDxfId="1528"/>
    <tableColumn id="2" xr3:uid="{64633671-43D9-471E-8109-7D76904A9B81}" name="Ngày_x000a_ tháng" dataDxfId="1527"/>
    <tableColumn id="3" xr3:uid="{51E17CB1-FBA4-4AE9-86C9-10C7D6BDA7B5}" name="Nội dung" dataDxfId="1526"/>
    <tableColumn id="12" xr3:uid="{792F2247-ED8B-4504-8BF5-B701C9D16D33}" name="Chủng loại" dataDxfId="1525"/>
    <tableColumn id="4" xr3:uid="{892653D8-C927-4264-90BE-D726E533F189}" name="Quy cách" dataDxfId="1524"/>
    <tableColumn id="5" xr3:uid="{9FFEE995-1E5C-4279-9A65-BABC144C54B0}" name="SỐ LƯỢNG" dataDxfId="1523">
      <calculatedColumnFormula>1091+958+901</calculatedColumnFormula>
    </tableColumn>
    <tableColumn id="6" xr3:uid="{0FA69B5F-CB01-4181-959F-E34FC96750E5}" name="ĐƠN GIÁ" dataDxfId="1522"/>
    <tableColumn id="7" xr3:uid="{17785785-7FB5-4194-A139-6439ACD88292}" name="THÀNH TIỀN" dataDxfId="1521">
      <calculatedColumnFormula>Cty_Toan_Phat_HP[[#This Row],[ĐƠN GIÁ]]*Cty_Toan_Phat_HP[[#This Row],[SỐ LƯỢNG]]</calculatedColumnFormula>
    </tableColumn>
    <tableColumn id="8" xr3:uid="{C6A0960C-5456-4925-9356-0B9600308B16}" name="THANH TOÁN" dataDxfId="1520"/>
    <tableColumn id="9" xr3:uid="{2AEAE213-65B7-4A4A-9592-71CAC46EA9B4}" name="CÔNG NỢ_x000a_ CÒN LẠI" dataDxfId="1519">
      <calculatedColumnFormula>J9+Cty_Toan_Phat_HP[[#This Row],[THÀNH TIỀN]]-Cty_Toan_Phat_HP[[#This Row],[THANH TOÁN]]</calculatedColumnFormula>
    </tableColumn>
    <tableColumn id="10" xr3:uid="{6A8A31B1-F6FA-432F-94F9-A12AA7AD8B15}" name="Ghi chú" dataDxfId="1518"/>
  </tableColumns>
  <tableStyleInfo showFirstColumn="0" showLastColumn="0" showRowStripes="1" showColumnStripes="0"/>
</table>
</file>

<file path=xl/tables/table1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4" xr:uid="{CC160A36-E506-4225-A249-EEEC8EB0A435}" name="E_Trung_Cty_An_Phat_HY" displayName="E_Trung_Cty_An_Phat_HY" ref="A9:K21" totalsRowShown="0" headerRowDxfId="1517" dataDxfId="1515" headerRowBorderDxfId="1516" tableBorderDxfId="1514" totalsRowBorderDxfId="1513">
  <autoFilter ref="A9:K21" xr:uid="{3227F2BD-2C9D-4FFF-9F44-8C9E66133B6C}"/>
  <tableColumns count="11">
    <tableColumn id="1" xr3:uid="{AC64E181-454E-4411-9995-025A597F4C38}" name="Số phiếu" dataDxfId="1512"/>
    <tableColumn id="2" xr3:uid="{BAFCD1F3-CA4F-4E8A-87FE-AED941D6EC62}" name="Ngày_x000a_ tháng" dataDxfId="1511"/>
    <tableColumn id="3" xr3:uid="{4DF244A2-27F1-4672-A917-DEAFAEB104B5}" name="Nội dung" dataDxfId="1510"/>
    <tableColumn id="12" xr3:uid="{CD18F305-406D-4EC6-AAE7-0B0BACE5349B}" name="Chủng loại" dataDxfId="1509"/>
    <tableColumn id="4" xr3:uid="{E6330F26-818C-4737-9AD3-99D1BEF92503}" name="Quy cách" dataDxfId="1508"/>
    <tableColumn id="5" xr3:uid="{BD358DB8-5B56-4E62-896A-1570EEFFDCA1}" name="SỐ LƯỢNG" dataDxfId="1507">
      <calculatedColumnFormula>1091+958+901</calculatedColumnFormula>
    </tableColumn>
    <tableColumn id="6" xr3:uid="{325F2A4B-5550-4126-8E80-C6D4845ABAA2}" name="ĐƠN GIÁ" dataDxfId="1506"/>
    <tableColumn id="7" xr3:uid="{2F8AAEDB-4FDA-48FD-A20F-BC40927054BA}" name="THÀNH TIỀN" dataDxfId="1505">
      <calculatedColumnFormula>E_Trung_Cty_An_Phat_HY[[#This Row],[ĐƠN GIÁ]]*E_Trung_Cty_An_Phat_HY[[#This Row],[SỐ LƯỢNG]]</calculatedColumnFormula>
    </tableColumn>
    <tableColumn id="8" xr3:uid="{A1EFD66A-794C-485D-808D-775A0BE1B739}" name="THANH TOÁN" dataDxfId="1504"/>
    <tableColumn id="9" xr3:uid="{19C8D8AC-EC1D-4FB1-9A46-36A59B120466}" name="CÔNG NỢ_x000a_ CÒN LẠI" dataDxfId="1503">
      <calculatedColumnFormula>J9+E_Trung_Cty_An_Phat_HY[[#This Row],[THÀNH TIỀN]]-E_Trung_Cty_An_Phat_HY[[#This Row],[THANH TOÁN]]</calculatedColumnFormula>
    </tableColumn>
    <tableColumn id="10" xr3:uid="{D8CB5C42-056C-4591-9E06-DDA6D8696652}" name="Ghi chú" dataDxfId="1502"/>
  </tableColumns>
  <tableStyleInfo showFirstColumn="0" showLastColumn="0" showRowStripes="1" showColumnStripes="0"/>
</table>
</file>

<file path=xl/tables/table1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6" xr:uid="{58D69B69-41D0-479D-86C6-C904CB78E3B8}" name="Cty_Thinh_Hung" displayName="Cty_Thinh_Hung" ref="A9:K23" totalsRowShown="0" headerRowDxfId="1501" dataDxfId="1499" headerRowBorderDxfId="1500" tableBorderDxfId="1498" totalsRowBorderDxfId="1497">
  <autoFilter ref="A9:K23" xr:uid="{3227F2BD-2C9D-4FFF-9F44-8C9E66133B6C}"/>
  <sortState xmlns:xlrd2="http://schemas.microsoft.com/office/spreadsheetml/2017/richdata2" ref="A10:K22">
    <sortCondition ref="B10:B22"/>
  </sortState>
  <tableColumns count="11">
    <tableColumn id="1" xr3:uid="{09D6D9B1-4AB2-4118-82DE-FC118FA1DBB1}" name="Số phiếu" dataDxfId="1496"/>
    <tableColumn id="2" xr3:uid="{C03C0FCE-A1F9-43D7-B91B-87AC48307362}" name="Ngày_x000a_ tháng" dataDxfId="1495"/>
    <tableColumn id="3" xr3:uid="{00904B96-DB24-46F7-B7D6-870209C33AE4}" name="Nội dung" dataDxfId="1494"/>
    <tableColumn id="12" xr3:uid="{7E8431AD-3399-437D-86FA-0F1636748FB9}" name="Chủng loại" dataDxfId="1493"/>
    <tableColumn id="4" xr3:uid="{918B6F9D-C107-401B-9DE3-46A93EAC0E4F}" name="Quy cách" dataDxfId="1492"/>
    <tableColumn id="5" xr3:uid="{65E9AF2F-80C3-470D-8DAB-490777656C68}" name="SỐ LƯỢNG" dataDxfId="1491">
      <calculatedColumnFormula>1091+958+901</calculatedColumnFormula>
    </tableColumn>
    <tableColumn id="6" xr3:uid="{95CF926E-85B8-4A9F-9B74-9DBAC067FB6C}" name="ĐƠN GIÁ" dataDxfId="1490"/>
    <tableColumn id="7" xr3:uid="{2AFF8349-7A6B-46C0-BC5A-C5BF8106E055}" name="THÀNH TIỀN" dataDxfId="1489">
      <calculatedColumnFormula>Cty_Thinh_Hung[[#This Row],[ĐƠN GIÁ]]*Cty_Thinh_Hung[[#This Row],[SỐ LƯỢNG]]</calculatedColumnFormula>
    </tableColumn>
    <tableColumn id="8" xr3:uid="{3F978AD0-2D76-477B-BE4A-896C65E4A591}" name="THANH TOÁN" dataDxfId="1488"/>
    <tableColumn id="9" xr3:uid="{F5147BE1-3449-41A4-AAD4-E5B070836545}" name="CÔNG NỢ_x000a_ CÒN LẠI" dataDxfId="1487">
      <calculatedColumnFormula>J9+Cty_Thinh_Hung[[#This Row],[THÀNH TIỀN]]-Cty_Thinh_Hung[[#This Row],[THANH TOÁN]]</calculatedColumnFormula>
    </tableColumn>
    <tableColumn id="10" xr3:uid="{5C8CFE58-11A3-42DD-8867-2B8E30B3238E}" name="Ghi chú" dataDxfId="1486"/>
  </tableColumns>
  <tableStyleInfo showFirstColumn="0" showLastColumn="0" showRowStripes="1" showColumnStripes="0"/>
</table>
</file>

<file path=xl/tables/table1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7" xr:uid="{5D6E11BA-2FA7-40BF-BDA9-6C151939D879}" name="Cty_Tuan_Nhung_Rua" displayName="Cty_Tuan_Nhung_Rua" ref="A9:K13" totalsRowShown="0" headerRowDxfId="1485" dataDxfId="1483" headerRowBorderDxfId="1484" tableBorderDxfId="1482" totalsRowBorderDxfId="1481">
  <autoFilter ref="A9:K13" xr:uid="{3227F2BD-2C9D-4FFF-9F44-8C9E66133B6C}"/>
  <tableColumns count="11">
    <tableColumn id="1" xr3:uid="{AACA41EB-4809-4CA2-ADA8-0B5CBF0A4B81}" name="Số phiếu" dataDxfId="1480"/>
    <tableColumn id="2" xr3:uid="{BD9A140F-004A-41C4-8D93-991A3384C66E}" name="Ngày_x000a_ tháng" dataDxfId="1479"/>
    <tableColumn id="3" xr3:uid="{40ACC1B5-CAE5-4F67-BFF2-78D1B8BFED53}" name="Nội dung" dataDxfId="1478"/>
    <tableColumn id="12" xr3:uid="{DC6F6A1A-1AE2-4AFD-AC15-4C18A2BCC583}" name="Chủng loại" dataDxfId="1477"/>
    <tableColumn id="4" xr3:uid="{80A3A806-4593-4880-A6F9-537C7EB0BD7B}" name="Quy cách" dataDxfId="1476"/>
    <tableColumn id="5" xr3:uid="{AABBF4C5-51AC-47ED-9F89-A4A50A693391}" name="SỐ LƯỢNG" dataDxfId="1475">
      <calculatedColumnFormula>1091+958+901</calculatedColumnFormula>
    </tableColumn>
    <tableColumn id="6" xr3:uid="{DEBA0E58-38B1-4AB1-AE1E-645931AD979D}" name="ĐƠN GIÁ" dataDxfId="1474"/>
    <tableColumn id="7" xr3:uid="{C3A3E8AB-0ABA-45B2-874C-8C17CFFABC00}" name="THÀNH TIỀN" dataDxfId="1473">
      <calculatedColumnFormula>Cty_Tuan_Nhung_Rua[[#This Row],[ĐƠN GIÁ]]*Cty_Tuan_Nhung_Rua[[#This Row],[SỐ LƯỢNG]]</calculatedColumnFormula>
    </tableColumn>
    <tableColumn id="8" xr3:uid="{B6FEC326-311F-4FC0-9A89-2DEF49E2B438}" name="THANH TOÁN" dataDxfId="1472"/>
    <tableColumn id="9" xr3:uid="{AD41484B-88E0-414E-8934-BE93DFC32747}" name="CÔNG NỢ_x000a_ CÒN LẠI" dataDxfId="1471">
      <calculatedColumnFormula>J9+Cty_Tuan_Nhung_Rua[[#This Row],[THÀNH TIỀN]]-Cty_Tuan_Nhung_Rua[[#This Row],[THANH TOÁN]]</calculatedColumnFormula>
    </tableColumn>
    <tableColumn id="10" xr3:uid="{0C4D401D-8E59-430C-A0FB-F8E74CB6E56E}" name="Ghi chú" dataDxfId="1470"/>
  </tableColumns>
  <tableStyleInfo showFirstColumn="0" showLastColumn="0" showRowStripes="1" showColumnStripes="0"/>
</table>
</file>

<file path=xl/tables/table1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8" xr:uid="{5ED5CFE0-BBD5-42D6-8D00-0C59E93D7590}" name="Cty_Thanh_Hung" displayName="Cty_Thanh_Hung" ref="A9:K26" totalsRowShown="0" headerRowDxfId="1469" dataDxfId="1467" headerRowBorderDxfId="1468" tableBorderDxfId="1466" totalsRowBorderDxfId="1465">
  <autoFilter ref="A9:K26" xr:uid="{3227F2BD-2C9D-4FFF-9F44-8C9E66133B6C}"/>
  <tableColumns count="11">
    <tableColumn id="1" xr3:uid="{F604830A-1CF5-43C6-A6DA-1D260BF14FA2}" name="Số phiếu" dataDxfId="1464"/>
    <tableColumn id="2" xr3:uid="{CC0BD362-5060-4BE7-A0CA-7D9A3C976193}" name="Ngày_x000a_ tháng" dataDxfId="1463"/>
    <tableColumn id="3" xr3:uid="{7B6A69F2-EAD6-49F6-A79A-A5AC2AA54D4B}" name="Nội dung" dataDxfId="1462"/>
    <tableColumn id="12" xr3:uid="{674A9B73-C86A-47B4-A457-B3508110C4CD}" name="Chủng loại" dataDxfId="1461"/>
    <tableColumn id="4" xr3:uid="{987699C6-8B22-461B-8003-B064A70D488F}" name="Quy cách" dataDxfId="1460"/>
    <tableColumn id="5" xr3:uid="{0142A0D5-231F-4EB6-8571-45C771F8C335}" name="SỐ LƯỢNG" dataDxfId="1459">
      <calculatedColumnFormula>1091+958+901</calculatedColumnFormula>
    </tableColumn>
    <tableColumn id="6" xr3:uid="{82CBC85E-98AC-4A27-A558-F695C765137A}" name="ĐƠN GIÁ" dataDxfId="1458"/>
    <tableColumn id="7" xr3:uid="{2FD61C4E-4850-4E8B-AA70-DB9BA99B2318}" name="THÀNH TIỀN" dataDxfId="1457">
      <calculatedColumnFormula>Cty_Thanh_Hung[[#This Row],[ĐƠN GIÁ]]*Cty_Thanh_Hung[[#This Row],[SỐ LƯỢNG]]</calculatedColumnFormula>
    </tableColumn>
    <tableColumn id="8" xr3:uid="{4F10AA72-3861-476B-A136-DAF8E276DE2C}" name="THANH TOÁN" dataDxfId="1456"/>
    <tableColumn id="9" xr3:uid="{92CE90D0-759A-42B6-91B8-B1D316ECBAFA}" name="CÔNG NỢ_x000a_ CÒN LẠI" dataDxfId="1455">
      <calculatedColumnFormula>J9+Cty_Thanh_Hung[[#This Row],[THÀNH TIỀN]]-Cty_Thanh_Hung[[#This Row],[THANH TOÁN]]</calculatedColumnFormula>
    </tableColumn>
    <tableColumn id="10" xr3:uid="{00F3007C-3C5D-4A0A-B0F1-FE33790A775B}" name="Ghi chú" dataDxfId="1454"/>
  </tableColumns>
  <tableStyleInfo showFirstColumn="0" showLastColumn="0" showRowStripes="1" showColumnStripes="0"/>
</table>
</file>

<file path=xl/tables/table1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9" xr:uid="{2BD17750-71CA-4D99-9374-95F46FCE8B09}" name="Cty_Minh_Tam" displayName="Cty_Minh_Tam" ref="A9:K14" totalsRowShown="0" headerRowDxfId="1453" dataDxfId="1451" headerRowBorderDxfId="1452" tableBorderDxfId="1450" totalsRowBorderDxfId="1449">
  <autoFilter ref="A9:K14" xr:uid="{3227F2BD-2C9D-4FFF-9F44-8C9E66133B6C}"/>
  <tableColumns count="11">
    <tableColumn id="1" xr3:uid="{C60B5873-E6FC-4AC3-B354-AFC7B084830A}" name="Số phiếu" dataDxfId="1448"/>
    <tableColumn id="2" xr3:uid="{C9A3B3F0-2A57-4D16-AF70-6894AB524A9D}" name="Ngày_x000a_ tháng" dataDxfId="1447"/>
    <tableColumn id="3" xr3:uid="{78AF697B-302A-45D3-95E4-9AA5FC3759DC}" name="Nội dung" dataDxfId="1446"/>
    <tableColumn id="12" xr3:uid="{9CD23B0B-8DA8-49CE-9957-22478DE9BDB9}" name="Chủng loại" dataDxfId="1445"/>
    <tableColumn id="4" xr3:uid="{C3DB9A7A-3AEE-4FC8-9216-FBDFC97B595D}" name="Quy cách" dataDxfId="1444"/>
    <tableColumn id="5" xr3:uid="{A2CCCA23-3751-4287-862A-7A4DC4EE23D6}" name="SỐ LƯỢNG" dataDxfId="1443">
      <calculatedColumnFormula>1091+958+901</calculatedColumnFormula>
    </tableColumn>
    <tableColumn id="6" xr3:uid="{50248612-363F-481E-B7F4-767296C173B1}" name="ĐƠN GIÁ" dataDxfId="1442"/>
    <tableColumn id="7" xr3:uid="{E10DB18C-85A1-4B96-A489-4D838FB4989F}" name="THÀNH TIỀN" dataDxfId="1441">
      <calculatedColumnFormula>Cty_Minh_Tam[[#This Row],[ĐƠN GIÁ]]*Cty_Minh_Tam[[#This Row],[SỐ LƯỢNG]]</calculatedColumnFormula>
    </tableColumn>
    <tableColumn id="8" xr3:uid="{7BA11C19-41DD-4600-8CF5-07E0470F300D}" name="THANH TOÁN" dataDxfId="1440"/>
    <tableColumn id="9" xr3:uid="{F44A964C-C190-4EA4-836E-09A8992A31C5}" name="CÔNG NỢ_x000a_ CÒN LẠI" dataDxfId="1439">
      <calculatedColumnFormula>J9+Cty_Minh_Tam[[#This Row],[THÀNH TIỀN]]-Cty_Minh_Tam[[#This Row],[THANH TOÁN]]</calculatedColumnFormula>
    </tableColumn>
    <tableColumn id="10" xr3:uid="{29E60171-8A6E-4F26-BDB6-5CF3C443CDDE}" name="Ghi chú" dataDxfId="1438"/>
  </tableColumns>
  <tableStyleInfo showFirstColumn="0" showLastColumn="0" showRowStripes="1" showColumnStripes="0"/>
</table>
</file>

<file path=xl/tables/table1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0" xr:uid="{60B1C775-15EF-47FF-9E5C-456307BB265C}" name="Cty_Binh_Minh" displayName="Cty_Binh_Minh" ref="A9:K59" totalsRowShown="0" headerRowDxfId="1437" dataDxfId="1435" headerRowBorderDxfId="1436" tableBorderDxfId="1434" totalsRowBorderDxfId="1433">
  <autoFilter ref="A9:K59" xr:uid="{3227F2BD-2C9D-4FFF-9F44-8C9E66133B6C}"/>
  <sortState xmlns:xlrd2="http://schemas.microsoft.com/office/spreadsheetml/2017/richdata2" ref="A10:K46">
    <sortCondition ref="B45:B46"/>
  </sortState>
  <tableColumns count="11">
    <tableColumn id="1" xr3:uid="{96EFA807-C6FD-48DC-8F5F-744E314D9FD0}" name="Số phiếu" dataDxfId="1432"/>
    <tableColumn id="2" xr3:uid="{EF42E752-0BB5-41EF-B337-45B15BE1569D}" name="Ngày_x000a_ tháng" dataDxfId="1431"/>
    <tableColumn id="3" xr3:uid="{D0B88527-0ABF-4091-93A7-2DF14DBE1447}" name="Nội dung" dataDxfId="1430"/>
    <tableColumn id="12" xr3:uid="{B10C22C0-BB7F-4ED0-A06A-91BB066570BC}" name="Chủng loại" dataDxfId="1429"/>
    <tableColumn id="4" xr3:uid="{D48DB7A2-3601-4B32-91B0-F039362EAA5A}" name="Quy cách" dataDxfId="1428"/>
    <tableColumn id="5" xr3:uid="{60E6961F-772B-4167-9AFD-876AA31A84C7}" name="SỐ LƯỢNG" dataDxfId="1427">
      <calculatedColumnFormula>1091+958+901</calculatedColumnFormula>
    </tableColumn>
    <tableColumn id="6" xr3:uid="{41CE3A3D-5190-485A-A87F-8671CD2E02E8}" name="ĐƠN GIÁ" dataDxfId="1426"/>
    <tableColumn id="7" xr3:uid="{61561E64-BB29-42FF-8DD4-FB8B0BF47467}" name="THÀNH TIỀN" dataDxfId="1425">
      <calculatedColumnFormula>Cty_Binh_Minh[[#This Row],[ĐƠN GIÁ]]*Cty_Binh_Minh[[#This Row],[SỐ LƯỢNG]]</calculatedColumnFormula>
    </tableColumn>
    <tableColumn id="8" xr3:uid="{FA75676A-5234-494E-8615-7AEA89741DB1}" name="THANH TOÁN" dataDxfId="1424"/>
    <tableColumn id="9" xr3:uid="{656C2AF5-10F1-4F60-ACA3-D3DC4624455F}" name="CÔNG NỢ_x000a_ CÒN LẠI" dataDxfId="1423">
      <calculatedColumnFormula>J9+Cty_Binh_Minh[[#This Row],[THÀNH TIỀN]]-Cty_Binh_Minh[[#This Row],[THANH TOÁN]]</calculatedColumnFormula>
    </tableColumn>
    <tableColumn id="10" xr3:uid="{9D430FB8-3F1E-4B20-96F2-E518E73438F8}" name="Ghi chú" dataDxfId="1422"/>
  </tableColumns>
  <tableStyleInfo showFirstColumn="0" showLastColumn="0" showRowStripes="1" showColumnStripes="0"/>
</table>
</file>

<file path=xl/tables/table1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1" xr:uid="{FEBDA623-F4B0-4609-8041-C59018B5926D}" name="A_Cuong_Rua" displayName="A_Cuong_Rua" ref="A9:K16" totalsRowShown="0" headerRowDxfId="1421" dataDxfId="1419" headerRowBorderDxfId="1420" tableBorderDxfId="1418" totalsRowBorderDxfId="1417">
  <autoFilter ref="A9:K16" xr:uid="{3227F2BD-2C9D-4FFF-9F44-8C9E66133B6C}"/>
  <tableColumns count="11">
    <tableColumn id="1" xr3:uid="{3ABD23A1-B3BB-4A5B-8737-FCB5AFCFCB25}" name="Số phiếu" dataDxfId="1416"/>
    <tableColumn id="2" xr3:uid="{18E5EDB3-3C26-452E-B041-5CA14F9D0925}" name="Ngày_x000a_ tháng" dataDxfId="1415"/>
    <tableColumn id="3" xr3:uid="{D1EA2355-3962-4F0A-BA5A-910BCD464058}" name="Nội dung" dataDxfId="1414"/>
    <tableColumn id="12" xr3:uid="{F9B76F90-87F0-4BA1-99C4-AAF22B4DAFAF}" name="Chủng loại" dataDxfId="1413"/>
    <tableColumn id="4" xr3:uid="{3C7A9DA1-9973-4BD0-B4A4-02A44C5E3C27}" name="Quy cách" dataDxfId="1412"/>
    <tableColumn id="5" xr3:uid="{786B49CD-25D8-412F-ABF2-D594484B2B6C}" name="SỐ LƯỢNG" dataDxfId="1411">
      <calculatedColumnFormula>1091+958+901</calculatedColumnFormula>
    </tableColumn>
    <tableColumn id="6" xr3:uid="{A95A70E3-ACB2-4F6A-8DCA-FCA8BA919A74}" name="ĐƠN GIÁ" dataDxfId="1410"/>
    <tableColumn id="7" xr3:uid="{84CD6EC9-E178-4881-BED0-55C07D426AC9}" name="THÀNH TIỀN" dataDxfId="1409">
      <calculatedColumnFormula>A_Cuong_Rua[[#This Row],[ĐƠN GIÁ]]*A_Cuong_Rua[[#This Row],[SỐ LƯỢNG]]</calculatedColumnFormula>
    </tableColumn>
    <tableColumn id="8" xr3:uid="{E4270AC3-D58D-4205-92B5-CBAB3D630C70}" name="THANH TOÁN" dataDxfId="1408"/>
    <tableColumn id="9" xr3:uid="{B1FECF6C-FBCB-4DD6-940F-9EAA35221DD6}" name="CÔNG NỢ_x000a_ CÒN LẠI" dataDxfId="1407">
      <calculatedColumnFormula>J9+A_Cuong_Rua[[#This Row],[THÀNH TIỀN]]-A_Cuong_Rua[[#This Row],[THANH TOÁN]]</calculatedColumnFormula>
    </tableColumn>
    <tableColumn id="10" xr3:uid="{03D9551A-3D77-4E66-8CCE-AEE9E9618FFA}" name="Ghi chú" dataDxfId="1406"/>
  </tableColumns>
  <tableStyleInfo showFirstColumn="0" showLastColumn="0" showRowStripes="1" showColumnStripes="0"/>
</table>
</file>

<file path=xl/tables/table1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2" xr:uid="{017BA9DB-E1B5-4E4B-B153-0A6BBDCC2328}" name="Cty_Visco_Hai_Phong" displayName="Cty_Visco_Hai_Phong" ref="A9:K16" totalsRowShown="0" headerRowDxfId="1405" dataDxfId="1403" headerRowBorderDxfId="1404" tableBorderDxfId="1402" totalsRowBorderDxfId="1401">
  <autoFilter ref="A9:K16" xr:uid="{3227F2BD-2C9D-4FFF-9F44-8C9E66133B6C}"/>
  <tableColumns count="11">
    <tableColumn id="1" xr3:uid="{DD295C73-4CA3-4516-910F-98D81311C85E}" name="Số phiếu" dataDxfId="1400"/>
    <tableColumn id="2" xr3:uid="{075B8DF9-7F70-489F-9689-5E1C00F83892}" name="Ngày_x000a_ tháng" dataDxfId="1399"/>
    <tableColumn id="3" xr3:uid="{5A55810D-F102-43D4-AED6-66C833C010FF}" name="Nội dung" dataDxfId="1398"/>
    <tableColumn id="12" xr3:uid="{27CA5D98-2B4D-4ED0-BB1F-F43E0BB605BD}" name="Chủng loại" dataDxfId="1397"/>
    <tableColumn id="4" xr3:uid="{5851141C-9952-46DE-A1D6-38833065D11B}" name="Quy cách" dataDxfId="1396"/>
    <tableColumn id="5" xr3:uid="{BA66D168-B21C-4ECC-87AE-0321763A752A}" name="SỐ LƯỢNG" dataDxfId="1395">
      <calculatedColumnFormula>1091+958+901</calculatedColumnFormula>
    </tableColumn>
    <tableColumn id="6" xr3:uid="{4DEE62D7-7304-4632-AC1B-C3D6C97438E8}" name="ĐƠN GIÁ" dataDxfId="1394"/>
    <tableColumn id="7" xr3:uid="{DF6F5732-E406-4D44-9DB8-7F8CF42441B8}" name="THÀNH TIỀN" dataDxfId="1393">
      <calculatedColumnFormula>Cty_Visco_Hai_Phong[[#This Row],[ĐƠN GIÁ]]*Cty_Visco_Hai_Phong[[#This Row],[SỐ LƯỢNG]]</calculatedColumnFormula>
    </tableColumn>
    <tableColumn id="8" xr3:uid="{24845DDF-A55F-4022-938A-5F717ED86FDC}" name="THANH TOÁN" dataDxfId="1392"/>
    <tableColumn id="9" xr3:uid="{F5E32FDF-62B8-43DA-B7AB-E598C0A4EA91}" name="CÔNG NỢ_x000a_ CÒN LẠI" dataDxfId="1391">
      <calculatedColumnFormula>J9+Cty_Visco_Hai_Phong[[#This Row],[THÀNH TIỀN]]-Cty_Visco_Hai_Phong[[#This Row],[THANH TOÁN]]</calculatedColumnFormula>
    </tableColumn>
    <tableColumn id="10" xr3:uid="{507AC618-9FA0-40A7-BC76-E878C8E67190}" name="Ghi chú" dataDxfId="1390"/>
  </tableColumns>
  <tableStyleInfo showFirstColumn="0" showLastColumn="0" showRowStripes="1" showColumnStripes="0"/>
</table>
</file>

<file path=xl/tables/table1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3" xr:uid="{E9295F2C-9A07-44D3-84C0-4EBD19C8FEF4}" name="Cty_Thai_Hung_Phu_Tho" displayName="Cty_Thai_Hung_Phu_Tho" ref="A9:K30" totalsRowShown="0" headerRowDxfId="1389" dataDxfId="1387" headerRowBorderDxfId="1388" tableBorderDxfId="1386" totalsRowBorderDxfId="1385">
  <autoFilter ref="A9:K30" xr:uid="{3227F2BD-2C9D-4FFF-9F44-8C9E66133B6C}"/>
  <tableColumns count="11">
    <tableColumn id="1" xr3:uid="{D7B51958-7026-463F-BB26-58FD4C3AB042}" name="Số phiếu" dataDxfId="1384"/>
    <tableColumn id="2" xr3:uid="{948EC4C1-F62D-4BD1-B475-7D800EF247F2}" name="Ngày_x000a_ tháng" dataDxfId="1383"/>
    <tableColumn id="3" xr3:uid="{87ECE1B5-4A9F-438A-90BC-ED808EF01DCF}" name="Nội dung" dataDxfId="1382"/>
    <tableColumn id="12" xr3:uid="{22D36CC8-2FDE-4D10-8BD1-E08EE9A2A98B}" name="Chủng loại" dataDxfId="1381"/>
    <tableColumn id="4" xr3:uid="{9E15FE0B-0F28-49D8-AC5E-7D0B3E654C3B}" name="Quy cách" dataDxfId="1380"/>
    <tableColumn id="5" xr3:uid="{9E1DFC87-38D8-4A78-8D7A-39AFCE9E2873}" name="SỐ LƯỢNG" dataDxfId="1379">
      <calculatedColumnFormula>1091+958+901</calculatedColumnFormula>
    </tableColumn>
    <tableColumn id="6" xr3:uid="{888711FE-54FF-4577-8256-4BC64DC75347}" name="ĐƠN GIÁ" dataDxfId="1378"/>
    <tableColumn id="7" xr3:uid="{49F2AC39-36C1-4D03-9537-078F57305DE9}" name="THÀNH TIỀN" dataDxfId="1377">
      <calculatedColumnFormula>Cty_Thai_Hung_Phu_Tho[[#This Row],[ĐƠN GIÁ]]*Cty_Thai_Hung_Phu_Tho[[#This Row],[SỐ LƯỢNG]]</calculatedColumnFormula>
    </tableColumn>
    <tableColumn id="8" xr3:uid="{FB90F15E-E212-461C-B0B9-BE13570660E7}" name="THANH TOÁN" dataDxfId="1376"/>
    <tableColumn id="9" xr3:uid="{3794D253-87CC-444E-990F-AE9AB70F40D7}" name="CÔNG NỢ_x000a_ CÒN LẠI" dataDxfId="1375">
      <calculatedColumnFormula>J9+Cty_Thai_Hung_Phu_Tho[[#This Row],[THÀNH TIỀN]]-Cty_Thai_Hung_Phu_Tho[[#This Row],[THANH TOÁN]]</calculatedColumnFormula>
    </tableColumn>
    <tableColumn id="10" xr3:uid="{F639D901-E963-4299-83D5-07688EA84F7F}" name="Ghi chú" dataDxfId="1374"/>
  </tableColumns>
  <tableStyleInfo showFirstColumn="0" showLastColumn="0" showRowStripes="1" showColumnStripes="0"/>
</table>
</file>

<file path=xl/tables/table1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4" xr:uid="{FD5C3A99-E13F-4122-8F91-425DDD565209}" name="Cty_Cuong_Thu_ND" displayName="Cty_Cuong_Thu_ND" ref="A9:K47" totalsRowShown="0" headerRowDxfId="1373" dataDxfId="1371" headerRowBorderDxfId="1372" tableBorderDxfId="1370" totalsRowBorderDxfId="1369">
  <autoFilter ref="A9:K47" xr:uid="{3227F2BD-2C9D-4FFF-9F44-8C9E66133B6C}"/>
  <tableColumns count="11">
    <tableColumn id="1" xr3:uid="{720679BF-7263-4326-8978-EBA801533404}" name="Số phiếu" dataDxfId="1368"/>
    <tableColumn id="2" xr3:uid="{05BCD97C-D977-40C1-9951-2DC41FB5264F}" name="Ngày_x000a_ tháng" dataDxfId="1367"/>
    <tableColumn id="3" xr3:uid="{4BAAAF2D-7F32-4B14-9419-F11D9C14E97B}" name="Nội dung" dataDxfId="1366"/>
    <tableColumn id="12" xr3:uid="{D35A4AB6-CC35-40F4-A4F7-481767EFF9DC}" name="Chủng loại" dataDxfId="1365"/>
    <tableColumn id="4" xr3:uid="{0513EA06-95C4-4F37-97B4-0976F4C03C50}" name="Quy cách" dataDxfId="1364"/>
    <tableColumn id="5" xr3:uid="{C946B158-03E3-4AFE-84B9-9C04550CBCCF}" name="SỐ LƯỢNG" dataDxfId="1363">
      <calculatedColumnFormula>1091+958+901</calculatedColumnFormula>
    </tableColumn>
    <tableColumn id="6" xr3:uid="{89E12FA2-F418-4C92-9B7B-45F9E0ED1166}" name="ĐƠN GIÁ" dataDxfId="1362"/>
    <tableColumn id="7" xr3:uid="{4D255839-3F97-47CA-819F-ACC26E2FDFB3}" name="THÀNH TIỀN" dataDxfId="1361">
      <calculatedColumnFormula>Cty_Cuong_Thu_ND[[#This Row],[ĐƠN GIÁ]]*Cty_Cuong_Thu_ND[[#This Row],[SỐ LƯỢNG]]</calculatedColumnFormula>
    </tableColumn>
    <tableColumn id="8" xr3:uid="{1FE87306-70BF-4B84-A1B0-BFC9825C9F83}" name="THANH TOÁN" dataDxfId="1360"/>
    <tableColumn id="9" xr3:uid="{8CD89F42-43E5-4B02-9E6A-0E0307BF71A1}" name="CÔNG NỢ_x000a_ CÒN LẠI" dataDxfId="1359">
      <calculatedColumnFormula>J9+Cty_Cuong_Thu_ND[[#This Row],[THÀNH TIỀN]]-Cty_Cuong_Thu_ND[[#This Row],[THANH TOÁN]]</calculatedColumnFormula>
    </tableColumn>
    <tableColumn id="10" xr3:uid="{CBE1ED78-550E-4477-8048-42A3A29EDB8F}" name="Ghi chú" dataDxfId="1358"/>
  </tableColumns>
  <tableStyleInfo showFirstColumn="0" showLastColumn="0" showRowStripes="1" showColumnStripes="0"/>
</table>
</file>

<file path=xl/tables/table1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5" xr:uid="{C36C723A-E3BB-4448-AAD3-3BD6DC3C1DF7}" name="Cty_Anh_Thu" displayName="Cty_Anh_Thu" ref="A9:K27" totalsRowShown="0" headerRowDxfId="1357" dataDxfId="1355" headerRowBorderDxfId="1356" tableBorderDxfId="1354" totalsRowBorderDxfId="1353">
  <autoFilter ref="A9:K27" xr:uid="{3227F2BD-2C9D-4FFF-9F44-8C9E66133B6C}"/>
  <tableColumns count="11">
    <tableColumn id="1" xr3:uid="{AE58639B-2F02-4801-BEFA-48E4D3D57237}" name="Số phiếu" dataDxfId="1352"/>
    <tableColumn id="2" xr3:uid="{B11FAAC2-D0A0-4262-9A35-25ED79426EB9}" name="Ngày_x000a_ tháng" dataDxfId="1351"/>
    <tableColumn id="3" xr3:uid="{82ED3875-FD2D-4982-8456-B42334C7C179}" name="Nội dung" dataDxfId="1350"/>
    <tableColumn id="12" xr3:uid="{83F1F585-E9AE-4E10-AA2E-3C77DF1970CD}" name="Chủng loại" dataDxfId="1349"/>
    <tableColumn id="4" xr3:uid="{395561B4-B131-436C-8333-6C4D1B938003}" name="Quy cách" dataDxfId="1348"/>
    <tableColumn id="5" xr3:uid="{6E76BDA2-CCAE-4302-9C09-838FD861F927}" name="SỐ LƯỢNG" dataDxfId="1347">
      <calculatedColumnFormula>1091+958+901</calculatedColumnFormula>
    </tableColumn>
    <tableColumn id="6" xr3:uid="{2FE28296-7BEE-451A-9822-7A2320428294}" name="ĐƠN GIÁ" dataDxfId="1346"/>
    <tableColumn id="7" xr3:uid="{989CAACB-F8E1-4D0F-B9DC-7866D3DDFA18}" name="THÀNH TIỀN" dataDxfId="1345">
      <calculatedColumnFormula>Cty_Anh_Thu[[#This Row],[ĐƠN GIÁ]]*Cty_Anh_Thu[[#This Row],[SỐ LƯỢNG]]</calculatedColumnFormula>
    </tableColumn>
    <tableColumn id="8" xr3:uid="{BFA3530D-BAE4-421B-A05D-4A06681154BC}" name="THANH TOÁN" dataDxfId="1344"/>
    <tableColumn id="9" xr3:uid="{CF5A8B0E-D80E-4814-823E-F3E45B0D141A}" name="CÔNG NỢ_x000a_ CÒN LẠI" dataDxfId="1343">
      <calculatedColumnFormula>J9+Cty_Anh_Thu[[#This Row],[THÀNH TIỀN]]-Cty_Anh_Thu[[#This Row],[THANH TOÁN]]</calculatedColumnFormula>
    </tableColumn>
    <tableColumn id="10" xr3:uid="{834D4555-0D2A-40A3-BD54-CEA3867C1174}" name="Ghi chú" dataDxfId="1342"/>
  </tableColumns>
  <tableStyleInfo showFirstColumn="0" showLastColumn="0" showRowStripes="1" showColumnStripes="0"/>
</table>
</file>

<file path=xl/tables/table1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3" xr:uid="{468A6158-47F2-4D7C-A3EF-DEF36783FD02}" name="Cty_Minh_Phuong_Hoai_Duc" displayName="Cty_Minh_Phuong_Hoai_Duc" ref="A9:K17" totalsRowShown="0" headerRowDxfId="1341" dataDxfId="1339" headerRowBorderDxfId="1340" tableBorderDxfId="1338" totalsRowBorderDxfId="1337">
  <autoFilter ref="A9:K17" xr:uid="{3227F2BD-2C9D-4FFF-9F44-8C9E66133B6C}"/>
  <tableColumns count="11">
    <tableColumn id="1" xr3:uid="{D068C246-C376-4F57-BAE2-BA0B8F180A64}" name="Số phiếu" dataDxfId="1336"/>
    <tableColumn id="2" xr3:uid="{243AA93E-2E16-482A-A07D-932800C92705}" name="Ngày_x000a_ tháng" dataDxfId="1335"/>
    <tableColumn id="3" xr3:uid="{107491F6-0717-4F11-AB25-51FAD6E6FF24}" name="Nội dung" dataDxfId="1334"/>
    <tableColumn id="12" xr3:uid="{0D680FFD-55C1-44D9-A6D7-DE95D7C4A271}" name="Chủng loại" dataDxfId="1333"/>
    <tableColumn id="4" xr3:uid="{BF242AB5-9BE4-4960-8254-0F8E3BAC9842}" name="Quy cách" dataDxfId="1332"/>
    <tableColumn id="5" xr3:uid="{897E1F0B-1B07-4A03-BC10-970A4AE353F4}" name="SỐ LƯỢNG" dataDxfId="1331">
      <calculatedColumnFormula>1091+958+901</calculatedColumnFormula>
    </tableColumn>
    <tableColumn id="6" xr3:uid="{E21D6EF5-A2B7-4772-8FA9-11F79480D5EA}" name="ĐƠN GIÁ" dataDxfId="1330"/>
    <tableColumn id="7" xr3:uid="{68D3ECDE-6568-4A35-A7B2-A11E75C338F8}" name="THÀNH TIỀN" dataDxfId="1329">
      <calculatedColumnFormula>Cty_Minh_Phuong_Hoai_Duc[[#This Row],[ĐƠN GIÁ]]*Cty_Minh_Phuong_Hoai_Duc[[#This Row],[SỐ LƯỢNG]]</calculatedColumnFormula>
    </tableColumn>
    <tableColumn id="8" xr3:uid="{065B2675-4742-4ED1-81BA-1CB9237F4BFD}" name="THANH TOÁN" dataDxfId="1328"/>
    <tableColumn id="9" xr3:uid="{5859302A-5F76-4A79-9DC4-38763736DA6A}" name="CÔNG NỢ_x000a_ CÒN LẠI" dataDxfId="1327">
      <calculatedColumnFormula>J9+Cty_Minh_Phuong_Hoai_Duc[[#This Row],[THÀNH TIỀN]]-Cty_Minh_Phuong_Hoai_Duc[[#This Row],[THANH TOÁN]]</calculatedColumnFormula>
    </tableColumn>
    <tableColumn id="10" xr3:uid="{0D9C507E-0F6D-4E2D-953C-4AD041CD51C8}" name="Ghi chú" dataDxfId="1326"/>
  </tableColumns>
  <tableStyleInfo showFirstColumn="0" showLastColumn="0" showRowStripes="1" showColumnStripes="0"/>
</table>
</file>

<file path=xl/tables/table1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5" xr:uid="{5B5F7BD1-A5D6-4A69-9C35-602881A60735}" name="Cty_Tien_Hung" displayName="Cty_Tien_Hung" ref="A9:K12" totalsRowShown="0" headerRowDxfId="1325" dataDxfId="1323" headerRowBorderDxfId="1324" tableBorderDxfId="1322" totalsRowBorderDxfId="1321">
  <autoFilter ref="A9:K12" xr:uid="{3227F2BD-2C9D-4FFF-9F44-8C9E66133B6C}"/>
  <tableColumns count="11">
    <tableColumn id="1" xr3:uid="{A19B05F9-77E0-4F4D-B647-56B416F91A53}" name="Số phiếu" dataDxfId="1320"/>
    <tableColumn id="2" xr3:uid="{D9BD91C9-B522-43D0-8D87-D60FEB4F7F06}" name="Ngày_x000a_ tháng" dataDxfId="1319"/>
    <tableColumn id="3" xr3:uid="{34E8675F-D211-4B4F-9682-0E928687F54F}" name="Nội dung" dataDxfId="1318"/>
    <tableColumn id="12" xr3:uid="{32F6AF82-57DF-4347-A7D6-57B41A1B1289}" name="Chủng loại" dataDxfId="1317"/>
    <tableColumn id="4" xr3:uid="{48F244FB-D86C-4C70-AAE0-E9B153E81CB3}" name="Quy cách" dataDxfId="1316"/>
    <tableColumn id="5" xr3:uid="{48AB3BEC-4170-46A5-83AE-6676D87F34E6}" name="SỐ LƯỢNG" dataDxfId="1315">
      <calculatedColumnFormula>1091+958+901</calculatedColumnFormula>
    </tableColumn>
    <tableColumn id="6" xr3:uid="{CAF042B8-C81C-420C-9A97-7B5CCFD21528}" name="ĐƠN GIÁ" dataDxfId="1314"/>
    <tableColumn id="7" xr3:uid="{1CA85DB7-6A90-42C2-A0AC-12BA09AB8A57}" name="THÀNH TIỀN" dataDxfId="1313">
      <calculatedColumnFormula>Cty_Tien_Hung[[#This Row],[ĐƠN GIÁ]]*Cty_Tien_Hung[[#This Row],[SỐ LƯỢNG]]</calculatedColumnFormula>
    </tableColumn>
    <tableColumn id="8" xr3:uid="{EC45AFFF-D34D-4BE2-A1F2-31A1294BACDF}" name="THANH TOÁN" dataDxfId="1312"/>
    <tableColumn id="9" xr3:uid="{D445C15A-CB24-41CD-ADC9-65690FB8C918}" name="CÔNG NỢ_x000a_ CÒN LẠI" dataDxfId="1311">
      <calculatedColumnFormula>J9+Cty_Tien_Hung[[#This Row],[THÀNH TIỀN]]-Cty_Tien_Hung[[#This Row],[THANH TOÁN]]</calculatedColumnFormula>
    </tableColumn>
    <tableColumn id="10" xr3:uid="{7AAB352E-6397-409E-94A4-1C14302FAADD}" name="Ghi chú" dataDxfId="1310"/>
  </tableColumns>
  <tableStyleInfo showFirstColumn="0" showLastColumn="0" showRowStripes="1" showColumnStripes="0"/>
</table>
</file>

<file path=xl/tables/table1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7" xr:uid="{34122F2B-B44D-4323-A19F-8A4A6EEE40C6}" name="Cty_INOX_Dien_Hoai" displayName="Cty_INOX_Dien_Hoai" ref="A9:K16" totalsRowShown="0" headerRowDxfId="1309" dataDxfId="1307" headerRowBorderDxfId="1308" tableBorderDxfId="1306" totalsRowBorderDxfId="1305">
  <autoFilter ref="A9:K16" xr:uid="{3227F2BD-2C9D-4FFF-9F44-8C9E66133B6C}"/>
  <tableColumns count="11">
    <tableColumn id="1" xr3:uid="{8ECBD458-8384-47D7-934E-8D69EAF480A6}" name="Số phiếu" dataDxfId="1304"/>
    <tableColumn id="2" xr3:uid="{41970935-CFE9-48AA-8EBD-F6072EB24CE6}" name="Ngày_x000a_ tháng" dataDxfId="1303"/>
    <tableColumn id="3" xr3:uid="{45D7C3F0-776F-46F0-B50A-D5E884F69C8E}" name="Nội dung" dataDxfId="1302"/>
    <tableColumn id="12" xr3:uid="{058CF112-B5FC-4170-8D13-199AB5E9B7DA}" name="Chủng loại" dataDxfId="1301"/>
    <tableColumn id="4" xr3:uid="{8CD92D98-F981-4765-A277-0AED609F693E}" name="Quy cách" dataDxfId="1300"/>
    <tableColumn id="5" xr3:uid="{09326966-9B99-4FB9-B6A7-E1F164287685}" name="SỐ LƯỢNG" dataDxfId="1299">
      <calculatedColumnFormula>1091+958+901</calculatedColumnFormula>
    </tableColumn>
    <tableColumn id="6" xr3:uid="{53CBFB77-AFAB-4834-BF86-E320EF6C8BB8}" name="ĐƠN GIÁ" dataDxfId="1298"/>
    <tableColumn id="7" xr3:uid="{3B1D8009-4F7B-4511-AE51-C040F6530B83}" name="THÀNH TIỀN" dataDxfId="1297">
      <calculatedColumnFormula>Cty_INOX_Dien_Hoai[[#This Row],[ĐƠN GIÁ]]*Cty_INOX_Dien_Hoai[[#This Row],[SỐ LƯỢNG]]</calculatedColumnFormula>
    </tableColumn>
    <tableColumn id="8" xr3:uid="{54991AE3-8488-4E15-A923-5609F2CDD92F}" name="THANH TOÁN" dataDxfId="1296"/>
    <tableColumn id="9" xr3:uid="{212EE7EF-ED6E-4E3F-A69D-6F532D26FE2E}" name="CÔNG NỢ_x000a_ CÒN LẠI" dataDxfId="1295">
      <calculatedColumnFormula>J9+Cty_INOX_Dien_Hoai[[#This Row],[THÀNH TIỀN]]-Cty_INOX_Dien_Hoai[[#This Row],[THANH TOÁN]]</calculatedColumnFormula>
    </tableColumn>
    <tableColumn id="10" xr3:uid="{6E0CA44C-7D4E-4248-8DAD-774EC46C70D3}" name="Ghi chú" dataDxfId="1294"/>
  </tableColumns>
  <tableStyleInfo showFirstColumn="0" showLastColumn="0" showRowStripes="1" showColumnStripes="0"/>
</table>
</file>

<file path=xl/tables/table1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8" xr:uid="{B5D2267E-05C1-4ACD-B84D-00D3C22E4A96}" name="Cty_Duc_Thuan_HP" displayName="Cty_Duc_Thuan_HP" ref="A9:K15" totalsRowShown="0" headerRowDxfId="1293" dataDxfId="1291" headerRowBorderDxfId="1292" tableBorderDxfId="1290" totalsRowBorderDxfId="1289">
  <autoFilter ref="A9:K15" xr:uid="{3227F2BD-2C9D-4FFF-9F44-8C9E66133B6C}"/>
  <tableColumns count="11">
    <tableColumn id="1" xr3:uid="{A845E235-F25C-45D9-81BC-A121311E7D6D}" name="Số phiếu" dataDxfId="1288"/>
    <tableColumn id="2" xr3:uid="{8F9CEA2F-F380-49F5-9983-05C9D7D6F625}" name="Ngày_x000a_ tháng" dataDxfId="1287"/>
    <tableColumn id="3" xr3:uid="{3107E588-94F7-445C-A35D-5078F188859A}" name="Nội dung" dataDxfId="1286"/>
    <tableColumn id="12" xr3:uid="{AB5DEB16-6319-4860-8F07-5053D6C903FD}" name="Chủng loại" dataDxfId="1285"/>
    <tableColumn id="4" xr3:uid="{370EB001-B090-4391-91EC-E829CE758C75}" name="Quy cách" dataDxfId="1284"/>
    <tableColumn id="5" xr3:uid="{217C2CAC-5159-4E2D-84D3-474511E84BC1}" name="SỐ LƯỢNG" dataDxfId="1283">
      <calculatedColumnFormula>1091+958+901</calculatedColumnFormula>
    </tableColumn>
    <tableColumn id="6" xr3:uid="{B29433AF-E495-4A4D-9DC7-0AF1F7A98B40}" name="ĐƠN GIÁ" dataDxfId="1282"/>
    <tableColumn id="7" xr3:uid="{AF7757BA-3F96-4042-BF02-3EC46610DC21}" name="THÀNH TIỀN" dataDxfId="1281">
      <calculatedColumnFormula>Cty_Duc_Thuan_HP[[#This Row],[ĐƠN GIÁ]]*Cty_Duc_Thuan_HP[[#This Row],[SỐ LƯỢNG]]</calculatedColumnFormula>
    </tableColumn>
    <tableColumn id="8" xr3:uid="{9324046B-390C-4EDF-95AB-4BDFFDE950C3}" name="THANH TOÁN" dataDxfId="1280"/>
    <tableColumn id="9" xr3:uid="{2FC5B5B8-5E63-4800-B16C-7677FCD9BB4F}" name="CÔNG NỢ_x000a_ CÒN LẠI" dataDxfId="1279">
      <calculatedColumnFormula>J9+Cty_Duc_Thuan_HP[[#This Row],[THÀNH TIỀN]]-Cty_Duc_Thuan_HP[[#This Row],[THANH TOÁN]]</calculatedColumnFormula>
    </tableColumn>
    <tableColumn id="10" xr3:uid="{70B8FF69-4FB2-4277-98A7-740DFF01B081}" name="Ghi chú" dataDxfId="1278"/>
  </tableColumns>
  <tableStyleInfo showFirstColumn="0" showLastColumn="0" showRowStripes="1" showColumnStripes="0"/>
</table>
</file>

<file path=xl/tables/table1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9" xr:uid="{552E500B-C842-4FF6-AF96-DC9E99794AC2}" name="Cty_Khanh_Tam_NA" displayName="Cty_Khanh_Tam_NA" ref="A9:K31" totalsRowShown="0" headerRowDxfId="1277" dataDxfId="1275" headerRowBorderDxfId="1276" tableBorderDxfId="1274" totalsRowBorderDxfId="1273">
  <autoFilter ref="A9:K31" xr:uid="{3227F2BD-2C9D-4FFF-9F44-8C9E66133B6C}"/>
  <sortState xmlns:xlrd2="http://schemas.microsoft.com/office/spreadsheetml/2017/richdata2" ref="A10:K28">
    <sortCondition ref="B28"/>
  </sortState>
  <tableColumns count="11">
    <tableColumn id="1" xr3:uid="{0796B533-F3E4-4716-AAD1-F61BCEBEEF02}" name="Số phiếu" dataDxfId="1272"/>
    <tableColumn id="2" xr3:uid="{487B12FB-A8B7-4437-8241-93CD79F8A942}" name="Ngày_x000a_ tháng" dataDxfId="1271"/>
    <tableColumn id="3" xr3:uid="{95C9246A-02B6-4F10-8D49-EC9A73D9531D}" name="Nội dung" dataDxfId="1270"/>
    <tableColumn id="12" xr3:uid="{10D6E5EC-BC21-4905-9416-F770D77E8337}" name="Chủng loại" dataDxfId="1269"/>
    <tableColumn id="4" xr3:uid="{6EDD050E-51EF-473B-9F82-90891B6E16AD}" name="Quy cách" dataDxfId="1268"/>
    <tableColumn id="5" xr3:uid="{7B048856-D484-4843-929F-920151D1DA1E}" name="SỐ LƯỢNG" dataDxfId="1267">
      <calculatedColumnFormula>1091+958+901</calculatedColumnFormula>
    </tableColumn>
    <tableColumn id="6" xr3:uid="{B7BCDA47-D33F-4DA5-8B34-C73193BFA6E4}" name="ĐƠN GIÁ" dataDxfId="1266"/>
    <tableColumn id="7" xr3:uid="{B89E0722-D147-47D4-A8D5-A178F9AC9B5D}" name="THÀNH TIỀN" dataDxfId="1265">
      <calculatedColumnFormula>Cty_Khanh_Tam_NA[[#This Row],[ĐƠN GIÁ]]*Cty_Khanh_Tam_NA[[#This Row],[SỐ LƯỢNG]]</calculatedColumnFormula>
    </tableColumn>
    <tableColumn id="8" xr3:uid="{2A76B116-5232-4141-8142-225ADCEFF805}" name="THANH TOÁN" dataDxfId="1264"/>
    <tableColumn id="9" xr3:uid="{B77472B6-648E-4288-8515-FF8158C57837}" name="CÔNG NỢ_x000a_ CÒN LẠI" dataDxfId="1263">
      <calculatedColumnFormula>J9+Cty_Khanh_Tam_NA[[#This Row],[THÀNH TIỀN]]-Cty_Khanh_Tam_NA[[#This Row],[THANH TOÁN]]</calculatedColumnFormula>
    </tableColumn>
    <tableColumn id="10" xr3:uid="{DF1ADCE9-2874-41C0-8885-C0870FCE6947}" name="Ghi chú" dataDxfId="1262"/>
  </tableColumns>
  <tableStyleInfo showFirstColumn="0" showLastColumn="0" showRowStripes="1" showColumnStripes="0"/>
</table>
</file>

<file path=xl/tables/table1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0" xr:uid="{1CCC5229-5EFF-4F8B-8D6A-9A05F299C9FE}" name="Cty_Dat_Linh" displayName="Cty_Dat_Linh" ref="A9:K17" totalsRowShown="0" headerRowDxfId="1261" dataDxfId="1259" headerRowBorderDxfId="1260" tableBorderDxfId="1258" totalsRowBorderDxfId="1257">
  <autoFilter ref="A9:K17" xr:uid="{3227F2BD-2C9D-4FFF-9F44-8C9E66133B6C}"/>
  <tableColumns count="11">
    <tableColumn id="1" xr3:uid="{4D93E8B7-43FE-421F-9CA9-F97DF3CDA5B5}" name="Số phiếu" dataDxfId="1256"/>
    <tableColumn id="2" xr3:uid="{C3AF1224-A2D4-4101-B463-7FFD761015E8}" name="Ngày_x000a_ tháng" dataDxfId="1255"/>
    <tableColumn id="3" xr3:uid="{88173B41-347D-460C-A647-728FDF8A0E06}" name="Nội dung" dataDxfId="1254"/>
    <tableColumn id="12" xr3:uid="{E6E1B669-7C9B-421B-B2BE-43006CEC51F8}" name="Chủng loại" dataDxfId="1253"/>
    <tableColumn id="4" xr3:uid="{5C2B2AE7-5681-4218-A2D9-877C1274C8B0}" name="Quy cách" dataDxfId="1252"/>
    <tableColumn id="5" xr3:uid="{E24DAED2-B246-441D-829E-532BF2BE8FB3}" name="SỐ LƯỢNG" dataDxfId="1251">
      <calculatedColumnFormula>1091+958+901</calculatedColumnFormula>
    </tableColumn>
    <tableColumn id="6" xr3:uid="{FC58883A-B7B7-4B6F-94FD-A972A7E24241}" name="ĐƠN GIÁ" dataDxfId="1250"/>
    <tableColumn id="7" xr3:uid="{5EF27E1C-1566-462B-ADE7-1E897DD0DCA1}" name="THÀNH TIỀN" dataDxfId="1249">
      <calculatedColumnFormula>Cty_Dat_Linh[[#This Row],[ĐƠN GIÁ]]*Cty_Dat_Linh[[#This Row],[SỐ LƯỢNG]]</calculatedColumnFormula>
    </tableColumn>
    <tableColumn id="8" xr3:uid="{2ADC025C-B20D-4618-AAA1-8840B3BE26AF}" name="THANH TOÁN" dataDxfId="1248"/>
    <tableColumn id="9" xr3:uid="{1FEBE703-7C86-4143-92EA-EE00486E7D21}" name="CÔNG NỢ_x000a_ CÒN LẠI" dataDxfId="1247">
      <calculatedColumnFormula>J9+Cty_Dat_Linh[[#This Row],[THÀNH TIỀN]]-Cty_Dat_Linh[[#This Row],[THANH TOÁN]]</calculatedColumnFormula>
    </tableColumn>
    <tableColumn id="10" xr3:uid="{1B15942D-5E5A-4F33-A42F-68AB0611AD75}" name="Ghi chú" dataDxfId="1246"/>
  </tableColumns>
  <tableStyleInfo showFirstColumn="0" showLastColumn="0" showRowStripes="1" showColumnStripes="0"/>
</table>
</file>

<file path=xl/tables/table1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1" xr:uid="{738E546F-9990-4D93-A9F1-97BF721279CF}" name="Cty_Quang_Phuong_Bac_Ninh" displayName="Cty_Quang_Phuong_Bac_Ninh" ref="A9:K18" totalsRowShown="0" headerRowDxfId="1245" dataDxfId="1243" headerRowBorderDxfId="1244" tableBorderDxfId="1242" totalsRowBorderDxfId="1241">
  <autoFilter ref="A9:K18" xr:uid="{3227F2BD-2C9D-4FFF-9F44-8C9E66133B6C}"/>
  <tableColumns count="11">
    <tableColumn id="1" xr3:uid="{90D06763-686E-4E4D-996A-A60B6F036230}" name="Số phiếu" dataDxfId="1240"/>
    <tableColumn id="2" xr3:uid="{86B42183-406E-49BE-8363-7063EBA1C330}" name="Ngày_x000a_ tháng" dataDxfId="1239"/>
    <tableColumn id="3" xr3:uid="{F880E913-F7F1-4999-9C6F-678C1D865576}" name="Nội dung" dataDxfId="1238"/>
    <tableColumn id="12" xr3:uid="{550BDE0D-C7E8-4CC7-B7F2-73679B3B9138}" name="Chủng loại" dataDxfId="1237"/>
    <tableColumn id="4" xr3:uid="{0AC238FF-232C-4304-900F-2C223FF5A274}" name="Quy cách" dataDxfId="1236"/>
    <tableColumn id="5" xr3:uid="{B5F6099A-6128-49F9-A629-EC4FA3B0C393}" name="SỐ LƯỢNG" dataDxfId="1235">
      <calculatedColumnFormula>1091+958+901</calculatedColumnFormula>
    </tableColumn>
    <tableColumn id="6" xr3:uid="{D8FBF21F-144A-44A6-9728-3B6449195260}" name="ĐƠN GIÁ" dataDxfId="1234"/>
    <tableColumn id="7" xr3:uid="{F396FBB2-0498-4586-8A8C-DCBE4EEFC911}" name="THÀNH TIỀN" dataDxfId="1233">
      <calculatedColumnFormula>Cty_Quang_Phuong_Bac_Ninh[[#This Row],[ĐƠN GIÁ]]*Cty_Quang_Phuong_Bac_Ninh[[#This Row],[SỐ LƯỢNG]]</calculatedColumnFormula>
    </tableColumn>
    <tableColumn id="8" xr3:uid="{7DB9EE21-BA44-40BA-B201-AC997F88DC38}" name="THANH TOÁN" dataDxfId="1232"/>
    <tableColumn id="9" xr3:uid="{D88096EA-9C8D-418F-A5C7-1FD71FE1D561}" name="CÔNG NỢ_x000a_ CÒN LẠI" dataDxfId="1231">
      <calculatedColumnFormula>J9+Cty_Quang_Phuong_Bac_Ninh[[#This Row],[THÀNH TIỀN]]-Cty_Quang_Phuong_Bac_Ninh[[#This Row],[THANH TOÁN]]</calculatedColumnFormula>
    </tableColumn>
    <tableColumn id="10" xr3:uid="{3473F786-BCEF-4015-8201-63AE18DDFEA4}" name="Ghi chú" dataDxfId="1230"/>
  </tableColumns>
  <tableStyleInfo showFirstColumn="0" showLastColumn="0" showRowStripes="1" showColumnStripes="0"/>
</table>
</file>

<file path=xl/tables/table1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3" xr:uid="{3303DBB5-0582-4B94-BB8F-822F9E3C3594}" name="C_Vui_HY" displayName="C_Vui_HY" ref="A9:K22" totalsRowShown="0" headerRowDxfId="1229" dataDxfId="1227" headerRowBorderDxfId="1228" tableBorderDxfId="1226" totalsRowBorderDxfId="1225">
  <autoFilter ref="A9:K22" xr:uid="{3227F2BD-2C9D-4FFF-9F44-8C9E66133B6C}"/>
  <tableColumns count="11">
    <tableColumn id="1" xr3:uid="{25981177-B678-4A4E-8ABE-F9E141735162}" name="Số phiếu" dataDxfId="1224"/>
    <tableColumn id="2" xr3:uid="{21994E5D-339E-4C8B-ABF9-E2A706DF6EE5}" name="Ngày_x000a_ tháng" dataDxfId="1223"/>
    <tableColumn id="3" xr3:uid="{2726C00D-A5D4-4985-B593-F472798B9711}" name="Nội dung" dataDxfId="1222"/>
    <tableColumn id="12" xr3:uid="{E3259D4B-0196-4064-845C-7AE060D2E1F7}" name="Chủng loại" dataDxfId="1221"/>
    <tableColumn id="4" xr3:uid="{C668CD84-3A67-40C3-BCAC-B30B66931061}" name="Quy cách" dataDxfId="1220"/>
    <tableColumn id="5" xr3:uid="{B256D78E-C3BE-41A0-8CDC-A1BC1E504BF7}" name="SỐ LƯỢNG" dataDxfId="1219">
      <calculatedColumnFormula>1091+958+901</calculatedColumnFormula>
    </tableColumn>
    <tableColumn id="6" xr3:uid="{491BD75C-7ACC-4047-B7E6-6AF13EF97AAC}" name="ĐƠN GIÁ" dataDxfId="1218"/>
    <tableColumn id="7" xr3:uid="{DDA0A0CA-074B-4FF7-AEBC-BB533206BD89}" name="THÀNH TIỀN" dataDxfId="1217">
      <calculatedColumnFormula>C_Vui_HY[[#This Row],[ĐƠN GIÁ]]*C_Vui_HY[[#This Row],[SỐ LƯỢNG]]</calculatedColumnFormula>
    </tableColumn>
    <tableColumn id="8" xr3:uid="{8181A58D-BF25-418D-8D58-F3338CC5F87F}" name="THANH TOÁN" dataDxfId="1216"/>
    <tableColumn id="9" xr3:uid="{AD1F4936-03C3-431D-A440-42EB78FECC8C}" name="CÔNG NỢ_x000a_ CÒN LẠI" dataDxfId="1215">
      <calculatedColumnFormula>J9+C_Vui_HY[[#This Row],[THÀNH TIỀN]]-C_Vui_HY[[#This Row],[THANH TOÁN]]</calculatedColumnFormula>
    </tableColumn>
    <tableColumn id="10" xr3:uid="{B1675D7B-5291-4EA7-9196-D5C74B188C2C}" name="Ghi chú" dataDxfId="1214"/>
  </tableColumns>
  <tableStyleInfo showFirstColumn="0" showLastColumn="0" showRowStripes="1" showColumnStripes="0"/>
</table>
</file>

<file path=xl/tables/table1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4" xr:uid="{DFDDAFF1-1698-484B-BD54-6272F62D7D79}" name="E_Hoa_Khuon_Da_Thanh_Hoa" displayName="E_Hoa_Khuon_Da_Thanh_Hoa" ref="A9:K19" totalsRowShown="0" headerRowDxfId="1213" dataDxfId="1211" headerRowBorderDxfId="1212" tableBorderDxfId="1210" totalsRowBorderDxfId="1209">
  <autoFilter ref="A9:K19" xr:uid="{3227F2BD-2C9D-4FFF-9F44-8C9E66133B6C}"/>
  <tableColumns count="11">
    <tableColumn id="1" xr3:uid="{D5B8CC4B-5EBB-4928-996B-CD245F65126B}" name="Số phiếu" dataDxfId="1208"/>
    <tableColumn id="2" xr3:uid="{22F8F30C-22F9-4728-BA56-F2E7D1916882}" name="Ngày_x000a_ tháng" dataDxfId="1207"/>
    <tableColumn id="3" xr3:uid="{E07A5970-46DB-45CE-860A-743B7FCB3790}" name="Nội dung" dataDxfId="1206"/>
    <tableColumn id="12" xr3:uid="{FD35FE96-BA23-4843-B006-515BDAEC01C0}" name="Chủng loại" dataDxfId="1205"/>
    <tableColumn id="4" xr3:uid="{92F3D714-8EF6-4803-8BDC-79B97C4C6D74}" name="Quy cách" dataDxfId="1204"/>
    <tableColumn id="5" xr3:uid="{7813F9F2-95EF-43E6-870B-F88E294FD519}" name="SỐ LƯỢNG" dataDxfId="1203">
      <calculatedColumnFormula>1091+958+901</calculatedColumnFormula>
    </tableColumn>
    <tableColumn id="6" xr3:uid="{FAAF58B3-694B-4A90-9C02-A34B0FEEAF0A}" name="ĐƠN GIÁ" dataDxfId="1202"/>
    <tableColumn id="7" xr3:uid="{FE5AE146-973B-4CB1-863F-1B02E842DA8C}" name="THÀNH TIỀN" dataDxfId="1201">
      <calculatedColumnFormula>E_Hoa_Khuon_Da_Thanh_Hoa[[#This Row],[ĐƠN GIÁ]]*E_Hoa_Khuon_Da_Thanh_Hoa[[#This Row],[SỐ LƯỢNG]]</calculatedColumnFormula>
    </tableColumn>
    <tableColumn id="8" xr3:uid="{9F081983-8EAE-4A19-A06D-A62AF08E17FB}" name="THANH TOÁN" dataDxfId="1200"/>
    <tableColumn id="9" xr3:uid="{969A861E-43A1-4B84-8FE0-0E55344B6EFB}" name="CÔNG NỢ_x000a_ CÒN LẠI" dataDxfId="1199">
      <calculatedColumnFormula>J9+E_Hoa_Khuon_Da_Thanh_Hoa[[#This Row],[THÀNH TIỀN]]-E_Hoa_Khuon_Da_Thanh_Hoa[[#This Row],[THANH TOÁN]]</calculatedColumnFormula>
    </tableColumn>
    <tableColumn id="10" xr3:uid="{AB1D000B-589B-4C23-9057-41F96B9FFD78}" name="Ghi chú" dataDxfId="1198"/>
  </tableColumns>
  <tableStyleInfo showFirstColumn="0" showLastColumn="0" showRowStripes="1" showColumnStripes="0"/>
</table>
</file>

<file path=xl/tables/table1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5" xr:uid="{C7A8B356-6314-4A75-8E53-C909867FE359}" name="A_Thep_Cty_Thep_Titan" displayName="A_Thep_Cty_Thep_Titan" ref="A9:K42" totalsRowShown="0" headerRowDxfId="1197" dataDxfId="1195" headerRowBorderDxfId="1196" tableBorderDxfId="1194" totalsRowBorderDxfId="1193">
  <autoFilter ref="A9:K42" xr:uid="{3227F2BD-2C9D-4FFF-9F44-8C9E66133B6C}"/>
  <sortState xmlns:xlrd2="http://schemas.microsoft.com/office/spreadsheetml/2017/richdata2" ref="A10:K39">
    <sortCondition ref="B39"/>
  </sortState>
  <tableColumns count="11">
    <tableColumn id="1" xr3:uid="{74E9BABD-64DF-464F-8551-774347E4A844}" name="Số phiếu" dataDxfId="1192"/>
    <tableColumn id="2" xr3:uid="{0CC0A03A-1E5C-493C-9222-DEF63D0DBD5E}" name="Ngày_x000a_ tháng" dataDxfId="1191"/>
    <tableColumn id="3" xr3:uid="{2021BE3B-0C43-4E2C-B95A-33038E16BA1F}" name="Nội dung" dataDxfId="1190"/>
    <tableColumn id="12" xr3:uid="{476805B5-B455-4716-A056-3F6A419A75FD}" name="Chủng loại" dataDxfId="1189"/>
    <tableColumn id="4" xr3:uid="{C8EAFEC7-3891-4890-B4E8-879E419D218B}" name="Quy cách" dataDxfId="1188"/>
    <tableColumn id="5" xr3:uid="{01204BB2-74E6-4534-82D7-9A653203AC1C}" name="SỐ LƯỢNG" dataDxfId="1187">
      <calculatedColumnFormula>1091+958+901</calculatedColumnFormula>
    </tableColumn>
    <tableColumn id="6" xr3:uid="{14F8BE81-9548-481B-87CB-45D826ADBC0E}" name="ĐƠN GIÁ" dataDxfId="1186"/>
    <tableColumn id="7" xr3:uid="{57AF1940-D3C6-4A5F-B44A-92EC4D9467CB}" name="THÀNH TIỀN" dataDxfId="1185">
      <calculatedColumnFormula>A_Thep_Cty_Thep_Titan[[#This Row],[ĐƠN GIÁ]]*A_Thep_Cty_Thep_Titan[[#This Row],[SỐ LƯỢNG]]</calculatedColumnFormula>
    </tableColumn>
    <tableColumn id="8" xr3:uid="{B02115F5-5464-4224-B948-709C38B91AFD}" name="THANH TOÁN" dataDxfId="1184"/>
    <tableColumn id="9" xr3:uid="{BD8B1878-FED6-4CCD-A8E1-A39D90B1077E}" name="CÔNG NỢ_x000a_ CÒN LẠI" dataDxfId="1183">
      <calculatedColumnFormula>J9+A_Thep_Cty_Thep_Titan[[#This Row],[THÀNH TIỀN]]-A_Thep_Cty_Thep_Titan[[#This Row],[THANH TOÁN]]</calculatedColumnFormula>
    </tableColumn>
    <tableColumn id="10" xr3:uid="{876EA43B-7924-4572-AD4A-1898977031E8}" name="Ghi chú" dataDxfId="1182"/>
  </tableColumns>
  <tableStyleInfo showFirstColumn="0" showLastColumn="0" showRowStripes="1" showColumnStripes="0"/>
</table>
</file>

<file path=xl/tables/table1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6" xr:uid="{AABE0088-7312-460B-90D1-5BBA50842B9A}" name="CH_Phu_Ly" displayName="CH_Phu_Ly" ref="A9:K22" totalsRowShown="0" headerRowDxfId="1181" dataDxfId="1179" headerRowBorderDxfId="1180" tableBorderDxfId="1178" totalsRowBorderDxfId="1177">
  <autoFilter ref="A9:K22" xr:uid="{3227F2BD-2C9D-4FFF-9F44-8C9E66133B6C}"/>
  <sortState xmlns:xlrd2="http://schemas.microsoft.com/office/spreadsheetml/2017/richdata2" ref="A10:K21">
    <sortCondition ref="B16:B21"/>
  </sortState>
  <tableColumns count="11">
    <tableColumn id="1" xr3:uid="{A650BB7A-ECE7-4BFC-815C-83215D53F12A}" name="Số phiếu" dataDxfId="1176"/>
    <tableColumn id="2" xr3:uid="{CC098390-443C-435D-922E-09334156D777}" name="Ngày_x000a_ tháng" dataDxfId="1175"/>
    <tableColumn id="3" xr3:uid="{77F47E32-1025-4D96-A49C-53B4A9FAA5DA}" name="Nội dung" dataDxfId="1174"/>
    <tableColumn id="12" xr3:uid="{39E683A8-EE9D-46A7-8C9C-E36FBA84E79C}" name="Chủng loại" dataDxfId="1173"/>
    <tableColumn id="4" xr3:uid="{6C7AE3E8-913A-4D67-A596-02F846899FCD}" name="Quy cách" dataDxfId="1172"/>
    <tableColumn id="5" xr3:uid="{44F5BCB5-CA63-431A-99BB-9A11CE8E8284}" name="SỐ LƯỢNG" dataDxfId="1171">
      <calculatedColumnFormula>1091+958+901</calculatedColumnFormula>
    </tableColumn>
    <tableColumn id="6" xr3:uid="{854DE8E2-5676-4212-9C7D-382D6914E174}" name="ĐƠN GIÁ" dataDxfId="1170"/>
    <tableColumn id="7" xr3:uid="{211030A2-3590-4BED-881F-E0F3C7BA01F0}" name="THÀNH TIỀN" dataDxfId="1169">
      <calculatedColumnFormula>CH_Phu_Ly[[#This Row],[ĐƠN GIÁ]]*CH_Phu_Ly[[#This Row],[SỐ LƯỢNG]]</calculatedColumnFormula>
    </tableColumn>
    <tableColumn id="8" xr3:uid="{119F302B-0CE8-496D-9C03-B42988B54E41}" name="THANH TOÁN" dataDxfId="1168"/>
    <tableColumn id="9" xr3:uid="{F0810989-D6DD-4924-A5E5-5ECA088EB562}" name="CÔNG NỢ_x000a_ CÒN LẠI" dataDxfId="1167">
      <calculatedColumnFormula>J9+CH_Phu_Ly[[#This Row],[THÀNH TIỀN]]-CH_Phu_Ly[[#This Row],[THANH TOÁN]]</calculatedColumnFormula>
    </tableColumn>
    <tableColumn id="10" xr3:uid="{26821BFD-37F5-41F8-BE62-3F71016A5173}" name="Ghi chú" dataDxfId="1166"/>
  </tableColumns>
  <tableStyleInfo showFirstColumn="0" showLastColumn="0" showRowStripes="1" showColumnStripes="0"/>
</table>
</file>

<file path=xl/tables/table1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7" xr:uid="{93753C2C-8E64-454B-992B-75B1C9B0D12A}" name="C_Dung_Cty_Viet_A" displayName="C_Dung_Cty_Viet_A" ref="A9:K29" totalsRowShown="0" headerRowDxfId="1165" dataDxfId="1163" headerRowBorderDxfId="1164" tableBorderDxfId="1162" totalsRowBorderDxfId="1161">
  <autoFilter ref="A9:K29" xr:uid="{3227F2BD-2C9D-4FFF-9F44-8C9E66133B6C}"/>
  <sortState xmlns:xlrd2="http://schemas.microsoft.com/office/spreadsheetml/2017/richdata2" ref="A10:K25">
    <sortCondition ref="B11:B25"/>
  </sortState>
  <tableColumns count="11">
    <tableColumn id="1" xr3:uid="{D8C3539D-948B-48EA-B066-3F4CC8905397}" name="Số phiếu" dataDxfId="1160"/>
    <tableColumn id="2" xr3:uid="{6FB66599-43C2-4A59-B160-422155D8FBB5}" name="Ngày_x000a_ tháng" dataDxfId="1159"/>
    <tableColumn id="3" xr3:uid="{8FDFC584-687D-4930-B2C3-65978EB304A5}" name="Nội dung" dataDxfId="1158"/>
    <tableColumn id="12" xr3:uid="{700B5756-885B-4ED7-88FA-DB5EAE5BF402}" name="Chủng loại" dataDxfId="1157"/>
    <tableColumn id="4" xr3:uid="{BCD39518-7B4F-45D9-BC8C-CBBA200DB366}" name="Quy cách" dataDxfId="1156"/>
    <tableColumn id="5" xr3:uid="{D2F519D1-41B6-4BDF-A3B5-F728F5B2E4E3}" name="SỐ LƯỢNG" dataDxfId="1155">
      <calculatedColumnFormula>1091+958+901</calculatedColumnFormula>
    </tableColumn>
    <tableColumn id="6" xr3:uid="{4600D038-958D-4A4A-9480-03997ABC0D9E}" name="ĐƠN GIÁ" dataDxfId="1154"/>
    <tableColumn id="7" xr3:uid="{A37F1BCF-F7A6-4BE6-85C4-7EE712BF8E65}" name="THÀNH TIỀN" dataDxfId="1153">
      <calculatedColumnFormula>C_Dung_Cty_Viet_A[[#This Row],[ĐƠN GIÁ]]*C_Dung_Cty_Viet_A[[#This Row],[SỐ LƯỢNG]]</calculatedColumnFormula>
    </tableColumn>
    <tableColumn id="8" xr3:uid="{AF5E49E5-9867-44AF-ABE1-C29A1D8881EA}" name="THANH TOÁN" dataDxfId="1152"/>
    <tableColumn id="9" xr3:uid="{29C06C67-D9F9-435A-AFDE-34754D5ED3C4}" name="CÔNG NỢ_x000a_ CÒN LẠI" dataDxfId="1151">
      <calculatedColumnFormula>J9+C_Dung_Cty_Viet_A[[#This Row],[THÀNH TIỀN]]-C_Dung_Cty_Viet_A[[#This Row],[THANH TOÁN]]</calculatedColumnFormula>
    </tableColumn>
    <tableColumn id="10" xr3:uid="{483C5D33-CAF5-46DE-9AE1-4D775A2F8DD3}" name="Ghi chú" dataDxfId="1150"/>
  </tableColumns>
  <tableStyleInfo showFirstColumn="0" showLastColumn="0" showRowStripes="1" showColumnStripes="0"/>
</table>
</file>

<file path=xl/tables/table1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8" xr:uid="{AD448834-C04C-4471-8F2A-08B65DC19EF5}" name="Cty_Thang_Long" displayName="Cty_Thang_Long" ref="A9:K13" totalsRowShown="0" headerRowDxfId="1149" dataDxfId="1147" headerRowBorderDxfId="1148" tableBorderDxfId="1146" totalsRowBorderDxfId="1145">
  <autoFilter ref="A9:K13" xr:uid="{3227F2BD-2C9D-4FFF-9F44-8C9E66133B6C}"/>
  <tableColumns count="11">
    <tableColumn id="1" xr3:uid="{C33416D6-4046-4996-86B2-6E573711E6B6}" name="Số phiếu" dataDxfId="1144"/>
    <tableColumn id="2" xr3:uid="{4F16C604-8606-4D8D-9881-95194AD3C4D0}" name="Ngày_x000a_ tháng" dataDxfId="1143"/>
    <tableColumn id="3" xr3:uid="{37E9632B-82AC-4495-8CCD-D8A9495283D3}" name="Nội dung" dataDxfId="1142"/>
    <tableColumn id="12" xr3:uid="{42FA3DDB-47FC-48C5-BB84-30609E154204}" name="Chủng loại" dataDxfId="1141"/>
    <tableColumn id="4" xr3:uid="{B05D6778-A236-4E39-B1F9-EA0701D765EF}" name="Quy cách" dataDxfId="1140"/>
    <tableColumn id="5" xr3:uid="{CF9C391B-5E51-477F-97BC-BD7AAA961C7D}" name="SỐ LƯỢNG" dataDxfId="1139">
      <calculatedColumnFormula>1091+958+901</calculatedColumnFormula>
    </tableColumn>
    <tableColumn id="6" xr3:uid="{23DC1FB5-DBF5-41F1-9A08-4D820E479740}" name="ĐƠN GIÁ" dataDxfId="1138"/>
    <tableColumn id="7" xr3:uid="{A7EC2DD3-AC5B-49FD-9730-FFB7AF1A8594}" name="THÀNH TIỀN" dataDxfId="1137">
      <calculatedColumnFormula>Cty_Thang_Long[[#This Row],[ĐƠN GIÁ]]*Cty_Thang_Long[[#This Row],[SỐ LƯỢNG]]</calculatedColumnFormula>
    </tableColumn>
    <tableColumn id="8" xr3:uid="{4F51FC6C-69A0-4A4A-B735-E798DC1B6673}" name="THANH TOÁN" dataDxfId="1136"/>
    <tableColumn id="9" xr3:uid="{656C8A62-4CC8-44C5-9B29-C6AEC413DA0F}" name="CÔNG NỢ_x000a_ CÒN LẠI" dataDxfId="1135">
      <calculatedColumnFormula>J9+Cty_Thang_Long[[#This Row],[THÀNH TIỀN]]-Cty_Thang_Long[[#This Row],[THANH TOÁN]]</calculatedColumnFormula>
    </tableColumn>
    <tableColumn id="10" xr3:uid="{7C55701A-1C65-4EA4-A8EC-97E9187EEF8E}" name="Ghi chú" dataDxfId="1134"/>
  </tableColumns>
  <tableStyleInfo showFirstColumn="0" showLastColumn="0" showRowStripes="1" showColumnStripes="0"/>
</table>
</file>

<file path=xl/tables/table1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9" xr:uid="{3FCE4934-B92D-42CC-8913-EEEE9F31CDEA}" name="Cty_Tuan_Dat" displayName="Cty_Tuan_Dat" ref="A9:K20" totalsRowShown="0" headerRowDxfId="1133" dataDxfId="1131" headerRowBorderDxfId="1132" tableBorderDxfId="1130" totalsRowBorderDxfId="1129">
  <autoFilter ref="A9:K20" xr:uid="{3227F2BD-2C9D-4FFF-9F44-8C9E66133B6C}"/>
  <sortState xmlns:xlrd2="http://schemas.microsoft.com/office/spreadsheetml/2017/richdata2" ref="A10:K18">
    <sortCondition ref="B10:B18"/>
  </sortState>
  <tableColumns count="11">
    <tableColumn id="1" xr3:uid="{37F1AB45-7C82-4042-A95D-E95FC4DB62BB}" name="Số phiếu" dataDxfId="1128"/>
    <tableColumn id="2" xr3:uid="{0F124804-811D-4EDE-A3C4-85FFB9EE6EE7}" name="Ngày_x000a_ tháng" dataDxfId="1127"/>
    <tableColumn id="3" xr3:uid="{85E25BF2-DDEF-4EC9-BD17-872FD8689832}" name="Nội dung" dataDxfId="1126"/>
    <tableColumn id="12" xr3:uid="{3C6A4D76-3004-487B-ACD4-AC5AE56C69EB}" name="Chủng loại" dataDxfId="1125"/>
    <tableColumn id="4" xr3:uid="{BE434EAA-2AC4-4DAC-BBAD-832338863E6B}" name="Quy cách" dataDxfId="1124"/>
    <tableColumn id="5" xr3:uid="{7A2474CC-2213-4EEA-8FA5-D243B1D898F5}" name="SỐ LƯỢNG" dataDxfId="1123">
      <calculatedColumnFormula>1091+958+901</calculatedColumnFormula>
    </tableColumn>
    <tableColumn id="6" xr3:uid="{DE6F4CB8-382E-459D-847D-ECA938D602E6}" name="ĐƠN GIÁ" dataDxfId="1122"/>
    <tableColumn id="7" xr3:uid="{0B9C3FD5-934F-4F46-8E2F-6E403B5481EE}" name="THÀNH TIỀN" dataDxfId="1121">
      <calculatedColumnFormula>Cty_Tuan_Dat[[#This Row],[ĐƠN GIÁ]]*Cty_Tuan_Dat[[#This Row],[SỐ LƯỢNG]]</calculatedColumnFormula>
    </tableColumn>
    <tableColumn id="8" xr3:uid="{615C7CAD-7E83-44FC-BB0A-7C36EE45271C}" name="THANH TOÁN" dataDxfId="1120"/>
    <tableColumn id="9" xr3:uid="{DE3A4A7F-F63A-4BD0-B24C-ACCC2F0830CA}" name="CÔNG NỢ_x000a_ CÒN LẠI" dataDxfId="1119">
      <calculatedColumnFormula>J9+Cty_Tuan_Dat[[#This Row],[THÀNH TIỀN]]-Cty_Tuan_Dat[[#This Row],[THANH TOÁN]]</calculatedColumnFormula>
    </tableColumn>
    <tableColumn id="10" xr3:uid="{FE1B6E21-138F-4539-B304-270A92DC052A}" name="Ghi chú" dataDxfId="1118"/>
  </tableColumns>
  <tableStyleInfo showFirstColumn="0" showLastColumn="0" showRowStripes="1" showColumnStripes="0"/>
</table>
</file>

<file path=xl/tables/table1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0" xr:uid="{4CFAB1EA-42CA-45E1-B20F-33FF4B1C41CE}" name="Cty_Sao_Viet" displayName="Cty_Sao_Viet" ref="A9:K44" totalsRowShown="0" headerRowDxfId="1117" dataDxfId="1115" headerRowBorderDxfId="1116" tableBorderDxfId="1114" totalsRowBorderDxfId="1113">
  <autoFilter ref="A9:K44" xr:uid="{3227F2BD-2C9D-4FFF-9F44-8C9E66133B6C}"/>
  <sortState xmlns:xlrd2="http://schemas.microsoft.com/office/spreadsheetml/2017/richdata2" ref="A10:K28">
    <sortCondition ref="B24:B28"/>
  </sortState>
  <tableColumns count="11">
    <tableColumn id="1" xr3:uid="{C532B8EB-28D9-4BA2-8213-7720DDD6FB82}" name="Số phiếu" dataDxfId="1112"/>
    <tableColumn id="2" xr3:uid="{B71D98A7-7E86-46AE-85E2-1328A005AE6C}" name="Ngày_x000a_ tháng" dataDxfId="1111"/>
    <tableColumn id="3" xr3:uid="{5305E46E-B8DB-40AB-8DCD-9364397A841F}" name="Nội dung" dataDxfId="1110"/>
    <tableColumn id="12" xr3:uid="{AC8C8EE7-383B-4CFE-92C6-3981348AB882}" name="Chủng loại" dataDxfId="1109"/>
    <tableColumn id="4" xr3:uid="{6967AD25-DBCD-4708-9333-DDE70D003E76}" name="Quy cách" dataDxfId="1108"/>
    <tableColumn id="5" xr3:uid="{CE035984-8AE4-4D04-99AB-B507D5532FAD}" name="SỐ LƯỢNG" dataDxfId="1107">
      <calculatedColumnFormula>1091+958+901</calculatedColumnFormula>
    </tableColumn>
    <tableColumn id="6" xr3:uid="{9863239F-9D25-46A7-AE94-F4DE9F9ACCEC}" name="ĐƠN GIÁ" dataDxfId="1106"/>
    <tableColumn id="7" xr3:uid="{8CDBEF79-15D4-4018-8C45-7FA096B3CB08}" name="THÀNH TIỀN" dataDxfId="1105">
      <calculatedColumnFormula>Cty_Sao_Viet[[#This Row],[ĐƠN GIÁ]]*Cty_Sao_Viet[[#This Row],[SỐ LƯỢNG]]</calculatedColumnFormula>
    </tableColumn>
    <tableColumn id="8" xr3:uid="{1411411E-6713-4DB9-9E66-385D05FDDD86}" name="THANH TOÁN" dataDxfId="1104"/>
    <tableColumn id="9" xr3:uid="{0C251845-A2DA-40AA-A56E-DEACBA9AE9B9}" name="CÔNG NỢ_x000a_ CÒN LẠI" dataDxfId="1103">
      <calculatedColumnFormula>J9+Cty_Sao_Viet[[#This Row],[THÀNH TIỀN]]-Cty_Sao_Viet[[#This Row],[THANH TOÁN]]</calculatedColumnFormula>
    </tableColumn>
    <tableColumn id="10" xr3:uid="{DF67584F-398D-4942-874E-EC33EE0E5B50}" name="Ghi chú" dataDxfId="1102"/>
  </tableColumns>
  <tableStyleInfo showFirstColumn="0" showLastColumn="0" showRowStripes="1" showColumnStripes="0"/>
</table>
</file>

<file path=xl/tables/table1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1" xr:uid="{7D9B9B30-9C63-4DF4-A58D-918B81E39CEC}" name="Cty_Hoang_Linh" displayName="Cty_Hoang_Linh" ref="A9:K17" totalsRowShown="0" headerRowDxfId="1101" dataDxfId="1099" headerRowBorderDxfId="1100" tableBorderDxfId="1098" totalsRowBorderDxfId="1097">
  <autoFilter ref="A9:K17" xr:uid="{3227F2BD-2C9D-4FFF-9F44-8C9E66133B6C}"/>
  <sortState xmlns:xlrd2="http://schemas.microsoft.com/office/spreadsheetml/2017/richdata2" ref="A10:K17">
    <sortCondition ref="B16:B17"/>
  </sortState>
  <tableColumns count="11">
    <tableColumn id="1" xr3:uid="{CD572B75-0E18-4F54-AE3A-B77075272F63}" name="Số phiếu" dataDxfId="1096"/>
    <tableColumn id="2" xr3:uid="{64B2C2B2-E961-42D4-AC26-FA255BC99853}" name="Ngày_x000a_ tháng" dataDxfId="1095"/>
    <tableColumn id="3" xr3:uid="{308DD4C3-6D0E-43DD-8E3D-6BBA4107F022}" name="Nội dung" dataDxfId="1094"/>
    <tableColumn id="12" xr3:uid="{CC72CC32-4FB0-49DF-B08F-6688D3B8D366}" name="Chủng loại" dataDxfId="1093"/>
    <tableColumn id="4" xr3:uid="{EE2480AB-39DC-4E10-A65B-1AEAF9DD0556}" name="Quy cách" dataDxfId="1092"/>
    <tableColumn id="5" xr3:uid="{37A9BABF-19C0-46A2-8CCA-4C063FD6578A}" name="SỐ LƯỢNG" dataDxfId="1091">
      <calculatedColumnFormula>1091+958+901</calculatedColumnFormula>
    </tableColumn>
    <tableColumn id="6" xr3:uid="{0F6EC924-C70D-41BB-B3C7-7342BCD3E358}" name="ĐƠN GIÁ" dataDxfId="1090"/>
    <tableColumn id="7" xr3:uid="{1DDF0CCA-8B6E-49BB-871A-A52B1D45D841}" name="THÀNH TIỀN" dataDxfId="1089">
      <calculatedColumnFormula>Cty_Hoang_Linh[[#This Row],[ĐƠN GIÁ]]*Cty_Hoang_Linh[[#This Row],[SỐ LƯỢNG]]</calculatedColumnFormula>
    </tableColumn>
    <tableColumn id="8" xr3:uid="{1C1467CD-AB17-468A-B6B4-00725DD9781A}" name="THANH TOÁN" dataDxfId="1088"/>
    <tableColumn id="9" xr3:uid="{6F684201-F217-4D10-B136-DFA257645C2D}" name="CÔNG NỢ_x000a_ CÒN LẠI" dataDxfId="1087">
      <calculatedColumnFormula>J9+Cty_Hoang_Linh[[#This Row],[THÀNH TIỀN]]-Cty_Hoang_Linh[[#This Row],[THANH TOÁN]]</calculatedColumnFormula>
    </tableColumn>
    <tableColumn id="10" xr3:uid="{8A871D5D-2ACB-4F20-B4C8-63E95658F910}" name="Ghi chú" dataDxfId="1086"/>
  </tableColumns>
  <tableStyleInfo showFirstColumn="0" showLastColumn="0" showRowStripes="1" showColumnStripes="0"/>
</table>
</file>

<file path=xl/tables/table1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2" xr:uid="{963A9848-70B8-42F5-BD0D-97131C2052A5}" name="Cty_Thai_An_HY" displayName="Cty_Thai_An_HY" ref="A9:K12" totalsRowShown="0" headerRowDxfId="1085" dataDxfId="1083" headerRowBorderDxfId="1084" tableBorderDxfId="1082" totalsRowBorderDxfId="1081">
  <autoFilter ref="A9:K12" xr:uid="{3227F2BD-2C9D-4FFF-9F44-8C9E66133B6C}"/>
  <tableColumns count="11">
    <tableColumn id="1" xr3:uid="{A30646D9-B21F-4664-AFB7-F0F4DC9F4376}" name="Số phiếu" dataDxfId="1080"/>
    <tableColumn id="2" xr3:uid="{6CC37EE4-1820-4E55-BAC9-53BABF7DF7D1}" name="Ngày_x000a_ tháng" dataDxfId="1079"/>
    <tableColumn id="3" xr3:uid="{08BE0139-3AB4-49D2-B218-0CAE44828936}" name="Nội dung" dataDxfId="1078"/>
    <tableColumn id="12" xr3:uid="{752543B0-1C8E-4131-941E-EF77DF310A61}" name="Chủng loại" dataDxfId="1077"/>
    <tableColumn id="4" xr3:uid="{7F4C3BBB-085D-400D-B9C3-F2C97479A858}" name="Quy cách" dataDxfId="1076"/>
    <tableColumn id="5" xr3:uid="{B96019A8-3B53-418D-83DA-2E61561220BE}" name="SỐ LƯỢNG" dataDxfId="1075">
      <calculatedColumnFormula>1091+958+901</calculatedColumnFormula>
    </tableColumn>
    <tableColumn id="6" xr3:uid="{8B940EDB-2F2E-4A14-8332-0339C604A996}" name="ĐƠN GIÁ" dataDxfId="1074"/>
    <tableColumn id="7" xr3:uid="{6CD50A8B-0F47-46BB-B7DB-8CC255CC485B}" name="THÀNH TIỀN" dataDxfId="1073">
      <calculatedColumnFormula>Cty_Thai_An_HY[[#This Row],[ĐƠN GIÁ]]*Cty_Thai_An_HY[[#This Row],[SỐ LƯỢNG]]</calculatedColumnFormula>
    </tableColumn>
    <tableColumn id="8" xr3:uid="{AFB0D42A-BC41-4C5A-9D9D-32D4DC998E25}" name="THANH TOÁN" dataDxfId="1072"/>
    <tableColumn id="9" xr3:uid="{D2527BD3-D261-47F8-B2AE-491B9A6B8127}" name="CÔNG NỢ_x000a_ CÒN LẠI" dataDxfId="1071">
      <calculatedColumnFormula>J9+Cty_Thai_An_HY[[#This Row],[THÀNH TIỀN]]-Cty_Thai_An_HY[[#This Row],[THANH TOÁN]]</calculatedColumnFormula>
    </tableColumn>
    <tableColumn id="10" xr3:uid="{63037AE2-CAEA-484C-BD2E-FE74372513ED}" name="Ghi chú" dataDxfId="1070"/>
  </tableColumns>
  <tableStyleInfo showFirstColumn="0" showLastColumn="0" showRowStripes="1" showColumnStripes="0"/>
</table>
</file>

<file path=xl/tables/table1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3" xr:uid="{ACD08194-AF4A-4240-8443-210021C22CC9}" name="Cty_Tu_Phuong_QB" displayName="Cty_Tu_Phuong_QB" ref="A9:K12" totalsRowShown="0" headerRowDxfId="1069" dataDxfId="1067" headerRowBorderDxfId="1068" tableBorderDxfId="1066" totalsRowBorderDxfId="1065">
  <autoFilter ref="A9:K12" xr:uid="{3227F2BD-2C9D-4FFF-9F44-8C9E66133B6C}"/>
  <tableColumns count="11">
    <tableColumn id="1" xr3:uid="{D65E9BD2-58F6-4796-B37A-0B61753943DD}" name="Số phiếu" dataDxfId="1064"/>
    <tableColumn id="2" xr3:uid="{0137A2E6-6853-437E-A26D-F3E986D37113}" name="Ngày_x000a_ tháng" dataDxfId="1063"/>
    <tableColumn id="3" xr3:uid="{A05842D4-B426-44D4-B4E2-EF7F1655219A}" name="Nội dung" dataDxfId="1062"/>
    <tableColumn id="12" xr3:uid="{91B6401C-326F-487B-88FF-21C2AB58FFED}" name="Chủng loại" dataDxfId="1061"/>
    <tableColumn id="4" xr3:uid="{04563138-9059-4653-80BE-4A9E973EFD42}" name="Quy cách" dataDxfId="1060"/>
    <tableColumn id="5" xr3:uid="{8883EC52-6A69-486E-863B-F7563044A84E}" name="SỐ LƯỢNG" dataDxfId="1059">
      <calculatedColumnFormula>1091+958+901</calculatedColumnFormula>
    </tableColumn>
    <tableColumn id="6" xr3:uid="{954B29AF-0B96-42F4-9881-B6A43842C96C}" name="ĐƠN GIÁ" dataDxfId="1058"/>
    <tableColumn id="7" xr3:uid="{3BA1A7DF-263D-40FF-B224-C8AE7FDCEBC6}" name="THÀNH TIỀN" dataDxfId="1057">
      <calculatedColumnFormula>Cty_Tu_Phuong_QB[[#This Row],[ĐƠN GIÁ]]*Cty_Tu_Phuong_QB[[#This Row],[SỐ LƯỢNG]]</calculatedColumnFormula>
    </tableColumn>
    <tableColumn id="8" xr3:uid="{CFE9A212-111F-4524-B497-DAC5DBFDE856}" name="THANH TOÁN" dataDxfId="1056"/>
    <tableColumn id="9" xr3:uid="{456D67E2-C880-4610-B3A1-29739F84C9F5}" name="CÔNG NỢ_x000a_ CÒN LẠI" dataDxfId="1055">
      <calculatedColumnFormula>J9+Cty_Tu_Phuong_QB[[#This Row],[THÀNH TIỀN]]-Cty_Tu_Phuong_QB[[#This Row],[THANH TOÁN]]</calculatedColumnFormula>
    </tableColumn>
    <tableColumn id="10" xr3:uid="{518D0186-5D7A-4178-9336-BC48EB0D1BAB}" name="Ghi chú" dataDxfId="1054"/>
  </tableColumns>
  <tableStyleInfo showFirstColumn="0" showLastColumn="0" showRowStripes="1" showColumnStripes="0"/>
</table>
</file>

<file path=xl/tables/table1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4" xr:uid="{394C7E3A-1C7F-4FB0-917E-BF5C4F236050}" name="A_Khuyen_Ecopark" displayName="A_Khuyen_Ecopark" ref="A9:K15" totalsRowShown="0" headerRowDxfId="1053" dataDxfId="1051" headerRowBorderDxfId="1052" tableBorderDxfId="1050" totalsRowBorderDxfId="1049">
  <autoFilter ref="A9:K15" xr:uid="{3227F2BD-2C9D-4FFF-9F44-8C9E66133B6C}"/>
  <tableColumns count="11">
    <tableColumn id="1" xr3:uid="{A5D196E5-FB78-493F-84DE-7A96DB443631}" name="Số phiếu" dataDxfId="1048"/>
    <tableColumn id="2" xr3:uid="{4116E2D6-6C82-453D-9C59-B6D103AC3309}" name="Ngày_x000a_ tháng" dataDxfId="1047"/>
    <tableColumn id="3" xr3:uid="{93A79BC2-55F0-4DF3-8FD4-2CB58219398C}" name="Nội dung" dataDxfId="1046"/>
    <tableColumn id="12" xr3:uid="{669C2127-D13A-4BB3-9CD4-E85ADB85FE7D}" name="Chủng loại" dataDxfId="1045"/>
    <tableColumn id="4" xr3:uid="{BA8A88C2-9716-4628-9A57-6F2E3491E772}" name="Quy cách" dataDxfId="1044"/>
    <tableColumn id="5" xr3:uid="{AF69CD4F-4F1B-4EE4-8706-38E18A91B892}" name="SỐ LƯỢNG" dataDxfId="1043">
      <calculatedColumnFormula>1091+958+901</calculatedColumnFormula>
    </tableColumn>
    <tableColumn id="6" xr3:uid="{6985B97E-1AEB-4C39-9962-597633466665}" name="ĐƠN GIÁ" dataDxfId="1042"/>
    <tableColumn id="7" xr3:uid="{1D177AEA-61A8-4629-92E3-0630A5B4131C}" name="THÀNH TIỀN" dataDxfId="1041">
      <calculatedColumnFormula>A_Khuyen_Ecopark[[#This Row],[ĐƠN GIÁ]]*A_Khuyen_Ecopark[[#This Row],[SỐ LƯỢNG]]</calculatedColumnFormula>
    </tableColumn>
    <tableColumn id="8" xr3:uid="{0485E67A-9CFC-4E16-87CF-3D9848A8F9A6}" name="THANH TOÁN" dataDxfId="1040"/>
    <tableColumn id="9" xr3:uid="{6D061807-103E-48D9-BC0E-09F2633FD4DE}" name="CÔNG NỢ_x000a_ CÒN LẠI" dataDxfId="1039">
      <calculatedColumnFormula>J9+A_Khuyen_Ecopark[[#This Row],[THÀNH TIỀN]]-A_Khuyen_Ecopark[[#This Row],[THANH TOÁN]]</calculatedColumnFormula>
    </tableColumn>
    <tableColumn id="10" xr3:uid="{C6808E24-36CF-4A17-9957-216D3346FE4E}" name="Ghi chú" dataDxfId="1038"/>
  </tableColumns>
  <tableStyleInfo showFirstColumn="0" showLastColumn="0" showRowStripes="1" showColumnStripes="0"/>
</table>
</file>

<file path=xl/tables/table1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8" xr:uid="{2A386E27-DD7E-4029-9AA4-35231CA715C5}" name="Cty_CN_Ha_Thanh" displayName="Cty_CN_Ha_Thanh" ref="A9:K15" totalsRowShown="0" headerRowDxfId="1037" dataDxfId="1035" headerRowBorderDxfId="1036" tableBorderDxfId="1034" totalsRowBorderDxfId="1033">
  <autoFilter ref="A9:K15" xr:uid="{3227F2BD-2C9D-4FFF-9F44-8C9E66133B6C}"/>
  <sortState xmlns:xlrd2="http://schemas.microsoft.com/office/spreadsheetml/2017/richdata2" ref="A10:K15">
    <sortCondition ref="B14:B15"/>
  </sortState>
  <tableColumns count="11">
    <tableColumn id="1" xr3:uid="{5090446E-77A0-4006-A0FF-846A79965C08}" name="Số phiếu" dataDxfId="1032"/>
    <tableColumn id="2" xr3:uid="{AA9865E3-0B97-4FD1-A067-507AC9E89796}" name="Ngày_x000a_ tháng" dataDxfId="1031"/>
    <tableColumn id="3" xr3:uid="{8E0899D0-15CA-4892-B3C8-4E983DA26D04}" name="Nội dung" dataDxfId="1030"/>
    <tableColumn id="12" xr3:uid="{8FD6F1D0-9024-4914-81BB-DC25E81FAE1B}" name="Chủng loại" dataDxfId="1029"/>
    <tableColumn id="4" xr3:uid="{E1280446-6D03-4BA3-8745-55053E455B8E}" name="Quy cách" dataDxfId="1028"/>
    <tableColumn id="5" xr3:uid="{C105E689-410D-43F2-B9AA-56084DF2934A}" name="SỐ LƯỢNG" dataDxfId="1027">
      <calculatedColumnFormula>1091+958+901</calculatedColumnFormula>
    </tableColumn>
    <tableColumn id="6" xr3:uid="{C8D7F669-0414-42E7-BFF5-BC5F45A099A8}" name="ĐƠN GIÁ" dataDxfId="1026"/>
    <tableColumn id="7" xr3:uid="{19FAE300-BD5E-47C7-B583-EFAB6DBC4229}" name="THÀNH TIỀN" dataDxfId="1025">
      <calculatedColumnFormula>Cty_CN_Ha_Thanh[[#This Row],[ĐƠN GIÁ]]*Cty_CN_Ha_Thanh[[#This Row],[SỐ LƯỢNG]]</calculatedColumnFormula>
    </tableColumn>
    <tableColumn id="8" xr3:uid="{276C2204-5010-464F-BFF6-0B8056EA5ACB}" name="THANH TOÁN" dataDxfId="1024"/>
    <tableColumn id="9" xr3:uid="{EA5AA924-CFC0-4D7C-B884-535296A02C07}" name="CÔNG NỢ_x000a_ CÒN LẠI" dataDxfId="1023">
      <calculatedColumnFormula>J9+Cty_CN_Ha_Thanh[[#This Row],[THÀNH TIỀN]]-Cty_CN_Ha_Thanh[[#This Row],[THANH TOÁN]]</calculatedColumnFormula>
    </tableColumn>
    <tableColumn id="10" xr3:uid="{6EC96B68-DA02-46FF-AC85-AF7D33B0D188}" name="Ghi chú" dataDxfId="1022"/>
  </tableColumns>
  <tableStyleInfo showFirstColumn="0" showLastColumn="0" showRowStripes="1" showColumnStripes="0"/>
</table>
</file>

<file path=xl/tables/table1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9" xr:uid="{9EA29A40-D495-46D8-9F33-5E52A9830E3B}" name="Cty_An_Thinh" displayName="Cty_An_Thinh" ref="A9:K22" totalsRowShown="0" headerRowDxfId="1021" dataDxfId="1019" headerRowBorderDxfId="1020" tableBorderDxfId="1018" totalsRowBorderDxfId="1017">
  <autoFilter ref="A9:K22" xr:uid="{3227F2BD-2C9D-4FFF-9F44-8C9E66133B6C}"/>
  <sortState xmlns:xlrd2="http://schemas.microsoft.com/office/spreadsheetml/2017/richdata2" ref="A10:K22">
    <sortCondition ref="B17:B22"/>
  </sortState>
  <tableColumns count="11">
    <tableColumn id="1" xr3:uid="{AFB900F6-726C-4F62-8CA7-303E304D2672}" name="Số phiếu" dataDxfId="1016"/>
    <tableColumn id="2" xr3:uid="{0413CDD3-595F-42CC-95BA-EC9595FF18AA}" name="Ngày_x000a_ tháng" dataDxfId="1015"/>
    <tableColumn id="3" xr3:uid="{B99FCCA4-FD80-4465-910A-513416236DCB}" name="Nội dung" dataDxfId="1014"/>
    <tableColumn id="12" xr3:uid="{6D0D9908-94A5-469B-A9D4-807E7556D02F}" name="Chủng loại" dataDxfId="1013"/>
    <tableColumn id="4" xr3:uid="{F39C737B-0995-4FD3-BE08-2DD971CD222C}" name="Quy cách" dataDxfId="1012"/>
    <tableColumn id="5" xr3:uid="{834843FF-F125-4A2F-8FC5-0BF0098F765A}" name="SỐ LƯỢNG" dataDxfId="1011">
      <calculatedColumnFormula>1091+958+901</calculatedColumnFormula>
    </tableColumn>
    <tableColumn id="6" xr3:uid="{7B1344BC-FEC3-4478-894F-641A4A50D0F0}" name="ĐƠN GIÁ" dataDxfId="1010"/>
    <tableColumn id="7" xr3:uid="{AA6CADAE-71BE-4559-8579-8FB812FBB43A}" name="THÀNH TIỀN" dataDxfId="1009">
      <calculatedColumnFormula>Cty_An_Thinh[[#This Row],[ĐƠN GIÁ]]*Cty_An_Thinh[[#This Row],[SỐ LƯỢNG]]</calculatedColumnFormula>
    </tableColumn>
    <tableColumn id="8" xr3:uid="{969FD840-16B4-41BD-A41A-30A25BBB3DBB}" name="THANH TOÁN" dataDxfId="1008"/>
    <tableColumn id="9" xr3:uid="{42C062AD-917D-4D19-8687-AF9FD29C1F38}" name="CÔNG NỢ_x000a_ CÒN LẠI" dataDxfId="1007">
      <calculatedColumnFormula>J9+Cty_An_Thinh[[#This Row],[THÀNH TIỀN]]-Cty_An_Thinh[[#This Row],[THANH TOÁN]]</calculatedColumnFormula>
    </tableColumn>
    <tableColumn id="10" xr3:uid="{9639C037-A872-4124-B6E3-04D8C5C8FE68}" name="Ghi chú" dataDxfId="1006"/>
  </tableColumns>
  <tableStyleInfo showFirstColumn="0" showLastColumn="0" showRowStripes="1" showColumnStripes="0"/>
</table>
</file>

<file path=xl/tables/table1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0" xr:uid="{1561A04F-3949-4B47-8427-632147F45D4A}" name="Cty_Hung_Thinh" displayName="Cty_Hung_Thinh" ref="A9:K21" totalsRowShown="0" headerRowDxfId="1005" dataDxfId="1003" headerRowBorderDxfId="1004" tableBorderDxfId="1002" totalsRowBorderDxfId="1001">
  <autoFilter ref="A9:K21" xr:uid="{3227F2BD-2C9D-4FFF-9F44-8C9E66133B6C}"/>
  <sortState xmlns:xlrd2="http://schemas.microsoft.com/office/spreadsheetml/2017/richdata2" ref="A10:K19">
    <sortCondition ref="B10:B19"/>
  </sortState>
  <tableColumns count="11">
    <tableColumn id="1" xr3:uid="{C4590FAA-892A-4037-8E81-139AD9431B3A}" name="Số phiếu" dataDxfId="1000"/>
    <tableColumn id="2" xr3:uid="{82FC20A7-1BC0-450F-AA42-8D115A600F88}" name="Ngày_x000a_ tháng" dataDxfId="999"/>
    <tableColumn id="3" xr3:uid="{E2852AF5-75C2-42F5-901C-852AE20F933A}" name="Nội dung" dataDxfId="998"/>
    <tableColumn id="12" xr3:uid="{72F50DA0-51E6-48BB-83BF-F0EC88270B6D}" name="Chủng loại" dataDxfId="997"/>
    <tableColumn id="4" xr3:uid="{82B32C89-68A1-42AC-8D4C-83165EABFE08}" name="Quy cách" dataDxfId="996"/>
    <tableColumn id="5" xr3:uid="{E85FCFBA-AD83-4D83-9F8A-B982426C8803}" name="SỐ LƯỢNG" dataDxfId="995">
      <calculatedColumnFormula>1091+958+901</calculatedColumnFormula>
    </tableColumn>
    <tableColumn id="6" xr3:uid="{492AF7DD-0AF3-4F1B-8BAD-6199B757C126}" name="ĐƠN GIÁ" dataDxfId="994"/>
    <tableColumn id="7" xr3:uid="{19B733ED-CDD0-43F6-900A-758CF14B550C}" name="THÀNH TIỀN" dataDxfId="993">
      <calculatedColumnFormula>Cty_Hung_Thinh[[#This Row],[ĐƠN GIÁ]]*Cty_Hung_Thinh[[#This Row],[SỐ LƯỢNG]]</calculatedColumnFormula>
    </tableColumn>
    <tableColumn id="8" xr3:uid="{D509A6F7-A29B-4DAC-905F-E833DCE18177}" name="THANH TOÁN" dataDxfId="992"/>
    <tableColumn id="9" xr3:uid="{8E01D25D-EF6F-4362-933E-452D26547AA4}" name="CÔNG NỢ_x000a_ CÒN LẠI" dataDxfId="991">
      <calculatedColumnFormula>J9+Cty_Hung_Thinh[[#This Row],[THÀNH TIỀN]]-Cty_Hung_Thinh[[#This Row],[THANH TOÁN]]</calculatedColumnFormula>
    </tableColumn>
    <tableColumn id="10" xr3:uid="{224F31D3-5F25-4D1A-86CC-C0E4837ADDFB}" name="Ghi chú" dataDxfId="990"/>
  </tableColumns>
  <tableStyleInfo showFirstColumn="0" showLastColumn="0" showRowStripes="1" showColumnStripes="0"/>
</table>
</file>

<file path=xl/tables/table1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1" xr:uid="{F0859BE2-BA7A-4585-967E-8D933871C465}" name="Cty_Thep_568" displayName="Cty_Thep_568" ref="A9:K27" totalsRowShown="0" headerRowDxfId="989" dataDxfId="987" headerRowBorderDxfId="988" tableBorderDxfId="986" totalsRowBorderDxfId="985">
  <autoFilter ref="A9:K27" xr:uid="{3227F2BD-2C9D-4FFF-9F44-8C9E66133B6C}"/>
  <sortState xmlns:xlrd2="http://schemas.microsoft.com/office/spreadsheetml/2017/richdata2" ref="A10:K26">
    <sortCondition ref="B12:B26"/>
  </sortState>
  <tableColumns count="11">
    <tableColumn id="1" xr3:uid="{0EFD66E1-145A-4536-95B1-F486A3A5ED8E}" name="Số phiếu" dataDxfId="984"/>
    <tableColumn id="2" xr3:uid="{EDCE1B9C-EEA0-43BD-A77D-A3BCC7EC7DA2}" name="Ngày_x000a_ tháng" dataDxfId="983"/>
    <tableColumn id="3" xr3:uid="{86AF0B52-B7EF-4C07-A5D2-CB4F02E8BE31}" name="Nội dung" dataDxfId="982"/>
    <tableColumn id="12" xr3:uid="{51E71846-F7F9-4203-BE06-A09E513073E6}" name="Chủng loại" dataDxfId="981"/>
    <tableColumn id="4" xr3:uid="{5D06C7B7-3758-40DA-8BBB-05AAD3052804}" name="Quy cách" dataDxfId="980"/>
    <tableColumn id="5" xr3:uid="{71CBD270-5336-436E-8429-94AA7FDF2F22}" name="SỐ LƯỢNG" dataDxfId="979">
      <calculatedColumnFormula>1091+958+901</calculatedColumnFormula>
    </tableColumn>
    <tableColumn id="6" xr3:uid="{5D09CDA5-5BB9-4A1C-8F6D-543BEFA203B7}" name="ĐƠN GIÁ" dataDxfId="978"/>
    <tableColumn id="7" xr3:uid="{DEEFCB20-B1A2-4B26-B190-40A329ABEFDA}" name="THÀNH TIỀN" dataDxfId="977">
      <calculatedColumnFormula>Cty_Thep_568[[#This Row],[ĐƠN GIÁ]]*Cty_Thep_568[[#This Row],[SỐ LƯỢNG]]</calculatedColumnFormula>
    </tableColumn>
    <tableColumn id="8" xr3:uid="{6F2797CE-5629-4D5D-BA84-E53EAF9E17E8}" name="THANH TOÁN" dataDxfId="976"/>
    <tableColumn id="9" xr3:uid="{D6A4A836-5CFB-4B3C-A9B9-0F34476D5148}" name="CÔNG NỢ_x000a_ CÒN LẠI" dataDxfId="975">
      <calculatedColumnFormula>J9+Cty_Thep_568[[#This Row],[THÀNH TIỀN]]-Cty_Thep_568[[#This Row],[THANH TOÁN]]</calculatedColumnFormula>
    </tableColumn>
    <tableColumn id="10" xr3:uid="{1EFC142C-87DB-4373-A42A-9EBAA2DDD676}" name="Ghi chú" dataDxfId="974"/>
  </tableColumns>
  <tableStyleInfo showFirstColumn="0" showLastColumn="0" showRowStripes="1" showColumnStripes="0"/>
</table>
</file>

<file path=xl/tables/table1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4" xr:uid="{1ED12AC0-8BB1-450F-B430-B8C4E6131388}" name="Cty_Thinh_Hung_Quang" displayName="Cty_Thinh_Hung_Quang" ref="A9:K20" totalsRowShown="0" headerRowDxfId="973" dataDxfId="971" headerRowBorderDxfId="972" tableBorderDxfId="970" totalsRowBorderDxfId="969">
  <autoFilter ref="A9:K20" xr:uid="{3227F2BD-2C9D-4FFF-9F44-8C9E66133B6C}"/>
  <tableColumns count="11">
    <tableColumn id="1" xr3:uid="{9461C24E-63C7-410F-A951-2D95D9F20AEA}" name="Số phiếu" dataDxfId="968"/>
    <tableColumn id="2" xr3:uid="{D97A01F4-184A-4328-91FE-FAE2AF5D7678}" name="Ngày_x000a_ tháng" dataDxfId="967"/>
    <tableColumn id="3" xr3:uid="{6BE2EF2E-58D2-4C94-988A-A71F1AEB5463}" name="Nội dung" dataDxfId="966"/>
    <tableColumn id="12" xr3:uid="{6D942678-86F8-48BE-AFBA-C2D67602E351}" name="Chủng loại" dataDxfId="965"/>
    <tableColumn id="4" xr3:uid="{6F8D1500-7EE6-4D2B-977D-591DF1510404}" name="Quy cách" dataDxfId="964"/>
    <tableColumn id="5" xr3:uid="{2120AA47-9E8B-4FDB-AB92-2F658DC273CB}" name="SỐ LƯỢNG" dataDxfId="963">
      <calculatedColumnFormula>1091+958+901</calculatedColumnFormula>
    </tableColumn>
    <tableColumn id="6" xr3:uid="{B9F7EA5B-857C-4ED2-9542-57AE6C8BA92E}" name="ĐƠN GIÁ" dataDxfId="962"/>
    <tableColumn id="7" xr3:uid="{A21C879A-C595-45CF-A39B-1A389266CF78}" name="THÀNH TIỀN" dataDxfId="961">
      <calculatedColumnFormula>Cty_Thinh_Hung_Quang[[#This Row],[ĐƠN GIÁ]]*Cty_Thinh_Hung_Quang[[#This Row],[SỐ LƯỢNG]]</calculatedColumnFormula>
    </tableColumn>
    <tableColumn id="8" xr3:uid="{D9FC99AD-C9CE-4607-9687-119B85B3EC56}" name="THANH TOÁN" dataDxfId="960"/>
    <tableColumn id="9" xr3:uid="{A90BFB0C-9915-4BCD-9D60-F8B9DB61F928}" name="CÔNG NỢ_x000a_ CÒN LẠI" dataDxfId="959">
      <calculatedColumnFormula>J9+Cty_Thinh_Hung_Quang[[#This Row],[THÀNH TIỀN]]-Cty_Thinh_Hung_Quang[[#This Row],[THANH TOÁN]]</calculatedColumnFormula>
    </tableColumn>
    <tableColumn id="10" xr3:uid="{9564C9C9-7114-4DC6-BB8A-E2BC50C6C860}" name="Ghi chú" dataDxfId="958"/>
  </tableColumns>
  <tableStyleInfo showFirstColumn="0" showLastColumn="0" showRowStripes="1" showColumnStripes="0"/>
</table>
</file>

<file path=xl/tables/table1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5" xr:uid="{434D87EF-5C10-46C6-AD93-C83173DDB603}" name="Cty_Dong_Nam" displayName="Cty_Dong_Nam" ref="A9:K12" totalsRowShown="0" headerRowDxfId="957" dataDxfId="955" headerRowBorderDxfId="956" tableBorderDxfId="954" totalsRowBorderDxfId="953">
  <autoFilter ref="A9:K12" xr:uid="{3227F2BD-2C9D-4FFF-9F44-8C9E66133B6C}"/>
  <tableColumns count="11">
    <tableColumn id="1" xr3:uid="{0E3D7543-A4B2-4E11-8C1B-6E525D17C374}" name="Số phiếu" dataDxfId="952"/>
    <tableColumn id="2" xr3:uid="{46F7FD9C-563E-4761-8EDF-D0502470934A}" name="Ngày_x000a_ tháng" dataDxfId="951"/>
    <tableColumn id="3" xr3:uid="{06EA10BB-0CF9-4585-B44C-2A4A25F11B58}" name="Nội dung" dataDxfId="950"/>
    <tableColumn id="12" xr3:uid="{B86CBDB6-509E-4AAF-A4D5-42C0957F48A9}" name="Chủng loại" dataDxfId="949"/>
    <tableColumn id="4" xr3:uid="{580670D9-222B-4834-9A94-D70221FBBD54}" name="Quy cách" dataDxfId="948"/>
    <tableColumn id="5" xr3:uid="{9519C0CE-E74B-4008-B1B5-ABEA37910488}" name="SỐ LƯỢNG" dataDxfId="947">
      <calculatedColumnFormula>1091+958+901</calculatedColumnFormula>
    </tableColumn>
    <tableColumn id="6" xr3:uid="{75DA44F3-9556-49CC-AF83-A75E0235E721}" name="ĐƠN GIÁ" dataDxfId="946"/>
    <tableColumn id="7" xr3:uid="{D3C5794F-6BAC-43DB-A595-9CE304E635E6}" name="THÀNH TIỀN" dataDxfId="945">
      <calculatedColumnFormula>Cty_Dong_Nam[[#This Row],[ĐƠN GIÁ]]*Cty_Dong_Nam[[#This Row],[SỐ LƯỢNG]]</calculatedColumnFormula>
    </tableColumn>
    <tableColumn id="8" xr3:uid="{3CA84930-97A8-4E61-828B-9C7EB1602987}" name="THANH TOÁN" dataDxfId="944"/>
    <tableColumn id="9" xr3:uid="{83DD64DF-8FDC-44B3-8A9E-6BBDED81EEF8}" name="CÔNG NỢ_x000a_ CÒN LẠI" dataDxfId="943">
      <calculatedColumnFormula>J9+Cty_Dong_Nam[[#This Row],[THÀNH TIỀN]]-Cty_Dong_Nam[[#This Row],[THANH TOÁN]]</calculatedColumnFormula>
    </tableColumn>
    <tableColumn id="10" xr3:uid="{BD6F720B-50DB-4051-86BA-7511BFBCA9CE}" name="Ghi chú" dataDxfId="942"/>
  </tableColumns>
  <tableStyleInfo showFirstColumn="0" showLastColumn="0" showRowStripes="1" showColumnStripes="0"/>
</table>
</file>

<file path=xl/tables/table1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6" xr:uid="{9145BFB4-3423-41FC-811E-0107A6511B94}" name="Cty_Inox_Doan_Du" displayName="Cty_Inox_Doan_Du" ref="A9:K14" totalsRowShown="0" headerRowDxfId="941" dataDxfId="939" headerRowBorderDxfId="940" tableBorderDxfId="938" totalsRowBorderDxfId="937">
  <autoFilter ref="A9:K14" xr:uid="{3227F2BD-2C9D-4FFF-9F44-8C9E66133B6C}"/>
  <tableColumns count="11">
    <tableColumn id="1" xr3:uid="{7201C219-828E-49DE-8B93-0564818EB5BB}" name="Số phiếu" dataDxfId="936"/>
    <tableColumn id="2" xr3:uid="{C9234251-80B8-4874-B485-A17B0AAE69BA}" name="Ngày_x000a_ tháng" dataDxfId="935"/>
    <tableColumn id="3" xr3:uid="{D5ACC851-114E-44E4-944E-3AB84FC64210}" name="Nội dung" dataDxfId="934"/>
    <tableColumn id="12" xr3:uid="{A15C907E-F3EF-4892-9904-F04F63B13C0C}" name="Chủng loại" dataDxfId="933"/>
    <tableColumn id="4" xr3:uid="{FB3EEC3C-CBC7-47F6-BA95-F123BF6A635F}" name="Quy cách" dataDxfId="932"/>
    <tableColumn id="5" xr3:uid="{A4E4FB9C-70C4-458A-A024-0F2F3886D7D8}" name="SỐ LƯỢNG" dataDxfId="931">
      <calculatedColumnFormula>1091+958+901</calculatedColumnFormula>
    </tableColumn>
    <tableColumn id="6" xr3:uid="{136D5027-2233-47D1-9F46-4224EC28574E}" name="ĐƠN GIÁ" dataDxfId="930"/>
    <tableColumn id="7" xr3:uid="{843D4F51-5DA0-47D4-8F9F-B6CA9E8984C7}" name="THÀNH TIỀN" dataDxfId="929">
      <calculatedColumnFormula>Cty_Inox_Doan_Du[[#This Row],[ĐƠN GIÁ]]*Cty_Inox_Doan_Du[[#This Row],[SỐ LƯỢNG]]</calculatedColumnFormula>
    </tableColumn>
    <tableColumn id="8" xr3:uid="{693F8883-0006-499E-8A77-6E20563D5687}" name="THANH TOÁN" dataDxfId="928"/>
    <tableColumn id="9" xr3:uid="{A2AA0067-6971-46C3-846B-BE298869FEC1}" name="CÔNG NỢ_x000a_ CÒN LẠI" dataDxfId="927">
      <calculatedColumnFormula>J9+Cty_Inox_Doan_Du[[#This Row],[THÀNH TIỀN]]-Cty_Inox_Doan_Du[[#This Row],[THANH TOÁN]]</calculatedColumnFormula>
    </tableColumn>
    <tableColumn id="10" xr3:uid="{9C09D8BB-23D6-423C-996D-7B77FDCFF040}" name="Ghi chú" dataDxfId="926"/>
  </tableColumns>
  <tableStyleInfo showFirstColumn="0" showLastColumn="0" showRowStripes="1" showColumnStripes="0"/>
</table>
</file>

<file path=xl/tables/table1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7" xr:uid="{B80852CF-069F-40DD-8B15-F7DE44C4EC5E}" name="C_Dieu_HY" displayName="C_Dieu_HY" ref="A9:K14" totalsRowShown="0" headerRowDxfId="925" dataDxfId="923" headerRowBorderDxfId="924" tableBorderDxfId="922" totalsRowBorderDxfId="921">
  <autoFilter ref="A9:K14" xr:uid="{3227F2BD-2C9D-4FFF-9F44-8C9E66133B6C}"/>
  <tableColumns count="11">
    <tableColumn id="1" xr3:uid="{73F5F7F8-0397-4611-BF14-3E9A644149AD}" name="Số phiếu" dataDxfId="920"/>
    <tableColumn id="2" xr3:uid="{2013FB87-03BC-416C-BB2E-1FC192FE0AD6}" name="Ngày_x000a_ tháng" dataDxfId="919"/>
    <tableColumn id="3" xr3:uid="{BA8FBEE8-A688-4F23-84CF-C1244A1E0E0F}" name="Nội dung" dataDxfId="918"/>
    <tableColumn id="12" xr3:uid="{C75AF0A6-B5D0-4767-9590-384466AB42AA}" name="Chủng loại" dataDxfId="917"/>
    <tableColumn id="4" xr3:uid="{71E17DB5-9AC0-406C-B3EA-5537A9AD6095}" name="Quy cách" dataDxfId="916"/>
    <tableColumn id="5" xr3:uid="{63F6B387-8DB4-49B0-BF92-2C567CB994BA}" name="SỐ LƯỢNG" dataDxfId="915">
      <calculatedColumnFormula>1091+958+901</calculatedColumnFormula>
    </tableColumn>
    <tableColumn id="6" xr3:uid="{47308B23-D2B8-42C6-A23D-191C7D1ACCE6}" name="ĐƠN GIÁ" dataDxfId="914"/>
    <tableColumn id="7" xr3:uid="{CA9C260F-80E8-4721-B337-8B88D8C33E0A}" name="THÀNH TIỀN" dataDxfId="913">
      <calculatedColumnFormula>C_Dieu_HY[[#This Row],[ĐƠN GIÁ]]*C_Dieu_HY[[#This Row],[SỐ LƯỢNG]]</calculatedColumnFormula>
    </tableColumn>
    <tableColumn id="8" xr3:uid="{253D6C92-77FD-4E34-A209-F208BF7BE346}" name="THANH TOÁN" dataDxfId="912"/>
    <tableColumn id="9" xr3:uid="{DD59CC94-0FF7-43AF-BA15-49B979D34B25}" name="CÔNG NỢ_x000a_ CÒN LẠI" dataDxfId="911">
      <calculatedColumnFormula>J9+C_Dieu_HY[[#This Row],[THÀNH TIỀN]]-C_Dieu_HY[[#This Row],[THANH TOÁN]]</calculatedColumnFormula>
    </tableColumn>
    <tableColumn id="10" xr3:uid="{3FB26A8D-40D4-4FAA-8439-48E08278A851}" name="Ghi chú" dataDxfId="910"/>
  </tableColumns>
  <tableStyleInfo showFirstColumn="0" showLastColumn="0" showRowStripes="1" showColumnStripes="0"/>
</table>
</file>

<file path=xl/tables/table1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8" xr:uid="{BDE56134-30DF-4B27-9596-51CF7C1A2619}" name="Cty_Trang_Tung" displayName="Cty_Trang_Tung" ref="A9:K13" totalsRowShown="0" headerRowDxfId="909" dataDxfId="907" headerRowBorderDxfId="908" tableBorderDxfId="906" totalsRowBorderDxfId="905">
  <autoFilter ref="A9:K13" xr:uid="{3227F2BD-2C9D-4FFF-9F44-8C9E66133B6C}"/>
  <tableColumns count="11">
    <tableColumn id="1" xr3:uid="{963D70E2-E2CA-4DFC-886B-1138B975EFC1}" name="Số phiếu" dataDxfId="904"/>
    <tableColumn id="2" xr3:uid="{DD0F6613-27E5-4080-8246-A31003A93358}" name="Ngày_x000a_ tháng" dataDxfId="903"/>
    <tableColumn id="3" xr3:uid="{C1096D94-6374-439C-877C-F68636E13E5B}" name="Nội dung" dataDxfId="902"/>
    <tableColumn id="12" xr3:uid="{90E17226-9301-4DBE-86AE-4144523280FD}" name="Chủng loại" dataDxfId="901"/>
    <tableColumn id="4" xr3:uid="{1F3F25C1-DCA9-4B5E-A91C-65000D7B54E7}" name="Quy cách" dataDxfId="900"/>
    <tableColumn id="5" xr3:uid="{74FD46ED-2B91-4F46-B904-8B39C7B2E650}" name="SỐ LƯỢNG" dataDxfId="899">
      <calculatedColumnFormula>1091+958+901</calculatedColumnFormula>
    </tableColumn>
    <tableColumn id="6" xr3:uid="{14D09DE2-3502-4440-B1D3-70C2C66BA2B9}" name="ĐƠN GIÁ" dataDxfId="898"/>
    <tableColumn id="7" xr3:uid="{36DA5B84-012C-443F-8561-27588349EE48}" name="THÀNH TIỀN" dataDxfId="897">
      <calculatedColumnFormula>Cty_Trang_Tung[[#This Row],[ĐƠN GIÁ]]*Cty_Trang_Tung[[#This Row],[SỐ LƯỢNG]]</calculatedColumnFormula>
    </tableColumn>
    <tableColumn id="8" xr3:uid="{26CBBF0E-C214-4C8F-A10C-9BBF1BE8B52D}" name="THANH TOÁN" dataDxfId="896"/>
    <tableColumn id="9" xr3:uid="{CE0915D9-EBF8-43E9-8B6D-8C6F90F84C7B}" name="CÔNG NỢ_x000a_ CÒN LẠI" dataDxfId="895">
      <calculatedColumnFormula>J9+Cty_Trang_Tung[[#This Row],[THÀNH TIỀN]]-Cty_Trang_Tung[[#This Row],[THANH TOÁN]]</calculatedColumnFormula>
    </tableColumn>
    <tableColumn id="10" xr3:uid="{A926248C-D4FF-426B-9F8F-72DC100F32FF}" name="Ghi chú" dataDxfId="894"/>
  </tableColumns>
  <tableStyleInfo showFirstColumn="0" showLastColumn="0" showRowStripes="1" showColumnStripes="0"/>
</table>
</file>

<file path=xl/tables/table1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9" xr:uid="{C954C241-42A4-46D5-B884-7CFF0998FAC8}" name="Cty_Kinh_Thanh" displayName="Cty_Kinh_Thanh" ref="A9:K16" totalsRowShown="0" headerRowDxfId="893" dataDxfId="891" headerRowBorderDxfId="892" tableBorderDxfId="890" totalsRowBorderDxfId="889">
  <autoFilter ref="A9:K16" xr:uid="{3227F2BD-2C9D-4FFF-9F44-8C9E66133B6C}"/>
  <tableColumns count="11">
    <tableColumn id="1" xr3:uid="{55CCF3C1-A210-406F-B4E4-5F290678487B}" name="Số phiếu" dataDxfId="888"/>
    <tableColumn id="2" xr3:uid="{1531C460-F7C9-4870-BB90-16F4404084B4}" name="Ngày_x000a_ tháng" dataDxfId="887"/>
    <tableColumn id="3" xr3:uid="{0D8C6294-EC4C-407E-B0C5-ADD9FB391984}" name="Nội dung" dataDxfId="886"/>
    <tableColumn id="12" xr3:uid="{CE4E6E74-6886-48B5-B46D-4F242687939A}" name="Chủng loại" dataDxfId="885"/>
    <tableColumn id="4" xr3:uid="{CA50A403-610B-48B8-8357-430E9C8540B9}" name="Quy cách" dataDxfId="884"/>
    <tableColumn id="5" xr3:uid="{25ACD5CA-C0D8-4EB6-AF7E-ABB3AF80C103}" name="SỐ LƯỢNG" dataDxfId="883">
      <calculatedColumnFormula>1091+958+901</calculatedColumnFormula>
    </tableColumn>
    <tableColumn id="6" xr3:uid="{00BBCD86-8468-45F2-9812-85E42BE434AF}" name="ĐƠN GIÁ" dataDxfId="882"/>
    <tableColumn id="7" xr3:uid="{82E37AA3-4271-4E2C-9A32-E4972A1B8B96}" name="THÀNH TIỀN" dataDxfId="881">
      <calculatedColumnFormula>Cty_Kinh_Thanh[[#This Row],[ĐƠN GIÁ]]*Cty_Kinh_Thanh[[#This Row],[SỐ LƯỢNG]]</calculatedColumnFormula>
    </tableColumn>
    <tableColumn id="8" xr3:uid="{11A85951-9F95-47F9-AF19-3E021FCF2464}" name="THANH TOÁN" dataDxfId="880"/>
    <tableColumn id="9" xr3:uid="{AEC5241C-5991-4425-A592-4DADD9A9D2AA}" name="CÔNG NỢ_x000a_ CÒN LẠI" dataDxfId="879">
      <calculatedColumnFormula>J9+Cty_Kinh_Thanh[[#This Row],[THÀNH TIỀN]]-Cty_Kinh_Thanh[[#This Row],[THANH TOÁN]]</calculatedColumnFormula>
    </tableColumn>
    <tableColumn id="10" xr3:uid="{BFBB6E6A-EEF9-4A71-B1DE-B1F5969A5B14}" name="Ghi chú" dataDxfId="878"/>
  </tableColumns>
  <tableStyleInfo showFirstColumn="0" showLastColumn="0" showRowStripes="1" showColumnStripes="0"/>
</table>
</file>

<file path=xl/tables/table1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0" xr:uid="{676E2F7C-CA37-4E4D-9580-9E17E0F05785}" name="Cty_Viet_Tin" displayName="Cty_Viet_Tin" ref="A9:K17" totalsRowShown="0" headerRowDxfId="877" dataDxfId="875" headerRowBorderDxfId="876" tableBorderDxfId="874" totalsRowBorderDxfId="873">
  <autoFilter ref="A9:K17" xr:uid="{3227F2BD-2C9D-4FFF-9F44-8C9E66133B6C}"/>
  <tableColumns count="11">
    <tableColumn id="1" xr3:uid="{4A895C33-4AF3-4833-AD5B-5EC262F53B44}" name="Số phiếu" dataDxfId="872"/>
    <tableColumn id="2" xr3:uid="{EFB6E8DF-F6BE-4178-ADAC-4DABC388C1D7}" name="Ngày_x000a_ tháng" dataDxfId="871"/>
    <tableColumn id="3" xr3:uid="{215D24B9-3FC6-4908-BDE1-1499A64959DA}" name="Nội dung" dataDxfId="870"/>
    <tableColumn id="12" xr3:uid="{E3318418-7A9E-4850-8179-8D9BE751CE75}" name="Chủng loại" dataDxfId="869"/>
    <tableColumn id="4" xr3:uid="{56F31C2A-82BA-4C90-B47B-ECF32C6BE0C7}" name="Quy cách" dataDxfId="868"/>
    <tableColumn id="5" xr3:uid="{0F7083B9-387F-441B-85B3-65CCCAC42424}" name="SỐ LƯỢNG" dataDxfId="867">
      <calculatedColumnFormula>1091+958+901</calculatedColumnFormula>
    </tableColumn>
    <tableColumn id="6" xr3:uid="{A7B32A41-AAB7-496B-9276-851CAA512AFF}" name="ĐƠN GIÁ" dataDxfId="866"/>
    <tableColumn id="7" xr3:uid="{198757EE-0553-4426-AF4E-E826B3A829F5}" name="THÀNH TIỀN" dataDxfId="865">
      <calculatedColumnFormula>Cty_Viet_Tin[[#This Row],[ĐƠN GIÁ]]*Cty_Viet_Tin[[#This Row],[SỐ LƯỢNG]]</calculatedColumnFormula>
    </tableColumn>
    <tableColumn id="8" xr3:uid="{3A0278F2-EAF4-43FA-9C9F-F6FDA87DAC97}" name="THANH TOÁN" dataDxfId="864"/>
    <tableColumn id="9" xr3:uid="{64490301-27F1-48C9-93EE-D91BFF5803A2}" name="CÔNG NỢ_x000a_ CÒN LẠI" dataDxfId="863">
      <calculatedColumnFormula>J9+Cty_Viet_Tin[[#This Row],[THÀNH TIỀN]]-Cty_Viet_Tin[[#This Row],[THANH TOÁN]]</calculatedColumnFormula>
    </tableColumn>
    <tableColumn id="10" xr3:uid="{66B71BC5-5961-43B6-B74C-2FB65371AFC0}" name="Ghi chú" dataDxfId="862"/>
  </tableColumns>
  <tableStyleInfo showFirstColumn="0" showLastColumn="0" showRowStripes="1" showColumnStripes="0"/>
</table>
</file>

<file path=xl/tables/table1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1" xr:uid="{439E7582-E8C0-4C7B-AF76-6B9E9ABBC3AA}" name="Cty_Tung_Linh" displayName="Cty_Tung_Linh" ref="A9:K14" totalsRowShown="0" headerRowDxfId="861" dataDxfId="859" headerRowBorderDxfId="860" tableBorderDxfId="858" totalsRowBorderDxfId="857">
  <autoFilter ref="A9:K14" xr:uid="{3227F2BD-2C9D-4FFF-9F44-8C9E66133B6C}"/>
  <tableColumns count="11">
    <tableColumn id="1" xr3:uid="{A8923097-31A3-4691-9856-3B5E2E865B90}" name="Số phiếu" dataDxfId="856"/>
    <tableColumn id="2" xr3:uid="{102B600B-B2E1-483B-B777-D78CC81580C9}" name="Ngày_x000a_ tháng" dataDxfId="855"/>
    <tableColumn id="3" xr3:uid="{30AA398A-96B9-4D67-9CC6-03978A6E262C}" name="Nội dung" dataDxfId="854"/>
    <tableColumn id="12" xr3:uid="{77277D88-26E7-4124-BAEB-F0535560121A}" name="Chủng loại" dataDxfId="853"/>
    <tableColumn id="4" xr3:uid="{9D4A44CA-7D2A-4E3A-8AB7-F4A790DBD0D4}" name="Quy cách" dataDxfId="852"/>
    <tableColumn id="5" xr3:uid="{074C8622-9F77-4042-A88A-C7AD54D7E360}" name="SỐ LƯỢNG" dataDxfId="851">
      <calculatedColumnFormula>1091+958+901</calculatedColumnFormula>
    </tableColumn>
    <tableColumn id="6" xr3:uid="{C396D534-6856-45C0-9DA4-BB827B41A488}" name="ĐƠN GIÁ" dataDxfId="850"/>
    <tableColumn id="7" xr3:uid="{7828722E-AFC0-4C65-9696-9A71D00B696E}" name="THÀNH TIỀN" dataDxfId="849">
      <calculatedColumnFormula>Cty_Tung_Linh[[#This Row],[ĐƠN GIÁ]]*Cty_Tung_Linh[[#This Row],[SỐ LƯỢNG]]</calculatedColumnFormula>
    </tableColumn>
    <tableColumn id="8" xr3:uid="{CFD0C930-C979-4815-B080-26A3724B4AF1}" name="THANH TOÁN" dataDxfId="848"/>
    <tableColumn id="9" xr3:uid="{3600EEFE-512A-4503-A29E-FA34799647A2}" name="CÔNG NỢ_x000a_ CÒN LẠI" dataDxfId="847">
      <calculatedColumnFormula>J9+Cty_Tung_Linh[[#This Row],[THÀNH TIỀN]]-Cty_Tung_Linh[[#This Row],[THANH TOÁN]]</calculatedColumnFormula>
    </tableColumn>
    <tableColumn id="10" xr3:uid="{9C02E51B-6E73-4D86-ADF7-AD746C2A9609}" name="Ghi chú" dataDxfId="846"/>
  </tableColumns>
  <tableStyleInfo showFirstColumn="0" showLastColumn="0" showRowStripes="1" showColumnStripes="0"/>
</table>
</file>

<file path=xl/tables/table1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2" xr:uid="{70B176E4-E5A1-4235-A0B1-368854E68888}" name="Cty_Simec" displayName="Cty_Simec" ref="A9:K14" totalsRowShown="0" headerRowDxfId="845" dataDxfId="843" headerRowBorderDxfId="844" tableBorderDxfId="842" totalsRowBorderDxfId="841">
  <autoFilter ref="A9:K14" xr:uid="{3227F2BD-2C9D-4FFF-9F44-8C9E66133B6C}"/>
  <tableColumns count="11">
    <tableColumn id="1" xr3:uid="{CD3FB220-1F38-4E6C-8880-E2F62881FEB1}" name="Số phiếu" dataDxfId="840"/>
    <tableColumn id="2" xr3:uid="{EE50A7E5-5272-45BB-B570-D5E022C3D9AF}" name="Ngày_x000a_ tháng" dataDxfId="839"/>
    <tableColumn id="3" xr3:uid="{05B9F68A-0A21-4A93-B78A-4B19DDF27349}" name="Nội dung" dataDxfId="838"/>
    <tableColumn id="12" xr3:uid="{33DF42E3-006C-4AA1-9637-8E03F51C9394}" name="Chủng loại" dataDxfId="837"/>
    <tableColumn id="4" xr3:uid="{3DBE2C5B-36A1-48F0-8425-405DC762109D}" name="Quy cách" dataDxfId="836"/>
    <tableColumn id="5" xr3:uid="{648B60A7-A39C-4042-BAEB-CA36508B04B7}" name="SỐ LƯỢNG" dataDxfId="835">
      <calculatedColumnFormula>1091+958+901</calculatedColumnFormula>
    </tableColumn>
    <tableColumn id="6" xr3:uid="{633B2188-A730-426D-9954-C20CD09C14C6}" name="ĐƠN GIÁ" dataDxfId="834"/>
    <tableColumn id="7" xr3:uid="{27E2D8EF-342C-41B2-A5B6-8A8C5709FAB8}" name="THÀNH TIỀN" dataDxfId="833">
      <calculatedColumnFormula>Cty_Simec[[#This Row],[ĐƠN GIÁ]]*Cty_Simec[[#This Row],[SỐ LƯỢNG]]</calculatedColumnFormula>
    </tableColumn>
    <tableColumn id="8" xr3:uid="{AD1473F9-3AD9-4703-B25B-EE0A4B78D202}" name="THANH TOÁN" dataDxfId="832"/>
    <tableColumn id="9" xr3:uid="{8A695487-4BC6-4056-92CC-BBD3139DFB70}" name="CÔNG NỢ_x000a_ CÒN LẠI" dataDxfId="831">
      <calculatedColumnFormula>J9+Cty_Simec[[#This Row],[THÀNH TIỀN]]-Cty_Simec[[#This Row],[THANH TOÁN]]</calculatedColumnFormula>
    </tableColumn>
    <tableColumn id="10" xr3:uid="{6B6D2E5B-AB7F-4981-90E2-9C53676720A6}" name="Ghi chú" dataDxfId="830"/>
  </tableColumns>
  <tableStyleInfo showFirstColumn="0" showLastColumn="0" showRowStripes="1" showColumnStripes="0"/>
</table>
</file>

<file path=xl/tables/table1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4" xr:uid="{EA41970C-1F45-43F5-B76F-C4CE65659DAC}" name="Cty_Vinatota_Viet_My_HD" displayName="Cty_Vinatota_Viet_My_HD" ref="A9:K13" totalsRowShown="0" headerRowDxfId="829" dataDxfId="827" headerRowBorderDxfId="828" tableBorderDxfId="826" totalsRowBorderDxfId="825">
  <autoFilter ref="A9:K13" xr:uid="{3227F2BD-2C9D-4FFF-9F44-8C9E66133B6C}"/>
  <tableColumns count="11">
    <tableColumn id="1" xr3:uid="{B2E2CF23-F3DF-4ECF-B94C-C2C4A4A6EE9C}" name="Số phiếu" dataDxfId="824"/>
    <tableColumn id="2" xr3:uid="{B3CC371C-E2B4-43F9-9341-2F8DBDB631A1}" name="Ngày_x000a_ tháng" dataDxfId="823"/>
    <tableColumn id="3" xr3:uid="{289C7204-83CE-4074-8B94-5DAD014A2013}" name="Nội dung" dataDxfId="822"/>
    <tableColumn id="12" xr3:uid="{3D4DFE0D-0EEF-470C-89BA-415E6304AAC3}" name="Chủng loại" dataDxfId="821"/>
    <tableColumn id="4" xr3:uid="{CA73B034-CDED-483A-A19F-F1627412484B}" name="Quy cách" dataDxfId="820"/>
    <tableColumn id="5" xr3:uid="{37FCB959-E1D9-449B-8D9A-44A9690612AD}" name="SỐ LƯỢNG" dataDxfId="819">
      <calculatedColumnFormula>1091+958+901</calculatedColumnFormula>
    </tableColumn>
    <tableColumn id="6" xr3:uid="{21BCA9D8-1B0B-4835-A8C7-B1885D4F6945}" name="ĐƠN GIÁ" dataDxfId="818"/>
    <tableColumn id="7" xr3:uid="{18FCB664-99D0-45D1-9C3D-82A5931D2014}" name="THÀNH TIỀN" dataDxfId="817">
      <calculatedColumnFormula>Cty_Vinatota_Viet_My_HD[[#This Row],[ĐƠN GIÁ]]*Cty_Vinatota_Viet_My_HD[[#This Row],[SỐ LƯỢNG]]</calculatedColumnFormula>
    </tableColumn>
    <tableColumn id="8" xr3:uid="{B7298E5A-4617-4085-A716-BD1027945BFA}" name="THANH TOÁN" dataDxfId="816"/>
    <tableColumn id="9" xr3:uid="{009B33BE-573B-428A-9E76-F54533DCB519}" name="CÔNG NỢ_x000a_ CÒN LẠI" dataDxfId="815">
      <calculatedColumnFormula>J9+Cty_Vinatota_Viet_My_HD[[#This Row],[THÀNH TIỀN]]-Cty_Vinatota_Viet_My_HD[[#This Row],[THANH TOÁN]]</calculatedColumnFormula>
    </tableColumn>
    <tableColumn id="10" xr3:uid="{810F9422-07CA-457C-ACF8-19E34127B501}" name="Ghi chú" dataDxfId="814"/>
  </tableColumns>
  <tableStyleInfo showFirstColumn="0" showLastColumn="0" showRowStripes="1" showColumnStripes="0"/>
</table>
</file>

<file path=xl/tables/table1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5" xr:uid="{D291CC80-28E2-4F93-9E64-7285FB7295D2}" name="A_Dai_Vinh" displayName="A_Dai_Vinh" ref="A9:K14" totalsRowShown="0" headerRowDxfId="813" dataDxfId="811" headerRowBorderDxfId="812" tableBorderDxfId="810" totalsRowBorderDxfId="809">
  <autoFilter ref="A9:K14" xr:uid="{3227F2BD-2C9D-4FFF-9F44-8C9E66133B6C}"/>
  <tableColumns count="11">
    <tableColumn id="1" xr3:uid="{FCC08D06-14D0-4976-93E0-8421ACFC396A}" name="Số phiếu" dataDxfId="808"/>
    <tableColumn id="2" xr3:uid="{ACBEE954-A52F-4D4F-A27C-3576B055B1F3}" name="Ngày_x000a_ tháng" dataDxfId="807"/>
    <tableColumn id="3" xr3:uid="{968E95F5-7800-4B3A-AC08-56F745F60423}" name="Nội dung" dataDxfId="806"/>
    <tableColumn id="12" xr3:uid="{079D7908-0189-4BB3-B92F-8C4CBE36611E}" name="Chủng loại" dataDxfId="805"/>
    <tableColumn id="4" xr3:uid="{EAB510B3-9C61-457D-B935-864A8CF5A59C}" name="Quy cách" dataDxfId="804"/>
    <tableColumn id="5" xr3:uid="{0962F4E8-F155-4A65-9C5E-6DBE5432081E}" name="SỐ LƯỢNG" dataDxfId="803">
      <calculatedColumnFormula>1091+958+901</calculatedColumnFormula>
    </tableColumn>
    <tableColumn id="6" xr3:uid="{446D1F51-939C-4396-ABA5-E8CF1941DF05}" name="ĐƠN GIÁ" dataDxfId="802"/>
    <tableColumn id="7" xr3:uid="{CB04BD7D-DA92-45D2-A81A-01DFA0AE5C91}" name="THÀNH TIỀN" dataDxfId="801">
      <calculatedColumnFormula>A_Dai_Vinh[[#This Row],[ĐƠN GIÁ]]*A_Dai_Vinh[[#This Row],[SỐ LƯỢNG]]</calculatedColumnFormula>
    </tableColumn>
    <tableColumn id="8" xr3:uid="{DF8DD442-3862-4C78-B44B-864FCABB02BA}" name="THANH TOÁN" dataDxfId="800"/>
    <tableColumn id="9" xr3:uid="{5294C41C-69F4-430A-ADC4-F2C7F85F2076}" name="CÔNG NỢ_x000a_ CÒN LẠI" dataDxfId="799">
      <calculatedColumnFormula>J9+A_Dai_Vinh[[#This Row],[THÀNH TIỀN]]-A_Dai_Vinh[[#This Row],[THANH TOÁN]]</calculatedColumnFormula>
    </tableColumn>
    <tableColumn id="10" xr3:uid="{09125E8A-E2B8-467B-81CB-F43801F0D0C3}" name="Ghi chú" dataDxfId="798"/>
  </tableColumns>
  <tableStyleInfo showFirstColumn="0" showLastColumn="0" showRowStripes="1" showColumnStripes="0"/>
</table>
</file>

<file path=xl/tables/table1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3" xr:uid="{6F5BCB3B-33FC-4A21-87B1-FA548FAE8284}" name="E_Sang_Phuc_Tho" displayName="E_Sang_Phuc_Tho" ref="A9:K13" totalsRowShown="0" headerRowDxfId="797" dataDxfId="795" headerRowBorderDxfId="796" tableBorderDxfId="794" totalsRowBorderDxfId="793">
  <autoFilter ref="A9:K13" xr:uid="{3227F2BD-2C9D-4FFF-9F44-8C9E66133B6C}"/>
  <tableColumns count="11">
    <tableColumn id="1" xr3:uid="{A0E9AEF7-63C6-44FD-8CAA-F493F3D17624}" name="Số phiếu" dataDxfId="792"/>
    <tableColumn id="2" xr3:uid="{17F31114-0D90-46CA-AE20-107D02CB00EB}" name="Ngày_x000a_ tháng" dataDxfId="791"/>
    <tableColumn id="3" xr3:uid="{B0884C81-156E-4271-B3F1-33909325FCEC}" name="Nội dung" dataDxfId="790"/>
    <tableColumn id="12" xr3:uid="{30C247EE-FC0F-4323-AF79-682CD0495348}" name="Chủng loại" dataDxfId="789"/>
    <tableColumn id="4" xr3:uid="{17DFD0FF-F834-420C-9B57-D1B76CD1FFA2}" name="Quy cách" dataDxfId="788"/>
    <tableColumn id="5" xr3:uid="{AB1BDCAD-B14F-47D9-B475-31D83D3841C6}" name="SỐ LƯỢNG" dataDxfId="787">
      <calculatedColumnFormula>1091+958+901</calculatedColumnFormula>
    </tableColumn>
    <tableColumn id="6" xr3:uid="{970F2CB0-E5D4-412F-884B-34C5C840EFE8}" name="ĐƠN GIÁ" dataDxfId="786"/>
    <tableColumn id="7" xr3:uid="{09C61813-FFB4-4C9F-A5C3-1DB7CD18B728}" name="THÀNH TIỀN" dataDxfId="785">
      <calculatedColumnFormula>E_Sang_Phuc_Tho[[#This Row],[ĐƠN GIÁ]]*E_Sang_Phuc_Tho[[#This Row],[SỐ LƯỢNG]]</calculatedColumnFormula>
    </tableColumn>
    <tableColumn id="8" xr3:uid="{4726702A-38EB-4C6F-8B24-D89F1EB634A4}" name="THANH TOÁN" dataDxfId="784"/>
    <tableColumn id="9" xr3:uid="{D89A7082-ECA1-4C25-840E-FB13BDA2CB09}" name="CÔNG NỢ_x000a_ CÒN LẠI" dataDxfId="783">
      <calculatedColumnFormula>J9+E_Sang_Phuc_Tho[[#This Row],[THÀNH TIỀN]]-E_Sang_Phuc_Tho[[#This Row],[THANH TOÁN]]</calculatedColumnFormula>
    </tableColumn>
    <tableColumn id="10" xr3:uid="{8B5B061A-CE16-4A5D-BEAF-8D32F4DF25F0}" name="Ghi chú" dataDxfId="782"/>
  </tableColumns>
  <tableStyleInfo showFirstColumn="0" showLastColumn="0" showRowStripes="1" showColumnStripes="0"/>
</table>
</file>

<file path=xl/tables/table1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6" xr:uid="{663351CB-5754-49E2-A778-AAC0B65813F1}" name="Cty_Thang_Loi" displayName="Cty_Thang_Loi" ref="A9:K14" totalsRowShown="0" headerRowDxfId="781" dataDxfId="779" headerRowBorderDxfId="780" tableBorderDxfId="778" totalsRowBorderDxfId="777">
  <autoFilter ref="A9:K14" xr:uid="{3227F2BD-2C9D-4FFF-9F44-8C9E66133B6C}"/>
  <tableColumns count="11">
    <tableColumn id="1" xr3:uid="{B714B507-B7B5-4901-8B78-085B47C8F3E3}" name="Số phiếu" dataDxfId="776"/>
    <tableColumn id="2" xr3:uid="{E2EFD0A6-0CA5-4986-B082-0F6F8F8D081B}" name="Ngày_x000a_ tháng" dataDxfId="775"/>
    <tableColumn id="3" xr3:uid="{75153F64-7DD3-4607-857D-2CB93A42F087}" name="Nội dung" dataDxfId="774"/>
    <tableColumn id="12" xr3:uid="{A828CBE1-BE05-44B5-8CC7-FCED9434422E}" name="Chủng loại" dataDxfId="773"/>
    <tableColumn id="4" xr3:uid="{28B1C53A-B6BC-46E4-9C5B-5766DF34B3C3}" name="Quy cách" dataDxfId="772"/>
    <tableColumn id="5" xr3:uid="{AA97AC75-3935-4BFE-B899-5A632F464EE6}" name="SỐ LƯỢNG" dataDxfId="771">
      <calculatedColumnFormula>1091+958+901</calculatedColumnFormula>
    </tableColumn>
    <tableColumn id="6" xr3:uid="{8E17C974-49E0-4A71-99FC-A673125D31B5}" name="ĐƠN GIÁ" dataDxfId="770"/>
    <tableColumn id="7" xr3:uid="{3D87F160-9C2A-4EB6-AF1C-C5647BD77BB1}" name="THÀNH TIỀN" dataDxfId="769">
      <calculatedColumnFormula>Cty_Thang_Loi[[#This Row],[ĐƠN GIÁ]]*Cty_Thang_Loi[[#This Row],[SỐ LƯỢNG]]</calculatedColumnFormula>
    </tableColumn>
    <tableColumn id="8" xr3:uid="{B6B2C6A0-6DC5-4ABD-9A06-F71A4A78D1D9}" name="THANH TOÁN" dataDxfId="768"/>
    <tableColumn id="9" xr3:uid="{349114F7-EEA4-45D0-AE54-AA8A45B8FE03}" name="CÔNG NỢ_x000a_ CÒN LẠI" dataDxfId="767">
      <calculatedColumnFormula>J9+Cty_Thang_Loi[[#This Row],[THÀNH TIỀN]]-Cty_Thang_Loi[[#This Row],[THANH TOÁN]]</calculatedColumnFormula>
    </tableColumn>
    <tableColumn id="10" xr3:uid="{B6637986-CE23-421D-BB87-95D4A379F6C8}" name="Ghi chú" dataDxfId="766"/>
  </tableColumns>
  <tableStyleInfo showFirstColumn="0" showLastColumn="0" showRowStripes="1" showColumnStripes="0"/>
</table>
</file>

<file path=xl/tables/table1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7" xr:uid="{4F552FC7-CF8D-4FA8-941A-28A89A1AD31C}" name="Cty_Kim_Long" displayName="Cty_Kim_Long" ref="A9:K14" totalsRowShown="0" headerRowDxfId="765" dataDxfId="763" headerRowBorderDxfId="764" tableBorderDxfId="762" totalsRowBorderDxfId="761">
  <autoFilter ref="A9:K14" xr:uid="{3227F2BD-2C9D-4FFF-9F44-8C9E66133B6C}"/>
  <tableColumns count="11">
    <tableColumn id="1" xr3:uid="{2D212FC9-201F-4D44-8F98-7A26856C5DB6}" name="Số phiếu" dataDxfId="760"/>
    <tableColumn id="2" xr3:uid="{0B5C94E5-1481-457E-8C44-082757937F9D}" name="Ngày_x000a_ tháng" dataDxfId="759"/>
    <tableColumn id="3" xr3:uid="{B07399C8-EFF1-4F27-8933-3F5745692AAE}" name="Nội dung" dataDxfId="758"/>
    <tableColumn id="12" xr3:uid="{4D48796C-39CD-4638-8DB0-3DC7E1EFA09F}" name="Chủng loại" dataDxfId="757"/>
    <tableColumn id="4" xr3:uid="{F2E7C6FA-B18D-4A4D-95D2-E3DBF84EC196}" name="Quy cách" dataDxfId="756"/>
    <tableColumn id="5" xr3:uid="{144E5E6D-0703-4C79-A62D-1B4665D1217F}" name="SỐ LƯỢNG" dataDxfId="755">
      <calculatedColumnFormula>1091+958+901</calculatedColumnFormula>
    </tableColumn>
    <tableColumn id="6" xr3:uid="{CE8D9A30-7A5D-41F5-9BBF-3D25A60DB4A7}" name="ĐƠN GIÁ" dataDxfId="754"/>
    <tableColumn id="7" xr3:uid="{774AC00B-F4C3-4F36-947D-6138393FDA3B}" name="THÀNH TIỀN" dataDxfId="753">
      <calculatedColumnFormula>Cty_Kim_Long[[#This Row],[ĐƠN GIÁ]]*Cty_Kim_Long[[#This Row],[SỐ LƯỢNG]]</calculatedColumnFormula>
    </tableColumn>
    <tableColumn id="8" xr3:uid="{2673414C-CAAB-454A-95C1-972B81FFA915}" name="THANH TOÁN" dataDxfId="752"/>
    <tableColumn id="9" xr3:uid="{A5E4B102-B19E-48A3-8106-97D05488C46E}" name="CÔNG NỢ_x000a_ CÒN LẠI" dataDxfId="751">
      <calculatedColumnFormula>J9+Cty_Kim_Long[[#This Row],[THÀNH TIỀN]]-Cty_Kim_Long[[#This Row],[THANH TOÁN]]</calculatedColumnFormula>
    </tableColumn>
    <tableColumn id="10" xr3:uid="{55D0DF8F-5D7F-4000-B1D5-2CDD896D132F}" name="Ghi chú" dataDxfId="750"/>
  </tableColumns>
  <tableStyleInfo showFirstColumn="0" showLastColumn="0" showRowStripes="1" showColumnStripes="0"/>
</table>
</file>

<file path=xl/tables/table1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8" xr:uid="{77D15DCF-FC7E-4A76-9D29-B3644084242D}" name="Cty_INOX_Viet_Nam" displayName="Cty_INOX_Viet_Nam" ref="A9:K21" totalsRowShown="0" headerRowDxfId="749" dataDxfId="747" headerRowBorderDxfId="748" tableBorderDxfId="746" totalsRowBorderDxfId="745">
  <autoFilter ref="A9:K21" xr:uid="{3227F2BD-2C9D-4FFF-9F44-8C9E66133B6C}"/>
  <sortState xmlns:xlrd2="http://schemas.microsoft.com/office/spreadsheetml/2017/richdata2" ref="A10:K18">
    <sortCondition ref="B18"/>
  </sortState>
  <tableColumns count="11">
    <tableColumn id="1" xr3:uid="{FE433344-555A-413D-9BFC-03115A922029}" name="Số phiếu" dataDxfId="744"/>
    <tableColumn id="2" xr3:uid="{9ED5FCAB-CDFA-4C87-9940-3445419853F5}" name="Ngày_x000a_ tháng" dataDxfId="743"/>
    <tableColumn id="3" xr3:uid="{6D0D2BEF-BB63-4673-8D69-2FF1E6C5BC11}" name="Nội dung" dataDxfId="742"/>
    <tableColumn id="12" xr3:uid="{C5D91FB5-EF85-45AE-A462-387F0CDDB504}" name="Chủng loại" dataDxfId="741"/>
    <tableColumn id="4" xr3:uid="{7F227097-A26A-4DD2-A2E7-CBD2150F820E}" name="Quy cách" dataDxfId="740"/>
    <tableColumn id="5" xr3:uid="{9A9FF349-0C0A-4268-A8F9-74F69665AFC9}" name="SỐ LƯỢNG" dataDxfId="739">
      <calculatedColumnFormula>1091+958+901</calculatedColumnFormula>
    </tableColumn>
    <tableColumn id="6" xr3:uid="{EBF46C05-F578-427D-9A33-2F62FF08747A}" name="ĐƠN GIÁ" dataDxfId="738"/>
    <tableColumn id="7" xr3:uid="{0DD4B152-D39F-45C1-8841-25F0B5C06086}" name="THÀNH TIỀN" dataDxfId="737">
      <calculatedColumnFormula>Cty_INOX_Viet_Nam[[#This Row],[ĐƠN GIÁ]]*Cty_INOX_Viet_Nam[[#This Row],[SỐ LƯỢNG]]</calculatedColumnFormula>
    </tableColumn>
    <tableColumn id="8" xr3:uid="{7BAE39FE-A122-4B5B-B01A-09CFC2874FD3}" name="THANH TOÁN" dataDxfId="736"/>
    <tableColumn id="9" xr3:uid="{261A0769-5BD9-40F2-8B8E-1994B1131B40}" name="CÔNG NỢ_x000a_ CÒN LẠI" dataDxfId="735">
      <calculatedColumnFormula>J9+Cty_INOX_Viet_Nam[[#This Row],[THÀNH TIỀN]]-Cty_INOX_Viet_Nam[[#This Row],[THANH TOÁN]]</calculatedColumnFormula>
    </tableColumn>
    <tableColumn id="10" xr3:uid="{FB8CD461-36CB-4D45-B3BB-348A217E52BA}" name="Ghi chú" dataDxfId="734"/>
  </tableColumns>
  <tableStyleInfo showFirstColumn="0" showLastColumn="0" showRowStripes="1" showColumnStripes="0"/>
</table>
</file>

<file path=xl/tables/table1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0" xr:uid="{99675AA3-732F-42C3-8AA3-83CDE0E5425D}" name="Cty_Phuc_An_HP" displayName="Cty_Phuc_An_HP" ref="A9:K19" totalsRowShown="0" headerRowDxfId="733" dataDxfId="731" headerRowBorderDxfId="732" tableBorderDxfId="730" totalsRowBorderDxfId="729">
  <autoFilter ref="A9:K19" xr:uid="{3227F2BD-2C9D-4FFF-9F44-8C9E66133B6C}"/>
  <sortState xmlns:xlrd2="http://schemas.microsoft.com/office/spreadsheetml/2017/richdata2" ref="A10:K19">
    <sortCondition ref="B12:B19"/>
  </sortState>
  <tableColumns count="11">
    <tableColumn id="1" xr3:uid="{F6B6111F-13E0-4CBA-B429-C5F10043E28F}" name="Số phiếu" dataDxfId="728"/>
    <tableColumn id="2" xr3:uid="{0D9C8218-7FF6-40DD-B5DA-E1319B56120D}" name="Ngày_x000a_ tháng" dataDxfId="727"/>
    <tableColumn id="3" xr3:uid="{3A7181BA-93B6-4EA7-9A22-D604049EDAE8}" name="Nội dung" dataDxfId="726"/>
    <tableColumn id="12" xr3:uid="{C6EE3170-9304-4D96-A5FD-4B0CA7FCEA83}" name="Chủng loại" dataDxfId="725"/>
    <tableColumn id="4" xr3:uid="{0F7CCE50-665B-43AA-93CD-CFAECC480832}" name="Quy cách" dataDxfId="724"/>
    <tableColumn id="5" xr3:uid="{AB45C523-CA43-41B6-A1CC-DE882604503F}" name="SỐ LƯỢNG" dataDxfId="723">
      <calculatedColumnFormula>1091+958+901</calculatedColumnFormula>
    </tableColumn>
    <tableColumn id="6" xr3:uid="{73BD1697-89CC-48A7-8C16-5731F8344747}" name="ĐƠN GIÁ" dataDxfId="722"/>
    <tableColumn id="7" xr3:uid="{621FCB0B-74DC-44E2-AA22-AB6B71C292DF}" name="THÀNH TIỀN" dataDxfId="721">
      <calculatedColumnFormula>Cty_Phuc_An_HP[[#This Row],[ĐƠN GIÁ]]*Cty_Phuc_An_HP[[#This Row],[SỐ LƯỢNG]]</calculatedColumnFormula>
    </tableColumn>
    <tableColumn id="8" xr3:uid="{98C3C8A7-3211-42BD-982C-E96D731A8318}" name="THANH TOÁN" dataDxfId="720"/>
    <tableColumn id="9" xr3:uid="{CE3FCC17-4C69-4016-A21C-970149B726D8}" name="CÔNG NỢ_x000a_ CÒN LẠI" dataDxfId="719">
      <calculatedColumnFormula>J9+Cty_Phuc_An_HP[[#This Row],[THÀNH TIỀN]]-Cty_Phuc_An_HP[[#This Row],[THANH TOÁN]]</calculatedColumnFormula>
    </tableColumn>
    <tableColumn id="10" xr3:uid="{6CC1035F-7C09-4F20-AFB4-A84FFF85EBF6}" name="Ghi chú" dataDxfId="718"/>
  </tableColumns>
  <tableStyleInfo showFirstColumn="0" showLastColumn="0" showRowStripes="1" showColumnStripes="0"/>
</table>
</file>

<file path=xl/tables/table1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1" xr:uid="{2CC3D098-47F5-428C-9A06-E73ED86AF388}" name="Cty_Thuy_Thuy_Vinh" displayName="Cty_Thuy_Thuy_Vinh" ref="A9:K29" totalsRowShown="0" headerRowDxfId="717" dataDxfId="715" headerRowBorderDxfId="716" tableBorderDxfId="714" totalsRowBorderDxfId="713">
  <autoFilter ref="A9:K29" xr:uid="{3227F2BD-2C9D-4FFF-9F44-8C9E66133B6C}"/>
  <tableColumns count="11">
    <tableColumn id="1" xr3:uid="{D61BBA18-D746-4EFC-8182-AF380B8EEBDA}" name="Số phiếu" dataDxfId="712"/>
    <tableColumn id="2" xr3:uid="{7032836E-98B5-4CEB-9DEC-EA80DD617B7E}" name="Ngày_x000a_ tháng" dataDxfId="711"/>
    <tableColumn id="3" xr3:uid="{1844E447-CC07-49CC-9A14-7A6F5FCD333A}" name="Nội dung" dataDxfId="710"/>
    <tableColumn id="12" xr3:uid="{7544EE6F-2004-41DD-86B1-9A7E11D1D28A}" name="Chủng loại" dataDxfId="709"/>
    <tableColumn id="4" xr3:uid="{0949FA57-6701-44E9-AFB6-404E70EEBAE1}" name="Quy cách" dataDxfId="708"/>
    <tableColumn id="5" xr3:uid="{C6F6D57C-FAA7-4EAE-849F-48AAA9EBB2F9}" name="SỐ LƯỢNG" dataDxfId="707">
      <calculatedColumnFormula>1091+958+901</calculatedColumnFormula>
    </tableColumn>
    <tableColumn id="6" xr3:uid="{9B729798-DE6B-4627-8FF4-493D72245EB5}" name="ĐƠN GIÁ" dataDxfId="706"/>
    <tableColumn id="7" xr3:uid="{7AE6F6F3-41D3-4E0E-9ADF-209BFD97C194}" name="THÀNH TIỀN" dataDxfId="705">
      <calculatedColumnFormula>Cty_Thuy_Thuy_Vinh[[#This Row],[ĐƠN GIÁ]]*Cty_Thuy_Thuy_Vinh[[#This Row],[SỐ LƯỢNG]]</calculatedColumnFormula>
    </tableColumn>
    <tableColumn id="8" xr3:uid="{5B03182F-4E3D-43CF-90F4-5FD080EE6217}" name="THANH TOÁN" dataDxfId="704"/>
    <tableColumn id="9" xr3:uid="{517D8E81-6BBE-40F7-AF0E-BF136A57A315}" name="CÔNG NỢ_x000a_ CÒN LẠI" dataDxfId="703">
      <calculatedColumnFormula>J9+Cty_Thuy_Thuy_Vinh[[#This Row],[THÀNH TIỀN]]-Cty_Thuy_Thuy_Vinh[[#This Row],[THANH TOÁN]]</calculatedColumnFormula>
    </tableColumn>
    <tableColumn id="10" xr3:uid="{2BCECFBC-10DE-4682-A1D8-40FD3EC1B8DD}" name="Ghi chú" dataDxfId="702"/>
  </tableColumns>
  <tableStyleInfo showFirstColumn="0" showLastColumn="0" showRowStripes="1" showColumnStripes="0"/>
</table>
</file>

<file path=xl/tables/table1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2" xr:uid="{3D7118F0-97D3-4F79-9ADC-D1246CFA5549}" name="A_Vuong_The_Duc" displayName="A_Vuong_The_Duc" ref="A9:K12" totalsRowShown="0" headerRowDxfId="701" dataDxfId="699" headerRowBorderDxfId="700" tableBorderDxfId="698" totalsRowBorderDxfId="697">
  <autoFilter ref="A9:K12" xr:uid="{3227F2BD-2C9D-4FFF-9F44-8C9E66133B6C}"/>
  <tableColumns count="11">
    <tableColumn id="1" xr3:uid="{05830128-84E2-42CF-8189-94671ED12187}" name="Số phiếu" dataDxfId="696"/>
    <tableColumn id="2" xr3:uid="{3BD3E145-433D-4FEB-BCA2-91E421A2BC84}" name="Ngày_x000a_ tháng" dataDxfId="695"/>
    <tableColumn id="3" xr3:uid="{8E5A81D1-8EC6-4EE2-89EC-FB7B68260906}" name="Nội dung" dataDxfId="694"/>
    <tableColumn id="12" xr3:uid="{36E3540E-F70B-4148-AA88-C8B3CB50C2AD}" name="Chủng loại" dataDxfId="693"/>
    <tableColumn id="4" xr3:uid="{AA1E83F0-8738-4F97-901C-A382C6AFA421}" name="Quy cách" dataDxfId="692"/>
    <tableColumn id="5" xr3:uid="{86AD6667-3CF1-41CF-9565-9D8C0109F003}" name="SỐ LƯỢNG" dataDxfId="691">
      <calculatedColumnFormula>1091+958+901</calculatedColumnFormula>
    </tableColumn>
    <tableColumn id="6" xr3:uid="{9CDABC88-6535-47C1-8D61-D477FB33C64A}" name="ĐƠN GIÁ" dataDxfId="690"/>
    <tableColumn id="7" xr3:uid="{2EB37E48-D254-441F-932B-B4C26CECEFD0}" name="THÀNH TIỀN" dataDxfId="689">
      <calculatedColumnFormula>A_Vuong_The_Duc[[#This Row],[ĐƠN GIÁ]]*A_Vuong_The_Duc[[#This Row],[SỐ LƯỢNG]]</calculatedColumnFormula>
    </tableColumn>
    <tableColumn id="8" xr3:uid="{349B5786-CCC2-415E-89DC-70EF1217E462}" name="THANH TOÁN" dataDxfId="688"/>
    <tableColumn id="9" xr3:uid="{1DEDAF15-87AE-496D-B6B1-4B30E79A0B8E}" name="CÔNG NỢ_x000a_ CÒN LẠI" dataDxfId="687">
      <calculatedColumnFormula>J9+A_Vuong_The_Duc[[#This Row],[THÀNH TIỀN]]-A_Vuong_The_Duc[[#This Row],[THANH TOÁN]]</calculatedColumnFormula>
    </tableColumn>
    <tableColumn id="10" xr3:uid="{F4291293-BCE6-4B12-A171-6D5F56793E4C}" name="Ghi chú" dataDxfId="686"/>
  </tableColumns>
  <tableStyleInfo showFirstColumn="0" showLastColumn="0" showRowStripes="1" showColumnStripes="0"/>
</table>
</file>

<file path=xl/tables/table1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3" xr:uid="{410B3CE8-82E8-438A-ADD7-160F03D0245C}" name="A_Hoan_Tam_Trinh" displayName="A_Hoan_Tam_Trinh" ref="A9:K23" totalsRowShown="0" headerRowDxfId="685" dataDxfId="683" headerRowBorderDxfId="684" tableBorderDxfId="682" totalsRowBorderDxfId="681">
  <autoFilter ref="A9:K23" xr:uid="{3227F2BD-2C9D-4FFF-9F44-8C9E66133B6C}"/>
  <sortState xmlns:xlrd2="http://schemas.microsoft.com/office/spreadsheetml/2017/richdata2" ref="A10:K19">
    <sortCondition ref="B10:B19"/>
  </sortState>
  <tableColumns count="11">
    <tableColumn id="1" xr3:uid="{A3DCE887-0540-4026-BCAA-F0CE917DABEA}" name="Số phiếu" dataDxfId="680"/>
    <tableColumn id="2" xr3:uid="{ABCE7095-E060-44CE-A26E-EE8501B9FEF9}" name="Ngày_x000a_ tháng" dataDxfId="679"/>
    <tableColumn id="3" xr3:uid="{2950BC2C-E51E-4B57-A5B0-E6FBA826386D}" name="Nội dung" dataDxfId="678"/>
    <tableColumn id="12" xr3:uid="{B09CD4AB-9DC6-444D-B960-9745BB1D0EBA}" name="Chủng loại" dataDxfId="677"/>
    <tableColumn id="4" xr3:uid="{D7151E7A-1DD1-44AC-BE01-6B1A4EEEB7DE}" name="Quy cách" dataDxfId="676"/>
    <tableColumn id="5" xr3:uid="{F5B072BE-5790-43AF-B036-A95AEE696E2D}" name="SỐ LƯỢNG" dataDxfId="675">
      <calculatedColumnFormula>1091+958+901</calculatedColumnFormula>
    </tableColumn>
    <tableColumn id="6" xr3:uid="{85229261-976D-4B0E-96C3-88D3BC78D2A0}" name="ĐƠN GIÁ" dataDxfId="674"/>
    <tableColumn id="7" xr3:uid="{E6CED456-0520-49A8-BA53-07F124963357}" name="THÀNH TIỀN" dataDxfId="673">
      <calculatedColumnFormula>A_Hoan_Tam_Trinh[[#This Row],[ĐƠN GIÁ]]*A_Hoan_Tam_Trinh[[#This Row],[SỐ LƯỢNG]]</calculatedColumnFormula>
    </tableColumn>
    <tableColumn id="8" xr3:uid="{700BE5B1-4FE0-4B09-BE7C-947803B8C9D1}" name="THANH TOÁN" dataDxfId="672"/>
    <tableColumn id="9" xr3:uid="{EB7271F9-B7F1-4527-96B1-6911CC7AED91}" name="CÔNG NỢ_x000a_ CÒN LẠI" dataDxfId="671">
      <calculatedColumnFormula>J9+A_Hoan_Tam_Trinh[[#This Row],[THÀNH TIỀN]]-A_Hoan_Tam_Trinh[[#This Row],[THANH TOÁN]]</calculatedColumnFormula>
    </tableColumn>
    <tableColumn id="10" xr3:uid="{099B7622-586D-4386-9273-2AC58A990536}" name="Ghi chú" dataDxfId="670"/>
  </tableColumns>
  <tableStyleInfo showFirstColumn="0" showLastColumn="0" showRowStripes="1" showColumnStripes="0"/>
</table>
</file>

<file path=xl/tables/table1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4" xr:uid="{4C829106-7EE4-4406-BAD6-20FD4B4D4F6E}" name="E_Minh_HY" displayName="E_Minh_HY" ref="A9:K15" totalsRowShown="0" headerRowDxfId="669" dataDxfId="667" headerRowBorderDxfId="668" tableBorderDxfId="666" totalsRowBorderDxfId="665">
  <autoFilter ref="A9:K15" xr:uid="{3227F2BD-2C9D-4FFF-9F44-8C9E66133B6C}"/>
  <sortState xmlns:xlrd2="http://schemas.microsoft.com/office/spreadsheetml/2017/richdata2" ref="A10:K15">
    <sortCondition ref="B12:B15"/>
  </sortState>
  <tableColumns count="11">
    <tableColumn id="1" xr3:uid="{859F7047-022E-4731-9102-75F76E701806}" name="Số phiếu" dataDxfId="664"/>
    <tableColumn id="2" xr3:uid="{402D422F-4CA8-4EB4-80AA-F760C9FC5947}" name="Ngày_x000a_ tháng" dataDxfId="663"/>
    <tableColumn id="3" xr3:uid="{DF50A443-8873-4398-A574-9891A30BE957}" name="Nội dung" dataDxfId="662"/>
    <tableColumn id="12" xr3:uid="{4993CD6F-5BF8-4D95-BBF2-41DAE56433BF}" name="Chủng loại" dataDxfId="661"/>
    <tableColumn id="4" xr3:uid="{F5E049B6-FB65-4F78-8CC5-9673C8D969BC}" name="Quy cách" dataDxfId="660"/>
    <tableColumn id="5" xr3:uid="{027F0818-42D5-4716-9B2F-C67ED27FFE06}" name="SỐ LƯỢNG" dataDxfId="659">
      <calculatedColumnFormula>1091+958+901</calculatedColumnFormula>
    </tableColumn>
    <tableColumn id="6" xr3:uid="{A7CBBB21-EDB1-43A0-808D-F1D50EC4D26E}" name="ĐƠN GIÁ" dataDxfId="658"/>
    <tableColumn id="7" xr3:uid="{4A604FCD-C2F8-4FF0-A25B-94F90A834AF4}" name="THÀNH TIỀN" dataDxfId="657">
      <calculatedColumnFormula>E_Minh_HY[[#This Row],[ĐƠN GIÁ]]*E_Minh_HY[[#This Row],[SỐ LƯỢNG]]</calculatedColumnFormula>
    </tableColumn>
    <tableColumn id="8" xr3:uid="{EDBC5149-B5AE-49DE-8701-096AEA1EE376}" name="THANH TOÁN" dataDxfId="656"/>
    <tableColumn id="9" xr3:uid="{A4B57A89-FA78-4462-B346-EB976BFAC2DF}" name="CÔNG NỢ_x000a_ CÒN LẠI" dataDxfId="655">
      <calculatedColumnFormula>J9+E_Minh_HY[[#This Row],[THÀNH TIỀN]]-E_Minh_HY[[#This Row],[THANH TOÁN]]</calculatedColumnFormula>
    </tableColumn>
    <tableColumn id="10" xr3:uid="{25222912-7BA3-42E2-BFFE-4A93BBBE3D9B}" name="Ghi chú" dataDxfId="654"/>
  </tableColumns>
  <tableStyleInfo showFirstColumn="0" showLastColumn="0" showRowStripes="1" showColumnStripes="0"/>
</table>
</file>

<file path=xl/tables/table1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5" xr:uid="{E588330C-4B66-4A8F-932B-74AC44A0DCCD}" name="Cty_Phu_Hung_An" displayName="Cty_Phu_Hung_An" ref="A9:K12" totalsRowShown="0" headerRowDxfId="653" dataDxfId="651" headerRowBorderDxfId="652" tableBorderDxfId="650" totalsRowBorderDxfId="649">
  <autoFilter ref="A9:K12" xr:uid="{3227F2BD-2C9D-4FFF-9F44-8C9E66133B6C}"/>
  <tableColumns count="11">
    <tableColumn id="1" xr3:uid="{A069157C-F330-428A-86C0-2195EB90239E}" name="Số phiếu" dataDxfId="648"/>
    <tableColumn id="2" xr3:uid="{627E2FCA-0733-46D8-ACEA-A6A9DC49CCA0}" name="Ngày_x000a_ tháng" dataDxfId="647"/>
    <tableColumn id="3" xr3:uid="{D67E9C3A-037E-4B0A-8948-50494D7104C7}" name="Nội dung" dataDxfId="646"/>
    <tableColumn id="12" xr3:uid="{8230CAF6-0456-4745-9104-F5BF1473A533}" name="Chủng loại" dataDxfId="645"/>
    <tableColumn id="4" xr3:uid="{D1C83BC3-89E1-4AC4-A912-AB75909C6421}" name="Quy cách" dataDxfId="644"/>
    <tableColumn id="5" xr3:uid="{0C69059D-531D-4783-9C8F-227F447C0AEE}" name="SỐ LƯỢNG" dataDxfId="643">
      <calculatedColumnFormula>1091+958+901</calculatedColumnFormula>
    </tableColumn>
    <tableColumn id="6" xr3:uid="{41D03DF1-4975-48DB-BDBF-341966D59624}" name="ĐƠN GIÁ" dataDxfId="642"/>
    <tableColumn id="7" xr3:uid="{CCBE6EFB-2415-453E-9A5F-45035C2716FB}" name="THÀNH TIỀN" dataDxfId="641">
      <calculatedColumnFormula>Cty_Phu_Hung_An[[#This Row],[ĐƠN GIÁ]]*Cty_Phu_Hung_An[[#This Row],[SỐ LƯỢNG]]</calculatedColumnFormula>
    </tableColumn>
    <tableColumn id="8" xr3:uid="{BB8C19C8-F99F-4509-815A-B2E97DCF73D3}" name="THANH TOÁN" dataDxfId="640"/>
    <tableColumn id="9" xr3:uid="{93990331-EC9F-4D78-9CC1-52DA8E978FBD}" name="CÔNG NỢ_x000a_ CÒN LẠI" dataDxfId="639">
      <calculatedColumnFormula>J9+Cty_Phu_Hung_An[[#This Row],[THÀNH TIỀN]]-Cty_Phu_Hung_An[[#This Row],[THANH TOÁN]]</calculatedColumnFormula>
    </tableColumn>
    <tableColumn id="10" xr3:uid="{5BCD91D3-544F-4804-A978-0CB67FE331BC}" name="Ghi chú" dataDxfId="638"/>
  </tableColumns>
  <tableStyleInfo showFirstColumn="0" showLastColumn="0" showRowStripes="1" showColumnStripes="0"/>
</table>
</file>

<file path=xl/tables/table1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6" xr:uid="{2EB61A68-5458-4A79-A97D-C98C973BA401}" name="Cty_Ha_Thanh" displayName="Cty_Ha_Thanh" ref="A9:K19" totalsRowShown="0" headerRowDxfId="637" dataDxfId="635" headerRowBorderDxfId="636" tableBorderDxfId="634" totalsRowBorderDxfId="633">
  <autoFilter ref="A9:K19" xr:uid="{3227F2BD-2C9D-4FFF-9F44-8C9E66133B6C}"/>
  <tableColumns count="11">
    <tableColumn id="1" xr3:uid="{E718D5C6-96C0-4E7B-A054-79CA9B74D908}" name="Số phiếu" dataDxfId="632"/>
    <tableColumn id="2" xr3:uid="{AEF987D8-3CB3-4966-B7DA-7C7F9BA99C31}" name="Ngày_x000a_ tháng" dataDxfId="631"/>
    <tableColumn id="3" xr3:uid="{7FDDBDDD-FD09-466D-86F5-22864A03AC93}" name="Nội dung" dataDxfId="630"/>
    <tableColumn id="12" xr3:uid="{F8EA2911-88F7-4334-B76B-AF95028454F6}" name="Chủng loại" dataDxfId="629"/>
    <tableColumn id="4" xr3:uid="{CE0E9002-B6E4-4094-8FAB-2905205B2A6F}" name="Quy cách" dataDxfId="628"/>
    <tableColumn id="5" xr3:uid="{FA936A96-8AC9-42D6-B76E-F7B5A761BF62}" name="SỐ LƯỢNG" dataDxfId="627">
      <calculatedColumnFormula>1091+958+901</calculatedColumnFormula>
    </tableColumn>
    <tableColumn id="6" xr3:uid="{8A9B7CCB-A8E2-4CCF-99DF-036AAB822A43}" name="ĐƠN GIÁ" dataDxfId="626"/>
    <tableColumn id="7" xr3:uid="{2D4EA8E3-3798-43F9-9505-C5666DB79F28}" name="THÀNH TIỀN" dataDxfId="625">
      <calculatedColumnFormula>Cty_Ha_Thanh[[#This Row],[ĐƠN GIÁ]]*Cty_Ha_Thanh[[#This Row],[SỐ LƯỢNG]]</calculatedColumnFormula>
    </tableColumn>
    <tableColumn id="8" xr3:uid="{D330BC18-AFA8-423B-A022-2C3DC844FAAE}" name="THANH TOÁN" dataDxfId="624"/>
    <tableColumn id="9" xr3:uid="{0BB3B211-0176-4E3F-B722-F41643A50A18}" name="CÔNG NỢ_x000a_ CÒN LẠI" dataDxfId="623">
      <calculatedColumnFormula>J9+Cty_Ha_Thanh[[#This Row],[THÀNH TIỀN]]-Cty_Ha_Thanh[[#This Row],[THANH TOÁN]]</calculatedColumnFormula>
    </tableColumn>
    <tableColumn id="10" xr3:uid="{B51D0767-9F1D-4B23-99FF-FBCFAFE950DF}" name="Ghi chú" dataDxfId="622"/>
  </tableColumns>
  <tableStyleInfo showFirstColumn="0" showLastColumn="0" showRowStripes="1" showColumnStripes="0"/>
</table>
</file>

<file path=xl/tables/table1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7" xr:uid="{582D7647-96D3-4B75-AD02-43F3261DD825}" name="Cty_Tu_Phuong" displayName="Cty_Tu_Phuong" ref="A9:K12" totalsRowShown="0" headerRowDxfId="621" dataDxfId="619" headerRowBorderDxfId="620" tableBorderDxfId="618" totalsRowBorderDxfId="617">
  <autoFilter ref="A9:K12" xr:uid="{3227F2BD-2C9D-4FFF-9F44-8C9E66133B6C}"/>
  <tableColumns count="11">
    <tableColumn id="1" xr3:uid="{BF1DB0FF-6C99-45AB-9C31-848782B521E2}" name="Số phiếu" dataDxfId="616"/>
    <tableColumn id="2" xr3:uid="{1D3F9307-E9EB-41D6-BB0B-7C21A3B4E35D}" name="Ngày_x000a_ tháng" dataDxfId="615"/>
    <tableColumn id="3" xr3:uid="{5C7BCBEE-256B-4D75-B709-FF55A1A781DF}" name="Nội dung" dataDxfId="614"/>
    <tableColumn id="12" xr3:uid="{88063E7D-3963-487E-AA42-1F285EAD682A}" name="Chủng loại" dataDxfId="613"/>
    <tableColumn id="4" xr3:uid="{A8C669D8-B597-4EC5-881F-BC2089EEC915}" name="Quy cách" dataDxfId="612"/>
    <tableColumn id="5" xr3:uid="{4A495413-9A7C-44DE-8AD8-86850132F349}" name="SỐ LƯỢNG" dataDxfId="611">
      <calculatedColumnFormula>1091+958+901</calculatedColumnFormula>
    </tableColumn>
    <tableColumn id="6" xr3:uid="{2CA25795-4082-4126-B4C5-419824613EA6}" name="ĐƠN GIÁ" dataDxfId="610"/>
    <tableColumn id="7" xr3:uid="{BFDB29AB-6EF7-4C41-A685-36D66BA58FF4}" name="THÀNH TIỀN" dataDxfId="609">
      <calculatedColumnFormula>Cty_Tu_Phuong[[#This Row],[ĐƠN GIÁ]]*Cty_Tu_Phuong[[#This Row],[SỐ LƯỢNG]]</calculatedColumnFormula>
    </tableColumn>
    <tableColumn id="8" xr3:uid="{B77F21E2-E6A7-4AA0-A7C0-64B720E7CBE0}" name="THANH TOÁN" dataDxfId="608"/>
    <tableColumn id="9" xr3:uid="{C5D0B806-C12A-467A-AFEB-4B50086B46AD}" name="CÔNG NỢ_x000a_ CÒN LẠI" dataDxfId="607">
      <calculatedColumnFormula>J9+Cty_Tu_Phuong[[#This Row],[THÀNH TIỀN]]-Cty_Tu_Phuong[[#This Row],[THANH TOÁN]]</calculatedColumnFormula>
    </tableColumn>
    <tableColumn id="10" xr3:uid="{DE5C136A-E899-4582-9475-11333D2CF2B6}" name="Ghi chú" dataDxfId="606"/>
  </tableColumns>
  <tableStyleInfo showFirstColumn="0" showLastColumn="0" showRowStripes="1" showColumnStripes="0"/>
</table>
</file>

<file path=xl/tables/table17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8" xr:uid="{113F76FD-5A2C-4926-89C0-9ECAA9D73822}" name="Cty_A_Chau_Phu_Ly" displayName="Cty_A_Chau_Phu_Ly" ref="A9:K12" totalsRowShown="0" headerRowDxfId="605" dataDxfId="603" headerRowBorderDxfId="604" tableBorderDxfId="602" totalsRowBorderDxfId="601">
  <autoFilter ref="A9:K12" xr:uid="{3227F2BD-2C9D-4FFF-9F44-8C9E66133B6C}"/>
  <tableColumns count="11">
    <tableColumn id="1" xr3:uid="{87B7A7AE-0612-447C-AA5F-E4D533A21A9B}" name="Số phiếu" dataDxfId="600"/>
    <tableColumn id="2" xr3:uid="{B5072DB4-6016-4C35-9861-C1885FD0351C}" name="Ngày_x000a_ tháng" dataDxfId="599"/>
    <tableColumn id="3" xr3:uid="{221FE516-A3BA-4103-8D51-D6F7D04113C8}" name="Nội dung" dataDxfId="598"/>
    <tableColumn id="12" xr3:uid="{F412FB81-E349-448B-BB16-5006A12A78F7}" name="Chủng loại" dataDxfId="597"/>
    <tableColumn id="4" xr3:uid="{49D30ADD-5CD6-49DC-ABE5-752DECFCB496}" name="Quy cách" dataDxfId="596"/>
    <tableColumn id="5" xr3:uid="{33A9D542-716C-4E75-A9D1-5DD6DDF30A7E}" name="SỐ LƯỢNG" dataDxfId="595">
      <calculatedColumnFormula>1091+958+901</calculatedColumnFormula>
    </tableColumn>
    <tableColumn id="6" xr3:uid="{5AC209B4-16C8-4533-B060-B7821079A28B}" name="ĐƠN GIÁ" dataDxfId="594"/>
    <tableColumn id="7" xr3:uid="{8CFD823D-D428-4D90-91EF-E5087561AB35}" name="THÀNH TIỀN" dataDxfId="593">
      <calculatedColumnFormula>Cty_A_Chau_Phu_Ly[[#This Row],[ĐƠN GIÁ]]*Cty_A_Chau_Phu_Ly[[#This Row],[SỐ LƯỢNG]]</calculatedColumnFormula>
    </tableColumn>
    <tableColumn id="8" xr3:uid="{6A5408DD-ECE4-4CB7-8F28-65B6F0A0E906}" name="THANH TOÁN" dataDxfId="592"/>
    <tableColumn id="9" xr3:uid="{E1B1DA6A-24DD-4DC8-860C-F9C51566FC6E}" name="CÔNG NỢ_x000a_ CÒN LẠI" dataDxfId="591">
      <calculatedColumnFormula>J9+Cty_A_Chau_Phu_Ly[[#This Row],[THÀNH TIỀN]]-Cty_A_Chau_Phu_Ly[[#This Row],[THANH TOÁN]]</calculatedColumnFormula>
    </tableColumn>
    <tableColumn id="10" xr3:uid="{D998BB32-AD4F-4FBF-8126-DD6F9A306F81}" name="Ghi chú" dataDxfId="590"/>
  </tableColumns>
  <tableStyleInfo showFirstColumn="0" showLastColumn="0" showRowStripes="1" showColumnStripes="0"/>
</table>
</file>

<file path=xl/tables/table17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9" xr:uid="{BC6938C9-AE96-41F2-A4B7-602FD75DBF6F}" name="Cty_Tu_Huong_Phu_Xuyen" displayName="Cty_Tu_Huong_Phu_Xuyen" ref="A9:K14" totalsRowShown="0" headerRowDxfId="589" dataDxfId="587" headerRowBorderDxfId="588" tableBorderDxfId="586" totalsRowBorderDxfId="585">
  <autoFilter ref="A9:K14" xr:uid="{3227F2BD-2C9D-4FFF-9F44-8C9E66133B6C}"/>
  <tableColumns count="11">
    <tableColumn id="1" xr3:uid="{62A62AC5-E7B1-4B3E-BA90-83868970D947}" name="Số phiếu" dataDxfId="584"/>
    <tableColumn id="2" xr3:uid="{4BD34861-594D-499C-9421-2FD421BA88EC}" name="Ngày_x000a_ tháng" dataDxfId="583"/>
    <tableColumn id="3" xr3:uid="{25E355DA-8E34-4E9F-9766-B179747A3DB8}" name="Nội dung" dataDxfId="582"/>
    <tableColumn id="12" xr3:uid="{EFC45EAE-0CDC-496E-8571-BFBE6F3E0E0F}" name="Chủng loại" dataDxfId="581"/>
    <tableColumn id="4" xr3:uid="{443BD27C-E278-4832-A337-7885696146E5}" name="Quy cách" dataDxfId="580"/>
    <tableColumn id="5" xr3:uid="{0990352F-BF1D-4A74-81C7-E695940F1B29}" name="SỐ LƯỢNG" dataDxfId="579">
      <calculatedColumnFormula>1091+958+901</calculatedColumnFormula>
    </tableColumn>
    <tableColumn id="6" xr3:uid="{9EA25A2E-6E98-4BA9-AC45-4D07B07141BB}" name="ĐƠN GIÁ" dataDxfId="578"/>
    <tableColumn id="7" xr3:uid="{6C04564C-2DC1-4978-AE4D-7EE1D9A60454}" name="THÀNH TIỀN" dataDxfId="577">
      <calculatedColumnFormula>Cty_Tu_Huong_Phu_Xuyen[[#This Row],[ĐƠN GIÁ]]*Cty_Tu_Huong_Phu_Xuyen[[#This Row],[SỐ LƯỢNG]]</calculatedColumnFormula>
    </tableColumn>
    <tableColumn id="8" xr3:uid="{E5F2B3A7-9512-42DC-9ACE-B0232486BA9B}" name="THANH TOÁN" dataDxfId="576"/>
    <tableColumn id="9" xr3:uid="{C493E869-A610-4C32-BB3B-D1FEDC4B28C2}" name="CÔNG NỢ_x000a_ CÒN LẠI" dataDxfId="575">
      <calculatedColumnFormula>J9+Cty_Tu_Huong_Phu_Xuyen[[#This Row],[THÀNH TIỀN]]-Cty_Tu_Huong_Phu_Xuyen[[#This Row],[THANH TOÁN]]</calculatedColumnFormula>
    </tableColumn>
    <tableColumn id="10" xr3:uid="{6DCAC887-168C-462D-BB61-C8950BC17F32}" name="Ghi chú" dataDxfId="574"/>
  </tableColumns>
  <tableStyleInfo showFirstColumn="0" showLastColumn="0" showRowStripes="1" showColumnStripes="0"/>
</table>
</file>

<file path=xl/tables/table18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0" xr:uid="{5C4C982E-5FE8-41DC-9820-F0A8C6FBF42D}" name="E_Thien_Thuong_Oc" displayName="E_Thien_Thuong_Oc" ref="A9:K12" totalsRowShown="0" headerRowDxfId="573" dataDxfId="571" headerRowBorderDxfId="572" tableBorderDxfId="570" totalsRowBorderDxfId="569">
  <autoFilter ref="A9:K12" xr:uid="{3227F2BD-2C9D-4FFF-9F44-8C9E66133B6C}"/>
  <tableColumns count="11">
    <tableColumn id="1" xr3:uid="{119BE163-A1CA-40C4-B9C6-58688465FF48}" name="Số phiếu" dataDxfId="568"/>
    <tableColumn id="2" xr3:uid="{CA0DAFCF-59B5-4C2A-8FD4-C450651ADBC4}" name="Ngày_x000a_ tháng" dataDxfId="567"/>
    <tableColumn id="3" xr3:uid="{E21BFAC3-11E2-4BCF-97F3-AAA8ACCC4F66}" name="Nội dung" dataDxfId="566"/>
    <tableColumn id="12" xr3:uid="{8BB1415E-E150-4206-9632-278221B03D0E}" name="Chủng loại" dataDxfId="565"/>
    <tableColumn id="4" xr3:uid="{6738BFDE-EDE3-40D4-BD21-9DD2C4DCE17A}" name="Quy cách" dataDxfId="564"/>
    <tableColumn id="5" xr3:uid="{322FFFCB-10E8-406F-99BC-DBD63163470B}" name="SỐ LƯỢNG" dataDxfId="563">
      <calculatedColumnFormula>1091+958+901</calculatedColumnFormula>
    </tableColumn>
    <tableColumn id="6" xr3:uid="{A189FC28-69D2-44E9-9561-CD39EB928A9C}" name="ĐƠN GIÁ" dataDxfId="562"/>
    <tableColumn id="7" xr3:uid="{B020CBC9-4717-4271-B879-41EA352F55A3}" name="THÀNH TIỀN" dataDxfId="561">
      <calculatedColumnFormula>E_Thien_Thuong_Oc[[#This Row],[ĐƠN GIÁ]]*E_Thien_Thuong_Oc[[#This Row],[SỐ LƯỢNG]]</calculatedColumnFormula>
    </tableColumn>
    <tableColumn id="8" xr3:uid="{70F6548B-7CF6-4DEE-A848-F2284CB3EBD8}" name="THANH TOÁN" dataDxfId="560"/>
    <tableColumn id="9" xr3:uid="{B5368895-7EB2-43C4-8235-2F33A74F5CC1}" name="CÔNG NỢ_x000a_ CÒN LẠI" dataDxfId="559">
      <calculatedColumnFormula>J9+E_Thien_Thuong_Oc[[#This Row],[THÀNH TIỀN]]-E_Thien_Thuong_Oc[[#This Row],[THANH TOÁN]]</calculatedColumnFormula>
    </tableColumn>
    <tableColumn id="10" xr3:uid="{5E708D80-6AE0-4C4D-AD13-D6CFF01C0462}" name="Ghi chú" dataDxfId="558"/>
  </tableColumns>
  <tableStyleInfo showFirstColumn="0" showLastColumn="0" showRowStripes="1" showColumnStripes="0"/>
</table>
</file>

<file path=xl/tables/table18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1" xr:uid="{8B3B3BDD-8D24-4AA6-B093-180EBEF166A1}" name="Cty_Nhat_Minh" displayName="Cty_Nhat_Minh" ref="A9:K12" totalsRowShown="0" headerRowDxfId="557" dataDxfId="555" headerRowBorderDxfId="556" tableBorderDxfId="554" totalsRowBorderDxfId="553">
  <autoFilter ref="A9:K12" xr:uid="{3227F2BD-2C9D-4FFF-9F44-8C9E66133B6C}"/>
  <tableColumns count="11">
    <tableColumn id="1" xr3:uid="{E165A22D-C932-4232-A383-BBAA4977F464}" name="Số phiếu" dataDxfId="552"/>
    <tableColumn id="2" xr3:uid="{2106FE0A-A59B-4407-9272-8F66C97769B8}" name="Ngày_x000a_ tháng" dataDxfId="551"/>
    <tableColumn id="3" xr3:uid="{43FA3C88-002A-49E4-B1B4-BD61DE464343}" name="Nội dung" dataDxfId="550"/>
    <tableColumn id="12" xr3:uid="{7259D917-4555-43C8-9466-3F7A3F2B0A50}" name="Chủng loại" dataDxfId="549"/>
    <tableColumn id="4" xr3:uid="{A48E9D49-4540-4FBA-AB43-C469A994F154}" name="Quy cách" dataDxfId="548"/>
    <tableColumn id="5" xr3:uid="{6E3A7FAF-4AFB-45C6-91C8-0D7C179E6908}" name="SỐ LƯỢNG" dataDxfId="547">
      <calculatedColumnFormula>1091+958+901</calculatedColumnFormula>
    </tableColumn>
    <tableColumn id="6" xr3:uid="{B64259A1-4EEB-474E-B5B5-D961FFFCFC6A}" name="ĐƠN GIÁ" dataDxfId="546"/>
    <tableColumn id="7" xr3:uid="{C6C86843-23F1-4373-A7F3-6764035038C9}" name="THÀNH TIỀN" dataDxfId="545">
      <calculatedColumnFormula>Cty_Nhat_Minh[[#This Row],[ĐƠN GIÁ]]*Cty_Nhat_Minh[[#This Row],[SỐ LƯỢNG]]</calculatedColumnFormula>
    </tableColumn>
    <tableColumn id="8" xr3:uid="{CB0EBED1-3DF9-491E-AD77-195BDAB15296}" name="THANH TOÁN" dataDxfId="544"/>
    <tableColumn id="9" xr3:uid="{7BA16D4F-A62E-4920-AFF1-46E6C35B32C6}" name="CÔNG NỢ_x000a_ CÒN LẠI" dataDxfId="543">
      <calculatedColumnFormula>J9+Cty_Nhat_Minh[[#This Row],[THÀNH TIỀN]]-Cty_Nhat_Minh[[#This Row],[THANH TOÁN]]</calculatedColumnFormula>
    </tableColumn>
    <tableColumn id="10" xr3:uid="{153E95E4-F3FB-489C-B021-5017324EFA5C}" name="Ghi chú" dataDxfId="542"/>
  </tableColumns>
  <tableStyleInfo showFirstColumn="0" showLastColumn="0" showRowStripes="1" showColumnStripes="0"/>
</table>
</file>

<file path=xl/tables/table18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3" xr:uid="{7F6C6FD4-2752-46CA-87D2-27349334D7E5}" name="Cty_SHC_A_Chau" displayName="Cty_SHC_A_Chau" ref="A9:K16" totalsRowShown="0" headerRowDxfId="541" dataDxfId="539" headerRowBorderDxfId="540" tableBorderDxfId="538" totalsRowBorderDxfId="537">
  <autoFilter ref="A9:K16" xr:uid="{3227F2BD-2C9D-4FFF-9F44-8C9E66133B6C}"/>
  <tableColumns count="11">
    <tableColumn id="1" xr3:uid="{295E9E45-76E5-4212-B589-15D5F63A3959}" name="Số phiếu" dataDxfId="536"/>
    <tableColumn id="2" xr3:uid="{14777BCA-0554-4086-8709-A12F1B48C079}" name="Ngày_x000a_ tháng" dataDxfId="535"/>
    <tableColumn id="3" xr3:uid="{C5625E2D-466C-4120-9A47-393407456B02}" name="Nội dung" dataDxfId="534"/>
    <tableColumn id="12" xr3:uid="{8942F35D-31C8-4098-AEED-DD9A1492A4F9}" name="Chủng loại" dataDxfId="533"/>
    <tableColumn id="4" xr3:uid="{ED3AA3C5-C910-4C93-9F9C-7B04C68C85F7}" name="Quy cách" dataDxfId="532"/>
    <tableColumn id="5" xr3:uid="{949348AE-52DF-4A84-A46A-97621C3FFF66}" name="SỐ LƯỢNG" dataDxfId="531">
      <calculatedColumnFormula>1091+958+901</calculatedColumnFormula>
    </tableColumn>
    <tableColumn id="6" xr3:uid="{7FFE3FF5-9834-4A4B-BE9F-5A4B0326D2D0}" name="ĐƠN GIÁ" dataDxfId="530"/>
    <tableColumn id="7" xr3:uid="{7D03ACC8-04B6-4D4F-8DA1-571AC58A0FC1}" name="THÀNH TIỀN" dataDxfId="529">
      <calculatedColumnFormula>Cty_SHC_A_Chau[[#This Row],[ĐƠN GIÁ]]*Cty_SHC_A_Chau[[#This Row],[SỐ LƯỢNG]]</calculatedColumnFormula>
    </tableColumn>
    <tableColumn id="8" xr3:uid="{24AB78F6-26A4-4C7E-8DBC-9D0B6A7D372F}" name="THANH TOÁN" dataDxfId="528"/>
    <tableColumn id="9" xr3:uid="{70B9F52E-CB67-47DC-AD23-868811989787}" name="CÔNG NỢ_x000a_ CÒN LẠI" dataDxfId="527">
      <calculatedColumnFormula>J9+Cty_SHC_A_Chau[[#This Row],[THÀNH TIỀN]]-Cty_SHC_A_Chau[[#This Row],[THANH TOÁN]]</calculatedColumnFormula>
    </tableColumn>
    <tableColumn id="10" xr3:uid="{203DD344-520B-4ABA-87B0-9C1DA49020AC}" name="Ghi chú" dataDxfId="526"/>
  </tableColumns>
  <tableStyleInfo showFirstColumn="0" showLastColumn="0" showRowStripes="1" showColumnStripes="0"/>
</table>
</file>

<file path=xl/tables/table18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4" xr:uid="{5B60B3D7-60AF-402E-8C3E-E3456CC4ABF3}" name="A_Sau_Linh_Nam" displayName="A_Sau_Linh_Nam" ref="A9:K11" totalsRowShown="0" headerRowDxfId="525" dataDxfId="523" headerRowBorderDxfId="524" tableBorderDxfId="522" totalsRowBorderDxfId="521">
  <autoFilter ref="A9:K11" xr:uid="{3227F2BD-2C9D-4FFF-9F44-8C9E66133B6C}"/>
  <tableColumns count="11">
    <tableColumn id="1" xr3:uid="{C9CE2383-0A52-4ACF-8F3D-B567EE6DB72B}" name="Số phiếu" dataDxfId="520"/>
    <tableColumn id="2" xr3:uid="{6176E440-CC60-439C-A62B-1273A4C42B72}" name="Ngày_x000a_ tháng" dataDxfId="519"/>
    <tableColumn id="3" xr3:uid="{4A0068FD-BD12-4168-B41F-941D21D5B45F}" name="Nội dung" dataDxfId="518"/>
    <tableColumn id="12" xr3:uid="{F33E129D-9D69-41C7-A6B8-10F392618B4E}" name="Chủng loại" dataDxfId="517"/>
    <tableColumn id="4" xr3:uid="{97E45DE9-F149-4CF4-BC39-C082976692D1}" name="Quy cách" dataDxfId="516"/>
    <tableColumn id="5" xr3:uid="{3F394AB4-0B1E-48E0-9B0A-D8459C334655}" name="SỐ LƯỢNG" dataDxfId="515">
      <calculatedColumnFormula>1091+958+901</calculatedColumnFormula>
    </tableColumn>
    <tableColumn id="6" xr3:uid="{BFA83BDA-5349-43DE-837A-AB3F990731DE}" name="ĐƠN GIÁ" dataDxfId="514"/>
    <tableColumn id="7" xr3:uid="{54EEED25-EFF8-4B10-B57B-D76DF4F96CE6}" name="THÀNH TIỀN" dataDxfId="513">
      <calculatedColumnFormula>A_Sau_Linh_Nam[[#This Row],[ĐƠN GIÁ]]*A_Sau_Linh_Nam[[#This Row],[SỐ LƯỢNG]]</calculatedColumnFormula>
    </tableColumn>
    <tableColumn id="8" xr3:uid="{9705BDEA-8E8A-4513-9032-450656762D65}" name="THANH TOÁN" dataDxfId="512"/>
    <tableColumn id="9" xr3:uid="{5EB704D5-EEF3-4DEE-9910-26CE06285C8C}" name="CÔNG NỢ_x000a_ CÒN LẠI" dataDxfId="511">
      <calculatedColumnFormula>J9+A_Sau_Linh_Nam[[#This Row],[THÀNH TIỀN]]-A_Sau_Linh_Nam[[#This Row],[THANH TOÁN]]</calculatedColumnFormula>
    </tableColumn>
    <tableColumn id="10" xr3:uid="{B1138BE8-9FCE-499A-AC7F-6161660AF2A0}" name="Ghi chú" dataDxfId="510"/>
  </tableColumns>
  <tableStyleInfo showFirstColumn="0" showLastColumn="0" showRowStripes="1" showColumnStripes="0"/>
</table>
</file>

<file path=xl/tables/table18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68B4B50-6AD6-4AA9-BFB2-4C2BC47EC3B8}" name="Cty_An_Thuan_Phat" displayName="Cty_An_Thuan_Phat" ref="A9:K10" totalsRowShown="0" headerRowDxfId="509" dataDxfId="507" headerRowBorderDxfId="508" tableBorderDxfId="506" totalsRowBorderDxfId="505">
  <autoFilter ref="A9:K10" xr:uid="{3227F2BD-2C9D-4FFF-9F44-8C9E66133B6C}"/>
  <tableColumns count="11">
    <tableColumn id="1" xr3:uid="{E6FF79B2-214F-4373-A88A-B52F774AD471}" name="Số phiếu" dataDxfId="504"/>
    <tableColumn id="2" xr3:uid="{423FA7DC-6585-43E5-8B98-19626C7F4350}" name="Ngày_x000a_ tháng" dataDxfId="503"/>
    <tableColumn id="3" xr3:uid="{B7231FAA-EA28-4417-9C39-2089DC839518}" name="Nội dung" dataDxfId="502"/>
    <tableColumn id="12" xr3:uid="{62467FF5-D145-44F7-BB80-59B4A1FF5956}" name="Chủng loại" dataDxfId="501"/>
    <tableColumn id="4" xr3:uid="{32F6D34A-A690-4412-85F5-6EFC0431A7C5}" name="Quy cách" dataDxfId="500"/>
    <tableColumn id="5" xr3:uid="{8FBC89B4-6784-47A5-AD75-DF4B1AB7CFFA}" name="SỐ LƯỢNG" dataDxfId="499">
      <calculatedColumnFormula>1091+958+901</calculatedColumnFormula>
    </tableColumn>
    <tableColumn id="6" xr3:uid="{FE3B6317-24C8-4BDB-AFB7-4CF1C27F2B82}" name="ĐƠN GIÁ" dataDxfId="498"/>
    <tableColumn id="7" xr3:uid="{4E3C001F-4C47-4CD2-87B1-0748EF40B1D5}" name="THÀNH TIỀN" dataDxfId="497">
      <calculatedColumnFormula>Cty_An_Thuan_Phat[[#This Row],[ĐƠN GIÁ]]*Cty_An_Thuan_Phat[[#This Row],[SỐ LƯỢNG]]</calculatedColumnFormula>
    </tableColumn>
    <tableColumn id="8" xr3:uid="{C951F877-291E-4445-A6E9-617708908D79}" name="THANH TOÁN" dataDxfId="496"/>
    <tableColumn id="9" xr3:uid="{EFF053E7-493F-4FD8-9F06-689EAF5E1473}" name="CÔNG NỢ_x000a_ CÒN LẠI" dataDxfId="495"/>
    <tableColumn id="10" xr3:uid="{289E2052-EFA3-4735-96F3-3AC30C4EDB19}" name="Ghi chú" dataDxfId="494"/>
  </tableColumns>
  <tableStyleInfo showFirstColumn="0" showLastColumn="0" showRowStripes="1" showColumnStripes="0"/>
</table>
</file>

<file path=xl/tables/table18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5" xr:uid="{671CDD55-A06B-45C4-B37E-424DC333F5B7}" name="A_Cu_Nghe_An" displayName="A_Cu_Nghe_An" ref="A9:K10" totalsRowShown="0" headerRowDxfId="493" dataDxfId="491" headerRowBorderDxfId="492" tableBorderDxfId="490" totalsRowBorderDxfId="489">
  <autoFilter ref="A9:K10" xr:uid="{3227F2BD-2C9D-4FFF-9F44-8C9E66133B6C}"/>
  <tableColumns count="11">
    <tableColumn id="1" xr3:uid="{DBE5C3AF-D142-4B67-B917-F444D85D9E93}" name="Số phiếu" dataDxfId="488"/>
    <tableColumn id="2" xr3:uid="{08EB83DF-E804-4FA5-9DC2-2620B0046263}" name="Ngày_x000a_ tháng" dataDxfId="487"/>
    <tableColumn id="3" xr3:uid="{39D3B9F4-4D88-48DD-BFBB-9D684E16AAAE}" name="Nội dung" dataDxfId="486"/>
    <tableColumn id="12" xr3:uid="{51B4D1AE-5494-416D-876D-2879C4E9D69A}" name="Chủng loại" dataDxfId="485"/>
    <tableColumn id="4" xr3:uid="{9A96C9DD-AFF8-44BC-99D6-E251382C0349}" name="Quy cách" dataDxfId="484"/>
    <tableColumn id="5" xr3:uid="{64827147-0AAE-4BEC-B7FF-A9E1AA6D6646}" name="SỐ LƯỢNG" dataDxfId="483">
      <calculatedColumnFormula>1091+958+901</calculatedColumnFormula>
    </tableColumn>
    <tableColumn id="6" xr3:uid="{A6BC0D73-275B-4A00-8A6A-C1CBBDE1D141}" name="ĐƠN GIÁ" dataDxfId="482"/>
    <tableColumn id="7" xr3:uid="{DBD0B57C-59F4-447E-95B3-727302B89899}" name="THÀNH TIỀN" dataDxfId="481">
      <calculatedColumnFormula>A_Cu_Nghe_An[[#This Row],[ĐƠN GIÁ]]*A_Cu_Nghe_An[[#This Row],[SỐ LƯỢNG]]</calculatedColumnFormula>
    </tableColumn>
    <tableColumn id="8" xr3:uid="{5A66722B-CF00-47D7-847F-53620F2E67BC}" name="THANH TOÁN" dataDxfId="480"/>
    <tableColumn id="9" xr3:uid="{1B12AD7B-C8FF-4F88-84D5-E23CF0BC52FB}" name="CÔNG NỢ_x000a_ CÒN LẠI" dataDxfId="479"/>
    <tableColumn id="10" xr3:uid="{3DBD1676-860E-4B2F-B6A0-C8E1E0E0D8B2}" name="Ghi chú" dataDxfId="478"/>
  </tableColumns>
  <tableStyleInfo showFirstColumn="0" showLastColumn="0" showRowStripes="1" showColumnStripes="0"/>
</table>
</file>

<file path=xl/tables/table18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7" xr:uid="{5703439A-6045-4BF9-84BB-5EE55AB5BC8B}" name="A_Hau" displayName="A_Hau" ref="A9:K10" totalsRowShown="0" headerRowDxfId="477" dataDxfId="475" headerRowBorderDxfId="476" tableBorderDxfId="474" totalsRowBorderDxfId="473">
  <autoFilter ref="A9:K10" xr:uid="{3227F2BD-2C9D-4FFF-9F44-8C9E66133B6C}"/>
  <tableColumns count="11">
    <tableColumn id="1" xr3:uid="{76BA557F-3A45-4611-B233-AB9A516C424A}" name="Số phiếu" dataDxfId="472"/>
    <tableColumn id="2" xr3:uid="{A60569E5-7CA4-497D-B63D-5AB85EC906E9}" name="Ngày_x000a_ tháng" dataDxfId="471"/>
    <tableColumn id="3" xr3:uid="{A1A704F8-A4DD-49AA-A561-CD2CB15E9F41}" name="Nội dung" dataDxfId="470"/>
    <tableColumn id="12" xr3:uid="{21EADE3A-598C-4A1A-95AF-32259527C241}" name="Chủng loại" dataDxfId="469"/>
    <tableColumn id="4" xr3:uid="{1E13AF50-2393-4A39-B1C6-5D2ABB25CD06}" name="Quy cách" dataDxfId="468"/>
    <tableColumn id="5" xr3:uid="{CAB2D8FF-A100-49B8-A3C9-FDBFEF499AC3}" name="SỐ LƯỢNG" dataDxfId="467">
      <calculatedColumnFormula>1091+958+901</calculatedColumnFormula>
    </tableColumn>
    <tableColumn id="6" xr3:uid="{73F4A480-71F5-404A-BD55-965872304C40}" name="ĐƠN GIÁ" dataDxfId="466"/>
    <tableColumn id="7" xr3:uid="{4D6C22DB-48C4-418B-A896-CCCAB27FAEB8}" name="THÀNH TIỀN" dataDxfId="465">
      <calculatedColumnFormula>A_Hau[[#This Row],[ĐƠN GIÁ]]*A_Hau[[#This Row],[SỐ LƯỢNG]]</calculatedColumnFormula>
    </tableColumn>
    <tableColumn id="8" xr3:uid="{E989E914-72E1-44DB-BE61-5E6A77C616C3}" name="THANH TOÁN" dataDxfId="464"/>
    <tableColumn id="9" xr3:uid="{1F2D77FD-FDD3-437E-B1D0-AB0BA9394320}" name="CÔNG NỢ_x000a_ CÒN LẠI" dataDxfId="463"/>
    <tableColumn id="10" xr3:uid="{059B5E63-4386-49A8-96D0-0E9FEBA1D84A}" name="Ghi chú" dataDxfId="462"/>
  </tableColumns>
  <tableStyleInfo showFirstColumn="0" showLastColumn="0" showRowStripes="1" showColumnStripes="0"/>
</table>
</file>

<file path=xl/tables/table18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7" xr:uid="{4049076C-9FDE-4346-B603-F6CC8C204C11}" name="A_Son_Quang_Ninh" displayName="A_Son_Quang_Ninh" ref="A9:K10" totalsRowShown="0" headerRowDxfId="461" dataDxfId="459" headerRowBorderDxfId="460" tableBorderDxfId="458" totalsRowBorderDxfId="457">
  <autoFilter ref="A9:K10" xr:uid="{3227F2BD-2C9D-4FFF-9F44-8C9E66133B6C}"/>
  <tableColumns count="11">
    <tableColumn id="1" xr3:uid="{045F64C7-9D5D-4EAC-AA04-7457AD960DD1}" name="Số phiếu" dataDxfId="456"/>
    <tableColumn id="2" xr3:uid="{9897E361-3826-415B-9A09-A2F6B7B1C4FA}" name="Ngày_x000a_ tháng" dataDxfId="455"/>
    <tableColumn id="3" xr3:uid="{B17D49C5-7E65-4E91-A7B3-CC957136B0F2}" name="Nội dung" dataDxfId="454"/>
    <tableColumn id="12" xr3:uid="{C9A53E06-35EB-4296-A294-4765E95F450D}" name="Chủng loại" dataDxfId="453"/>
    <tableColumn id="4" xr3:uid="{910D7873-D3EE-4429-B875-3D87BBB9DC53}" name="Quy cách" dataDxfId="452"/>
    <tableColumn id="5" xr3:uid="{77C89E4D-9D5D-49F2-A754-811D40C2E2AC}" name="SỐ LƯỢNG" dataDxfId="451">
      <calculatedColumnFormula>1091+958+901</calculatedColumnFormula>
    </tableColumn>
    <tableColumn id="6" xr3:uid="{F7057FBE-0E43-4959-9DBD-C20732873EE2}" name="ĐƠN GIÁ" dataDxfId="450"/>
    <tableColumn id="7" xr3:uid="{93C8DEDB-E0E6-49A6-9B23-CAE5FAA5084F}" name="THÀNH TIỀN" dataDxfId="449">
      <calculatedColumnFormula>A_Son_Quang_Ninh[[#This Row],[ĐƠN GIÁ]]*A_Son_Quang_Ninh[[#This Row],[SỐ LƯỢNG]]</calculatedColumnFormula>
    </tableColumn>
    <tableColumn id="8" xr3:uid="{E17544F2-77AA-4823-9AEC-E159D244AC4C}" name="THANH TOÁN" dataDxfId="448"/>
    <tableColumn id="9" xr3:uid="{94BB4B64-D596-448B-9766-BA19FBEB268A}" name="CÔNG NỢ_x000a_ CÒN LẠI" dataDxfId="447"/>
    <tableColumn id="10" xr3:uid="{9CC1A91F-538B-4793-BFB1-912C2F88104F}" name="Ghi chú" dataDxfId="446"/>
  </tableColumns>
  <tableStyleInfo showFirstColumn="0" showLastColumn="0" showRowStripes="1" showColumnStripes="0"/>
</table>
</file>

<file path=xl/tables/table18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8" xr:uid="{6E9CE389-D112-467E-8746-E27B560ACD6A}" name="Minh_Khue" displayName="Minh_Khue" ref="A9:K10" totalsRowShown="0" headerRowDxfId="445" dataDxfId="443" headerRowBorderDxfId="444" tableBorderDxfId="442" totalsRowBorderDxfId="441">
  <autoFilter ref="A9:K10" xr:uid="{3227F2BD-2C9D-4FFF-9F44-8C9E66133B6C}"/>
  <tableColumns count="11">
    <tableColumn id="1" xr3:uid="{779FF585-13F0-4A7D-9F33-49CBC5BCC62D}" name="Số phiếu" dataDxfId="440"/>
    <tableColumn id="2" xr3:uid="{D20D4B35-C994-4EBD-B813-C4A2CEF87DD0}" name="Ngày_x000a_ tháng" dataDxfId="439"/>
    <tableColumn id="3" xr3:uid="{A0437BC4-E0F4-42F1-8334-B92BA23093D6}" name="Nội dung" dataDxfId="438"/>
    <tableColumn id="12" xr3:uid="{FBF53FA7-0CE7-46C9-8301-239992D8CF70}" name="Chủng loại" dataDxfId="437"/>
    <tableColumn id="4" xr3:uid="{538767E6-7F80-461F-9337-16375F52231A}" name="Quy cách" dataDxfId="436"/>
    <tableColumn id="5" xr3:uid="{0F753A11-106F-4192-BCA1-96D4895EC7AC}" name="SỐ LƯỢNG" dataDxfId="435">
      <calculatedColumnFormula>1091+958+901</calculatedColumnFormula>
    </tableColumn>
    <tableColumn id="6" xr3:uid="{CC91C535-D01A-42C5-86EB-F6F7F685F819}" name="ĐƠN GIÁ" dataDxfId="434"/>
    <tableColumn id="7" xr3:uid="{A695B1C9-A9AF-4E36-B257-0384719AB6E2}" name="THÀNH TIỀN" dataDxfId="433">
      <calculatedColumnFormula>Minh_Khue[[#This Row],[ĐƠN GIÁ]]*Minh_Khue[[#This Row],[SỐ LƯỢNG]]</calculatedColumnFormula>
    </tableColumn>
    <tableColumn id="8" xr3:uid="{65B2A025-A76D-41EC-8B0A-7DDD9F428210}" name="THANH TOÁN" dataDxfId="432"/>
    <tableColumn id="9" xr3:uid="{5CAFE22F-596D-45CC-A439-CDE40C23D094}" name="CÔNG NỢ_x000a_ CÒN LẠI" dataDxfId="431"/>
    <tableColumn id="10" xr3:uid="{419533CC-E57D-4E3F-A115-8C16A361EF11}" name="Ghi chú" dataDxfId="430"/>
  </tableColumns>
  <tableStyleInfo showFirstColumn="0" showLastColumn="0" showRowStripes="1" showColumnStripes="0"/>
</table>
</file>

<file path=xl/tables/table18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0" xr:uid="{C2C98BF8-0957-4435-8368-E7C6F8DB8969}" name="C_Loan_Viet_My39" displayName="C_Loan_Viet_My39" ref="A9:K10" totalsRowShown="0" headerRowDxfId="429" dataDxfId="427" headerRowBorderDxfId="428" tableBorderDxfId="426" totalsRowBorderDxfId="425">
  <autoFilter ref="A9:K10" xr:uid="{3227F2BD-2C9D-4FFF-9F44-8C9E66133B6C}"/>
  <tableColumns count="11">
    <tableColumn id="1" xr3:uid="{E766A0BA-2B96-4D73-938F-C0D028A6534D}" name="Số phiếu" dataDxfId="424"/>
    <tableColumn id="2" xr3:uid="{65310AE4-B17F-40D3-BA7E-633517A061BE}" name="Ngày_x000a_ tháng" dataDxfId="423"/>
    <tableColumn id="3" xr3:uid="{6ED5278E-9FF1-40C2-A5CF-705C6D813DBD}" name="Nội dung" dataDxfId="422"/>
    <tableColumn id="12" xr3:uid="{F687FEB5-5062-4E8E-8D2A-91347F6B1A78}" name="Chủng loại" dataDxfId="421"/>
    <tableColumn id="4" xr3:uid="{78D234DD-9D76-49B8-9A62-2DBE4745399A}" name="Quy cách" dataDxfId="420"/>
    <tableColumn id="5" xr3:uid="{68DE609D-4BC7-4651-89BE-24EA6666768B}" name="SỐ LƯỢNG" dataDxfId="419">
      <calculatedColumnFormula>1091+958+901</calculatedColumnFormula>
    </tableColumn>
    <tableColumn id="6" xr3:uid="{2C04AFCB-304C-4FD8-9B11-7A1E311EC91D}" name="ĐƠN GIÁ" dataDxfId="418"/>
    <tableColumn id="7" xr3:uid="{19B7A302-09FB-4F16-ADA5-6EB8C23240A4}" name="THÀNH TIỀN" dataDxfId="417">
      <calculatedColumnFormula>C_Loan_Viet_My39[[#This Row],[ĐƠN GIÁ]]*C_Loan_Viet_My39[[#This Row],[SỐ LƯỢNG]]</calculatedColumnFormula>
    </tableColumn>
    <tableColumn id="8" xr3:uid="{B6B4FF31-E800-4F09-BBA6-192ABA411705}" name="THANH TOÁN" dataDxfId="416"/>
    <tableColumn id="9" xr3:uid="{C17D700F-0242-4C39-A0D2-E21B6555B33B}" name="CÔNG NỢ_x000a_ CÒN LẠI" dataDxfId="415"/>
    <tableColumn id="10" xr3:uid="{18BE5B24-745A-47A1-9148-5EDF4F663CF6}" name="Ghi chú" dataDxfId="414"/>
  </tableColumns>
  <tableStyleInfo showFirstColumn="0" showLastColumn="0" showRowStripes="1" showColumnStripes="0"/>
</table>
</file>

<file path=xl/tables/table19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2" xr:uid="{92C1CE6B-D432-425D-AE5F-E43FDAEE4A32}" name="A_Quan_2Q" displayName="A_Quan_2Q" ref="A9:K10" totalsRowShown="0" headerRowDxfId="413" dataDxfId="411" headerRowBorderDxfId="412" tableBorderDxfId="410" totalsRowBorderDxfId="409">
  <autoFilter ref="A9:K10" xr:uid="{3227F2BD-2C9D-4FFF-9F44-8C9E66133B6C}"/>
  <tableColumns count="11">
    <tableColumn id="1" xr3:uid="{8330D569-1EBC-4BE2-A136-466F52DDFA3F}" name="Số phiếu" dataDxfId="408"/>
    <tableColumn id="2" xr3:uid="{C9410D8A-691B-4FB0-8A28-F92941A64E55}" name="Ngày_x000a_ tháng" dataDxfId="407"/>
    <tableColumn id="3" xr3:uid="{8530932C-AD52-451C-A991-74501AFB5F1A}" name="Nội dung" dataDxfId="406"/>
    <tableColumn id="12" xr3:uid="{F8026D46-4D73-4971-83D6-C9292E79C670}" name="Chủng loại" dataDxfId="405"/>
    <tableColumn id="4" xr3:uid="{90F7850F-B4FF-401A-AB3D-5BDB6453EDF5}" name="Quy cách" dataDxfId="404"/>
    <tableColumn id="5" xr3:uid="{CD2BBE4B-BB7B-4CC1-BB25-E16D6366264A}" name="SỐ LƯỢNG" dataDxfId="403">
      <calculatedColumnFormula>1091+958+901</calculatedColumnFormula>
    </tableColumn>
    <tableColumn id="6" xr3:uid="{9E3C6187-12D7-4B52-9C58-5FE9418F5664}" name="ĐƠN GIÁ" dataDxfId="402"/>
    <tableColumn id="7" xr3:uid="{E180875F-B520-4C6F-8049-876B09AFA46E}" name="THÀNH TIỀN" dataDxfId="401">
      <calculatedColumnFormula>A_Quan_2Q[[#This Row],[ĐƠN GIÁ]]*A_Quan_2Q[[#This Row],[SỐ LƯỢNG]]</calculatedColumnFormula>
    </tableColumn>
    <tableColumn id="8" xr3:uid="{0F7E5253-B359-4AED-A9D0-B6C5EDA9522D}" name="THANH TOÁN" dataDxfId="400"/>
    <tableColumn id="9" xr3:uid="{DACC2746-2101-42C5-B909-72ED87C03DB0}" name="CÔNG NỢ_x000a_ CÒN LẠI" dataDxfId="399"/>
    <tableColumn id="10" xr3:uid="{11BEAC59-934B-4844-B7E1-A45AA044D21F}" name="Ghi chú" dataDxfId="398"/>
  </tableColumns>
  <tableStyleInfo showFirstColumn="0" showLastColumn="0" showRowStripes="1" showColumnStripes="0"/>
</table>
</file>

<file path=xl/tables/table19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2" xr:uid="{0B4D16B9-38D0-49C9-A76E-2AAC050F15C2}" name="E_Quyet_VN" displayName="E_Quyet_VN" ref="A9:K13" totalsRowShown="0" headerRowDxfId="397" dataDxfId="395" headerRowBorderDxfId="396" tableBorderDxfId="394" totalsRowBorderDxfId="393">
  <autoFilter ref="A9:K13" xr:uid="{3227F2BD-2C9D-4FFF-9F44-8C9E66133B6C}"/>
  <tableColumns count="11">
    <tableColumn id="1" xr3:uid="{846F0287-D40C-42F4-82CE-F092E59E6881}" name="Số phiếu" dataDxfId="392"/>
    <tableColumn id="2" xr3:uid="{0C1438C3-7FEF-4CCF-A200-484F29C3B7A0}" name="Ngày_x000a_ tháng" dataDxfId="391"/>
    <tableColumn id="3" xr3:uid="{66B9F73E-366D-41CB-965F-5821888EF503}" name="Nội dung" dataDxfId="390"/>
    <tableColumn id="12" xr3:uid="{2462D81A-40BF-4007-BBFE-C5C61C8CCE65}" name="Chủng loại" dataDxfId="389"/>
    <tableColumn id="4" xr3:uid="{188CCDBA-F4F0-468F-A535-2A472D8293F1}" name="Quy cách" dataDxfId="388"/>
    <tableColumn id="5" xr3:uid="{1C164170-3DFF-4B5C-8E7B-BF24AF036290}" name="SỐ LƯỢNG" dataDxfId="387">
      <calculatedColumnFormula>1091+958+901</calculatedColumnFormula>
    </tableColumn>
    <tableColumn id="6" xr3:uid="{2E69FC57-7D3A-4A88-8AAB-FEA4C07F5FF3}" name="ĐƠN GIÁ" dataDxfId="386"/>
    <tableColumn id="7" xr3:uid="{CC071499-2EEA-49FA-9AED-CDD8C216B312}" name="THÀNH TIỀN" dataDxfId="385">
      <calculatedColumnFormula>E_Quyet_VN[[#This Row],[ĐƠN GIÁ]]*E_Quyet_VN[[#This Row],[SỐ LƯỢNG]]</calculatedColumnFormula>
    </tableColumn>
    <tableColumn id="8" xr3:uid="{E65129EA-5E7F-47E6-9ED5-E289D50B0468}" name="THANH TOÁN" dataDxfId="384"/>
    <tableColumn id="9" xr3:uid="{032DDFFF-258B-40D3-8EE9-3A07032BB8B7}" name="CÔNG NỢ_x000a_ CÒN LẠI" dataDxfId="383">
      <calculatedColumnFormula>J9+E_Quyet_VN[[#This Row],[THÀNH TIỀN]]-E_Quyet_VN[[#This Row],[THANH TOÁN]]</calculatedColumnFormula>
    </tableColumn>
    <tableColumn id="10" xr3:uid="{0E6CA340-E5EB-42B7-B1DA-6AC2879AE2D6}" name="Ghi chú" dataDxfId="382"/>
  </tableColumns>
  <tableStyleInfo showFirstColumn="0" showLastColumn="0" showRowStripes="1" showColumnStripes="0"/>
</table>
</file>

<file path=xl/tables/table19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1" xr:uid="{D1B70EF1-319F-441A-95DA-9716687C1896}" name="A_Ha_Cty_HTM" displayName="A_Ha_Cty_HTM" ref="A9:K10" totalsRowShown="0" headerRowDxfId="381" dataDxfId="379" headerRowBorderDxfId="380" tableBorderDxfId="378" totalsRowBorderDxfId="377">
  <autoFilter ref="A9:K10" xr:uid="{3227F2BD-2C9D-4FFF-9F44-8C9E66133B6C}"/>
  <tableColumns count="11">
    <tableColumn id="1" xr3:uid="{24155630-AD8C-4A92-A22C-60A3003D19DC}" name="Số phiếu" dataDxfId="376"/>
    <tableColumn id="2" xr3:uid="{FA84DBF2-BF5D-44D2-BCFE-AECA7E220BD4}" name="Ngày_x000a_ tháng" dataDxfId="375"/>
    <tableColumn id="3" xr3:uid="{E57AE57A-608D-49CD-BE0D-88D54081C7DC}" name="Nội dung" dataDxfId="374"/>
    <tableColumn id="12" xr3:uid="{9CC1BD45-7F9B-4497-938C-FD781781AB25}" name="Chủng loại" dataDxfId="373"/>
    <tableColumn id="4" xr3:uid="{228C7835-6456-4FD7-81F0-F0D7ACE7333E}" name="Quy cách" dataDxfId="372"/>
    <tableColumn id="5" xr3:uid="{720FC139-6769-497B-945A-3310A79B6E53}" name="SỐ LƯỢNG" dataDxfId="371">
      <calculatedColumnFormula>1091+958+901</calculatedColumnFormula>
    </tableColumn>
    <tableColumn id="6" xr3:uid="{7A4D2689-618E-467D-B0D8-46AE03FDE811}" name="ĐƠN GIÁ" dataDxfId="370"/>
    <tableColumn id="7" xr3:uid="{19FF1D2D-26DF-4670-91F7-EB0C9F54A02C}" name="THÀNH TIỀN" dataDxfId="369">
      <calculatedColumnFormula>A_Ha_Cty_HTM[[#This Row],[ĐƠN GIÁ]]*A_Ha_Cty_HTM[[#This Row],[SỐ LƯỢNG]]</calculatedColumnFormula>
    </tableColumn>
    <tableColumn id="8" xr3:uid="{11633FF1-9874-4D6D-B151-99836DC2A83A}" name="THANH TOÁN" dataDxfId="368"/>
    <tableColumn id="9" xr3:uid="{40665729-BD9A-4E7D-AE24-05014FE57468}" name="CÔNG NỢ_x000a_ CÒN LẠI" dataDxfId="367"/>
    <tableColumn id="10" xr3:uid="{880E434D-E854-45C5-B5B4-2D834481AC91}" name="Ghi chú" dataDxfId="366"/>
  </tableColumns>
  <tableStyleInfo showFirstColumn="0" showLastColumn="0" showRowStripes="1" showColumnStripes="0"/>
</table>
</file>

<file path=xl/tables/table19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3" xr:uid="{FC7655DA-F524-475A-BE37-0E441C8124DB}" name="A_Nang_Hai_Duong" displayName="A_Nang_Hai_Duong" ref="A9:K15" totalsRowShown="0" headerRowDxfId="365" dataDxfId="363" headerRowBorderDxfId="364" tableBorderDxfId="362" totalsRowBorderDxfId="361">
  <autoFilter ref="A9:K15" xr:uid="{3227F2BD-2C9D-4FFF-9F44-8C9E66133B6C}"/>
  <tableColumns count="11">
    <tableColumn id="1" xr3:uid="{56B2E994-A38D-4C3F-BB0A-E6F47B5BF1FF}" name="Số phiếu" dataDxfId="360"/>
    <tableColumn id="2" xr3:uid="{E446D591-67A9-40A4-BC4C-8DCFA7FC9887}" name="Ngày_x000a_ tháng" dataDxfId="359"/>
    <tableColumn id="3" xr3:uid="{5A307BE9-D4CF-4215-8860-FE4A04CD6FCD}" name="Nội dung" dataDxfId="358"/>
    <tableColumn id="12" xr3:uid="{E92593D2-0BA7-4479-95E3-2E65828309A5}" name="Chủng loại" dataDxfId="357"/>
    <tableColumn id="4" xr3:uid="{7D7F9455-8E4D-4DEB-89B6-4DBBA2526B17}" name="Quy cách" dataDxfId="356"/>
    <tableColumn id="5" xr3:uid="{DAF0A784-4CB1-484C-96A9-453FE36438CE}" name="SỐ LƯỢNG" dataDxfId="355" dataCellStyle="Normal 2"/>
    <tableColumn id="6" xr3:uid="{C22B1769-78D8-411B-8A7E-9805514B14A4}" name="ĐƠN GIÁ" dataDxfId="354"/>
    <tableColumn id="7" xr3:uid="{30EEAEC7-75DD-4B96-8604-021198048D47}" name="THÀNH TIỀN" dataDxfId="353" dataCellStyle="Normal 2">
      <calculatedColumnFormula>A_Nang_Hai_Duong[[#This Row],[ĐƠN GIÁ]]*A_Nang_Hai_Duong[[#This Row],[SỐ LƯỢNG]]</calculatedColumnFormula>
    </tableColumn>
    <tableColumn id="8" xr3:uid="{41F2D71A-B7C9-438F-B561-27DAFA4530BE}" name="THANH TOÁN" dataDxfId="352"/>
    <tableColumn id="9" xr3:uid="{2C69C6CB-CF90-42A5-9F19-6107E5DF9CC9}" name="CÔNG NỢ_x000a_ CÒN LẠI" dataDxfId="351">
      <calculatedColumnFormula>J9+A_Nang_Hai_Duong[[#This Row],[THÀNH TIỀN]]-A_Nang_Hai_Duong[[#This Row],[THANH TOÁN]]</calculatedColumnFormula>
    </tableColumn>
    <tableColumn id="10" xr3:uid="{CB1780B0-E90D-4FB8-B3D5-6E931FEBC814}" name="Ghi chú" dataDxfId="350"/>
  </tableColumns>
  <tableStyleInfo showFirstColumn="0" showLastColumn="0" showRowStripes="1" showColumnStripes="0"/>
</table>
</file>

<file path=xl/tables/table19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4" xr:uid="{A8293649-7560-4B60-8B8D-B0D8CCA0DCCF}" name="E_Duc_Phu_Xuyen" displayName="E_Duc_Phu_Xuyen" ref="A9:K13" totalsRowShown="0" headerRowDxfId="349" dataDxfId="347" headerRowBorderDxfId="348" tableBorderDxfId="346" totalsRowBorderDxfId="345">
  <autoFilter ref="A9:K13" xr:uid="{3227F2BD-2C9D-4FFF-9F44-8C9E66133B6C}"/>
  <tableColumns count="11">
    <tableColumn id="1" xr3:uid="{62C5BD72-6BAD-41D8-85E6-AB4DF62F5081}" name="Số phiếu" dataDxfId="344"/>
    <tableColumn id="2" xr3:uid="{E90B81D1-9EE4-49AC-931A-538A04960BEF}" name="Ngày_x000a_ tháng" dataDxfId="343"/>
    <tableColumn id="3" xr3:uid="{0B4AA2E4-7A40-4C2E-BE5A-63D352D4E071}" name="Nội dung" dataDxfId="342"/>
    <tableColumn id="12" xr3:uid="{DB12AC13-8203-479C-AEB1-CB4AB871D8F0}" name="Chủng loại" dataDxfId="341"/>
    <tableColumn id="4" xr3:uid="{8DCF03DF-DF15-4B7C-81AB-DED6BE293D36}" name="Quy cách" dataDxfId="340"/>
    <tableColumn id="5" xr3:uid="{85951211-7DEB-4419-BC5F-9EFBC3430352}" name="SỐ LƯỢNG" dataDxfId="339" dataCellStyle="Normal 2"/>
    <tableColumn id="6" xr3:uid="{6BA04E5B-40B0-46C0-A6C0-CB99365904C9}" name="ĐƠN GIÁ" dataDxfId="338"/>
    <tableColumn id="7" xr3:uid="{37066EF4-A876-471B-84C4-536839223A38}" name="THÀNH TIỀN" dataDxfId="337" dataCellStyle="Normal 2">
      <calculatedColumnFormula>E_Duc_Phu_Xuyen[[#This Row],[ĐƠN GIÁ]]*E_Duc_Phu_Xuyen[[#This Row],[SỐ LƯỢNG]]</calculatedColumnFormula>
    </tableColumn>
    <tableColumn id="8" xr3:uid="{F574C75C-02AB-40B0-AB94-754FFBE39005}" name="THANH TOÁN" dataDxfId="336"/>
    <tableColumn id="9" xr3:uid="{F7BC0E87-FEFA-43EC-82DA-3580E785918B}" name="CÔNG NỢ_x000a_ CÒN LẠI" dataDxfId="335">
      <calculatedColumnFormula>J9+E_Duc_Phu_Xuyen[[#This Row],[THÀNH TIỀN]]-E_Duc_Phu_Xuyen[[#This Row],[THANH TOÁN]]</calculatedColumnFormula>
    </tableColumn>
    <tableColumn id="10" xr3:uid="{7655FF4A-5C64-4CD8-8819-627DC89AD9BA}" name="Ghi chú" dataDxfId="334"/>
  </tableColumns>
  <tableStyleInfo showFirstColumn="0" showLastColumn="0" showRowStripes="1" showColumnStripes="0"/>
</table>
</file>

<file path=xl/tables/table19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5" xr:uid="{4B850E67-6F2E-4D97-983B-5B1AFFDF8F86}" name="Cty_Viet_Tiep_Chuong_My" displayName="Cty_Viet_Tiep_Chuong_My" ref="A9:K16" totalsRowShown="0" headerRowDxfId="333" dataDxfId="331" headerRowBorderDxfId="332" tableBorderDxfId="330" totalsRowBorderDxfId="329">
  <autoFilter ref="A9:K16" xr:uid="{3227F2BD-2C9D-4FFF-9F44-8C9E66133B6C}"/>
  <tableColumns count="11">
    <tableColumn id="1" xr3:uid="{936E2F45-252A-44D0-81E8-333142F5AB57}" name="Số phiếu" dataDxfId="328"/>
    <tableColumn id="2" xr3:uid="{962FDCB0-DEEE-4537-BEDE-9D5C765AB8B4}" name="Ngày_x000a_ tháng" dataDxfId="327"/>
    <tableColumn id="3" xr3:uid="{BD2C27F1-3749-4BE4-A477-F5CEC525058F}" name="Nội dung" dataDxfId="326"/>
    <tableColumn id="12" xr3:uid="{ECCBC9A6-A44C-4B64-8988-36A4141A1808}" name="Chủng loại" dataDxfId="325"/>
    <tableColumn id="4" xr3:uid="{CACEB873-C7CE-421F-9C75-9D25E96F20AA}" name="Quy cách" dataDxfId="324"/>
    <tableColumn id="5" xr3:uid="{C3B8C6DB-50E6-413A-8DC9-06ABA67D2AFF}" name="SỐ LƯỢNG" dataDxfId="323" dataCellStyle="Normal 2"/>
    <tableColumn id="6" xr3:uid="{7140C2E1-F432-44F5-AF2C-F4C8726831D3}" name="ĐƠN GIÁ" dataDxfId="322"/>
    <tableColumn id="7" xr3:uid="{4EE808C5-911A-4E36-B195-441EB2416D40}" name="THÀNH TIỀN" dataDxfId="321" dataCellStyle="Normal 2">
      <calculatedColumnFormula>Cty_Viet_Tiep_Chuong_My[[#This Row],[ĐƠN GIÁ]]*Cty_Viet_Tiep_Chuong_My[[#This Row],[SỐ LƯỢNG]]</calculatedColumnFormula>
    </tableColumn>
    <tableColumn id="8" xr3:uid="{7A01DB72-53CA-4DE5-804C-6D704C27DF63}" name="THANH TOÁN" dataDxfId="320"/>
    <tableColumn id="9" xr3:uid="{0545002E-D43A-47C1-857B-AD2025CA6333}" name="CÔNG NỢ_x000a_ CÒN LẠI" dataDxfId="319">
      <calculatedColumnFormula>J9+Cty_Viet_Tiep_Chuong_My[[#This Row],[THÀNH TIỀN]]-Cty_Viet_Tiep_Chuong_My[[#This Row],[THANH TOÁN]]</calculatedColumnFormula>
    </tableColumn>
    <tableColumn id="10" xr3:uid="{4699BAA9-4458-4C55-986D-C5C318FC0407}" name="Ghi chú" dataDxfId="318"/>
  </tableColumns>
  <tableStyleInfo showFirstColumn="0" showLastColumn="0" showRowStripes="1" showColumnStripes="0"/>
</table>
</file>

<file path=xl/tables/table19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6" xr:uid="{3CB5BFDA-5AF5-4302-B593-F947B01D7035}" name="Cty_Manh_Thuoc" displayName="Cty_Manh_Thuoc" ref="A9:K19" totalsRowShown="0" headerRowDxfId="317" dataDxfId="315" headerRowBorderDxfId="316" tableBorderDxfId="314" totalsRowBorderDxfId="313">
  <autoFilter ref="A9:K19" xr:uid="{3227F2BD-2C9D-4FFF-9F44-8C9E66133B6C}"/>
  <tableColumns count="11">
    <tableColumn id="1" xr3:uid="{431092A9-B191-443D-BC9F-35A29181F029}" name="Số phiếu" dataDxfId="312"/>
    <tableColumn id="2" xr3:uid="{F118C9F6-2FF0-4398-82BA-8CDDCF557011}" name="Ngày_x000a_ tháng" dataDxfId="311"/>
    <tableColumn id="3" xr3:uid="{86ADAE15-716E-4573-B587-70F21554A7F3}" name="Nội dung" dataDxfId="310"/>
    <tableColumn id="12" xr3:uid="{6A8D2566-7524-4AD9-A55D-3C1AEB404C77}" name="Chủng loại" dataDxfId="309"/>
    <tableColumn id="4" xr3:uid="{D957EE09-2B81-4971-8AA1-E574FAC34275}" name="Quy cách" dataDxfId="308"/>
    <tableColumn id="5" xr3:uid="{0AFD6627-C417-4050-A10C-B8C7C6F2FA15}" name="SỐ LƯỢNG" dataDxfId="307" dataCellStyle="Normal 2"/>
    <tableColumn id="6" xr3:uid="{20F4B52E-8C2E-4A50-B8EF-7002E345FB4C}" name="ĐƠN GIÁ" dataDxfId="306"/>
    <tableColumn id="7" xr3:uid="{3EB31A25-3911-4D07-86D0-FF1B992C17A2}" name="THÀNH TIỀN" dataDxfId="305" dataCellStyle="Normal 2">
      <calculatedColumnFormula>Cty_Manh_Thuoc[[#This Row],[ĐƠN GIÁ]]*Cty_Manh_Thuoc[[#This Row],[SỐ LƯỢNG]]</calculatedColumnFormula>
    </tableColumn>
    <tableColumn id="8" xr3:uid="{93951554-2DBC-409D-AB7D-322C6F886B18}" name="THANH TOÁN" dataDxfId="304"/>
    <tableColumn id="9" xr3:uid="{3A441547-4AC4-4783-9D2A-603838C7236E}" name="CÔNG NỢ_x000a_ CÒN LẠI" dataDxfId="303">
      <calculatedColumnFormula>J9+Cty_Manh_Thuoc[[#This Row],[THÀNH TIỀN]]-Cty_Manh_Thuoc[[#This Row],[THANH TOÁN]]</calculatedColumnFormula>
    </tableColumn>
    <tableColumn id="10" xr3:uid="{0C4197A0-CBEB-43BB-822E-430EB31A09E9}" name="Ghi chú" dataDxfId="302"/>
  </tableColumns>
  <tableStyleInfo showFirstColumn="0" showLastColumn="0" showRowStripes="1" showColumnStripes="0"/>
</table>
</file>

<file path=xl/tables/table19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7" xr:uid="{CEB125BA-52F6-4161-AF5B-19F04F5083DE}" name="Cty_Tan_Manh_Dung_VP" displayName="Cty_Tan_Manh_Dung_VP" ref="A9:K19" totalsRowShown="0" headerRowDxfId="301" dataDxfId="299" headerRowBorderDxfId="300" tableBorderDxfId="298" totalsRowBorderDxfId="297">
  <autoFilter ref="A9:K19" xr:uid="{3227F2BD-2C9D-4FFF-9F44-8C9E66133B6C}"/>
  <tableColumns count="11">
    <tableColumn id="1" xr3:uid="{01933C75-A954-4CCE-A1B4-7CDB8251D39D}" name="Số phiếu" dataDxfId="296"/>
    <tableColumn id="2" xr3:uid="{38438AA8-8E0F-459F-BE37-0B352200F842}" name="Ngày_x000a_ tháng" dataDxfId="295"/>
    <tableColumn id="3" xr3:uid="{E5B624EC-7330-4870-863D-A55816704FB6}" name="Nội dung" dataDxfId="294"/>
    <tableColumn id="12" xr3:uid="{EE7F0A40-223E-476F-B448-B289A32CB2F9}" name="Chủng loại" dataDxfId="293"/>
    <tableColumn id="4" xr3:uid="{CB9DD2C5-4980-4F30-BAA3-25B53811739D}" name="Quy cách" dataDxfId="292"/>
    <tableColumn id="5" xr3:uid="{C0664DC9-52C2-49BC-B1B8-21E505B57A64}" name="SỐ LƯỢNG" dataDxfId="291" dataCellStyle="Normal 2"/>
    <tableColumn id="6" xr3:uid="{A23ADA11-A827-4A37-88F7-2BEC92393160}" name="ĐƠN GIÁ" dataDxfId="290"/>
    <tableColumn id="7" xr3:uid="{D679C6B8-1DB3-41E8-AD0C-0D88D2A2A0E2}" name="THÀNH TIỀN" dataDxfId="289" dataCellStyle="Normal 2">
      <calculatedColumnFormula>Cty_Tan_Manh_Dung_VP[[#This Row],[ĐƠN GIÁ]]*Cty_Tan_Manh_Dung_VP[[#This Row],[SỐ LƯỢNG]]</calculatedColumnFormula>
    </tableColumn>
    <tableColumn id="8" xr3:uid="{50335C02-D7BC-4A43-910A-E9AC55B9114A}" name="THANH TOÁN" dataDxfId="288"/>
    <tableColumn id="9" xr3:uid="{A8350E2A-D848-4889-B46A-D3AE662CA3BA}" name="CÔNG NỢ_x000a_ CÒN LẠI" dataDxfId="287">
      <calculatedColumnFormula>J9+Cty_Tan_Manh_Dung_VP[[#This Row],[THÀNH TIỀN]]-Cty_Tan_Manh_Dung_VP[[#This Row],[THANH TOÁN]]</calculatedColumnFormula>
    </tableColumn>
    <tableColumn id="10" xr3:uid="{CA27759B-AE9E-4D52-B6CD-5A6D4ACAE318}" name="Ghi chú" dataDxfId="286"/>
  </tableColumns>
  <tableStyleInfo showFirstColumn="0" showLastColumn="0" showRowStripes="1" showColumnStripes="0"/>
</table>
</file>

<file path=xl/tables/table19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9" xr:uid="{D51BBCD7-23F0-49B0-AD7B-77762FFC549D}" name="Viet_Thai" displayName="Viet_Thai" ref="A9:K11" totalsRowShown="0" headerRowDxfId="285" dataDxfId="283" headerRowBorderDxfId="284" tableBorderDxfId="282" totalsRowBorderDxfId="281">
  <autoFilter ref="A9:K11" xr:uid="{3227F2BD-2C9D-4FFF-9F44-8C9E66133B6C}"/>
  <tableColumns count="11">
    <tableColumn id="1" xr3:uid="{E001136B-88D8-4652-ABA5-E859AB42E07F}" name="Số phiếu" dataDxfId="280"/>
    <tableColumn id="2" xr3:uid="{38589E85-3BFE-4B38-850A-5E9457125D91}" name="Ngày_x000a_ tháng" dataDxfId="279"/>
    <tableColumn id="3" xr3:uid="{948E56C2-2DFD-457B-B861-420B98F7C014}" name="Nội dung" dataDxfId="278"/>
    <tableColumn id="12" xr3:uid="{3650FB82-682E-4673-AA2A-32956DABFE3C}" name="Chủng loại" dataDxfId="277"/>
    <tableColumn id="4" xr3:uid="{82322021-C502-40D2-A978-04CD8EA00C46}" name="Quy cách" dataDxfId="276"/>
    <tableColumn id="5" xr3:uid="{1D68F79E-386F-4B63-B353-1A008BC2F5A2}" name="SỐ LƯỢNG" dataDxfId="275" dataCellStyle="Normal 2"/>
    <tableColumn id="6" xr3:uid="{AFECAC93-BD99-4AD2-A360-5C93B3983FD8}" name="ĐƠN GIÁ" dataDxfId="274"/>
    <tableColumn id="7" xr3:uid="{7456C770-7CE5-449D-89EF-E68CCC030CF8}" name="THÀNH TIỀN" dataDxfId="273" dataCellStyle="Normal 2">
      <calculatedColumnFormula>Viet_Thai[[#This Row],[ĐƠN GIÁ]]*Viet_Thai[[#This Row],[SỐ LƯỢNG]]</calculatedColumnFormula>
    </tableColumn>
    <tableColumn id="8" xr3:uid="{F2187783-6D2A-42C1-B4F8-B5720C555CE8}" name="THANH TOÁN" dataDxfId="272"/>
    <tableColumn id="9" xr3:uid="{1C57850B-C8E2-448E-8576-7363B2ADA86E}" name="CÔNG NỢ_x000a_ CÒN LẠI" dataDxfId="271">
      <calculatedColumnFormula>J9+Viet_Thai[[#This Row],[THÀNH TIỀN]]-Viet_Thai[[#This Row],[THANH TOÁN]]</calculatedColumnFormula>
    </tableColumn>
    <tableColumn id="10" xr3:uid="{70FCA096-3E81-4FE0-B554-07CA74BEA110}" name="Ghi chú" dataDxfId="270"/>
  </tableColumns>
  <tableStyleInfo showFirstColumn="0" showLastColumn="0" showRowStripes="1" showColumnStripes="0"/>
</table>
</file>

<file path=xl/tables/table19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8" xr:uid="{E2C64175-5F5E-4AAE-929C-98BCA83FE3DA}" name="Cty_Hoang_Vu" displayName="Cty_Hoang_Vu" ref="A9:K34" totalsRowShown="0" headerRowDxfId="269" dataDxfId="267" headerRowBorderDxfId="268" tableBorderDxfId="266" totalsRowBorderDxfId="265">
  <autoFilter ref="A9:K34" xr:uid="{3227F2BD-2C9D-4FFF-9F44-8C9E66133B6C}"/>
  <sortState xmlns:xlrd2="http://schemas.microsoft.com/office/spreadsheetml/2017/richdata2" ref="A10:K32">
    <sortCondition ref="B13:B32"/>
  </sortState>
  <tableColumns count="11">
    <tableColumn id="1" xr3:uid="{0475E370-C98B-42EE-99BE-83F6468D8CC3}" name="Số phiếu" dataDxfId="264"/>
    <tableColumn id="2" xr3:uid="{F8CD07AC-5FE0-412E-9105-AD57E1B04821}" name="Ngày_x000a_ tháng" dataDxfId="263"/>
    <tableColumn id="3" xr3:uid="{3CE35A7C-EB4E-4251-B7F1-2EEC118A8904}" name="Nội dung" dataDxfId="262"/>
    <tableColumn id="12" xr3:uid="{FC5895DB-E4D3-4DD1-83E4-08AAFE569CB4}" name="Chủng loại" dataDxfId="261"/>
    <tableColumn id="4" xr3:uid="{CEDBAAD1-7741-4CA6-9EF1-0D8123A7F213}" name="Quy cách" dataDxfId="260"/>
    <tableColumn id="5" xr3:uid="{B4ECDCAD-8899-4EBC-B1F6-FA19725899DE}" name="SỐ LƯỢNG" dataDxfId="259" dataCellStyle="Normal 2"/>
    <tableColumn id="6" xr3:uid="{4B81FE5F-8C04-41F2-87C3-0A84D94B07F8}" name="ĐƠN GIÁ" dataDxfId="258"/>
    <tableColumn id="7" xr3:uid="{1288DF38-5ABE-4DDF-A674-1A55BF98BE45}" name="THÀNH TIỀN" dataDxfId="257" dataCellStyle="Normal 2">
      <calculatedColumnFormula>Cty_Hoang_Vu[[#This Row],[ĐƠN GIÁ]]*Cty_Hoang_Vu[[#This Row],[SỐ LƯỢNG]]</calculatedColumnFormula>
    </tableColumn>
    <tableColumn id="8" xr3:uid="{204F2AB3-3FB6-4F88-A77A-66B8054A6816}" name="THANH TOÁN" dataDxfId="256"/>
    <tableColumn id="9" xr3:uid="{D8FF8D35-1B31-4895-82CF-529DC1B8518F}" name="CÔNG NỢ_x000a_ CÒN LẠI" dataDxfId="255">
      <calculatedColumnFormula>J9+Cty_Hoang_Vu[[#This Row],[THÀNH TIỀN]]-Cty_Hoang_Vu[[#This Row],[THANH TOÁN]]</calculatedColumnFormula>
    </tableColumn>
    <tableColumn id="10" xr3:uid="{2038F858-6111-46E2-B0BD-A4555AC63C4C}" name="Ghi chú" dataDxfId="254"/>
  </tableColumns>
  <tableStyleInfo showFirstColumn="0" showLastColumn="0" showRowStripes="1" showColumnStripes="0"/>
</table>
</file>

<file path=xl/tables/table20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5" xr:uid="{1CB80650-0AEA-4548-9E79-B70401F4928A}" name="C_Dung_Tam_Trinh" displayName="C_Dung_Tam_Trinh" ref="A9:K13" totalsRowShown="0" headerRowDxfId="253" dataDxfId="251" headerRowBorderDxfId="252" tableBorderDxfId="250" totalsRowBorderDxfId="249">
  <autoFilter ref="A9:K13" xr:uid="{3227F2BD-2C9D-4FFF-9F44-8C9E66133B6C}"/>
  <tableColumns count="11">
    <tableColumn id="1" xr3:uid="{0285139C-FAC5-414B-B2B8-5185F3D9D8CC}" name="Số phiếu" dataDxfId="248"/>
    <tableColumn id="2" xr3:uid="{6A47C0D9-52F6-4ED3-B045-4FA8AACCD255}" name="Ngày_x000a_ tháng" dataDxfId="247"/>
    <tableColumn id="3" xr3:uid="{F29A04FB-EAD8-46B3-886B-B67414BE894F}" name="Nội dung" dataDxfId="246"/>
    <tableColumn id="12" xr3:uid="{3323182E-E0F2-4CD6-80B5-55BB1FE92D99}" name="Chủng loại" dataDxfId="245"/>
    <tableColumn id="4" xr3:uid="{2B41AAD0-315E-41AF-B17F-7E68EF4CE771}" name="Quy cách" dataDxfId="244"/>
    <tableColumn id="5" xr3:uid="{E2468473-2F66-4EE7-A1B4-BB10A8C0E959}" name="SỐ LƯỢNG" dataDxfId="243" dataCellStyle="Normal 2"/>
    <tableColumn id="6" xr3:uid="{A006BD47-8F4C-431E-BD47-6BBBB0AB6D85}" name="ĐƠN GIÁ" dataDxfId="242"/>
    <tableColumn id="7" xr3:uid="{FD9DD94B-662B-4AF1-89EC-CD507481CDD6}" name="THÀNH TIỀN" dataDxfId="241" dataCellStyle="Normal 2">
      <calculatedColumnFormula>C_Dung_Tam_Trinh[[#This Row],[ĐƠN GIÁ]]*C_Dung_Tam_Trinh[[#This Row],[SỐ LƯỢNG]]</calculatedColumnFormula>
    </tableColumn>
    <tableColumn id="8" xr3:uid="{2FD2C1B9-B972-40AA-9726-A10206481303}" name="THANH TOÁN" dataDxfId="240"/>
    <tableColumn id="9" xr3:uid="{D3A81060-3A4F-4B03-81B7-09E037947A46}" name="CÔNG NỢ_x000a_ CÒN LẠI" dataDxfId="239">
      <calculatedColumnFormula>J9+C_Dung_Tam_Trinh[[#This Row],[THÀNH TIỀN]]-C_Dung_Tam_Trinh[[#This Row],[THANH TOÁN]]</calculatedColumnFormula>
    </tableColumn>
    <tableColumn id="10" xr3:uid="{32DAB777-AC7D-423D-B596-655C8EDD0015}" name="Ghi chú" dataDxfId="238"/>
  </tableColumns>
  <tableStyleInfo showFirstColumn="0" showLastColumn="0" showRowStripes="1" showColumnStripes="0"/>
</table>
</file>

<file path=xl/tables/table20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2" xr:uid="{C54B1AD4-6B10-4945-9EDC-BE2624D8948F}" name="Cty_Sunhouse" displayName="Cty_Sunhouse" ref="A9:K12" totalsRowShown="0" headerRowDxfId="237" dataDxfId="235" headerRowBorderDxfId="236" tableBorderDxfId="234" totalsRowBorderDxfId="233">
  <autoFilter ref="A9:K12" xr:uid="{3227F2BD-2C9D-4FFF-9F44-8C9E66133B6C}"/>
  <tableColumns count="11">
    <tableColumn id="1" xr3:uid="{2309E4E7-46C0-4C4F-AB59-5F66256D45A7}" name="Số phiếu" dataDxfId="232"/>
    <tableColumn id="2" xr3:uid="{C1CCA9EF-7F62-47D7-9BC0-A874B0FC5210}" name="Ngày_x000a_ tháng" dataDxfId="231"/>
    <tableColumn id="3" xr3:uid="{86923AD8-F082-47B2-9F02-6037294CAA26}" name="Nội dung" dataDxfId="230"/>
    <tableColumn id="12" xr3:uid="{B35489C4-D475-43C8-8CCB-9060FE469391}" name="Chủng loại" dataDxfId="229"/>
    <tableColumn id="4" xr3:uid="{639629E8-B2CE-44AE-A777-153665E116F2}" name="Quy cách" dataDxfId="228"/>
    <tableColumn id="5" xr3:uid="{394079FC-F4B1-4DB9-9A51-0E6F45EB13C7}" name="SỐ LƯỢNG" dataDxfId="227" dataCellStyle="Normal 2"/>
    <tableColumn id="6" xr3:uid="{D489B586-9EA3-4B9A-A05B-DE1F8564B97B}" name="ĐƠN GIÁ" dataDxfId="226"/>
    <tableColumn id="7" xr3:uid="{A8F43FAC-4283-4232-8DE7-04AAF72BB87E}" name="THÀNH TIỀN" dataDxfId="225" dataCellStyle="Normal 2">
      <calculatedColumnFormula>Cty_Sunhouse[[#This Row],[ĐƠN GIÁ]]*Cty_Sunhouse[[#This Row],[SỐ LƯỢNG]]</calculatedColumnFormula>
    </tableColumn>
    <tableColumn id="8" xr3:uid="{481159F6-88DB-4151-85FC-034E49B4FD22}" name="THANH TOÁN" dataDxfId="224"/>
    <tableColumn id="9" xr3:uid="{668B3CB4-5182-4FA3-9EF5-C829FF88C621}" name="CÔNG NỢ_x000a_ CÒN LẠI" dataDxfId="223">
      <calculatedColumnFormula>J9+Cty_Sunhouse[[#This Row],[THÀNH TIỀN]]-Cty_Sunhouse[[#This Row],[THANH TOÁN]]</calculatedColumnFormula>
    </tableColumn>
    <tableColumn id="10" xr3:uid="{E8C97FF2-8BC3-46F8-AF26-FBD1B2A2CC53}" name="Ghi chú" dataDxfId="222"/>
  </tableColumns>
  <tableStyleInfo showFirstColumn="0" showLastColumn="0" showRowStripes="1" showColumnStripes="0"/>
</table>
</file>

<file path=xl/tables/table20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1" xr:uid="{897B588B-0B91-4FD4-85EF-C5E33C135F86}" name="Cty_May_NN_Van_Lang" displayName="Cty_May_NN_Van_Lang" ref="A9:K12" totalsRowShown="0" headerRowDxfId="221" dataDxfId="219" headerRowBorderDxfId="220" tableBorderDxfId="218" totalsRowBorderDxfId="217">
  <autoFilter ref="A9:K12" xr:uid="{3227F2BD-2C9D-4FFF-9F44-8C9E66133B6C}"/>
  <tableColumns count="11">
    <tableColumn id="1" xr3:uid="{1A831C36-BEF6-4094-814D-05A65EAD48EF}" name="Số phiếu" dataDxfId="216"/>
    <tableColumn id="2" xr3:uid="{D5D0BE4B-01C3-46D9-9163-7433A91EF77A}" name="Ngày_x000a_ tháng" dataDxfId="215"/>
    <tableColumn id="3" xr3:uid="{461F9A8E-D694-41C9-B301-C0C4257500A8}" name="Nội dung" dataDxfId="214"/>
    <tableColumn id="12" xr3:uid="{AFCDA7D2-4A1C-4CB0-9EC0-708FE58BCC34}" name="Chủng loại" dataDxfId="213"/>
    <tableColumn id="4" xr3:uid="{0EE6D5CE-7E77-472B-9FB5-A9C9F65E501A}" name="Quy cách" dataDxfId="212"/>
    <tableColumn id="5" xr3:uid="{81FDF1F4-3022-4FA7-8364-EF39827811F1}" name="SỐ LƯỢNG" dataDxfId="211" dataCellStyle="Normal 2"/>
    <tableColumn id="6" xr3:uid="{BA6765D1-EF26-4F2A-A534-FC8C481400F3}" name="ĐƠN GIÁ" dataDxfId="210"/>
    <tableColumn id="7" xr3:uid="{EEBCA116-8DC1-449E-9C92-9F428708E60A}" name="THÀNH TIỀN" dataDxfId="209" dataCellStyle="Normal 2">
      <calculatedColumnFormula>Cty_May_NN_Van_Lang[[#This Row],[ĐƠN GIÁ]]*Cty_May_NN_Van_Lang[[#This Row],[SỐ LƯỢNG]]</calculatedColumnFormula>
    </tableColumn>
    <tableColumn id="8" xr3:uid="{20B6FE95-D0F8-42B6-ADA6-7A7C59105EB5}" name="THANH TOÁN" dataDxfId="208"/>
    <tableColumn id="9" xr3:uid="{0755F217-1044-47C8-BFAA-8C8C3722AF8F}" name="CÔNG NỢ_x000a_ CÒN LẠI" dataDxfId="207">
      <calculatedColumnFormula>J9+Cty_May_NN_Van_Lang[[#This Row],[THÀNH TIỀN]]-Cty_May_NN_Van_Lang[[#This Row],[THANH TOÁN]]</calculatedColumnFormula>
    </tableColumn>
    <tableColumn id="10" xr3:uid="{8D8B8517-B762-4C91-AB08-E0A09AF1723B}" name="Ghi chú" dataDxfId="206"/>
  </tableColumns>
  <tableStyleInfo showFirstColumn="0" showLastColumn="0" showRowStripes="1" showColumnStripes="0"/>
</table>
</file>

<file path=xl/tables/table20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2" xr:uid="{0E127757-AEDA-48C3-A586-921E5558E4CF}" name="E_Cap_Hieu_Mon" displayName="E_Cap_Hieu_Mon" ref="A9:K14" totalsRowShown="0" headerRowDxfId="205" dataDxfId="203" headerRowBorderDxfId="204" tableBorderDxfId="202" totalsRowBorderDxfId="201">
  <autoFilter ref="A9:K14" xr:uid="{3227F2BD-2C9D-4FFF-9F44-8C9E66133B6C}"/>
  <tableColumns count="11">
    <tableColumn id="1" xr3:uid="{61223F2E-3570-44D2-97EF-73EAC2A6099C}" name="Số phiếu" dataDxfId="200"/>
    <tableColumn id="2" xr3:uid="{BEB84569-695D-4569-9683-D85F8F99B16A}" name="Ngày_x000a_ tháng" dataDxfId="199"/>
    <tableColumn id="3" xr3:uid="{952E67A2-BCCE-4897-93E4-80707727A272}" name="Nội dung" dataDxfId="198"/>
    <tableColumn id="12" xr3:uid="{D5F6E595-D958-4AD9-8CFE-3B1517053602}" name="Chủng loại" dataDxfId="197"/>
    <tableColumn id="4" xr3:uid="{6FF04179-035C-4CB7-BB50-963DD6825B87}" name="Quy cách" dataDxfId="196"/>
    <tableColumn id="5" xr3:uid="{CBD770F1-6FD8-4445-B9AB-0B2B6686112F}" name="SỐ LƯỢNG" dataDxfId="195" dataCellStyle="Normal 2"/>
    <tableColumn id="6" xr3:uid="{F463E817-FED9-48E8-AA47-96C3B1CFA2C9}" name="ĐƠN GIÁ" dataDxfId="194"/>
    <tableColumn id="7" xr3:uid="{4E772829-295A-457D-BB4B-0D9A73FB0B39}" name="THÀNH TIỀN" dataDxfId="193" dataCellStyle="Normal 2">
      <calculatedColumnFormula>E_Cap_Hieu_Mon[[#This Row],[ĐƠN GIÁ]]*E_Cap_Hieu_Mon[[#This Row],[SỐ LƯỢNG]]</calculatedColumnFormula>
    </tableColumn>
    <tableColumn id="8" xr3:uid="{9F1F5FF3-74E9-4DF5-BF24-2AAA5788A4CF}" name="THANH TOÁN" dataDxfId="192"/>
    <tableColumn id="9" xr3:uid="{4DF381A4-97EA-47FC-A687-440D6A665EC9}" name="CÔNG NỢ_x000a_ CÒN LẠI" dataDxfId="191">
      <calculatedColumnFormula>J9+E_Cap_Hieu_Mon[[#This Row],[THÀNH TIỀN]]-E_Cap_Hieu_Mon[[#This Row],[THANH TOÁN]]</calculatedColumnFormula>
    </tableColumn>
    <tableColumn id="10" xr3:uid="{A63919C5-3139-4EB6-BC86-641B5CF637F8}" name="Ghi chú" dataDxfId="190"/>
  </tableColumns>
  <tableStyleInfo showFirstColumn="0" showLastColumn="0" showRowStripes="1" showColumnStripes="0"/>
</table>
</file>

<file path=xl/tables/table20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3" xr:uid="{3694E29F-31F3-4A11-A1CA-194C9CA6887D}" name="Cty_CK_Lang_Rua" displayName="Cty_CK_Lang_Rua" ref="A9:K15" totalsRowShown="0" headerRowDxfId="189" dataDxfId="187" headerRowBorderDxfId="188" tableBorderDxfId="186" totalsRowBorderDxfId="185">
  <autoFilter ref="A9:K15" xr:uid="{3227F2BD-2C9D-4FFF-9F44-8C9E66133B6C}"/>
  <tableColumns count="11">
    <tableColumn id="1" xr3:uid="{B66D3EFF-5181-4C9D-8F19-D97334534B7B}" name="Số phiếu" dataDxfId="184"/>
    <tableColumn id="2" xr3:uid="{82A8D834-7D25-446C-9979-E65403AC1E6D}" name="Ngày_x000a_ tháng" dataDxfId="183"/>
    <tableColumn id="3" xr3:uid="{F30D9167-0F65-4037-A7D8-B84184DA985D}" name="Nội dung" dataDxfId="182"/>
    <tableColumn id="12" xr3:uid="{F7879B04-DFCA-41B9-83E1-FA128A999E0A}" name="Chủng loại" dataDxfId="181"/>
    <tableColumn id="4" xr3:uid="{F2045299-3E1A-417F-8A34-BE70832633A0}" name="Quy cách" dataDxfId="180"/>
    <tableColumn id="5" xr3:uid="{ECF5B04E-4C25-4004-9CFC-7B2EAA2C03FA}" name="SỐ LƯỢNG" dataDxfId="179" dataCellStyle="Normal 2"/>
    <tableColumn id="6" xr3:uid="{27297E6E-75C3-4923-816C-C4ECF009D3CF}" name="ĐƠN GIÁ" dataDxfId="178"/>
    <tableColumn id="7" xr3:uid="{CA87710E-CAB4-42C9-AF7F-1E30508FEC70}" name="THÀNH TIỀN" dataDxfId="177" dataCellStyle="Normal 2">
      <calculatedColumnFormula>Cty_CK_Lang_Rua[[#This Row],[ĐƠN GIÁ]]*Cty_CK_Lang_Rua[[#This Row],[SỐ LƯỢNG]]</calculatedColumnFormula>
    </tableColumn>
    <tableColumn id="8" xr3:uid="{9E5B97AA-C006-47AB-A8AD-A38AA7420BBB}" name="THANH TOÁN" dataDxfId="176"/>
    <tableColumn id="9" xr3:uid="{A0E3F54A-3C67-4F13-9238-2A75F7670AA9}" name="CÔNG NỢ_x000a_ CÒN LẠI" dataDxfId="175">
      <calculatedColumnFormula>J9+Cty_CK_Lang_Rua[[#This Row],[THÀNH TIỀN]]-Cty_CK_Lang_Rua[[#This Row],[THANH TOÁN]]</calculatedColumnFormula>
    </tableColumn>
    <tableColumn id="10" xr3:uid="{EB5DF4F5-A416-4E17-A7CB-802885EF03F7}" name="Ghi chú" dataDxfId="174"/>
  </tableColumns>
  <tableStyleInfo showFirstColumn="0" showLastColumn="0" showRowStripes="1" showColumnStripes="0"/>
</table>
</file>

<file path=xl/tables/table20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4" xr:uid="{94202B96-2731-44AC-87EE-36C352D606C4}" name="Cty_Long_Nguyet" displayName="Cty_Long_Nguyet" ref="A9:K12" totalsRowShown="0" headerRowDxfId="173" dataDxfId="171" headerRowBorderDxfId="172" tableBorderDxfId="170" totalsRowBorderDxfId="169">
  <autoFilter ref="A9:K12" xr:uid="{3227F2BD-2C9D-4FFF-9F44-8C9E66133B6C}"/>
  <tableColumns count="11">
    <tableColumn id="1" xr3:uid="{B2EE304A-DF61-44FA-8856-1FCA451E047D}" name="Số phiếu" dataDxfId="168"/>
    <tableColumn id="2" xr3:uid="{8F18F3AB-AC0B-428A-983B-BCDE5DC0E47B}" name="Ngày_x000a_ tháng" dataDxfId="167"/>
    <tableColumn id="3" xr3:uid="{E63A1841-5968-4CA8-808E-A29F7C157DAA}" name="Nội dung" dataDxfId="166"/>
    <tableColumn id="12" xr3:uid="{15D21A73-5169-45FA-A439-8B884B25A261}" name="Chủng loại" dataDxfId="165"/>
    <tableColumn id="4" xr3:uid="{940368F6-550B-4796-A00C-2AE72CEAA9B5}" name="Quy cách" dataDxfId="164"/>
    <tableColumn id="5" xr3:uid="{A4D3F788-780E-4EEB-8858-B935A4AA1550}" name="SỐ LƯỢNG" dataDxfId="163" dataCellStyle="Normal 2"/>
    <tableColumn id="6" xr3:uid="{6AC5326E-DCB8-4762-9DC4-1B1AF11569D0}" name="ĐƠN GIÁ" dataDxfId="162"/>
    <tableColumn id="7" xr3:uid="{982EF69B-1E4B-477B-9625-362A182BA28A}" name="THÀNH TIỀN" dataDxfId="161" dataCellStyle="Normal 2">
      <calculatedColumnFormula>Cty_Long_Nguyet[[#This Row],[ĐƠN GIÁ]]*Cty_Long_Nguyet[[#This Row],[SỐ LƯỢNG]]</calculatedColumnFormula>
    </tableColumn>
    <tableColumn id="8" xr3:uid="{4D5490F8-9271-4094-B952-ECDAF6D7C76A}" name="THANH TOÁN" dataDxfId="160"/>
    <tableColumn id="9" xr3:uid="{19222915-C922-4488-A37D-C7B916630B3D}" name="CÔNG NỢ_x000a_ CÒN LẠI" dataDxfId="159">
      <calculatedColumnFormula>J9+Cty_Long_Nguyet[[#This Row],[THÀNH TIỀN]]-Cty_Long_Nguyet[[#This Row],[THANH TOÁN]]</calculatedColumnFormula>
    </tableColumn>
    <tableColumn id="10" xr3:uid="{65938D00-BD07-4220-9DBE-6E8386666475}" name="Ghi chú" dataDxfId="158"/>
  </tableColumns>
  <tableStyleInfo showFirstColumn="0" showLastColumn="0" showRowStripes="1" showColumnStripes="0"/>
</table>
</file>

<file path=xl/tables/table20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5" xr:uid="{01A0BDAF-489F-45FF-B90E-046E4CB75EA5}" name="E_Cuong_TC" displayName="E_Cuong_TC" ref="A9:K13" totalsRowShown="0" headerRowDxfId="157" dataDxfId="155" headerRowBorderDxfId="156" tableBorderDxfId="154" totalsRowBorderDxfId="153">
  <autoFilter ref="A9:K13" xr:uid="{3227F2BD-2C9D-4FFF-9F44-8C9E66133B6C}"/>
  <tableColumns count="11">
    <tableColumn id="1" xr3:uid="{E01DE459-6A49-44CF-A5D6-FCFCF8D682AB}" name="Số phiếu" dataDxfId="152"/>
    <tableColumn id="2" xr3:uid="{2917F06B-F1BA-4C01-9749-914F6246DAB4}" name="Ngày_x000a_ tháng" dataDxfId="151"/>
    <tableColumn id="3" xr3:uid="{6766D2E6-3D35-4B1D-9C08-691D6FC168F2}" name="Nội dung" dataDxfId="150"/>
    <tableColumn id="12" xr3:uid="{85B79B57-FBDD-4F3A-ABF3-351177FF9BAD}" name="Chủng loại" dataDxfId="149"/>
    <tableColumn id="4" xr3:uid="{EF5650D8-AF9A-4353-AB65-051A721F8348}" name="Quy cách" dataDxfId="148"/>
    <tableColumn id="5" xr3:uid="{2EF71E27-99A6-4661-9D18-57EFFB7B4C45}" name="SỐ LƯỢNG" dataDxfId="147" dataCellStyle="Normal 2"/>
    <tableColumn id="6" xr3:uid="{B9A608A2-DB66-4899-B4DE-97BE2EB92287}" name="ĐƠN GIÁ" dataDxfId="146"/>
    <tableColumn id="7" xr3:uid="{77CD0C9A-07B4-4F95-920C-8C120F7A6BC4}" name="THÀNH TIỀN" dataDxfId="145" dataCellStyle="Normal 2">
      <calculatedColumnFormula>E_Cuong_TC[[#This Row],[ĐƠN GIÁ]]*E_Cuong_TC[[#This Row],[SỐ LƯỢNG]]</calculatedColumnFormula>
    </tableColumn>
    <tableColumn id="8" xr3:uid="{1090EDA4-20E5-46FA-BC7A-2DC69EF67BBF}" name="THANH TOÁN" dataDxfId="144"/>
    <tableColumn id="9" xr3:uid="{7CDE23E8-F202-4D6F-8396-58BD864D46F3}" name="CÔNG NỢ_x000a_ CÒN LẠI" dataDxfId="143">
      <calculatedColumnFormula>N(INDIRECT("R[-1]C", FALSE)) + E_Cuong_TC[[#This Row],[THÀNH TIỀN]] - E_Cuong_TC[[#This Row],[THANH TOÁN]]</calculatedColumnFormula>
    </tableColumn>
    <tableColumn id="10" xr3:uid="{22B8D3D6-C9DC-4F7F-9A5E-808109844B7F}" name="Ghi chú" dataDxfId="142"/>
  </tableColumns>
  <tableStyleInfo showFirstColumn="0" showLastColumn="0" showRowStripes="1" showColumnStripes="0"/>
</table>
</file>

<file path=xl/tables/table20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6" xr:uid="{F4E5433D-F38B-4611-A985-86A2B16BFB39}" name="Cty_HQ_Tech" displayName="Cty_HQ_Tech" ref="A9:K14" totalsRowShown="0" headerRowDxfId="141" dataDxfId="139" headerRowBorderDxfId="140" tableBorderDxfId="138" totalsRowBorderDxfId="137">
  <autoFilter ref="A9:K14" xr:uid="{3227F2BD-2C9D-4FFF-9F44-8C9E66133B6C}"/>
  <tableColumns count="11">
    <tableColumn id="1" xr3:uid="{D0099C9D-8EBC-4C81-9C67-2D2218AF405D}" name="Số phiếu" dataDxfId="136"/>
    <tableColumn id="2" xr3:uid="{65CDF943-C4A8-492D-B4C9-E8E5308FA674}" name="Ngày_x000a_ tháng" dataDxfId="135"/>
    <tableColumn id="3" xr3:uid="{308B9EA2-F431-42D6-AC25-21D3B200CF83}" name="Nội dung" dataDxfId="134"/>
    <tableColumn id="12" xr3:uid="{58B00CEB-20B7-429D-A02F-B3A43149D851}" name="Chủng loại" dataDxfId="133"/>
    <tableColumn id="4" xr3:uid="{40FB4462-780D-4D91-830E-9EF6498ED3B3}" name="Quy cách" dataDxfId="132"/>
    <tableColumn id="5" xr3:uid="{0B140E95-B52F-40A1-BA80-40E148549552}" name="SỐ LƯỢNG" dataDxfId="131" dataCellStyle="Normal 2"/>
    <tableColumn id="6" xr3:uid="{955F5942-BC32-4F4D-844D-EC53D6BF30B4}" name="ĐƠN GIÁ" dataDxfId="130"/>
    <tableColumn id="7" xr3:uid="{AD4FA8D8-7471-4D60-A65C-295BA4EF3C3C}" name="THÀNH TIỀN" dataDxfId="129" dataCellStyle="Normal 2">
      <calculatedColumnFormula>Cty_HQ_Tech[[#This Row],[ĐƠN GIÁ]]*Cty_HQ_Tech[[#This Row],[SỐ LƯỢNG]]</calculatedColumnFormula>
    </tableColumn>
    <tableColumn id="8" xr3:uid="{E9717FBE-642E-432D-B213-59B0307A4975}" name="THANH TOÁN" dataDxfId="128"/>
    <tableColumn id="9" xr3:uid="{33081D5F-3215-4ED8-A049-0569F0ECCCCC}" name="CÔNG NỢ_x000a_ CÒN LẠI" dataDxfId="127">
      <calculatedColumnFormula>N(INDIRECT("R[-1]C", FALSE)) + Cty_HQ_Tech[[#This Row],[THÀNH TIỀN]] - Cty_HQ_Tech[[#This Row],[THANH TOÁN]]</calculatedColumnFormula>
    </tableColumn>
    <tableColumn id="10" xr3:uid="{0FC9B0EA-8323-4D70-8BFA-C14097D70217}" name="Ghi chú" dataDxfId="126"/>
  </tableColumns>
  <tableStyleInfo showFirstColumn="0" showLastColumn="0" showRowStripes="1" showColumnStripes="0"/>
</table>
</file>

<file path=xl/tables/table20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7" xr:uid="{E4A8C1FE-B5EA-4630-A445-DB17975AFF34}" name="Cty_Thuy_Dung_BN" displayName="Cty_Thuy_Dung_BN" ref="A9:K12" totalsRowShown="0" headerRowDxfId="125" dataDxfId="123" headerRowBorderDxfId="124" tableBorderDxfId="122" totalsRowBorderDxfId="121">
  <autoFilter ref="A9:K12" xr:uid="{3227F2BD-2C9D-4FFF-9F44-8C9E66133B6C}"/>
  <tableColumns count="11">
    <tableColumn id="1" xr3:uid="{629AAC62-6509-4095-8A43-901CAE6BE990}" name="Số phiếu" dataDxfId="120"/>
    <tableColumn id="2" xr3:uid="{C156C885-DDEF-4FE5-9873-E9FCFBF1BED3}" name="Ngày_x000a_ tháng" dataDxfId="119"/>
    <tableColumn id="3" xr3:uid="{F0FB1FA1-8CF8-4652-9E82-FB587F014809}" name="Nội dung" dataDxfId="118"/>
    <tableColumn id="12" xr3:uid="{9E115362-AB15-4A05-B258-3233CF861EC6}" name="Chủng loại" dataDxfId="117"/>
    <tableColumn id="4" xr3:uid="{696AF02B-BD4A-402A-AF7F-27870E848BFD}" name="Quy cách" dataDxfId="116"/>
    <tableColumn id="5" xr3:uid="{501CD40B-F919-4508-840F-D39BD2DA0DC7}" name="SỐ LƯỢNG" dataDxfId="115" dataCellStyle="Normal 2"/>
    <tableColumn id="6" xr3:uid="{1F42409E-68AE-47B0-B647-7A9C300B3A15}" name="ĐƠN GIÁ" dataDxfId="114"/>
    <tableColumn id="7" xr3:uid="{DEAAA4F3-78E7-4C65-B952-085AA55722BE}" name="THÀNH TIỀN" dataDxfId="113" dataCellStyle="Normal 2">
      <calculatedColumnFormula>Cty_Thuy_Dung_BN[[#This Row],[ĐƠN GIÁ]]*Cty_Thuy_Dung_BN[[#This Row],[SỐ LƯỢNG]]</calculatedColumnFormula>
    </tableColumn>
    <tableColumn id="8" xr3:uid="{1085FE5C-AF81-4800-9BA3-087104AFDFB4}" name="THANH TOÁN" dataDxfId="112"/>
    <tableColumn id="9" xr3:uid="{D1276743-5D30-4721-B702-900294ADDCB2}" name="CÔNG NỢ_x000a_ CÒN LẠI" dataDxfId="111">
      <calculatedColumnFormula>N(INDIRECT("R[-1]C", FALSE)) + Cty_Thuy_Dung_BN[[#This Row],[THÀNH TIỀN]] - Cty_Thuy_Dung_BN[[#This Row],[THANH TOÁN]]</calculatedColumnFormula>
    </tableColumn>
    <tableColumn id="10" xr3:uid="{F42FBDC9-F979-40AB-9ECC-845D7AC6C8A9}" name="Ghi chú" dataDxfId="110"/>
  </tableColumns>
  <tableStyleInfo showFirstColumn="0" showLastColumn="0" showRowStripes="1" showColumnStripes="0"/>
</table>
</file>

<file path=xl/tables/table20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8" xr:uid="{A143EB02-D249-42BF-AFCD-CE1B71274074}" name="Cty_Nam_Hong" displayName="Cty_Nam_Hong" ref="A9:K12" totalsRowShown="0" headerRowDxfId="109" dataDxfId="107" headerRowBorderDxfId="108" tableBorderDxfId="106" totalsRowBorderDxfId="105">
  <autoFilter ref="A9:K12" xr:uid="{3227F2BD-2C9D-4FFF-9F44-8C9E66133B6C}"/>
  <tableColumns count="11">
    <tableColumn id="1" xr3:uid="{667B5A80-A449-4836-BC01-61F6F953AE06}" name="Số phiếu" dataDxfId="104"/>
    <tableColumn id="2" xr3:uid="{6F146561-1B1F-4AD0-A663-E878746929B6}" name="Ngày_x000a_ tháng" dataDxfId="103"/>
    <tableColumn id="3" xr3:uid="{8B115C4D-010F-44A6-AEEF-5964901EAC1C}" name="Nội dung" dataDxfId="102"/>
    <tableColumn id="12" xr3:uid="{9A9710D1-2E11-48B3-942E-DF6656B167A9}" name="Chủng loại" dataDxfId="101"/>
    <tableColumn id="4" xr3:uid="{69AF4BF7-4720-4493-A37B-D8B9F4D7A15A}" name="Quy cách" dataDxfId="100"/>
    <tableColumn id="5" xr3:uid="{AED1DFD9-DBB0-4022-9E98-4BD496C43B47}" name="SỐ LƯỢNG" dataDxfId="99" dataCellStyle="Normal 2"/>
    <tableColumn id="6" xr3:uid="{AB810021-2486-407C-914B-F6A762A4968C}" name="ĐƠN GIÁ" dataDxfId="98"/>
    <tableColumn id="7" xr3:uid="{30DBB70B-475C-4452-ACAE-9218E59E51D7}" name="THÀNH TIỀN" dataDxfId="97" dataCellStyle="Normal 2">
      <calculatedColumnFormula>Cty_Nam_Hong[[#This Row],[ĐƠN GIÁ]]*Cty_Nam_Hong[[#This Row],[SỐ LƯỢNG]]</calculatedColumnFormula>
    </tableColumn>
    <tableColumn id="8" xr3:uid="{80F51092-78F4-441A-9558-926C0A9D9E01}" name="THANH TOÁN" dataDxfId="96"/>
    <tableColumn id="9" xr3:uid="{6990CB1E-2439-4088-A539-DA0A651B7626}" name="CÔNG NỢ_x000a_ CÒN LẠI" dataDxfId="95">
      <calculatedColumnFormula>N(INDIRECT("R[-1]C", FALSE)) + Cty_Nam_Hong[[#This Row],[THÀNH TIỀN]] - Cty_Nam_Hong[[#This Row],[THANH TOÁN]]</calculatedColumnFormula>
    </tableColumn>
    <tableColumn id="10" xr3:uid="{029D8B3D-8EEB-4DEB-B387-18A9ED3EA9BE}" name="Ghi chú" dataDxfId="94"/>
  </tableColumns>
  <tableStyleInfo showFirstColumn="0" showLastColumn="0" showRowStripes="1" showColumnStripes="0"/>
</table>
</file>

<file path=xl/tables/table2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0" xr:uid="{7487289B-3D2C-4361-B9D3-73A254F55693}" name="Cty_AKhoa" displayName="Cty_AKhoa" ref="A9:K14" totalsRowShown="0" headerRowDxfId="25" dataDxfId="24" headerRowBorderDxfId="22" tableBorderDxfId="23" totalsRowBorderDxfId="21">
  <autoFilter ref="A9:K14" xr:uid="{3227F2BD-2C9D-4FFF-9F44-8C9E66133B6C}"/>
  <sortState xmlns:xlrd2="http://schemas.microsoft.com/office/spreadsheetml/2017/richdata2" ref="A10:K13">
    <sortCondition ref="B12:B13"/>
  </sortState>
  <tableColumns count="11">
    <tableColumn id="1" xr3:uid="{0A02FEE6-2D40-4B5F-A56E-3BF168FD5A89}" name="Số phiếu" dataDxfId="20"/>
    <tableColumn id="2" xr3:uid="{43160413-D665-4D48-9C50-0EFF19FD22DC}" name="Ngày_x000a_ tháng" dataDxfId="19"/>
    <tableColumn id="3" xr3:uid="{FFD1257A-B1C8-46BA-A3D3-26B0138D0C27}" name="Nội dung" dataDxfId="18"/>
    <tableColumn id="12" xr3:uid="{97715425-D58C-4222-9AD8-D31055CC3976}" name="Chủng loại" dataDxfId="17"/>
    <tableColumn id="4" xr3:uid="{4DB2EE2C-D8CE-41BF-A28A-EB6E4D57E575}" name="Quy cách" dataDxfId="16"/>
    <tableColumn id="5" xr3:uid="{30C10FB8-22CD-425F-98BD-E9A463476361}" name="SỐ LƯỢNG" dataDxfId="15" dataCellStyle="Normal 2"/>
    <tableColumn id="6" xr3:uid="{C5BFC33F-543D-4391-B289-AC6BA6BE3024}" name="ĐƠN GIÁ" dataDxfId="14"/>
    <tableColumn id="7" xr3:uid="{790BBCDB-DCE7-4EE3-B2EB-B9DBE7F7B741}" name="THÀNH TIỀN" dataDxfId="13" dataCellStyle="Normal 2">
      <calculatedColumnFormula>Cty_AKhoa[[#This Row],[ĐƠN GIÁ]]*Cty_AKhoa[[#This Row],[SỐ LƯỢNG]]</calculatedColumnFormula>
    </tableColumn>
    <tableColumn id="8" xr3:uid="{8201F513-2A3D-432B-A477-5E16BAFBBECF}" name="THANH TOÁN" dataDxfId="12"/>
    <tableColumn id="9" xr3:uid="{D1D828E0-CFDA-45AB-B2C1-BD224B37AA08}" name="CÔNG NỢ_x000a_ CÒN LẠI" dataDxfId="11">
      <calculatedColumnFormula>N(INDIRECT("R[-1]C", FALSE)) + Cty_AKhoa[[#This Row],[THÀNH TIỀN]] - Cty_AKhoa[[#This Row],[THANH TOÁN]]</calculatedColumnFormula>
    </tableColumn>
    <tableColumn id="10" xr3:uid="{E4D9CF83-069E-4019-9CEA-2C2EC498AA77}" name="Ghi chú" dataDxfId="10"/>
  </tableColumns>
  <tableStyleInfo showFirstColumn="0" showLastColumn="0" showRowStripes="1" showColumnStripes="0"/>
</table>
</file>

<file path=xl/tables/table2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9" xr:uid="{3B0B4957-6A4A-457F-9963-D3320C0DC516}" name="Mau" displayName="Mau" ref="A9:K10" totalsRowShown="0" headerRowDxfId="93" dataDxfId="91" headerRowBorderDxfId="92" tableBorderDxfId="90" totalsRowBorderDxfId="89">
  <autoFilter ref="A9:K10" xr:uid="{3227F2BD-2C9D-4FFF-9F44-8C9E66133B6C}"/>
  <tableColumns count="11">
    <tableColumn id="1" xr3:uid="{F7CEF795-70C6-48CA-B865-8CF6A926A19D}" name="Số phiếu" dataDxfId="88"/>
    <tableColumn id="2" xr3:uid="{95CCB146-A1CE-4F5E-9112-B45A023BC63F}" name="Ngày_x000a_ tháng" dataDxfId="87"/>
    <tableColumn id="3" xr3:uid="{81F2F2DC-7515-48B5-8221-3CDA2CE72864}" name="Nội dung" dataDxfId="86"/>
    <tableColumn id="12" xr3:uid="{39BFB224-CF1F-49C8-B9F9-B7B91E614BEC}" name="Chủng loại" dataDxfId="85"/>
    <tableColumn id="4" xr3:uid="{3AA2FCF1-9B31-4194-A111-F9CB4D16494E}" name="Quy cách" dataDxfId="84"/>
    <tableColumn id="5" xr3:uid="{5C5D9BC5-F0FF-4D2C-96D4-97FA871E1865}" name="SỐ LƯỢNG" dataDxfId="83" dataCellStyle="Normal 2"/>
    <tableColumn id="6" xr3:uid="{78073679-4FF8-48CD-9D06-8E620A137B6E}" name="ĐƠN GIÁ" dataDxfId="82"/>
    <tableColumn id="7" xr3:uid="{BD007D94-C931-4737-8371-E6F0DA414053}" name="THÀNH TIỀN" dataDxfId="81" dataCellStyle="Normal 2">
      <calculatedColumnFormula>Mau[[#This Row],[ĐƠN GIÁ]]*Mau[[#This Row],[SỐ LƯỢNG]]</calculatedColumnFormula>
    </tableColumn>
    <tableColumn id="8" xr3:uid="{E8DAE6BD-E284-4937-8071-8781295D7A24}" name="THANH TOÁN" dataDxfId="80"/>
    <tableColumn id="9" xr3:uid="{1616BEC2-C047-43F1-B856-0843BBE842DC}" name="CÔNG NỢ_x000a_ CÒN LẠI" dataDxfId="79">
      <calculatedColumnFormula>N(INDIRECT("R[-1]C", FALSE)) + Mau[[#This Row],[THÀNH TIỀN]] - Mau[[#This Row],[THANH TOÁN]]</calculatedColumnFormula>
    </tableColumn>
    <tableColumn id="10" xr3:uid="{8BDC36AB-5D42-4D8B-AA32-EF4D9EC7ACF3}" name="Ghi chú" dataDxfId="78"/>
  </tableColumns>
  <tableStyleInfo showFirstColumn="0" showLastColumn="0" showRowStripes="1" showColumnStripes="0"/>
</table>
</file>

<file path=xl/tables/table2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0" xr:uid="{2299A896-9FDF-4025-A25E-80D0EB576C8C}" name="Check" displayName="Check" ref="A1:J722" tableType="queryTable" totalsRowShown="0">
  <autoFilter ref="A1:J722" xr:uid="{2299A896-9FDF-4025-A25E-80D0EB576C8C}"/>
  <tableColumns count="10">
    <tableColumn id="11" xr3:uid="{7111A339-C5CE-4586-81BB-FF9FB70C86D0}" uniqueName="11" name="Bangdich.Tên" queryTableFieldId="11" dataDxfId="8"/>
    <tableColumn id="1" xr3:uid="{03B5E25F-444B-4D60-BF06-05BDD6519BFF}" uniqueName="1" name="Content.Số phiếu" queryTableFieldId="1"/>
    <tableColumn id="2" xr3:uid="{4F8F76E1-9EDC-4B54-BDDB-4AD4B9B9345E}" uniqueName="2" name="Content.Ngày_x000a_ tháng" queryTableFieldId="2" dataDxfId="7"/>
    <tableColumn id="3" xr3:uid="{E28105B1-95CB-48B3-9975-324C56AE5085}" uniqueName="3" name="Content.Nội dung" queryTableFieldId="3"/>
    <tableColumn id="4" xr3:uid="{BE4D0D99-ACEB-4218-A875-39D85562EADF}" uniqueName="4" name="Content.Chủng loại" queryTableFieldId="4"/>
    <tableColumn id="5" xr3:uid="{74C1B164-C341-4445-8899-B7099B09E4CE}" uniqueName="5" name="Content.Quy cách" queryTableFieldId="5"/>
    <tableColumn id="6" xr3:uid="{9618D9C0-1185-4C15-ADD7-A9B7E5761E89}" uniqueName="6" name="Content.SỐ LƯỢNG" queryTableFieldId="6"/>
    <tableColumn id="7" xr3:uid="{00A16F42-F5FA-40B7-9839-55930D6EE87E}" uniqueName="7" name="Content.ĐƠN GIÁ" queryTableFieldId="7"/>
    <tableColumn id="8" xr3:uid="{D7EE5D19-4802-43A5-A86F-052C3CE4FC80}" uniqueName="8" name="Content.THÀNH TIỀN" queryTableFieldId="8"/>
    <tableColumn id="9" xr3:uid="{447D8415-CFCF-4D7D-96B5-355084EB3DF1}" uniqueName="9" name="Content.Ghi chú" queryTableFieldId="9"/>
  </tableColumns>
  <tableStyleInfo name="TableStyleMedium7" showFirstColumn="0" showLastColumn="0" showRowStripes="1" showColumnStripes="0"/>
</table>
</file>

<file path=xl/tables/table2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6" xr:uid="{8DFA3611-071B-4942-B631-8558B2A8D0CE}" name="Bang_Tong_Hop" displayName="Bang_Tong_Hop" ref="A1:K4319" tableType="queryTable" totalsRowShown="0">
  <autoFilter ref="A1:K4319" xr:uid="{8DFA3611-071B-4942-B631-8558B2A8D0CE}">
    <filterColumn colId="1">
      <filters>
        <filter val="9153"/>
      </filters>
    </filterColumn>
  </autoFilter>
  <sortState xmlns:xlrd2="http://schemas.microsoft.com/office/spreadsheetml/2017/richdata2" ref="A2:K4319">
    <sortCondition descending="1" ref="B7:B4319"/>
  </sortState>
  <tableColumns count="11">
    <tableColumn id="1" xr3:uid="{FCD7454E-7243-484A-82DA-1A02613E5898}" uniqueName="1" name="Tên" queryTableFieldId="16" dataDxfId="3"/>
    <tableColumn id="2" xr3:uid="{34A2D4B5-79C9-411B-95BA-7C6A979EA8DE}" uniqueName="2" name="Số phiếu" queryTableFieldId="2"/>
    <tableColumn id="3" xr3:uid="{73059522-C17D-49DD-9EC9-944E2D4A54CC}" uniqueName="3" name="Ngày_x000a_ tháng" queryTableFieldId="3" dataDxfId="2"/>
    <tableColumn id="4" xr3:uid="{7E62F17E-CB64-4729-BF54-955A19353017}" uniqueName="4" name="Nội dung" queryTableFieldId="4"/>
    <tableColumn id="5" xr3:uid="{0ECE08AE-A3FB-4F47-BF68-2DBC1B206534}" uniqueName="5" name="Chủng loại" queryTableFieldId="5"/>
    <tableColumn id="6" xr3:uid="{2855E08C-E7A7-422B-9CF0-E735ED445ED7}" uniqueName="6" name="Quy cách" queryTableFieldId="6"/>
    <tableColumn id="7" xr3:uid="{E1C02494-0B0D-4A3F-AA28-49CBCA38FF4D}" uniqueName="7" name="SỐ LƯỢNG" queryTableFieldId="7"/>
    <tableColumn id="8" xr3:uid="{203DDC9E-F671-4C77-885C-72125FEB6929}" uniqueName="8" name="ĐƠN GIÁ" queryTableFieldId="8"/>
    <tableColumn id="9" xr3:uid="{82C3A4CD-C15A-4C9E-A8C0-7C7F5E901D4E}" uniqueName="9" name="THÀNH TIỀN" queryTableFieldId="9"/>
    <tableColumn id="10" xr3:uid="{39974228-05B1-498A-82A0-15656C1169B0}" uniqueName="10" name="THANH TOÁN" queryTableFieldId="10"/>
    <tableColumn id="11" xr3:uid="{6377D6B3-4863-42AA-9358-9DA515C15AC7}" uniqueName="11" name="Ghi chú" queryTableFieldId="11"/>
  </tableColumns>
  <tableStyleInfo name="TableStyleMedium7" showFirstColumn="0" showLastColumn="0" showRowStripes="1" showColumnStripes="0"/>
</table>
</file>

<file path=xl/tables/table2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B9952F2C-5EC5-41F6-981D-CEC5080E7791}" name="Thong_tin_thanh_toan" displayName="Thong_tin_thanh_toan" ref="H8:P219" totalsRowShown="0" headerRowDxfId="77" headerRowBorderDxfId="76" tableBorderDxfId="75" totalsRowBorderDxfId="74">
  <autoFilter ref="H8:P219" xr:uid="{B9952F2C-5EC5-41F6-981D-CEC5080E7791}"/>
  <tableColumns count="9">
    <tableColumn id="1" xr3:uid="{8ECACE6C-D959-44EA-BDA7-40F90090D745}" name="Khách hàng" dataDxfId="73"/>
    <tableColumn id="2" xr3:uid="{BAA8BA09-9EEB-4F00-9966-1BCC3659D3C7}" name="Thanh toán" dataDxfId="72"/>
    <tableColumn id="3" xr3:uid="{5F582674-F910-40AA-8D88-040F5B69ED4B}" name="Thanh toán 2" dataDxfId="71"/>
    <tableColumn id="4" xr3:uid="{BD54BE9B-7C4E-40C2-955B-ABFB998DB51D}" name="Thanh toán 3" dataDxfId="70"/>
    <tableColumn id="5" xr3:uid="{123D7707-21CF-427C-85A0-3F55212E19B6}" name="Thanh toán 4" dataDxfId="69"/>
    <tableColumn id="6" xr3:uid="{B8B76EE2-BBE0-43DB-8F3A-F0CCE0135658}" name="Thanh toán 5" dataDxfId="68"/>
    <tableColumn id="7" xr3:uid="{FBDE1343-04A7-4442-9DEE-AFADA26496EB}" name="Thanh toán 6" dataDxfId="67"/>
    <tableColumn id="8" xr3:uid="{951CBC7F-AAB4-45D2-AAD5-3450F5666141}" name="Thanh toán 7" dataDxfId="66"/>
    <tableColumn id="9" xr3:uid="{DECDAFD6-0C99-4650-8B1F-DEC7990207EB}" name="Thanh toán 8" dataDxfId="65"/>
  </tableColumns>
  <tableStyleInfo showFirstColumn="0" showLastColumn="0" showRowStripes="1" showColumnStripes="0"/>
</table>
</file>

<file path=xl/tables/table2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6" xr:uid="{545E357E-CFA0-4FC3-93DA-209A2DB03B4B}" name="Noi_dung" displayName="Noi_dung" ref="B10:B20" totalsRowShown="0">
  <autoFilter ref="B10:B20" xr:uid="{545E357E-CFA0-4FC3-93DA-209A2DB03B4B}"/>
  <tableColumns count="1">
    <tableColumn id="1" xr3:uid="{BF98DCE8-7A7E-4D05-AA74-AED439B84473}" name="Danh mục"/>
  </tableColumns>
  <tableStyleInfo name="TableStyleMedium2" showFirstColumn="0" showLastColumn="0" showRowStripes="1" showColumnStripes="0"/>
</table>
</file>

<file path=xl/tables/table2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6" xr:uid="{18D04119-1044-4DB5-8802-5F2A4DC1DED6}" name="Thanh_Toan_KH" displayName="Thanh_Toan_KH" ref="A1:F1283" tableType="queryTable" totalsRowShown="0">
  <autoFilter ref="A1:F1283" xr:uid="{18D04119-1044-4DB5-8802-5F2A4DC1DED6}">
    <filterColumn colId="4">
      <filters>
        <filter val="VietinBank"/>
      </filters>
    </filterColumn>
  </autoFilter>
  <sortState xmlns:xlrd2="http://schemas.microsoft.com/office/spreadsheetml/2017/richdata2" ref="A2:F1283">
    <sortCondition descending="1" ref="B5:B1283"/>
  </sortState>
  <tableColumns count="6">
    <tableColumn id="6" xr3:uid="{2433FA28-14A1-40B9-BE52-FD2D69ABD759}" uniqueName="6" name="Tên" queryTableFieldId="11" dataDxfId="6"/>
    <tableColumn id="1" xr3:uid="{12A94A2F-41AC-4C1D-ABD5-614D5AA969F2}" uniqueName="1" name="Ngày_x000a_ tháng" queryTableFieldId="1" dataDxfId="5"/>
    <tableColumn id="2" xr3:uid="{27AA7F31-5A4D-4BD6-8B48-604BFBBB23F9}" uniqueName="2" name="Nội dung" queryTableFieldId="2"/>
    <tableColumn id="3" xr3:uid="{95D2668B-E617-44E3-A336-05B1255A5140}" uniqueName="3" name="Chủng loại" queryTableFieldId="3"/>
    <tableColumn id="4" xr3:uid="{0E7462A3-B7F6-4340-B314-CBB906C087BF}" uniqueName="4" name="Quy cách" queryTableFieldId="8"/>
    <tableColumn id="5" xr3:uid="{1E9BF0BA-BC20-4B03-BE29-CF46CBA3FACA}" uniqueName="5" name="THANH TOÁN" queryTableFieldId="5" dataDxfId="4"/>
  </tableColumns>
  <tableStyleInfo name="TableStyleMedium7" showFirstColumn="0" showLastColumn="0" showRowStripes="1" showColumnStripes="0"/>
</table>
</file>

<file path=xl/tables/table2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9" xr:uid="{91F8515A-AE71-4CC7-A093-91F24D17FB92}" name="Nhap_Thanh_Toan" displayName="Nhap_Thanh_Toan" ref="C9:D10" headerRowDxfId="64" dataDxfId="62" headerRowBorderDxfId="63" tableBorderDxfId="61" totalsRowBorderDxfId="60">
  <autoFilter ref="C9:D10" xr:uid="{70DC8015-D7A7-4CE5-A958-A6F001124A41}"/>
  <tableColumns count="2">
    <tableColumn id="5" xr3:uid="{B331D157-FCC8-423D-ABA6-FF3CDDA8DD6C}" name="THANH TOÁN" dataDxfId="0" dataCellStyle="Normal 2"/>
    <tableColumn id="7" xr3:uid="{8ABF9485-6B84-4630-8E33-2527635EFD81}" name="Ghi chú" totalsRowFunction="count" dataDxfId="1" totalsRowDxfId="59"/>
  </tableColumns>
  <tableStyleInfo showFirstColumn="0" showLastColumn="0" showRowStripes="1" showColumnStripes="0"/>
</table>
</file>

<file path=xl/tables/table2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9" xr:uid="{0491B130-C2DA-469F-A6B9-4F9F0C8D36CB}" name="Nhap" displayName="Nhap" ref="A9:F10" totalsRowShown="0" headerRowDxfId="58" dataDxfId="56" headerRowBorderDxfId="57" tableBorderDxfId="55" totalsRowBorderDxfId="54" headerRowCellStyle="Normal 2" dataCellStyle="Normal 2">
  <autoFilter ref="A9:F10" xr:uid="{0491B130-C2DA-469F-A6B9-4F9F0C8D36CB}"/>
  <tableColumns count="6">
    <tableColumn id="1" xr3:uid="{E6283137-5062-4FE7-B502-50143C27DD66}" name="Nội dung" dataDxfId="53" dataCellStyle="Normal 2">
      <calculatedColumnFormula>$E$8</calculatedColumnFormula>
    </tableColumn>
    <tableColumn id="2" xr3:uid="{13417AB1-1B15-49B8-855E-6E72FDE26F8C}" name="Chủng loại" dataDxfId="52" dataCellStyle="Normal 2"/>
    <tableColumn id="3" xr3:uid="{781D1704-DE70-4EDE-8DAD-F4DDF116A8E1}" name="Quy Cách" dataDxfId="51" dataCellStyle="Normal 2"/>
    <tableColumn id="4" xr3:uid="{49CF0E3D-4AB8-467C-AFF8-31741E106940}" name="Số lượng" dataDxfId="50" dataCellStyle="Normal 2"/>
    <tableColumn id="5" xr3:uid="{C3EF50F7-1D4A-4D97-B5FB-176F3977B7E2}" name="Đơn giá" dataDxfId="49" dataCellStyle="Normal 2"/>
    <tableColumn id="6" xr3:uid="{D6FDDD47-1364-47F1-AAA0-00F40AB5A9BC}" name="Ghi chú" dataDxfId="48" dataCellStyle="Normal 2"/>
  </tableColumns>
  <tableStyleInfo showFirstColumn="0" showLastColumn="0" showRowStripes="1" showColumnStripes="0"/>
</table>
</file>

<file path=xl/tables/table2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3" xr:uid="{818F4AC9-CA40-4A76-BCDE-9A07CF757A3E}" name="Giay_Nhap" displayName="Giay_Nhap" ref="A10:K18" totalsRowShown="0" headerRowDxfId="47" dataDxfId="45" headerRowBorderDxfId="46" tableBorderDxfId="44" totalsRowBorderDxfId="43">
  <autoFilter ref="A10:K18" xr:uid="{3227F2BD-2C9D-4FFF-9F44-8C9E66133B6C}"/>
  <tableColumns count="11">
    <tableColumn id="1" xr3:uid="{0B5FA3FE-EE85-4FA9-A2D6-0FB23CD2191D}" name="Số phiếu" dataDxfId="42"/>
    <tableColumn id="2" xr3:uid="{FEC6CA94-FE6E-479D-855C-B6FD34A6BD43}" name="Ngày_x000a_ tháng" dataDxfId="41"/>
    <tableColumn id="3" xr3:uid="{498093E3-82E7-4D83-87AA-7C5A10085438}" name="Nội dung" dataDxfId="40"/>
    <tableColumn id="12" xr3:uid="{3F2F86F7-058E-4EE8-A124-7D536FD80031}" name="Chủng loại" dataDxfId="39"/>
    <tableColumn id="4" xr3:uid="{1AF8A7F6-E43C-41D7-8BEB-E49F52331593}" name="Quy cách" dataDxfId="38"/>
    <tableColumn id="5" xr3:uid="{B5CAB2EC-007A-4011-9389-8376A6544626}" name="SỐ LƯỢNG" dataDxfId="37"/>
    <tableColumn id="6" xr3:uid="{695E1F69-D557-4B58-87A9-972E7E23BC43}" name="ĐƠN GIÁ" dataDxfId="36"/>
    <tableColumn id="7" xr3:uid="{FEEA809C-B471-49B9-9300-90B9721AACBB}" name="THÀNH TIỀN" dataDxfId="35">
      <calculatedColumnFormula>Giay_Nhap[[#This Row],[ĐƠN GIÁ]]*Giay_Nhap[[#This Row],[SỐ LƯỢNG]]</calculatedColumnFormula>
    </tableColumn>
    <tableColumn id="10" xr3:uid="{DEC5E89A-9818-4776-9AA8-D1D49A497BEE}" name="Column2" dataDxfId="34" dataCellStyle="Normal 2"/>
    <tableColumn id="9" xr3:uid="{02D0FFB4-C8DA-4814-BF74-4FF651C32BD9}" name="Column1" dataDxfId="33" dataCellStyle="Normal 2"/>
    <tableColumn id="8" xr3:uid="{008BFC3D-DC87-4778-8AC6-457611F1EED7}" name="a" dataDxfId="32"/>
  </tableColumns>
  <tableStyleInfo showFirstColumn="0" showLastColumn="0" showRowStripes="1" showColumnStripes="0"/>
</table>
</file>

<file path=xl/tables/table2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778E12E3-007D-4A16-9DEE-11FF94F3F000}" name="Bangdich" displayName="Bangdich" ref="A1:B210" totalsRowShown="0" headerRowDxfId="31" headerRowBorderDxfId="30" tableBorderDxfId="29" totalsRowBorderDxfId="28">
  <autoFilter ref="A1:B210" xr:uid="{778E12E3-007D-4A16-9DEE-11FF94F3F000}"/>
  <tableColumns count="2">
    <tableColumn id="1" xr3:uid="{0D72124A-BA0F-400B-84D0-C548E50DE7FF}" name="Tên" dataDxfId="27" dataCellStyle="Hyperlink"/>
    <tableColumn id="2" xr3:uid="{CD7F403E-6ED1-404C-AC1C-109956E965B6}" name="Bảng" dataDxfId="26">
      <calculatedColumnFormula array="1">CHUANHOA(Bangdich[[#This Row],[Tên]])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6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0FE97051-36CD-4617-AAD0-87F0868CDD23}">
  <we:reference id="wa200009404" version="1.0.0.8" store="en-US" storeType="OMEX"/>
  <we:alternateReferences>
    <we:reference id="wa200009404" version="1.0.0.8" store="en-US" storeType="OMEX"/>
  </we:alternateReferences>
  <we:properties>
    <we:property name="claude.fileId" value="&quot;f53799ce-aa92-46fc-a5a9-32e1eedcf421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3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5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7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8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9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0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0.bin"/><Relationship Id="rId4" Type="http://schemas.openxmlformats.org/officeDocument/2006/relationships/comments" Target="../comments2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1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1.bin"/><Relationship Id="rId4" Type="http://schemas.openxmlformats.org/officeDocument/2006/relationships/comments" Target="../comments3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2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3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4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5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7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8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1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2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3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4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5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6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7.xml"/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8.xml"/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9.xml"/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0.xml"/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1.xml"/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2.xml"/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3.xml"/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4.xml"/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5.xml"/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6.xml"/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7.xml"/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8.xml"/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9.xml"/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0.xml"/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1.xml"/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2.xml"/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3.xml"/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4.xml"/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5.xml"/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6.xml"/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7.xml"/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8.xml"/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9.xml"/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0.xml"/><Relationship Id="rId1" Type="http://schemas.openxmlformats.org/officeDocument/2006/relationships/printerSettings" Target="../printerSettings/printerSettings70.bin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1.xml"/><Relationship Id="rId1" Type="http://schemas.openxmlformats.org/officeDocument/2006/relationships/printerSettings" Target="../printerSettings/printerSettings71.bin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2.xml"/><Relationship Id="rId1" Type="http://schemas.openxmlformats.org/officeDocument/2006/relationships/printerSettings" Target="../printerSettings/printerSettings72.bin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3.xml"/><Relationship Id="rId1" Type="http://schemas.openxmlformats.org/officeDocument/2006/relationships/printerSettings" Target="../printerSettings/printerSettings73.bin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4.xml"/><Relationship Id="rId1" Type="http://schemas.openxmlformats.org/officeDocument/2006/relationships/printerSettings" Target="../printerSettings/printerSettings74.bin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5.xml"/><Relationship Id="rId1" Type="http://schemas.openxmlformats.org/officeDocument/2006/relationships/printerSettings" Target="../printerSettings/printerSettings75.bin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6.xml"/><Relationship Id="rId1" Type="http://schemas.openxmlformats.org/officeDocument/2006/relationships/printerSettings" Target="../printerSettings/printerSettings76.bin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7.xml"/><Relationship Id="rId1" Type="http://schemas.openxmlformats.org/officeDocument/2006/relationships/printerSettings" Target="../printerSettings/printerSettings77.bin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8.xml"/><Relationship Id="rId1" Type="http://schemas.openxmlformats.org/officeDocument/2006/relationships/printerSettings" Target="../printerSettings/printerSettings78.bin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9.xml"/><Relationship Id="rId1" Type="http://schemas.openxmlformats.org/officeDocument/2006/relationships/printerSettings" Target="../printerSettings/printerSettings79.bin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0.xml"/><Relationship Id="rId1" Type="http://schemas.openxmlformats.org/officeDocument/2006/relationships/printerSettings" Target="../printerSettings/printerSettings80.bin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1.xml"/><Relationship Id="rId1" Type="http://schemas.openxmlformats.org/officeDocument/2006/relationships/printerSettings" Target="../printerSettings/printerSettings81.bin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2.xml"/><Relationship Id="rId1" Type="http://schemas.openxmlformats.org/officeDocument/2006/relationships/printerSettings" Target="../printerSettings/printerSettings82.bin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3.xml"/><Relationship Id="rId1" Type="http://schemas.openxmlformats.org/officeDocument/2006/relationships/printerSettings" Target="../printerSettings/printerSettings83.bin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4.xml"/><Relationship Id="rId1" Type="http://schemas.openxmlformats.org/officeDocument/2006/relationships/printerSettings" Target="../printerSettings/printerSettings84.bin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5.xml"/><Relationship Id="rId1" Type="http://schemas.openxmlformats.org/officeDocument/2006/relationships/printerSettings" Target="../printerSettings/printerSettings85.bin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6.xml"/><Relationship Id="rId1" Type="http://schemas.openxmlformats.org/officeDocument/2006/relationships/printerSettings" Target="../printerSettings/printerSettings86.bin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7.xml"/><Relationship Id="rId1" Type="http://schemas.openxmlformats.org/officeDocument/2006/relationships/printerSettings" Target="../printerSettings/printerSettings87.bin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8.xml"/><Relationship Id="rId1" Type="http://schemas.openxmlformats.org/officeDocument/2006/relationships/printerSettings" Target="../printerSettings/printerSettings88.bin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9.xml"/><Relationship Id="rId1" Type="http://schemas.openxmlformats.org/officeDocument/2006/relationships/printerSettings" Target="../printerSettings/printerSettings89.bin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0.xml"/><Relationship Id="rId1" Type="http://schemas.openxmlformats.org/officeDocument/2006/relationships/printerSettings" Target="../printerSettings/printerSettings90.bin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1.xml"/><Relationship Id="rId1" Type="http://schemas.openxmlformats.org/officeDocument/2006/relationships/printerSettings" Target="../printerSettings/printerSettings91.bin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2.xml"/><Relationship Id="rId1" Type="http://schemas.openxmlformats.org/officeDocument/2006/relationships/printerSettings" Target="../printerSettings/printerSettings92.bin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3.xml"/><Relationship Id="rId1" Type="http://schemas.openxmlformats.org/officeDocument/2006/relationships/printerSettings" Target="../printerSettings/printerSettings93.bin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4.xml"/><Relationship Id="rId1" Type="http://schemas.openxmlformats.org/officeDocument/2006/relationships/printerSettings" Target="../printerSettings/printerSettings94.bin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5.xml"/><Relationship Id="rId1" Type="http://schemas.openxmlformats.org/officeDocument/2006/relationships/printerSettings" Target="../printerSettings/printerSettings95.bin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6.xml"/><Relationship Id="rId1" Type="http://schemas.openxmlformats.org/officeDocument/2006/relationships/printerSettings" Target="../printerSettings/printerSettings96.bin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7.xml"/><Relationship Id="rId1" Type="http://schemas.openxmlformats.org/officeDocument/2006/relationships/printerSettings" Target="../printerSettings/printerSettings97.bin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8.xml"/><Relationship Id="rId1" Type="http://schemas.openxmlformats.org/officeDocument/2006/relationships/printerSettings" Target="../printerSettings/printerSettings98.bin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9.xml"/><Relationship Id="rId1" Type="http://schemas.openxmlformats.org/officeDocument/2006/relationships/printerSettings" Target="../printerSettings/printerSettings99.bin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0.xml"/><Relationship Id="rId1" Type="http://schemas.openxmlformats.org/officeDocument/2006/relationships/printerSettings" Target="../printerSettings/printerSettings100.bin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1.xml"/><Relationship Id="rId1" Type="http://schemas.openxmlformats.org/officeDocument/2006/relationships/printerSettings" Target="../printerSettings/printerSettings101.bin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2.xml"/><Relationship Id="rId1" Type="http://schemas.openxmlformats.org/officeDocument/2006/relationships/printerSettings" Target="../printerSettings/printerSettings102.bin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3.xml"/><Relationship Id="rId1" Type="http://schemas.openxmlformats.org/officeDocument/2006/relationships/printerSettings" Target="../printerSettings/printerSettings103.bin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4.xml"/><Relationship Id="rId1" Type="http://schemas.openxmlformats.org/officeDocument/2006/relationships/printerSettings" Target="../printerSettings/printerSettings104.bin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5.xml"/><Relationship Id="rId1" Type="http://schemas.openxmlformats.org/officeDocument/2006/relationships/printerSettings" Target="../printerSettings/printerSettings105.bin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6.xml"/><Relationship Id="rId1" Type="http://schemas.openxmlformats.org/officeDocument/2006/relationships/printerSettings" Target="../printerSettings/printerSettings106.bin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7.xml"/><Relationship Id="rId1" Type="http://schemas.openxmlformats.org/officeDocument/2006/relationships/printerSettings" Target="../printerSettings/printerSettings107.bin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8.xml"/><Relationship Id="rId1" Type="http://schemas.openxmlformats.org/officeDocument/2006/relationships/printerSettings" Target="../printerSettings/printerSettings108.bin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9.xml"/><Relationship Id="rId1" Type="http://schemas.openxmlformats.org/officeDocument/2006/relationships/printerSettings" Target="../printerSettings/printerSettings109.bin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0.xml"/><Relationship Id="rId1" Type="http://schemas.openxmlformats.org/officeDocument/2006/relationships/printerSettings" Target="../printerSettings/printerSettings110.bin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1.xml"/><Relationship Id="rId1" Type="http://schemas.openxmlformats.org/officeDocument/2006/relationships/printerSettings" Target="../printerSettings/printerSettings111.bin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2.xml"/><Relationship Id="rId1" Type="http://schemas.openxmlformats.org/officeDocument/2006/relationships/printerSettings" Target="../printerSettings/printerSettings112.bin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3.xml"/><Relationship Id="rId1" Type="http://schemas.openxmlformats.org/officeDocument/2006/relationships/printerSettings" Target="../printerSettings/printerSettings113.bin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4.xml"/><Relationship Id="rId1" Type="http://schemas.openxmlformats.org/officeDocument/2006/relationships/printerSettings" Target="../printerSettings/printerSettings114.bin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5.xml"/><Relationship Id="rId1" Type="http://schemas.openxmlformats.org/officeDocument/2006/relationships/printerSettings" Target="../printerSettings/printerSettings115.bin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6.xml"/><Relationship Id="rId1" Type="http://schemas.openxmlformats.org/officeDocument/2006/relationships/printerSettings" Target="../printerSettings/printerSettings116.bin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7.xml"/><Relationship Id="rId1" Type="http://schemas.openxmlformats.org/officeDocument/2006/relationships/printerSettings" Target="../printerSettings/printerSettings117.bin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8.xml"/><Relationship Id="rId1" Type="http://schemas.openxmlformats.org/officeDocument/2006/relationships/printerSettings" Target="../printerSettings/printerSettings118.bin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9.xml"/><Relationship Id="rId1" Type="http://schemas.openxmlformats.org/officeDocument/2006/relationships/printerSettings" Target="../printerSettings/printerSettings119.bin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0.xml"/><Relationship Id="rId1" Type="http://schemas.openxmlformats.org/officeDocument/2006/relationships/printerSettings" Target="../printerSettings/printerSettings120.bin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1.xml"/><Relationship Id="rId1" Type="http://schemas.openxmlformats.org/officeDocument/2006/relationships/printerSettings" Target="../printerSettings/printerSettings121.bin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2.xml"/><Relationship Id="rId1" Type="http://schemas.openxmlformats.org/officeDocument/2006/relationships/printerSettings" Target="../printerSettings/printerSettings122.bin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3.xml"/><Relationship Id="rId1" Type="http://schemas.openxmlformats.org/officeDocument/2006/relationships/printerSettings" Target="../printerSettings/printerSettings123.bin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4.xml"/><Relationship Id="rId1" Type="http://schemas.openxmlformats.org/officeDocument/2006/relationships/printerSettings" Target="../printerSettings/printerSettings124.bin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5.xml"/><Relationship Id="rId1" Type="http://schemas.openxmlformats.org/officeDocument/2006/relationships/printerSettings" Target="../printerSettings/printerSettings125.bin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6.xml"/><Relationship Id="rId1" Type="http://schemas.openxmlformats.org/officeDocument/2006/relationships/printerSettings" Target="../printerSettings/printerSettings126.bin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7.xml"/><Relationship Id="rId1" Type="http://schemas.openxmlformats.org/officeDocument/2006/relationships/printerSettings" Target="../printerSettings/printerSettings127.bin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8.xml"/><Relationship Id="rId1" Type="http://schemas.openxmlformats.org/officeDocument/2006/relationships/printerSettings" Target="../printerSettings/printerSettings128.bin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9.xml"/><Relationship Id="rId1" Type="http://schemas.openxmlformats.org/officeDocument/2006/relationships/printerSettings" Target="../printerSettings/printerSettings129.bin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0.xml"/><Relationship Id="rId1" Type="http://schemas.openxmlformats.org/officeDocument/2006/relationships/printerSettings" Target="../printerSettings/printerSettings130.bin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1.xml"/><Relationship Id="rId1" Type="http://schemas.openxmlformats.org/officeDocument/2006/relationships/printerSettings" Target="../printerSettings/printerSettings131.bin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2.xml"/><Relationship Id="rId1" Type="http://schemas.openxmlformats.org/officeDocument/2006/relationships/printerSettings" Target="../printerSettings/printerSettings132.bin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3.xml"/><Relationship Id="rId1" Type="http://schemas.openxmlformats.org/officeDocument/2006/relationships/printerSettings" Target="../printerSettings/printerSettings133.bin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4.xml"/><Relationship Id="rId1" Type="http://schemas.openxmlformats.org/officeDocument/2006/relationships/printerSettings" Target="../printerSettings/printerSettings134.bin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5.xml"/><Relationship Id="rId1" Type="http://schemas.openxmlformats.org/officeDocument/2006/relationships/printerSettings" Target="../printerSettings/printerSettings135.bin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6.xml"/><Relationship Id="rId1" Type="http://schemas.openxmlformats.org/officeDocument/2006/relationships/printerSettings" Target="../printerSettings/printerSettings136.bin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7.xml"/><Relationship Id="rId1" Type="http://schemas.openxmlformats.org/officeDocument/2006/relationships/printerSettings" Target="../printerSettings/printerSettings137.bin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8.xml"/><Relationship Id="rId1" Type="http://schemas.openxmlformats.org/officeDocument/2006/relationships/printerSettings" Target="../printerSettings/printerSettings138.bin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9.xml"/><Relationship Id="rId1" Type="http://schemas.openxmlformats.org/officeDocument/2006/relationships/printerSettings" Target="../printerSettings/printerSettings139.bin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0.xml"/><Relationship Id="rId1" Type="http://schemas.openxmlformats.org/officeDocument/2006/relationships/printerSettings" Target="../printerSettings/printerSettings140.bin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1.xml"/><Relationship Id="rId1" Type="http://schemas.openxmlformats.org/officeDocument/2006/relationships/printerSettings" Target="../printerSettings/printerSettings141.bin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2.xml"/><Relationship Id="rId1" Type="http://schemas.openxmlformats.org/officeDocument/2006/relationships/printerSettings" Target="../printerSettings/printerSettings142.bin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3.xml"/><Relationship Id="rId1" Type="http://schemas.openxmlformats.org/officeDocument/2006/relationships/printerSettings" Target="../printerSettings/printerSettings143.bin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4.xml"/><Relationship Id="rId1" Type="http://schemas.openxmlformats.org/officeDocument/2006/relationships/printerSettings" Target="../printerSettings/printerSettings144.bin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5.xml"/><Relationship Id="rId1" Type="http://schemas.openxmlformats.org/officeDocument/2006/relationships/printerSettings" Target="../printerSettings/printerSettings145.bin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6.xml"/><Relationship Id="rId1" Type="http://schemas.openxmlformats.org/officeDocument/2006/relationships/printerSettings" Target="../printerSettings/printerSettings146.bin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7.xml"/><Relationship Id="rId1" Type="http://schemas.openxmlformats.org/officeDocument/2006/relationships/printerSettings" Target="../printerSettings/printerSettings147.bin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8.xml"/><Relationship Id="rId1" Type="http://schemas.openxmlformats.org/officeDocument/2006/relationships/printerSettings" Target="../printerSettings/printerSettings148.bin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9.xml"/><Relationship Id="rId1" Type="http://schemas.openxmlformats.org/officeDocument/2006/relationships/printerSettings" Target="../printerSettings/printerSettings149.bin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0.xml"/><Relationship Id="rId1" Type="http://schemas.openxmlformats.org/officeDocument/2006/relationships/printerSettings" Target="../printerSettings/printerSettings150.bin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1.xml"/><Relationship Id="rId1" Type="http://schemas.openxmlformats.org/officeDocument/2006/relationships/printerSettings" Target="../printerSettings/printerSettings151.bin"/></Relationships>
</file>

<file path=xl/worksheets/_rels/sheet15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2.xml"/><Relationship Id="rId1" Type="http://schemas.openxmlformats.org/officeDocument/2006/relationships/printerSettings" Target="../printerSettings/printerSettings152.bin"/></Relationships>
</file>

<file path=xl/worksheets/_rels/sheet15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3.xml"/><Relationship Id="rId1" Type="http://schemas.openxmlformats.org/officeDocument/2006/relationships/printerSettings" Target="../printerSettings/printerSettings153.bin"/></Relationships>
</file>

<file path=xl/worksheets/_rels/sheet15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4.xml"/><Relationship Id="rId1" Type="http://schemas.openxmlformats.org/officeDocument/2006/relationships/printerSettings" Target="../printerSettings/printerSettings154.bin"/></Relationships>
</file>

<file path=xl/worksheets/_rels/sheet15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5.xml"/><Relationship Id="rId1" Type="http://schemas.openxmlformats.org/officeDocument/2006/relationships/printerSettings" Target="../printerSettings/printerSettings155.bin"/></Relationships>
</file>

<file path=xl/worksheets/_rels/sheet15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6.xml"/><Relationship Id="rId1" Type="http://schemas.openxmlformats.org/officeDocument/2006/relationships/printerSettings" Target="../printerSettings/printerSettings156.bin"/></Relationships>
</file>

<file path=xl/worksheets/_rels/sheet15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7.xml"/><Relationship Id="rId1" Type="http://schemas.openxmlformats.org/officeDocument/2006/relationships/printerSettings" Target="../printerSettings/printerSettings157.bin"/></Relationships>
</file>

<file path=xl/worksheets/_rels/sheet15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8.xml"/><Relationship Id="rId1" Type="http://schemas.openxmlformats.org/officeDocument/2006/relationships/printerSettings" Target="../printerSettings/printerSettings158.bin"/></Relationships>
</file>

<file path=xl/worksheets/_rels/sheet15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9.xml"/><Relationship Id="rId1" Type="http://schemas.openxmlformats.org/officeDocument/2006/relationships/printerSettings" Target="../printerSettings/printerSettings159.bin"/></Relationships>
</file>

<file path=xl/worksheets/_rels/sheet16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0.xml"/><Relationship Id="rId1" Type="http://schemas.openxmlformats.org/officeDocument/2006/relationships/printerSettings" Target="../printerSettings/printerSettings160.bin"/></Relationships>
</file>

<file path=xl/worksheets/_rels/sheet16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1.xml"/><Relationship Id="rId1" Type="http://schemas.openxmlformats.org/officeDocument/2006/relationships/printerSettings" Target="../printerSettings/printerSettings161.bin"/></Relationships>
</file>

<file path=xl/worksheets/_rels/sheet16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2.xml"/><Relationship Id="rId1" Type="http://schemas.openxmlformats.org/officeDocument/2006/relationships/printerSettings" Target="../printerSettings/printerSettings162.bin"/></Relationships>
</file>

<file path=xl/worksheets/_rels/sheet16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3.xml"/><Relationship Id="rId1" Type="http://schemas.openxmlformats.org/officeDocument/2006/relationships/printerSettings" Target="../printerSettings/printerSettings163.bin"/></Relationships>
</file>

<file path=xl/worksheets/_rels/sheet16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4.xml"/><Relationship Id="rId1" Type="http://schemas.openxmlformats.org/officeDocument/2006/relationships/printerSettings" Target="../printerSettings/printerSettings164.bin"/></Relationships>
</file>

<file path=xl/worksheets/_rels/sheet16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5.xml"/><Relationship Id="rId1" Type="http://schemas.openxmlformats.org/officeDocument/2006/relationships/printerSettings" Target="../printerSettings/printerSettings165.bin"/></Relationships>
</file>

<file path=xl/worksheets/_rels/sheet16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6.xml"/><Relationship Id="rId1" Type="http://schemas.openxmlformats.org/officeDocument/2006/relationships/printerSettings" Target="../printerSettings/printerSettings166.bin"/></Relationships>
</file>

<file path=xl/worksheets/_rels/sheet16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7.xml"/><Relationship Id="rId1" Type="http://schemas.openxmlformats.org/officeDocument/2006/relationships/printerSettings" Target="../printerSettings/printerSettings167.bin"/></Relationships>
</file>

<file path=xl/worksheets/_rels/sheet16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8.xml"/><Relationship Id="rId1" Type="http://schemas.openxmlformats.org/officeDocument/2006/relationships/printerSettings" Target="../printerSettings/printerSettings168.bin"/></Relationships>
</file>

<file path=xl/worksheets/_rels/sheet16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9.xml"/><Relationship Id="rId1" Type="http://schemas.openxmlformats.org/officeDocument/2006/relationships/printerSettings" Target="../printerSettings/printerSettings169.bin"/></Relationships>
</file>

<file path=xl/worksheets/_rels/sheet17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0.xml"/><Relationship Id="rId1" Type="http://schemas.openxmlformats.org/officeDocument/2006/relationships/printerSettings" Target="../printerSettings/printerSettings170.bin"/></Relationships>
</file>

<file path=xl/worksheets/_rels/sheet17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1.xml"/><Relationship Id="rId1" Type="http://schemas.openxmlformats.org/officeDocument/2006/relationships/printerSettings" Target="../printerSettings/printerSettings171.bin"/></Relationships>
</file>

<file path=xl/worksheets/_rels/sheet17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2.xml"/><Relationship Id="rId1" Type="http://schemas.openxmlformats.org/officeDocument/2006/relationships/printerSettings" Target="../printerSettings/printerSettings172.bin"/></Relationships>
</file>

<file path=xl/worksheets/_rels/sheet17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3.xml"/><Relationship Id="rId1" Type="http://schemas.openxmlformats.org/officeDocument/2006/relationships/printerSettings" Target="../printerSettings/printerSettings173.bin"/></Relationships>
</file>

<file path=xl/worksheets/_rels/sheet17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4.xml"/><Relationship Id="rId1" Type="http://schemas.openxmlformats.org/officeDocument/2006/relationships/printerSettings" Target="../printerSettings/printerSettings174.bin"/></Relationships>
</file>

<file path=xl/worksheets/_rels/sheet17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5.xml"/><Relationship Id="rId1" Type="http://schemas.openxmlformats.org/officeDocument/2006/relationships/printerSettings" Target="../printerSettings/printerSettings175.bin"/></Relationships>
</file>

<file path=xl/worksheets/_rels/sheet17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6.xml"/><Relationship Id="rId1" Type="http://schemas.openxmlformats.org/officeDocument/2006/relationships/printerSettings" Target="../printerSettings/printerSettings176.bin"/></Relationships>
</file>

<file path=xl/worksheets/_rels/sheet17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7.xml"/><Relationship Id="rId1" Type="http://schemas.openxmlformats.org/officeDocument/2006/relationships/printerSettings" Target="../printerSettings/printerSettings177.bin"/></Relationships>
</file>

<file path=xl/worksheets/_rels/sheet17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8.xml"/><Relationship Id="rId1" Type="http://schemas.openxmlformats.org/officeDocument/2006/relationships/printerSettings" Target="../printerSettings/printerSettings178.bin"/></Relationships>
</file>

<file path=xl/worksheets/_rels/sheet17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79.xml"/><Relationship Id="rId1" Type="http://schemas.openxmlformats.org/officeDocument/2006/relationships/printerSettings" Target="../printerSettings/printerSettings179.bin"/></Relationships>
</file>

<file path=xl/worksheets/_rels/sheet18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0.xml"/><Relationship Id="rId1" Type="http://schemas.openxmlformats.org/officeDocument/2006/relationships/printerSettings" Target="../printerSettings/printerSettings180.bin"/></Relationships>
</file>

<file path=xl/worksheets/_rels/sheet18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1.xml"/><Relationship Id="rId1" Type="http://schemas.openxmlformats.org/officeDocument/2006/relationships/printerSettings" Target="../printerSettings/printerSettings181.bin"/></Relationships>
</file>

<file path=xl/worksheets/_rels/sheet18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2.xml"/><Relationship Id="rId1" Type="http://schemas.openxmlformats.org/officeDocument/2006/relationships/printerSettings" Target="../printerSettings/printerSettings182.bin"/></Relationships>
</file>

<file path=xl/worksheets/_rels/sheet18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3.xml"/><Relationship Id="rId1" Type="http://schemas.openxmlformats.org/officeDocument/2006/relationships/printerSettings" Target="../printerSettings/printerSettings183.bin"/></Relationships>
</file>

<file path=xl/worksheets/_rels/sheet18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4.xml"/><Relationship Id="rId1" Type="http://schemas.openxmlformats.org/officeDocument/2006/relationships/printerSettings" Target="../printerSettings/printerSettings184.bin"/></Relationships>
</file>

<file path=xl/worksheets/_rels/sheet18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5.xml"/><Relationship Id="rId1" Type="http://schemas.openxmlformats.org/officeDocument/2006/relationships/printerSettings" Target="../printerSettings/printerSettings185.bin"/></Relationships>
</file>

<file path=xl/worksheets/_rels/sheet18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6.xml"/><Relationship Id="rId1" Type="http://schemas.openxmlformats.org/officeDocument/2006/relationships/printerSettings" Target="../printerSettings/printerSettings186.bin"/></Relationships>
</file>

<file path=xl/worksheets/_rels/sheet18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7.xml"/><Relationship Id="rId1" Type="http://schemas.openxmlformats.org/officeDocument/2006/relationships/printerSettings" Target="../printerSettings/printerSettings187.bin"/></Relationships>
</file>

<file path=xl/worksheets/_rels/sheet18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8.xml"/><Relationship Id="rId1" Type="http://schemas.openxmlformats.org/officeDocument/2006/relationships/printerSettings" Target="../printerSettings/printerSettings188.bin"/></Relationships>
</file>

<file path=xl/worksheets/_rels/sheet18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9.xml"/><Relationship Id="rId1" Type="http://schemas.openxmlformats.org/officeDocument/2006/relationships/printerSettings" Target="../printerSettings/printerSettings189.bin"/></Relationships>
</file>

<file path=xl/worksheets/_rels/sheet19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0.xml"/><Relationship Id="rId1" Type="http://schemas.openxmlformats.org/officeDocument/2006/relationships/printerSettings" Target="../printerSettings/printerSettings190.bin"/></Relationships>
</file>

<file path=xl/worksheets/_rels/sheet19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1.xml"/><Relationship Id="rId1" Type="http://schemas.openxmlformats.org/officeDocument/2006/relationships/printerSettings" Target="../printerSettings/printerSettings191.bin"/></Relationships>
</file>

<file path=xl/worksheets/_rels/sheet19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2.xml"/><Relationship Id="rId1" Type="http://schemas.openxmlformats.org/officeDocument/2006/relationships/printerSettings" Target="../printerSettings/printerSettings192.bin"/></Relationships>
</file>

<file path=xl/worksheets/_rels/sheet19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3.xml"/><Relationship Id="rId1" Type="http://schemas.openxmlformats.org/officeDocument/2006/relationships/printerSettings" Target="../printerSettings/printerSettings193.bin"/></Relationships>
</file>

<file path=xl/worksheets/_rels/sheet19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4.xml"/><Relationship Id="rId1" Type="http://schemas.openxmlformats.org/officeDocument/2006/relationships/printerSettings" Target="../printerSettings/printerSettings194.bin"/></Relationships>
</file>

<file path=xl/worksheets/_rels/sheet19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5.xml"/><Relationship Id="rId1" Type="http://schemas.openxmlformats.org/officeDocument/2006/relationships/printerSettings" Target="../printerSettings/printerSettings195.bin"/></Relationships>
</file>

<file path=xl/worksheets/_rels/sheet19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6.xml"/><Relationship Id="rId1" Type="http://schemas.openxmlformats.org/officeDocument/2006/relationships/printerSettings" Target="../printerSettings/printerSettings196.bin"/></Relationships>
</file>

<file path=xl/worksheets/_rels/sheet19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7.xml"/><Relationship Id="rId1" Type="http://schemas.openxmlformats.org/officeDocument/2006/relationships/printerSettings" Target="../printerSettings/printerSettings197.bin"/></Relationships>
</file>

<file path=xl/worksheets/_rels/sheet19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8.xml"/><Relationship Id="rId1" Type="http://schemas.openxmlformats.org/officeDocument/2006/relationships/printerSettings" Target="../printerSettings/printerSettings198.bin"/></Relationships>
</file>

<file path=xl/worksheets/_rels/sheet19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9.xml"/><Relationship Id="rId1" Type="http://schemas.openxmlformats.org/officeDocument/2006/relationships/printerSettings" Target="../printerSettings/printerSettings199.bin"/></Relationships>
</file>

<file path=xl/worksheets/_rels/sheet20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0.xml"/><Relationship Id="rId1" Type="http://schemas.openxmlformats.org/officeDocument/2006/relationships/printerSettings" Target="../printerSettings/printerSettings200.bin"/></Relationships>
</file>

<file path=xl/worksheets/_rels/sheet20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1.xml"/></Relationships>
</file>

<file path=xl/worksheets/_rels/sheet20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2.xml"/></Relationships>
</file>

<file path=xl/worksheets/_rels/sheet20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3.xml"/></Relationships>
</file>

<file path=xl/worksheets/_rels/sheet20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4.xml"/></Relationships>
</file>

<file path=xl/worksheets/_rels/sheet20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5.xml"/></Relationships>
</file>

<file path=xl/worksheets/_rels/sheet20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6.xml"/></Relationships>
</file>

<file path=xl/worksheets/_rels/sheet20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7.xml"/></Relationships>
</file>

<file path=xl/worksheets/_rels/sheet20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8.xml"/></Relationships>
</file>

<file path=xl/worksheets/_rels/sheet20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09.xml"/></Relationships>
</file>

<file path=xl/worksheets/_rels/sheet2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0.xml"/></Relationships>
</file>

<file path=xl/worksheets/_rels/sheet2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1.xml"/></Relationships>
</file>

<file path=xl/worksheets/_rels/sheet2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12.xml"/></Relationships>
</file>

<file path=xl/worksheets/_rels/sheet2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3.xml"/><Relationship Id="rId1" Type="http://schemas.openxmlformats.org/officeDocument/2006/relationships/printerSettings" Target="../printerSettings/printerSettings201.bin"/></Relationships>
</file>

<file path=xl/worksheets/_rels/sheet21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2.bin"/><Relationship Id="rId4" Type="http://schemas.openxmlformats.org/officeDocument/2006/relationships/table" Target="../tables/table215.xml"/></Relationships>
</file>

<file path=xl/worksheets/_rels/sheet2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6.xml"/><Relationship Id="rId1" Type="http://schemas.openxmlformats.org/officeDocument/2006/relationships/printerSettings" Target="../printerSettings/printerSettings203.bin"/></Relationships>
</file>

<file path=xl/worksheets/_rels/sheet21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04.bin"/></Relationships>
</file>

<file path=xl/worksheets/_rels/sheet21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18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05.bin"/></Relationships>
</file>

<file path=xl/worksheets/_rels/sheet21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9.xml"/><Relationship Id="rId1" Type="http://schemas.openxmlformats.org/officeDocument/2006/relationships/printerSettings" Target="../printerSettings/printerSettings206.bin"/></Relationships>
</file>

<file path=xl/worksheets/_rels/sheet21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0.xml"/><Relationship Id="rId1" Type="http://schemas.openxmlformats.org/officeDocument/2006/relationships/printerSettings" Target="../printerSettings/printerSettings20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3D17A-2901-4AD4-BB04-68D4715238E4}">
  <sheetPr codeName="Sheet186"/>
  <dimension ref="A3:E204"/>
  <sheetViews>
    <sheetView topLeftCell="A6" workbookViewId="0">
      <selection activeCell="A142" sqref="A142"/>
    </sheetView>
  </sheetViews>
  <sheetFormatPr defaultColWidth="9.140625" defaultRowHeight="15.75" x14ac:dyDescent="0.25"/>
  <cols>
    <col min="1" max="1" width="41.85546875" style="1" bestFit="1" customWidth="1"/>
    <col min="2" max="2" width="23.7109375" style="35" bestFit="1" customWidth="1"/>
    <col min="3" max="3" width="9.140625" style="1"/>
    <col min="4" max="4" width="28" style="1" bestFit="1" customWidth="1"/>
    <col min="5" max="5" width="21.85546875" style="1" bestFit="1" customWidth="1"/>
    <col min="6" max="6" width="12.140625" style="1" bestFit="1" customWidth="1"/>
    <col min="7" max="16384" width="9.140625" style="1"/>
  </cols>
  <sheetData>
    <row r="3" spans="1:5" ht="20.25" x14ac:dyDescent="0.3">
      <c r="A3" s="137" t="s">
        <v>1876</v>
      </c>
      <c r="B3" s="138" t="s">
        <v>1877</v>
      </c>
    </row>
    <row r="4" spans="1:5" ht="20.25" x14ac:dyDescent="0.3">
      <c r="A4" s="150" t="s">
        <v>1479</v>
      </c>
      <c r="B4" s="139">
        <v>3555453680</v>
      </c>
    </row>
    <row r="5" spans="1:5" ht="20.25" x14ac:dyDescent="0.3">
      <c r="A5" s="150" t="s">
        <v>2041</v>
      </c>
      <c r="B5" s="139">
        <v>3448464000</v>
      </c>
      <c r="D5"/>
      <c r="E5"/>
    </row>
    <row r="6" spans="1:5" ht="20.25" x14ac:dyDescent="0.3">
      <c r="A6" s="150" t="s">
        <v>1641</v>
      </c>
      <c r="B6" s="139">
        <v>3070094327</v>
      </c>
      <c r="D6"/>
      <c r="E6"/>
    </row>
    <row r="7" spans="1:5" ht="20.25" x14ac:dyDescent="0.3">
      <c r="A7" s="150" t="s">
        <v>1579</v>
      </c>
      <c r="B7" s="139">
        <v>2390455324</v>
      </c>
      <c r="D7"/>
      <c r="E7"/>
    </row>
    <row r="8" spans="1:5" ht="20.25" x14ac:dyDescent="0.3">
      <c r="A8" s="150" t="s">
        <v>1475</v>
      </c>
      <c r="B8" s="139">
        <v>1991613926</v>
      </c>
      <c r="D8"/>
      <c r="E8"/>
    </row>
    <row r="9" spans="1:5" ht="20.25" x14ac:dyDescent="0.3">
      <c r="A9" s="150" t="s">
        <v>1525</v>
      </c>
      <c r="B9" s="139">
        <v>1882955200</v>
      </c>
      <c r="D9"/>
      <c r="E9"/>
    </row>
    <row r="10" spans="1:5" ht="20.25" x14ac:dyDescent="0.3">
      <c r="A10" s="150" t="s">
        <v>1512</v>
      </c>
      <c r="B10" s="139">
        <v>1870732600</v>
      </c>
      <c r="D10"/>
      <c r="E10"/>
    </row>
    <row r="11" spans="1:5" ht="20.25" x14ac:dyDescent="0.3">
      <c r="A11" s="150" t="s">
        <v>1689</v>
      </c>
      <c r="B11" s="139">
        <v>1776303000</v>
      </c>
      <c r="D11"/>
      <c r="E11"/>
    </row>
    <row r="12" spans="1:5" ht="20.25" x14ac:dyDescent="0.3">
      <c r="A12" s="150" t="s">
        <v>1493</v>
      </c>
      <c r="B12" s="139">
        <v>1711706600</v>
      </c>
      <c r="D12"/>
      <c r="E12"/>
    </row>
    <row r="13" spans="1:5" ht="20.25" x14ac:dyDescent="0.3">
      <c r="A13" s="150" t="s">
        <v>1587</v>
      </c>
      <c r="B13" s="139">
        <v>1693936500</v>
      </c>
      <c r="D13"/>
      <c r="E13"/>
    </row>
    <row r="14" spans="1:5" ht="20.25" x14ac:dyDescent="0.3">
      <c r="A14" s="150" t="s">
        <v>1623</v>
      </c>
      <c r="B14" s="139">
        <v>1638063800</v>
      </c>
      <c r="D14"/>
      <c r="E14"/>
    </row>
    <row r="15" spans="1:5" ht="20.25" x14ac:dyDescent="0.3">
      <c r="A15" s="150" t="s">
        <v>1541</v>
      </c>
      <c r="B15" s="139">
        <v>1625169048</v>
      </c>
      <c r="D15"/>
      <c r="E15"/>
    </row>
    <row r="16" spans="1:5" ht="20.25" x14ac:dyDescent="0.3">
      <c r="A16" s="150" t="s">
        <v>1562</v>
      </c>
      <c r="B16" s="139">
        <v>1472633600</v>
      </c>
      <c r="D16"/>
      <c r="E16"/>
    </row>
    <row r="17" spans="1:5" ht="20.25" x14ac:dyDescent="0.3">
      <c r="A17" s="150" t="s">
        <v>1613</v>
      </c>
      <c r="B17" s="139">
        <v>1414285714</v>
      </c>
      <c r="D17"/>
      <c r="E17"/>
    </row>
    <row r="18" spans="1:5" ht="20.25" x14ac:dyDescent="0.3">
      <c r="A18" s="150" t="s">
        <v>1547</v>
      </c>
      <c r="B18" s="139">
        <v>1359942245</v>
      </c>
      <c r="D18"/>
      <c r="E18"/>
    </row>
    <row r="19" spans="1:5" ht="20.25" x14ac:dyDescent="0.3">
      <c r="A19" s="150" t="s">
        <v>1552</v>
      </c>
      <c r="B19" s="139">
        <v>1332021181</v>
      </c>
      <c r="D19"/>
      <c r="E19"/>
    </row>
    <row r="20" spans="1:5" ht="20.25" x14ac:dyDescent="0.3">
      <c r="A20" s="150" t="s">
        <v>1692</v>
      </c>
      <c r="B20" s="139">
        <v>1330768426</v>
      </c>
      <c r="D20"/>
      <c r="E20"/>
    </row>
    <row r="21" spans="1:5" ht="20.25" x14ac:dyDescent="0.3">
      <c r="A21" s="150" t="s">
        <v>1554</v>
      </c>
      <c r="B21" s="139">
        <v>1270347800</v>
      </c>
      <c r="D21"/>
      <c r="E21"/>
    </row>
    <row r="22" spans="1:5" ht="20.25" x14ac:dyDescent="0.3">
      <c r="A22" s="150" t="s">
        <v>1600</v>
      </c>
      <c r="B22" s="139">
        <v>1202638006</v>
      </c>
      <c r="D22"/>
      <c r="E22"/>
    </row>
    <row r="23" spans="1:5" ht="20.25" x14ac:dyDescent="0.3">
      <c r="A23" s="150" t="s">
        <v>1635</v>
      </c>
      <c r="B23" s="139">
        <v>1123779978</v>
      </c>
      <c r="D23"/>
      <c r="E23"/>
    </row>
    <row r="24" spans="1:5" ht="20.25" x14ac:dyDescent="0.3">
      <c r="A24" s="150" t="s">
        <v>1675</v>
      </c>
      <c r="B24" s="139">
        <v>1098929166</v>
      </c>
      <c r="D24"/>
      <c r="E24"/>
    </row>
    <row r="25" spans="1:5" ht="20.25" x14ac:dyDescent="0.3">
      <c r="A25" s="150" t="s">
        <v>1545</v>
      </c>
      <c r="B25" s="139">
        <v>1090244203</v>
      </c>
    </row>
    <row r="26" spans="1:5" ht="20.25" x14ac:dyDescent="0.3">
      <c r="A26" s="150" t="s">
        <v>1499</v>
      </c>
      <c r="B26" s="139">
        <v>1063276454</v>
      </c>
    </row>
    <row r="27" spans="1:5" ht="20.25" x14ac:dyDescent="0.3">
      <c r="A27" s="150" t="s">
        <v>1490</v>
      </c>
      <c r="B27" s="139">
        <v>1059272151</v>
      </c>
    </row>
    <row r="28" spans="1:5" ht="20.25" x14ac:dyDescent="0.3">
      <c r="A28" s="150" t="s">
        <v>1633</v>
      </c>
      <c r="B28" s="139">
        <v>1052706500</v>
      </c>
    </row>
    <row r="29" spans="1:5" ht="20.25" x14ac:dyDescent="0.3">
      <c r="A29" s="150" t="s">
        <v>1491</v>
      </c>
      <c r="B29" s="139">
        <v>1014530554</v>
      </c>
    </row>
    <row r="30" spans="1:5" ht="20.25" x14ac:dyDescent="0.3">
      <c r="A30" s="150" t="s">
        <v>1575</v>
      </c>
      <c r="B30" s="139">
        <v>1000471919</v>
      </c>
    </row>
    <row r="31" spans="1:5" ht="20.25" x14ac:dyDescent="0.3">
      <c r="A31" s="150" t="s">
        <v>1504</v>
      </c>
      <c r="B31" s="139">
        <v>990159606</v>
      </c>
    </row>
    <row r="32" spans="1:5" ht="20.25" x14ac:dyDescent="0.3">
      <c r="A32" s="150" t="s">
        <v>1558</v>
      </c>
      <c r="B32" s="139">
        <v>898394000</v>
      </c>
    </row>
    <row r="33" spans="1:2" ht="20.25" x14ac:dyDescent="0.3">
      <c r="A33" s="150" t="s">
        <v>1676</v>
      </c>
      <c r="B33" s="139">
        <v>842016500</v>
      </c>
    </row>
    <row r="34" spans="1:2" ht="20.25" x14ac:dyDescent="0.3">
      <c r="A34" s="150" t="s">
        <v>1487</v>
      </c>
      <c r="B34" s="139">
        <v>837744000</v>
      </c>
    </row>
    <row r="35" spans="1:2" ht="20.25" x14ac:dyDescent="0.3">
      <c r="A35" s="150" t="s">
        <v>1496</v>
      </c>
      <c r="B35" s="139">
        <v>741652946</v>
      </c>
    </row>
    <row r="36" spans="1:2" ht="20.25" x14ac:dyDescent="0.3">
      <c r="A36" s="150" t="s">
        <v>1577</v>
      </c>
      <c r="B36" s="139">
        <v>695817312</v>
      </c>
    </row>
    <row r="37" spans="1:2" ht="20.25" x14ac:dyDescent="0.3">
      <c r="A37" s="150" t="s">
        <v>1531</v>
      </c>
      <c r="B37" s="139">
        <v>695677140</v>
      </c>
    </row>
    <row r="38" spans="1:2" ht="20.25" x14ac:dyDescent="0.3">
      <c r="A38" s="150" t="s">
        <v>1624</v>
      </c>
      <c r="B38" s="139">
        <v>664941000</v>
      </c>
    </row>
    <row r="39" spans="1:2" ht="20.25" x14ac:dyDescent="0.3">
      <c r="A39" s="150" t="s">
        <v>2046</v>
      </c>
      <c r="B39" s="139">
        <v>664518000</v>
      </c>
    </row>
    <row r="40" spans="1:2" ht="20.25" x14ac:dyDescent="0.3">
      <c r="A40" s="150" t="s">
        <v>1656</v>
      </c>
      <c r="B40" s="139">
        <v>658792000</v>
      </c>
    </row>
    <row r="41" spans="1:2" ht="20.25" x14ac:dyDescent="0.3">
      <c r="A41" s="150" t="s">
        <v>1538</v>
      </c>
      <c r="B41" s="139">
        <v>655262348</v>
      </c>
    </row>
    <row r="42" spans="1:2" ht="20.25" x14ac:dyDescent="0.3">
      <c r="A42" s="150" t="s">
        <v>1582</v>
      </c>
      <c r="B42" s="139">
        <v>652878311</v>
      </c>
    </row>
    <row r="43" spans="1:2" ht="20.25" x14ac:dyDescent="0.3">
      <c r="A43" s="150" t="s">
        <v>1643</v>
      </c>
      <c r="B43" s="139">
        <v>637202000</v>
      </c>
    </row>
    <row r="44" spans="1:2" ht="20.25" x14ac:dyDescent="0.3">
      <c r="A44" s="150" t="s">
        <v>1626</v>
      </c>
      <c r="B44" s="139">
        <v>628679556</v>
      </c>
    </row>
    <row r="45" spans="1:2" ht="20.25" x14ac:dyDescent="0.3">
      <c r="A45" s="150" t="s">
        <v>1592</v>
      </c>
      <c r="B45" s="139">
        <v>593614954</v>
      </c>
    </row>
    <row r="46" spans="1:2" ht="20.25" x14ac:dyDescent="0.3">
      <c r="A46" s="150" t="s">
        <v>1834</v>
      </c>
      <c r="B46" s="139">
        <v>541949500</v>
      </c>
    </row>
    <row r="47" spans="1:2" ht="20.25" x14ac:dyDescent="0.3">
      <c r="A47" s="150" t="s">
        <v>1527</v>
      </c>
      <c r="B47" s="139">
        <v>521998832</v>
      </c>
    </row>
    <row r="48" spans="1:2" ht="20.25" x14ac:dyDescent="0.3">
      <c r="A48" s="150" t="s">
        <v>1572</v>
      </c>
      <c r="B48" s="139">
        <v>505536330</v>
      </c>
    </row>
    <row r="49" spans="1:2" ht="20.25" x14ac:dyDescent="0.3">
      <c r="A49" s="150" t="s">
        <v>1485</v>
      </c>
      <c r="B49" s="139">
        <v>495023000</v>
      </c>
    </row>
    <row r="50" spans="1:2" ht="20.25" x14ac:dyDescent="0.3">
      <c r="A50" s="150" t="s">
        <v>1722</v>
      </c>
      <c r="B50" s="139">
        <v>477374000</v>
      </c>
    </row>
    <row r="51" spans="1:2" ht="20.25" x14ac:dyDescent="0.3">
      <c r="A51" s="150" t="s">
        <v>1606</v>
      </c>
      <c r="B51" s="139">
        <v>456602900</v>
      </c>
    </row>
    <row r="52" spans="1:2" ht="20.25" x14ac:dyDescent="0.3">
      <c r="A52" s="150" t="s">
        <v>1518</v>
      </c>
      <c r="B52" s="139">
        <v>448567500</v>
      </c>
    </row>
    <row r="53" spans="1:2" ht="20.25" x14ac:dyDescent="0.3">
      <c r="A53" s="150" t="s">
        <v>2234</v>
      </c>
      <c r="B53" s="139">
        <v>437014000</v>
      </c>
    </row>
    <row r="54" spans="1:2" ht="20.25" x14ac:dyDescent="0.3">
      <c r="A54" s="150" t="s">
        <v>1564</v>
      </c>
      <c r="B54" s="139">
        <v>424193000</v>
      </c>
    </row>
    <row r="55" spans="1:2" ht="20.25" x14ac:dyDescent="0.3">
      <c r="A55" s="150" t="s">
        <v>1580</v>
      </c>
      <c r="B55" s="139">
        <v>421034088</v>
      </c>
    </row>
    <row r="56" spans="1:2" ht="20.25" x14ac:dyDescent="0.3">
      <c r="A56" s="150" t="s">
        <v>1502</v>
      </c>
      <c r="B56" s="139">
        <v>420913593</v>
      </c>
    </row>
    <row r="57" spans="1:2" ht="20.25" x14ac:dyDescent="0.3">
      <c r="A57" s="150" t="s">
        <v>1539</v>
      </c>
      <c r="B57" s="139">
        <v>385768150</v>
      </c>
    </row>
    <row r="58" spans="1:2" ht="20.25" x14ac:dyDescent="0.3">
      <c r="A58" s="150" t="s">
        <v>2107</v>
      </c>
      <c r="B58" s="139">
        <v>383715000</v>
      </c>
    </row>
    <row r="59" spans="1:2" ht="20.25" x14ac:dyDescent="0.3">
      <c r="A59" s="150" t="s">
        <v>1488</v>
      </c>
      <c r="B59" s="139">
        <v>358571500</v>
      </c>
    </row>
    <row r="60" spans="1:2" ht="20.25" x14ac:dyDescent="0.3">
      <c r="A60" s="150" t="s">
        <v>1727</v>
      </c>
      <c r="B60" s="139">
        <v>355995000</v>
      </c>
    </row>
    <row r="61" spans="1:2" ht="20.25" x14ac:dyDescent="0.3">
      <c r="A61" s="150" t="s">
        <v>2044</v>
      </c>
      <c r="B61" s="139">
        <v>355165782</v>
      </c>
    </row>
    <row r="62" spans="1:2" ht="20.25" x14ac:dyDescent="0.3">
      <c r="A62" s="150" t="s">
        <v>1536</v>
      </c>
      <c r="B62" s="139">
        <v>353366605</v>
      </c>
    </row>
    <row r="63" spans="1:2" ht="20.25" x14ac:dyDescent="0.3">
      <c r="A63" s="150" t="s">
        <v>1573</v>
      </c>
      <c r="B63" s="139">
        <v>345134350</v>
      </c>
    </row>
    <row r="64" spans="1:2" ht="20.25" x14ac:dyDescent="0.3">
      <c r="A64" s="150" t="s">
        <v>1590</v>
      </c>
      <c r="B64" s="139">
        <v>343328804</v>
      </c>
    </row>
    <row r="65" spans="1:2" ht="20.25" x14ac:dyDescent="0.3">
      <c r="A65" s="150" t="s">
        <v>1646</v>
      </c>
      <c r="B65" s="139">
        <v>340889500</v>
      </c>
    </row>
    <row r="66" spans="1:2" ht="20.25" x14ac:dyDescent="0.3">
      <c r="A66" s="150" t="s">
        <v>1478</v>
      </c>
      <c r="B66" s="139">
        <v>334254000</v>
      </c>
    </row>
    <row r="67" spans="1:2" ht="20.25" x14ac:dyDescent="0.3">
      <c r="A67" s="150" t="s">
        <v>1597</v>
      </c>
      <c r="B67" s="139">
        <v>323343460</v>
      </c>
    </row>
    <row r="68" spans="1:2" ht="20.25" x14ac:dyDescent="0.3">
      <c r="A68" s="150" t="s">
        <v>1506</v>
      </c>
      <c r="B68" s="139">
        <v>320557751</v>
      </c>
    </row>
    <row r="69" spans="1:2" ht="20.25" x14ac:dyDescent="0.3">
      <c r="A69" s="150" t="s">
        <v>1703</v>
      </c>
      <c r="B69" s="139">
        <v>319270770</v>
      </c>
    </row>
    <row r="70" spans="1:2" ht="20.25" x14ac:dyDescent="0.3">
      <c r="A70" s="150" t="s">
        <v>1707</v>
      </c>
      <c r="B70" s="139">
        <v>296894000</v>
      </c>
    </row>
    <row r="71" spans="1:2" ht="20.25" x14ac:dyDescent="0.3">
      <c r="A71" s="150" t="s">
        <v>1548</v>
      </c>
      <c r="B71" s="139">
        <v>296742500</v>
      </c>
    </row>
    <row r="72" spans="1:2" ht="20.25" x14ac:dyDescent="0.3">
      <c r="A72" s="150" t="s">
        <v>1932</v>
      </c>
      <c r="B72" s="139">
        <v>288262000</v>
      </c>
    </row>
    <row r="73" spans="1:2" ht="20.25" x14ac:dyDescent="0.3">
      <c r="A73" s="150" t="s">
        <v>1728</v>
      </c>
      <c r="B73" s="139">
        <v>287096000</v>
      </c>
    </row>
    <row r="74" spans="1:2" ht="20.25" x14ac:dyDescent="0.3">
      <c r="A74" s="150" t="s">
        <v>1673</v>
      </c>
      <c r="B74" s="139">
        <v>277982000</v>
      </c>
    </row>
    <row r="75" spans="1:2" ht="20.25" x14ac:dyDescent="0.3">
      <c r="A75" s="150" t="s">
        <v>1609</v>
      </c>
      <c r="B75" s="139">
        <v>275256860</v>
      </c>
    </row>
    <row r="76" spans="1:2" ht="20.25" x14ac:dyDescent="0.3">
      <c r="A76" s="150" t="s">
        <v>1668</v>
      </c>
      <c r="B76" s="139">
        <v>263318000</v>
      </c>
    </row>
    <row r="77" spans="1:2" ht="20.25" x14ac:dyDescent="0.3">
      <c r="A77" s="150" t="s">
        <v>1595</v>
      </c>
      <c r="B77" s="139">
        <v>253784500</v>
      </c>
    </row>
    <row r="78" spans="1:2" ht="20.25" x14ac:dyDescent="0.3">
      <c r="A78" s="150" t="s">
        <v>1591</v>
      </c>
      <c r="B78" s="139">
        <v>253537850</v>
      </c>
    </row>
    <row r="79" spans="1:2" ht="20.25" x14ac:dyDescent="0.3">
      <c r="A79" s="150" t="s">
        <v>1610</v>
      </c>
      <c r="B79" s="139">
        <v>244810000</v>
      </c>
    </row>
    <row r="80" spans="1:2" ht="20.25" x14ac:dyDescent="0.3">
      <c r="A80" s="150" t="s">
        <v>2154</v>
      </c>
      <c r="B80" s="139">
        <v>221451515</v>
      </c>
    </row>
    <row r="81" spans="1:2" ht="20.25" x14ac:dyDescent="0.3">
      <c r="A81" s="150" t="s">
        <v>1622</v>
      </c>
      <c r="B81" s="139">
        <v>218588634</v>
      </c>
    </row>
    <row r="82" spans="1:2" ht="20.25" x14ac:dyDescent="0.3">
      <c r="A82" s="150" t="s">
        <v>1489</v>
      </c>
      <c r="B82" s="139">
        <v>215261000</v>
      </c>
    </row>
    <row r="83" spans="1:2" ht="20.25" x14ac:dyDescent="0.3">
      <c r="A83" s="150" t="s">
        <v>1638</v>
      </c>
      <c r="B83" s="139">
        <v>211239940</v>
      </c>
    </row>
    <row r="84" spans="1:2" ht="20.25" x14ac:dyDescent="0.3">
      <c r="A84" s="150" t="s">
        <v>1534</v>
      </c>
      <c r="B84" s="139">
        <v>207227529</v>
      </c>
    </row>
    <row r="85" spans="1:2" ht="20.25" x14ac:dyDescent="0.3">
      <c r="A85" s="150" t="s">
        <v>1520</v>
      </c>
      <c r="B85" s="139">
        <v>192732025</v>
      </c>
    </row>
    <row r="86" spans="1:2" ht="20.25" x14ac:dyDescent="0.3">
      <c r="A86" s="150" t="s">
        <v>1477</v>
      </c>
      <c r="B86" s="139">
        <v>177852500</v>
      </c>
    </row>
    <row r="87" spans="1:2" ht="20.25" x14ac:dyDescent="0.3">
      <c r="A87" s="150" t="s">
        <v>1660</v>
      </c>
      <c r="B87" s="139">
        <v>171879357</v>
      </c>
    </row>
    <row r="88" spans="1:2" ht="20.25" x14ac:dyDescent="0.3">
      <c r="A88" s="150" t="s">
        <v>2042</v>
      </c>
      <c r="B88" s="139">
        <v>169725850</v>
      </c>
    </row>
    <row r="89" spans="1:2" ht="20.25" x14ac:dyDescent="0.3">
      <c r="A89" s="150" t="s">
        <v>1568</v>
      </c>
      <c r="B89" s="139">
        <v>161509500</v>
      </c>
    </row>
    <row r="90" spans="1:2" ht="20.25" x14ac:dyDescent="0.3">
      <c r="A90" s="150" t="s">
        <v>1627</v>
      </c>
      <c r="B90" s="139">
        <v>143475000</v>
      </c>
    </row>
    <row r="91" spans="1:2" ht="20.25" x14ac:dyDescent="0.3">
      <c r="A91" s="150" t="s">
        <v>1608</v>
      </c>
      <c r="B91" s="139">
        <v>141688000</v>
      </c>
    </row>
    <row r="92" spans="1:2" ht="20.25" x14ac:dyDescent="0.3">
      <c r="A92" s="150" t="s">
        <v>1664</v>
      </c>
      <c r="B92" s="139">
        <v>141032419</v>
      </c>
    </row>
    <row r="93" spans="1:2" ht="20.25" x14ac:dyDescent="0.3">
      <c r="A93" s="150" t="s">
        <v>2276</v>
      </c>
      <c r="B93" s="139">
        <v>139518000</v>
      </c>
    </row>
    <row r="94" spans="1:2" ht="20.25" x14ac:dyDescent="0.3">
      <c r="A94" s="150" t="s">
        <v>1593</v>
      </c>
      <c r="B94" s="139">
        <v>136547500</v>
      </c>
    </row>
    <row r="95" spans="1:2" ht="20.25" x14ac:dyDescent="0.3">
      <c r="A95" s="150" t="s">
        <v>1532</v>
      </c>
      <c r="B95" s="139">
        <v>134177500</v>
      </c>
    </row>
    <row r="96" spans="1:2" ht="20.25" x14ac:dyDescent="0.3">
      <c r="A96" s="150" t="s">
        <v>1822</v>
      </c>
      <c r="B96" s="139">
        <v>133855000</v>
      </c>
    </row>
    <row r="97" spans="1:2" ht="20.25" x14ac:dyDescent="0.3">
      <c r="A97" s="150" t="s">
        <v>1494</v>
      </c>
      <c r="B97" s="139">
        <v>133713000</v>
      </c>
    </row>
    <row r="98" spans="1:2" ht="20.25" x14ac:dyDescent="0.3">
      <c r="A98" s="150" t="s">
        <v>1650</v>
      </c>
      <c r="B98" s="139">
        <v>127555000</v>
      </c>
    </row>
    <row r="99" spans="1:2" ht="20.25" x14ac:dyDescent="0.3">
      <c r="A99" s="150" t="s">
        <v>1666</v>
      </c>
      <c r="B99" s="139">
        <v>118322146</v>
      </c>
    </row>
    <row r="100" spans="1:2" ht="20.25" x14ac:dyDescent="0.3">
      <c r="A100" s="150" t="s">
        <v>1621</v>
      </c>
      <c r="B100" s="139">
        <v>117203000</v>
      </c>
    </row>
    <row r="101" spans="1:2" ht="20.25" x14ac:dyDescent="0.3">
      <c r="A101" s="150" t="s">
        <v>1708</v>
      </c>
      <c r="B101" s="139">
        <v>114066539</v>
      </c>
    </row>
    <row r="102" spans="1:2" ht="20.25" x14ac:dyDescent="0.3">
      <c r="A102" s="150" t="s">
        <v>1688</v>
      </c>
      <c r="B102" s="139">
        <v>108933967</v>
      </c>
    </row>
    <row r="103" spans="1:2" ht="20.25" x14ac:dyDescent="0.3">
      <c r="A103" s="150" t="s">
        <v>1507</v>
      </c>
      <c r="B103" s="139">
        <v>106704000</v>
      </c>
    </row>
    <row r="104" spans="1:2" ht="20.25" x14ac:dyDescent="0.3">
      <c r="A104" s="150" t="s">
        <v>1583</v>
      </c>
      <c r="B104" s="139">
        <v>105095915</v>
      </c>
    </row>
    <row r="105" spans="1:2" ht="20.25" x14ac:dyDescent="0.3">
      <c r="A105" s="150" t="s">
        <v>2076</v>
      </c>
      <c r="B105" s="139">
        <v>99998880</v>
      </c>
    </row>
    <row r="106" spans="1:2" ht="20.25" x14ac:dyDescent="0.3">
      <c r="A106" s="150" t="s">
        <v>1566</v>
      </c>
      <c r="B106" s="139">
        <v>96181734</v>
      </c>
    </row>
    <row r="107" spans="1:2" ht="20.25" x14ac:dyDescent="0.3">
      <c r="A107" s="150" t="s">
        <v>2068</v>
      </c>
      <c r="B107" s="139">
        <v>84912986</v>
      </c>
    </row>
    <row r="108" spans="1:2" ht="20.25" x14ac:dyDescent="0.3">
      <c r="A108" s="150" t="s">
        <v>1896</v>
      </c>
      <c r="B108" s="139">
        <v>74496000</v>
      </c>
    </row>
    <row r="109" spans="1:2" ht="20.25" x14ac:dyDescent="0.3">
      <c r="A109" s="150" t="s">
        <v>1677</v>
      </c>
      <c r="B109" s="139">
        <v>74175727</v>
      </c>
    </row>
    <row r="110" spans="1:2" ht="20.25" x14ac:dyDescent="0.3">
      <c r="A110" s="150" t="s">
        <v>1653</v>
      </c>
      <c r="B110" s="139">
        <v>66412960</v>
      </c>
    </row>
    <row r="111" spans="1:2" ht="20.25" x14ac:dyDescent="0.3">
      <c r="A111" s="150" t="s">
        <v>1604</v>
      </c>
      <c r="B111" s="139">
        <v>62888000</v>
      </c>
    </row>
    <row r="112" spans="1:2" ht="20.25" x14ac:dyDescent="0.3">
      <c r="A112" s="150" t="s">
        <v>1679</v>
      </c>
      <c r="B112" s="139">
        <v>59405900</v>
      </c>
    </row>
    <row r="113" spans="1:2" ht="20.25" x14ac:dyDescent="0.3">
      <c r="A113" s="150" t="s">
        <v>1535</v>
      </c>
      <c r="B113" s="139">
        <v>57717000</v>
      </c>
    </row>
    <row r="114" spans="1:2" ht="20.25" x14ac:dyDescent="0.3">
      <c r="A114" s="150" t="s">
        <v>1526</v>
      </c>
      <c r="B114" s="139">
        <v>50324000</v>
      </c>
    </row>
    <row r="115" spans="1:2" ht="20.25" x14ac:dyDescent="0.3">
      <c r="A115" s="150" t="s">
        <v>2043</v>
      </c>
      <c r="B115" s="139">
        <v>49355000</v>
      </c>
    </row>
    <row r="116" spans="1:2" ht="20.25" x14ac:dyDescent="0.3">
      <c r="A116" s="150" t="s">
        <v>1691</v>
      </c>
      <c r="B116" s="139">
        <v>44139404</v>
      </c>
    </row>
    <row r="117" spans="1:2" ht="20.25" x14ac:dyDescent="0.3">
      <c r="A117" s="150" t="s">
        <v>1574</v>
      </c>
      <c r="B117" s="139">
        <v>43227000</v>
      </c>
    </row>
    <row r="118" spans="1:2" ht="20.25" x14ac:dyDescent="0.3">
      <c r="A118" s="150" t="s">
        <v>1515</v>
      </c>
      <c r="B118" s="139">
        <v>41585813</v>
      </c>
    </row>
    <row r="119" spans="1:2" ht="20.25" x14ac:dyDescent="0.3">
      <c r="A119" s="150" t="s">
        <v>1555</v>
      </c>
      <c r="B119" s="139">
        <v>37128322</v>
      </c>
    </row>
    <row r="120" spans="1:2" ht="20.25" x14ac:dyDescent="0.3">
      <c r="A120" s="150" t="s">
        <v>1620</v>
      </c>
      <c r="B120" s="139">
        <v>31453546</v>
      </c>
    </row>
    <row r="121" spans="1:2" ht="20.25" x14ac:dyDescent="0.3">
      <c r="A121" s="150" t="s">
        <v>1704</v>
      </c>
      <c r="B121" s="139">
        <v>29999000</v>
      </c>
    </row>
    <row r="122" spans="1:2" ht="20.25" x14ac:dyDescent="0.3">
      <c r="A122" s="150" t="s">
        <v>2040</v>
      </c>
      <c r="B122" s="139">
        <v>27894000</v>
      </c>
    </row>
    <row r="123" spans="1:2" ht="20.25" x14ac:dyDescent="0.3">
      <c r="A123" s="150" t="s">
        <v>1658</v>
      </c>
      <c r="B123" s="139">
        <v>27486000</v>
      </c>
    </row>
    <row r="124" spans="1:2" ht="20.25" x14ac:dyDescent="0.3">
      <c r="A124" s="150" t="s">
        <v>1973</v>
      </c>
      <c r="B124" s="139">
        <v>25380000</v>
      </c>
    </row>
    <row r="125" spans="1:2" ht="20.25" x14ac:dyDescent="0.3">
      <c r="A125" s="150" t="s">
        <v>1556</v>
      </c>
      <c r="B125" s="139">
        <v>23125715</v>
      </c>
    </row>
    <row r="126" spans="1:2" ht="20.25" x14ac:dyDescent="0.3">
      <c r="A126" s="150" t="s">
        <v>2039</v>
      </c>
      <c r="B126" s="139">
        <v>23108000</v>
      </c>
    </row>
    <row r="127" spans="1:2" ht="20.25" x14ac:dyDescent="0.3">
      <c r="A127" s="150" t="s">
        <v>1721</v>
      </c>
      <c r="B127" s="139">
        <v>21182000</v>
      </c>
    </row>
    <row r="128" spans="1:2" ht="20.25" x14ac:dyDescent="0.3">
      <c r="A128" s="150" t="s">
        <v>1651</v>
      </c>
      <c r="B128" s="139">
        <v>16048500</v>
      </c>
    </row>
    <row r="129" spans="1:2" ht="20.25" x14ac:dyDescent="0.3">
      <c r="A129" s="150" t="s">
        <v>1637</v>
      </c>
      <c r="B129" s="139">
        <v>15751366</v>
      </c>
    </row>
    <row r="130" spans="1:2" ht="20.25" x14ac:dyDescent="0.3">
      <c r="A130" s="150" t="s">
        <v>1719</v>
      </c>
      <c r="B130" s="139">
        <v>9880000</v>
      </c>
    </row>
    <row r="131" spans="1:2" ht="20.25" x14ac:dyDescent="0.3">
      <c r="A131" s="150" t="s">
        <v>1817</v>
      </c>
      <c r="B131" s="139">
        <v>6002009</v>
      </c>
    </row>
    <row r="132" spans="1:2" ht="20.25" x14ac:dyDescent="0.3">
      <c r="A132" s="150" t="s">
        <v>1628</v>
      </c>
      <c r="B132" s="139">
        <v>4994111</v>
      </c>
    </row>
    <row r="133" spans="1:2" ht="20.25" x14ac:dyDescent="0.3">
      <c r="A133" s="150" t="s">
        <v>1671</v>
      </c>
      <c r="B133" s="139">
        <v>1862000</v>
      </c>
    </row>
    <row r="134" spans="1:2" ht="20.25" x14ac:dyDescent="0.3">
      <c r="A134" s="150" t="s">
        <v>1701</v>
      </c>
      <c r="B134" s="139">
        <v>1020000</v>
      </c>
    </row>
    <row r="135" spans="1:2" ht="20.25" x14ac:dyDescent="0.3">
      <c r="A135" s="150" t="s">
        <v>1712</v>
      </c>
      <c r="B135" s="139">
        <v>224717.99999982119</v>
      </c>
    </row>
    <row r="136" spans="1:2" ht="20.25" x14ac:dyDescent="0.3">
      <c r="A136" s="150" t="s">
        <v>1611</v>
      </c>
      <c r="B136" s="139">
        <v>152664</v>
      </c>
    </row>
    <row r="137" spans="1:2" ht="20.25" x14ac:dyDescent="0.3">
      <c r="A137" s="150" t="s">
        <v>1567</v>
      </c>
      <c r="B137" s="139">
        <v>127000</v>
      </c>
    </row>
    <row r="138" spans="1:2" ht="20.25" x14ac:dyDescent="0.3">
      <c r="A138" s="150" t="s">
        <v>1683</v>
      </c>
      <c r="B138" s="139">
        <v>94248</v>
      </c>
    </row>
    <row r="139" spans="1:2" ht="20.25" x14ac:dyDescent="0.3">
      <c r="A139" s="150" t="s">
        <v>1639</v>
      </c>
      <c r="B139" s="139">
        <v>70339</v>
      </c>
    </row>
    <row r="140" spans="1:2" ht="20.25" x14ac:dyDescent="0.3">
      <c r="A140" s="150" t="s">
        <v>1698</v>
      </c>
      <c r="B140" s="139">
        <v>42000</v>
      </c>
    </row>
    <row r="141" spans="1:2" ht="20.25" x14ac:dyDescent="0.3">
      <c r="A141" s="150" t="s">
        <v>1700</v>
      </c>
      <c r="B141" s="139">
        <v>5000</v>
      </c>
    </row>
    <row r="142" spans="1:2" ht="20.25" x14ac:dyDescent="0.3">
      <c r="A142" s="150" t="s">
        <v>2113</v>
      </c>
      <c r="B142" s="139">
        <v>500</v>
      </c>
    </row>
    <row r="143" spans="1:2" ht="20.25" x14ac:dyDescent="0.3">
      <c r="A143" s="150" t="s">
        <v>1505</v>
      </c>
      <c r="B143" s="139">
        <v>0</v>
      </c>
    </row>
    <row r="144" spans="1:2" ht="20.25" x14ac:dyDescent="0.3">
      <c r="A144" s="150" t="s">
        <v>1511</v>
      </c>
      <c r="B144" s="139">
        <v>0</v>
      </c>
    </row>
    <row r="145" spans="1:2" ht="20.25" x14ac:dyDescent="0.3">
      <c r="A145" s="150" t="s">
        <v>1523</v>
      </c>
      <c r="B145" s="139">
        <v>0</v>
      </c>
    </row>
    <row r="146" spans="1:2" ht="20.25" x14ac:dyDescent="0.3">
      <c r="A146" s="150" t="s">
        <v>1544</v>
      </c>
      <c r="B146" s="139">
        <v>0</v>
      </c>
    </row>
    <row r="147" spans="1:2" ht="20.25" x14ac:dyDescent="0.3">
      <c r="A147" s="150" t="s">
        <v>1551</v>
      </c>
      <c r="B147" s="139">
        <v>0</v>
      </c>
    </row>
    <row r="148" spans="1:2" ht="20.25" x14ac:dyDescent="0.3">
      <c r="A148" s="150" t="s">
        <v>1607</v>
      </c>
      <c r="B148" s="139">
        <v>0</v>
      </c>
    </row>
    <row r="149" spans="1:2" ht="20.25" x14ac:dyDescent="0.3">
      <c r="A149" s="150" t="s">
        <v>1614</v>
      </c>
      <c r="B149" s="139">
        <v>0</v>
      </c>
    </row>
    <row r="150" spans="1:2" ht="20.25" x14ac:dyDescent="0.3">
      <c r="A150" s="150" t="s">
        <v>1615</v>
      </c>
      <c r="B150" s="139">
        <v>0</v>
      </c>
    </row>
    <row r="151" spans="1:2" ht="20.25" x14ac:dyDescent="0.3">
      <c r="A151" s="150" t="s">
        <v>1618</v>
      </c>
      <c r="B151" s="139">
        <v>0</v>
      </c>
    </row>
    <row r="152" spans="1:2" ht="20.25" x14ac:dyDescent="0.3">
      <c r="A152" s="150" t="s">
        <v>1632</v>
      </c>
      <c r="B152" s="139">
        <v>0</v>
      </c>
    </row>
    <row r="153" spans="1:2" ht="20.25" x14ac:dyDescent="0.3">
      <c r="A153" s="150" t="s">
        <v>1644</v>
      </c>
      <c r="B153" s="139">
        <v>0</v>
      </c>
    </row>
    <row r="154" spans="1:2" ht="20.25" x14ac:dyDescent="0.3">
      <c r="A154" s="150" t="s">
        <v>1645</v>
      </c>
      <c r="B154" s="139">
        <v>0</v>
      </c>
    </row>
    <row r="155" spans="1:2" ht="20.25" x14ac:dyDescent="0.3">
      <c r="A155" s="150" t="s">
        <v>1647</v>
      </c>
      <c r="B155" s="139">
        <v>0</v>
      </c>
    </row>
    <row r="156" spans="1:2" ht="20.25" x14ac:dyDescent="0.3">
      <c r="A156" s="150" t="s">
        <v>1648</v>
      </c>
      <c r="B156" s="139">
        <v>0</v>
      </c>
    </row>
    <row r="157" spans="1:2" ht="20.25" x14ac:dyDescent="0.3">
      <c r="A157" s="150" t="s">
        <v>1657</v>
      </c>
      <c r="B157" s="139">
        <v>0</v>
      </c>
    </row>
    <row r="158" spans="1:2" ht="20.25" x14ac:dyDescent="0.3">
      <c r="A158" s="150" t="s">
        <v>1734</v>
      </c>
      <c r="B158" s="139">
        <v>0</v>
      </c>
    </row>
    <row r="159" spans="1:2" ht="20.25" x14ac:dyDescent="0.3">
      <c r="A159" s="150" t="s">
        <v>1663</v>
      </c>
      <c r="B159" s="139">
        <v>0</v>
      </c>
    </row>
    <row r="160" spans="1:2" ht="20.25" x14ac:dyDescent="0.3">
      <c r="A160" s="150" t="s">
        <v>1726</v>
      </c>
      <c r="B160" s="139">
        <v>0</v>
      </c>
    </row>
    <row r="161" spans="1:2" ht="20.25" x14ac:dyDescent="0.3">
      <c r="A161" s="150" t="s">
        <v>1674</v>
      </c>
      <c r="B161" s="139">
        <v>0</v>
      </c>
    </row>
    <row r="162" spans="1:2" ht="20.25" x14ac:dyDescent="0.3">
      <c r="A162" s="150" t="s">
        <v>1680</v>
      </c>
      <c r="B162" s="139">
        <v>0</v>
      </c>
    </row>
    <row r="163" spans="1:2" ht="20.25" x14ac:dyDescent="0.3">
      <c r="A163" s="150" t="s">
        <v>1681</v>
      </c>
      <c r="B163" s="139">
        <v>0</v>
      </c>
    </row>
    <row r="164" spans="1:2" ht="20.25" x14ac:dyDescent="0.3">
      <c r="A164" s="150" t="s">
        <v>1685</v>
      </c>
      <c r="B164" s="139">
        <v>0</v>
      </c>
    </row>
    <row r="165" spans="1:2" ht="20.25" x14ac:dyDescent="0.3">
      <c r="A165" s="150" t="s">
        <v>1686</v>
      </c>
      <c r="B165" s="139">
        <v>0</v>
      </c>
    </row>
    <row r="166" spans="1:2" ht="20.25" x14ac:dyDescent="0.3">
      <c r="A166" s="150" t="s">
        <v>1960</v>
      </c>
      <c r="B166" s="139">
        <v>0</v>
      </c>
    </row>
    <row r="167" spans="1:2" ht="20.25" x14ac:dyDescent="0.3">
      <c r="A167" s="150" t="s">
        <v>1694</v>
      </c>
      <c r="B167" s="139">
        <v>0</v>
      </c>
    </row>
    <row r="168" spans="1:2" ht="20.25" x14ac:dyDescent="0.3">
      <c r="A168" s="150" t="s">
        <v>1696</v>
      </c>
      <c r="B168" s="139">
        <v>0</v>
      </c>
    </row>
    <row r="169" spans="1:2" ht="20.25" x14ac:dyDescent="0.3">
      <c r="A169" s="150" t="s">
        <v>1699</v>
      </c>
      <c r="B169" s="139">
        <v>0</v>
      </c>
    </row>
    <row r="170" spans="1:2" ht="20.25" x14ac:dyDescent="0.3">
      <c r="A170" s="150" t="s">
        <v>1702</v>
      </c>
      <c r="B170" s="139">
        <v>0</v>
      </c>
    </row>
    <row r="171" spans="1:2" ht="20.25" x14ac:dyDescent="0.3">
      <c r="A171" s="150" t="s">
        <v>1709</v>
      </c>
      <c r="B171" s="139">
        <v>0</v>
      </c>
    </row>
    <row r="172" spans="1:2" ht="20.25" x14ac:dyDescent="0.3">
      <c r="A172" s="150" t="s">
        <v>1713</v>
      </c>
      <c r="B172" s="139">
        <v>0</v>
      </c>
    </row>
    <row r="173" spans="1:2" ht="20.25" x14ac:dyDescent="0.3">
      <c r="A173" s="150" t="s">
        <v>1714</v>
      </c>
      <c r="B173" s="139">
        <v>0</v>
      </c>
    </row>
    <row r="174" spans="1:2" ht="20.25" x14ac:dyDescent="0.3">
      <c r="A174" s="150" t="s">
        <v>1716</v>
      </c>
      <c r="B174" s="139">
        <v>0</v>
      </c>
    </row>
    <row r="175" spans="1:2" ht="20.25" x14ac:dyDescent="0.3">
      <c r="A175" s="150" t="s">
        <v>1717</v>
      </c>
      <c r="B175" s="139">
        <v>0</v>
      </c>
    </row>
    <row r="176" spans="1:2" ht="20.25" x14ac:dyDescent="0.3">
      <c r="A176" s="150" t="s">
        <v>1718</v>
      </c>
      <c r="B176" s="139">
        <v>0</v>
      </c>
    </row>
    <row r="177" spans="1:2" ht="20.25" x14ac:dyDescent="0.3">
      <c r="A177" s="150" t="s">
        <v>1724</v>
      </c>
      <c r="B177" s="139">
        <v>0</v>
      </c>
    </row>
    <row r="178" spans="1:2" ht="20.25" x14ac:dyDescent="0.3">
      <c r="A178" s="150" t="s">
        <v>1827</v>
      </c>
      <c r="B178" s="139">
        <v>0</v>
      </c>
    </row>
    <row r="179" spans="1:2" ht="20.25" x14ac:dyDescent="0.3">
      <c r="A179" s="150" t="s">
        <v>1850</v>
      </c>
      <c r="B179" s="139">
        <v>0</v>
      </c>
    </row>
    <row r="180" spans="1:2" ht="20.25" x14ac:dyDescent="0.3">
      <c r="A180" s="150" t="s">
        <v>1899</v>
      </c>
      <c r="B180" s="139">
        <v>0</v>
      </c>
    </row>
    <row r="181" spans="1:2" ht="20.25" x14ac:dyDescent="0.3">
      <c r="A181" s="150" t="s">
        <v>1909</v>
      </c>
      <c r="B181" s="139">
        <v>0</v>
      </c>
    </row>
    <row r="182" spans="1:2" ht="20.25" x14ac:dyDescent="0.3">
      <c r="A182" s="150" t="s">
        <v>1940</v>
      </c>
      <c r="B182" s="139">
        <v>0</v>
      </c>
    </row>
    <row r="183" spans="1:2" ht="20.25" x14ac:dyDescent="0.3">
      <c r="A183" s="150" t="s">
        <v>1957</v>
      </c>
      <c r="B183" s="139">
        <v>0</v>
      </c>
    </row>
    <row r="184" spans="1:2" ht="20.25" x14ac:dyDescent="0.3">
      <c r="A184" s="150" t="s">
        <v>1964</v>
      </c>
      <c r="B184" s="139">
        <v>0</v>
      </c>
    </row>
    <row r="185" spans="1:2" ht="20.25" x14ac:dyDescent="0.3">
      <c r="A185" s="150" t="s">
        <v>2162</v>
      </c>
      <c r="B185" s="139">
        <v>0</v>
      </c>
    </row>
    <row r="186" spans="1:2" ht="20.25" x14ac:dyDescent="0.3">
      <c r="A186" s="150" t="s">
        <v>2093</v>
      </c>
      <c r="B186" s="139">
        <v>0</v>
      </c>
    </row>
    <row r="187" spans="1:2" ht="20.25" x14ac:dyDescent="0.3">
      <c r="A187" s="150" t="s">
        <v>2153</v>
      </c>
      <c r="B187" s="139">
        <v>-18000</v>
      </c>
    </row>
    <row r="188" spans="1:2" ht="20.25" x14ac:dyDescent="0.3">
      <c r="A188" s="150" t="s">
        <v>1509</v>
      </c>
      <c r="B188" s="139">
        <v>-1928210</v>
      </c>
    </row>
    <row r="189" spans="1:2" ht="20.25" x14ac:dyDescent="0.3">
      <c r="A189" s="150" t="s">
        <v>1725</v>
      </c>
      <c r="B189" s="139">
        <v>-3936800</v>
      </c>
    </row>
    <row r="190" spans="1:2" ht="20.25" x14ac:dyDescent="0.3">
      <c r="A190" s="150" t="s">
        <v>1715</v>
      </c>
      <c r="B190" s="139">
        <v>-7634160</v>
      </c>
    </row>
    <row r="191" spans="1:2" ht="20.25" x14ac:dyDescent="0.3">
      <c r="A191" s="150" t="s">
        <v>2160</v>
      </c>
      <c r="B191" s="139">
        <v>-20000000</v>
      </c>
    </row>
    <row r="192" spans="1:2" ht="20.25" x14ac:dyDescent="0.3">
      <c r="A192" s="150" t="s">
        <v>2179</v>
      </c>
      <c r="B192" s="139">
        <v>-21690500</v>
      </c>
    </row>
    <row r="193" spans="1:2" ht="20.25" x14ac:dyDescent="0.3">
      <c r="A193" s="150" t="s">
        <v>1476</v>
      </c>
      <c r="B193" s="139">
        <v>-27046738</v>
      </c>
    </row>
    <row r="194" spans="1:2" ht="20.25" x14ac:dyDescent="0.3">
      <c r="A194" s="150" t="s">
        <v>1705</v>
      </c>
      <c r="B194" s="139">
        <v>-28534000</v>
      </c>
    </row>
    <row r="195" spans="1:2" ht="20.25" x14ac:dyDescent="0.3">
      <c r="A195" s="150" t="s">
        <v>1596</v>
      </c>
      <c r="B195" s="139">
        <v>-35737500</v>
      </c>
    </row>
    <row r="196" spans="1:2" ht="20.25" x14ac:dyDescent="0.3">
      <c r="A196" s="150" t="s">
        <v>1672</v>
      </c>
      <c r="B196" s="139">
        <v>-63998704</v>
      </c>
    </row>
    <row r="197" spans="1:2" ht="20.25" x14ac:dyDescent="0.3">
      <c r="A197" s="150" t="s">
        <v>1524</v>
      </c>
      <c r="B197" s="139">
        <v>-81284299.99999997</v>
      </c>
    </row>
    <row r="198" spans="1:2" ht="20.25" x14ac:dyDescent="0.3">
      <c r="A198" s="150" t="s">
        <v>1662</v>
      </c>
      <c r="B198" s="139">
        <v>-104589488</v>
      </c>
    </row>
    <row r="199" spans="1:2" ht="20.25" x14ac:dyDescent="0.3">
      <c r="A199" s="150" t="s">
        <v>1530</v>
      </c>
      <c r="B199" s="139">
        <v>-201717989</v>
      </c>
    </row>
    <row r="200" spans="1:2" ht="20.25" x14ac:dyDescent="0.3">
      <c r="A200" s="150" t="s">
        <v>1630</v>
      </c>
      <c r="B200" s="139">
        <v>-302693315</v>
      </c>
    </row>
    <row r="201" spans="1:2" ht="20.25" x14ac:dyDescent="0.3">
      <c r="A201" s="150" t="s">
        <v>1697</v>
      </c>
      <c r="B201" s="139">
        <v>-587839200</v>
      </c>
    </row>
    <row r="202" spans="1:2" ht="20.25" x14ac:dyDescent="0.3">
      <c r="A202" s="150" t="s">
        <v>1706</v>
      </c>
      <c r="B202" s="139">
        <v>-1427687956</v>
      </c>
    </row>
    <row r="203" spans="1:2" ht="20.25" x14ac:dyDescent="0.3">
      <c r="A203" s="150" t="s">
        <v>2016</v>
      </c>
      <c r="B203" s="139">
        <v>-1473149400</v>
      </c>
    </row>
    <row r="204" spans="1:2" ht="20.25" x14ac:dyDescent="0.3">
      <c r="A204" s="150" t="s">
        <v>2138</v>
      </c>
      <c r="B204" s="139">
        <v>-3321923999</v>
      </c>
    </row>
  </sheetData>
  <hyperlinks>
    <hyperlink ref="A8" location="'E Minh - TH'!A1" display="E Minh - TH" xr:uid="{18F0D95D-6AF5-4777-90D6-274132326C4D}"/>
    <hyperlink ref="A193" location="'Cty Phú Minh'!A1" display="Cty Phú Minh" xr:uid="{01E4E36B-C15F-467D-8070-398BDC54C8BC}"/>
    <hyperlink ref="A86" location="'Cty Ý Thuỷ'!A1" display="Cty Ý Thuỷ" xr:uid="{5DEF7E56-1F50-4936-BFF6-4774B1E30777}"/>
    <hyperlink ref="A66" location="'Cty Vinh Oanh - Phủ Lý'!A1" display="Cty Vinh Oanh - Phủ Lý" xr:uid="{83F4FBF3-113F-4EFC-8ABB-45CF5F30834E}"/>
    <hyperlink ref="A4" location="'A Hải - HP'!A1" display="A Hải - HP" xr:uid="{4C96AA56-8265-4F8F-A390-22D44A567651}"/>
    <hyperlink ref="A49" location="'C Xếp - HP'!A1" display="C Xếp - HP" xr:uid="{D99FE36B-A4C8-4667-A15F-303E774CE213}"/>
    <hyperlink ref="A34" location="'Cty Kim Thành'!A1" display="Cty Kim Thành" xr:uid="{AAE7C39C-DAB9-4048-B2CE-C090272EE6B9}"/>
    <hyperlink ref="A59" location="'A Đông - Tân Hồng Phát'!A1" display="A Đông - Tân Hồng Phát" xr:uid="{4B9798B9-B1E3-4EF3-83C9-1F4031C2DC59}"/>
    <hyperlink ref="A82" location="'E Thái - CMỹ'!A1" display="E Thái - CMỹ" xr:uid="{058992F4-471D-4311-B774-94F4B2DDECC3}"/>
    <hyperlink ref="A27" location="'E Giao - Cty Bạch Kim'!A1" display="E Giao - Cty Bạch Kim" xr:uid="{AD732169-8B60-47A9-84C0-2AC2A86E62E9}"/>
    <hyperlink ref="A29" location="'C Thuỷ - HP'!A1" display="C Thuỷ - HP" xr:uid="{B4E0A3D5-BFD7-47AD-BC7A-C7276F45D31E}"/>
    <hyperlink ref="A12" location="'Cty An Phát - HP'!A1" display="Cty An Phát - HP" xr:uid="{F2A42BC8-DFE2-4471-91F3-C7F4CED13A6F}"/>
    <hyperlink ref="A97" location="'E Duy - Cty Hải Âu'!A1" display="E Duy - Cty Hải Âu" xr:uid="{1EEAD58C-6E49-4B9B-96EF-BF042D5AAA07}"/>
    <hyperlink ref="A35" location="'Cty An Phú'!A1" display="Cty An Phú" xr:uid="{EC2468D8-74F4-4B5E-9901-021280B1B684}"/>
    <hyperlink ref="A26" location="'Cty Cường Thịnh'!A1" display="Cty Cường Thịnh" xr:uid="{1BE4EFAA-C003-42C2-8408-71102D972FDA}"/>
    <hyperlink ref="A56" location="'E Duyên - Rùa'!A1" display="E Duyên - Rùa" xr:uid="{97B980F9-CFF0-4142-8DF6-3E65034FDECA}"/>
    <hyperlink ref="A31" location="'Cty Hyundai - ĐN'!A1" display="Cty Hyundai - ĐN" xr:uid="{85C2728B-F0D7-47B9-8832-AC89EA91A587}"/>
    <hyperlink ref="A143" location="'E Phúc - Cty Đức Phúc'!A1" display="E Phúc - Cty Đức Phúc" xr:uid="{A81E3A77-E7D7-497D-A2B8-B4642D455F34}"/>
    <hyperlink ref="A68" location="'Cty Lý Dương Hùng - ĐN'!A1" display="Cty Lý Dương Hùng - ĐN" xr:uid="{2931EE9B-24F0-4349-BF69-556C021337F9}"/>
    <hyperlink ref="A103" location="'A Tuấn - Cty Hưng Phát'!A1" display="A Tuấn - Cty Hưng Phát" xr:uid="{9BCA925D-608E-4EFF-B600-C920FD6CAFC7}"/>
    <hyperlink ref="A188" location="'C Năm Đạo - Cầu Đuống'!A1" display="C Năm Đạo - Cầu Đuống" xr:uid="{FB1B2BBE-4CFA-49D3-AD6B-84B8F0CE16FD}"/>
    <hyperlink ref="A144" location="'Khách lẻ'!A1" display="Khách lẻ" xr:uid="{0E185A34-AC01-42D7-9364-4165F5B7D82A}"/>
    <hyperlink ref="A10" location="'Cty Nam Khánh'!A1" display="Cty Nam Khánh" xr:uid="{54651CAE-DFB3-4129-88C4-0767D93A107B}"/>
    <hyperlink ref="A118" location="'Cty Tân Phát'!A1" display="Cty Tân Phát" xr:uid="{A6E3B612-B458-4BFE-9CDE-95224690CE86}"/>
    <hyperlink ref="A114" location="'A Tùng - HD'!A1" display="A Tùng - HD" xr:uid="{EC02CEEC-C0AF-4178-8A00-1792BC71A380}"/>
    <hyperlink ref="A52" location="'E Kiên - HD'!A1" display="E Kiên - HD" xr:uid="{BAAF7A21-078E-4F2B-BDD2-9376C501A5CE}"/>
    <hyperlink ref="A85" location="'C Hà - HY'!A1" display="C Hà - HY" xr:uid="{7F98E642-742E-4C06-8399-28934A34F794}"/>
    <hyperlink ref="A145" location="'Cty Phú Thành'!A1" display="Cty Phú Thành" xr:uid="{823C6E2B-7A8B-4B4F-A14A-70F4F47F74B3}"/>
    <hyperlink ref="A197" location="'Cty Việt Anh'!A1" display="Cty Việt Anh" xr:uid="{B155853F-4AAC-4490-90CD-5525A56DDE57}"/>
    <hyperlink ref="A9" location="'Cty Thép Hà Nội'!A1" display="Cty Thép Hà Nội" xr:uid="{53ABF1FE-7FDD-463D-99D6-408CD18615D6}"/>
    <hyperlink ref="A47" location="'C Thuỷ - TH'!A1" display="C Thuỷ - TH" xr:uid="{B810AE27-E658-48CB-BB05-89B8C0F92C46}"/>
    <hyperlink ref="A199" location="'Cty Vạn Xuân'!A1" display="Cty Vạn Xuân" xr:uid="{F9931FAE-17D2-4524-BB23-FED2479526C1}"/>
    <hyperlink ref="A37" location="'E Đắc - NĐ'!A1" display="E Đắc - NĐ" xr:uid="{4C97FF69-7218-4A94-88E9-2DCF51879CCA}"/>
    <hyperlink ref="A95" location="'Cty Đại Thuỷ'!A1" display="Cty Đại Thuỷ" xr:uid="{F6A21966-7969-4BA2-A6AD-492036148ECA}"/>
    <hyperlink ref="A84" location="'Cty Thiên Hòa An'!A1" display="Cty Thiên Hòa An" xr:uid="{B5B6E7C1-8460-4D8E-821A-07CB4DF334E4}"/>
    <hyperlink ref="A113" location="'E Quân - CMy'!A1" display="E Quân - CMy" xr:uid="{DF385211-AD36-411B-A232-BC2A222407B5}"/>
    <hyperlink ref="A62" location="'A Trung'!A1" display="A Trung" xr:uid="{E9869546-CB83-400A-ADC4-7426D469572E}"/>
    <hyperlink ref="A41" location="'Cty Tân Đạt'!A1" display="Cty Tân Đạt" xr:uid="{14BB0A43-408E-49DF-8A39-8E656E469B63}"/>
    <hyperlink ref="A57" location="'Cty Ánh Dương'!A1" display="Cty Ánh Dương" xr:uid="{5BA9E55E-16DA-41A4-8EB3-01D28135DD53}"/>
    <hyperlink ref="A15" location="'E Hoài - NĐ'!A1" display="E Hoài - NĐ" xr:uid="{9F5DEAFF-FEE8-4BD8-A709-CF1CE55911E7}"/>
    <hyperlink ref="A117" location="'E Mão - NB'!A1" display="E Mão - NB" xr:uid="{3EA024C6-538F-48C8-A3C1-D70AD180E296}"/>
    <hyperlink ref="A146" location="'Cty Minh Tiến'!A1" display="Cty Minh Tiến" xr:uid="{6EE48D93-A72B-440B-8EFD-24E9F550588A}"/>
    <hyperlink ref="A25" location="'C Hùng - HP'!A1" display="C Hùng - HP" xr:uid="{9CBD0F91-BD09-4EFF-B7BA-6F6BBD24CE05}"/>
    <hyperlink ref="A18" location="'C Thuyên - Cty Gia Hưng'!A1" display="C Thuyên - Cty Gia Hưng" xr:uid="{0716CA35-45DC-4280-BA1A-85FDF6F55FDC}"/>
    <hyperlink ref="A71" location="'Cty Đại Đồng'!A1" display="Cty Đại Đồng" xr:uid="{832DBC36-4268-499E-93FA-89C289489AF5}"/>
    <hyperlink ref="A147" location="'Cty Tân Tiến'!A1" display="Cty Tân Tiến" xr:uid="{6BF14651-E325-4BBD-97F9-FAE427DE2B46}"/>
    <hyperlink ref="A19" location="'Cty Thiên Ân'!A1" display="Cty Thiên Ân" xr:uid="{869435AF-2BEE-4F87-B717-BDE63CC1E65D}"/>
    <hyperlink ref="A21" location="'Cty Hà Cường'!A1" display="Cty Hà Cường" xr:uid="{B2CBB008-2EFF-46BE-A63A-06D5CC40BA59}"/>
    <hyperlink ref="A119" location="'Cty Anh Thư - Hồng Vân'!A1" display="Cty Anh Thư - Hồng Vân" xr:uid="{EF6C231B-C32E-462E-A8DF-D557965EEAC2}"/>
    <hyperlink ref="A125" location="'E Thuận - Ngọc Diệp'!A1" display="E Thuận - Ngọc Diệp" xr:uid="{04FE0EF4-8D83-4CC1-86D7-526C640F6C4A}"/>
    <hyperlink ref="A32" location="'Cty Minh Vũ'!A1" display="Cty Minh Vũ" xr:uid="{D43E9306-B61E-4807-B974-53F8466909FC}"/>
    <hyperlink ref="A16" location="'Cty CP An Phát - TT'!A1" display="Cty CP An Phát - TT" xr:uid="{FDFF9A38-6BFA-40B6-835D-54F5F720D979}"/>
    <hyperlink ref="A54" location="'A Tùng - Cty Xuân Thành'!A1" display="A Tùng - Cty Xuân Thành" xr:uid="{7B4DB7E6-0EBF-46C3-B9BB-436B7831D3B5}"/>
    <hyperlink ref="A137" location="'A Bảy - NĐ'!A1" display="A Bảy - NĐ" xr:uid="{8340476E-7F35-4661-B2E3-8B4C1841306C}"/>
    <hyperlink ref="A89" location="'A Đông - NĐ'!A1" display="A Đông - NĐ" xr:uid="{4650F52D-88F7-4EB4-81A5-DA382772123C}"/>
    <hyperlink ref="A48" location="'Cty Quang Nga - Phủ Lý'!A1" display="Cty Quang Nga - Phủ Lý" xr:uid="{B21148C2-02B3-4FA7-B5EE-250712BC3403}"/>
    <hyperlink ref="A63" location="'A Nguyện - Cty Gia Anh'!A1" display="A Nguyện - Cty Gia Anh" xr:uid="{55540237-EFAD-45EF-831A-56A190B56E57}"/>
    <hyperlink ref="A30" location="'Cty Hiển Thịnh - HP'!A1" display="Cty Hiển Thịnh - HP" xr:uid="{FBA7A7F2-D86E-4FD6-8EC8-4D91B5150ABC}"/>
    <hyperlink ref="A36" location="'A Hùng - HP'!A1" display="A Hùng - HP" xr:uid="{6B0EFFD2-866F-46FE-8A22-F922CD717483}"/>
    <hyperlink ref="A7" location="'Cty Hoà Hưng'!A1" display="Cty Hoà Hưng" xr:uid="{3511FB4A-A4A0-44C7-8FB2-A00ABA60B33C}"/>
    <hyperlink ref="A55" location="'Cty Quang Long - HD'!A1" display="Cty Quang Long - HD" xr:uid="{10AA7C5F-B634-4C7F-8081-EC94E3B18BA7}"/>
    <hyperlink ref="A42" location="'Cty Minh Châu - TN'!A1" display="Cty Minh Châu - TN" xr:uid="{9A57AA55-77FB-4367-BE12-DFBC6F84E877}"/>
    <hyperlink ref="A104" location="'Cty Anh Linh - TT'!A1" display="Cty Anh Linh - TT" xr:uid="{5FBD341C-5E85-45AE-A7FC-6BCFA14178F0}"/>
    <hyperlink ref="A129" location="'Cty Dung Tươi - Yên Bái'!A1" display="Cty Dung Tươi - Yên Bái" xr:uid="{72B65FD4-1245-43FD-ABFF-5AE0756E0F67}"/>
    <hyperlink ref="A13" location="'Cty Hoàng Anh Việt Nam'!A1" display="Cty Hoàng Anh Việt Nam" xr:uid="{63A431F9-CDFA-4789-AA85-9E64103D7743}"/>
    <hyperlink ref="A43" location="'Cty Hoàng Quân Phát'!A1" display="Cty Hoàng Quân Phát" xr:uid="{3C2EE885-611D-44B8-B6CD-C4D379ABF3DD}"/>
    <hyperlink ref="A64" location="'Cty Tân Hưng'!A1" display="Cty Tân Hưng" xr:uid="{2A5BBB13-BFAF-4674-A8D9-67AE0889B527}"/>
    <hyperlink ref="A78" location="'Cty Thanh Dương - ĐN'!A1" display="Cty Thanh Dương - ĐN" xr:uid="{1C590462-3132-4AFD-8123-8FD627366C58}"/>
    <hyperlink ref="A45" location="'Cty Thép Việt'!A1" display="Cty Thép Việt" xr:uid="{AEAF2135-0EFA-4E14-8C0F-CB085DB69A78}"/>
    <hyperlink ref="A94" location="'A Long - Mỗ'!A1" display="A Long - Mỗ" xr:uid="{5C7A2178-ECA8-46DE-9E6D-F37827ABFFC1}"/>
    <hyperlink ref="A77" location="'E Tạo - NĐ'!A1" display="E Tạo - NĐ" xr:uid="{F53E74CE-8F0E-4385-8D90-7CEDC852AF7D}"/>
    <hyperlink ref="A195" location="'Cty Thái Dương'!A1" display="Cty Thái Dương" xr:uid="{3DE73E12-73DF-4F43-BD90-E5C38F580D8B}"/>
    <hyperlink ref="A67" location="'Cty Hồng Tâm - Phủ Lý'!A1" display="Cty Hồng Tâm - Phủ Lý" xr:uid="{0353FD80-06E4-4A41-9D8D-40198E2F4642}"/>
    <hyperlink ref="A22" location="'A Kiên - Long Biên'!A1" display="A Kiên - Long Biên" xr:uid="{54A50F9E-678F-4896-B9D0-BDFADDD39486}"/>
    <hyperlink ref="A111" location="'C Hà - Khoa học - HY'!A1" display="C Hà - Khoa học - HY" xr:uid="{884E1F8F-39EB-48FF-8FD5-54CE7CD2B2B7}"/>
    <hyperlink ref="A51" location="'E Trung - Cty Hà Anh'!A1" display="E Trung - Cty Hà Anh" xr:uid="{8050B815-8FD5-480F-B39A-43E07309D357}"/>
    <hyperlink ref="A148" location="'Cty Bùi Gia'!A1" display="Cty Bùi Gia" xr:uid="{2CC5896C-9881-412B-876E-B4BD3FACD92D}"/>
    <hyperlink ref="A91" location="'Cty Hiền Hoa - NĐ'!A1" display="Cty Hiền Hoa - NĐ" xr:uid="{96FBA9B9-E6AE-44DC-8FB4-CB15AD7B130C}"/>
    <hyperlink ref="A75" location="'A Cường - Linh Đàm'!A1" display="A Cường - Linh Đàm" xr:uid="{D553E213-F820-4B66-8EF2-2065477A4197}"/>
    <hyperlink ref="A79" location="'C Dung - HD'!A1" display="C Dung - HD" xr:uid="{8CEDE44D-E171-4029-A2BC-B4CCC541D2CA}"/>
    <hyperlink ref="A136" location="'Cty Cơ khí CTM Phú Thịnh - ĐN'!A1" display="Cty Cơ khí CTM Phú Thịnh - ĐN" xr:uid="{28618DE5-E5DD-43E8-883B-B53508157DDF}"/>
    <hyperlink ref="A17" location="'Cty Toàn Việt'!A1" display="Cty Toàn Việt" xr:uid="{4E8DD3F5-DC42-48A6-AF44-1F8BEE062F8D}"/>
    <hyperlink ref="A149" location="'Cty Thảo Trang'!A1" display="Cty Thảo Trang" xr:uid="{46E0E821-2629-409B-A5D5-C7530A285EC4}"/>
    <hyperlink ref="A150" location="'C Dung - Cầu Diễn'!A1" display="C Dung - Cầu Diễn" xr:uid="{7A57FFED-1E05-4576-8DE9-0B4850B97069}"/>
    <hyperlink ref="A151" location="'Cty Cường Hương - PX'!A1" display="Cty Cường Hương - PX" xr:uid="{73770FBE-FB18-4B39-B581-F432CEE829A4}"/>
    <hyperlink ref="A120" location="'Cty INOX Việt'!A1" display="Cty INOX Việt" xr:uid="{F91C8E5F-8CC7-433E-B2BB-CFE830B70B18}"/>
    <hyperlink ref="A100" location="'A Phong - Cty Việt Đức'!A1" display="A Phong - Cty Việt Đức" xr:uid="{F6DF3BA7-B7F1-4586-8708-7291D11796B1}"/>
    <hyperlink ref="A81" location="'Cty Thiết Bị Y Tế Hoàng Gia'!A1" display="Cty Thiết Bị Y Tế Hoàng Gia" xr:uid="{C1DDB26D-6078-4BE0-BB56-E441D34C4408}"/>
    <hyperlink ref="A14" location="'A Đức - Cty Hoà Phát'!A1" display="A Đức - Cty Hoà Phát" xr:uid="{E95D1152-F714-4EA7-9921-D5BDB14B9F56}"/>
    <hyperlink ref="A38" location="'Cty Đông Dương'!A1" display="Cty Đông Dương" xr:uid="{AE971462-D2AF-4C62-B365-C9E43601D976}"/>
    <hyperlink ref="A44" location="'Cty TH Việt Nam'!A1" display="Cty TH Việt Nam" xr:uid="{49BDD4DA-5B6D-4B9D-9E4C-C3D07434A03D}"/>
    <hyperlink ref="A90" location="'E Ân - Thái Nguyên'!A1" display="E Ân - Thái Nguyên" xr:uid="{22A6F8AA-CCAC-4BC4-BD61-D64BD151D810}"/>
    <hyperlink ref="A132" location="'E Nguyên - Cty Huy Hoàng'!A1" display="E Nguyên - Cty Huy Hoàng" xr:uid="{431EC140-420A-4739-8434-F0D732A9D497}"/>
    <hyperlink ref="A106" location="'Cty Hưng Phát - NĐ'!A1" display="Cty Hưng Phát - NĐ" xr:uid="{82293405-F9D4-419B-90F8-963AE2079259}"/>
    <hyperlink ref="A200" location="'Cô Cúc - Rùa'!A1" display="Cô Cúc - Rùa" xr:uid="{7656D63D-DF30-4547-8F2D-6A31B9CE7256}"/>
    <hyperlink ref="A152" location="'Cty Nguyễn Hưng - HT'!A1" display="Cty Nguyễn Hưng - HT" xr:uid="{B0303E8A-7CFF-438C-8721-A74A4313EA47}"/>
    <hyperlink ref="A28" location="'Cty Thanh Phát'!A1" display="Cty Thanh Phát" xr:uid="{EE6D97D3-79AB-4C29-B44A-39EDCF7CEF8E}"/>
    <hyperlink ref="A23" location="'E Mỹ - Rùa'!A1" display="E Mỹ - Rùa" xr:uid="{037F0A00-E0D6-4B04-8AE8-0C74FFE72396}"/>
    <hyperlink ref="A83" location="'Cty Thép Nam Phát - Từ Liêm'!A1" display="Cty Thép Nam Phát - Từ Liêm" xr:uid="{F0968726-B25F-40D0-B4E2-2D5752B50448}"/>
    <hyperlink ref="A139" location="'E Thắng - Cty Quốc Thắng'!A1" display="E Thắng - Cty Quốc Thắng" xr:uid="{0D74B172-6B58-44A8-BB4F-6011002F36E3}"/>
    <hyperlink ref="A69" location="'E Hiến - Cty Minh Hiến - HD'!A1" display="E Hiến - Cty Minh Hiến - HD" xr:uid="{52C9CC80-04E1-4BCC-9BEE-819094E55534}"/>
    <hyperlink ref="A6" location="'A Thắng - HP'!A1" display="A Thắng - HP" xr:uid="{4E77F88B-C4F2-40DD-B8FB-702E20C5F7FE}"/>
    <hyperlink ref="A153" location="'Cty Thành An'!A1" display="Cty Thành An" xr:uid="{DBCD82B9-F2AB-4AA2-9FE9-84CE2BB9FECC}"/>
    <hyperlink ref="A154" location="'Cty Tam Việt - TH'!A1" display="Cty Tam Việt - TH" xr:uid="{936A7EF3-505E-4BF4-9522-461B3F656FBA}"/>
    <hyperlink ref="A65" location="'E Đạt - Cty Bảo Phát'!A1" display="E Đạt - Cty Bảo Phát" xr:uid="{CA9C244B-C438-4BEC-B94F-C75719E5CE86}"/>
    <hyperlink ref="A155" location="'A Hải - NH'!A1" display="A Hải - NH" xr:uid="{95F5D878-2F80-4E61-A258-81731584ACA7}"/>
    <hyperlink ref="A156" location="'Cty Nam Phát - Ngọc Hồi'!A1" display="Cty Nam Phát - Ngọc Hồi" xr:uid="{0D569E24-72EE-4D58-AE6F-C68E443DC461}"/>
    <hyperlink ref="A98" location="'A Hùng - Cty Minh Phát'!A1" display="A Hùng - Cty Minh Phát" xr:uid="{C1BB622F-8BA0-4974-86F6-4E829B68C833}"/>
    <hyperlink ref="A128" location="'C Hà - Xuân Mai'!A1" display="C Hà - Xuân Mai" xr:uid="{FD6FBF02-E439-4CD7-8535-12CC7D37A679}"/>
    <hyperlink ref="A110" location="'E Doanh - Thanh Oai'!A1" display="E Doanh - Thanh Oai" xr:uid="{34AD86A4-A26C-4FF6-8927-67AAC8E05010}"/>
    <hyperlink ref="A40" location="'A Dự - NĐ'!A1" display="A Dự - NĐ" xr:uid="{D35C78A2-6050-4768-BE44-CCCF8C6A381F}"/>
    <hyperlink ref="A157" location="'Cty Giang Phương'!A1" display="Cty Giang Phương" xr:uid="{53C6ECE7-75B3-4A2B-B993-88E16AE148BE}"/>
    <hyperlink ref="A123" location="'C Yến - Cty Tân Thành'!A1" display="C Yến - Cty Tân Thành" xr:uid="{0D1792D8-7D3E-41A9-9F00-B70310CE8E9F}"/>
    <hyperlink ref="A203" location="'Cty XNK Thịnh Phát'!A1" display="Cty XNK Thịnh Phát" xr:uid="{167AC339-8484-4272-9DEC-3E3F36715103}"/>
    <hyperlink ref="A87" location="'Cty Hàn Việt'!A1" display="Cty Hàn Việt" xr:uid="{96FD2F52-7F06-4F5D-A6E4-E4412031382D}"/>
    <hyperlink ref="A158" location="'Cty Năng Lượng - Tứ Hiệp'!A1" display="Cty Năng Lượng - Tứ Hiệp" xr:uid="{5034FCF3-04ED-4676-9C0D-183C3C2A8E05}"/>
    <hyperlink ref="A198" location="'C Hạnh - Cty Đức Phát'!A1" display="C Hạnh - Cty Đức Phát" xr:uid="{7E14C5F9-5B3C-42B2-94A2-847D9E6184F9}"/>
    <hyperlink ref="A159" location="'Cty Bảo Lâm'!A1" display="Cty Bảo Lâm" xr:uid="{6213A1DC-46BE-4FC1-A2DF-3EF0BE004F2F}"/>
    <hyperlink ref="A92" location="'Cty Toàn Phát - HP'!A1" display="Cty Toàn Phát - HP" xr:uid="{35B6EC4D-7F8C-410B-896E-87E949F9302E}"/>
    <hyperlink ref="A99" location="'E Trung - Cty An Phát - HY'!A1" display="E Trung - Cty An Phát - HY" xr:uid="{102D82E9-637D-466C-A90E-E43E03E10CE5}"/>
    <hyperlink ref="A76" location="'Cty Thịnh Hưng'!A1" display="Cty Thịnh Hưng" xr:uid="{246647F7-B7DC-4DBD-8609-25FBB2B07BFB}"/>
    <hyperlink ref="A160" location="'Cty Tuấn Nhung - Rùa'!A1" display="Cty Tuấn Nhung - Rùa" xr:uid="{2346F282-CA6B-4900-A3F2-9D845312B08E}"/>
    <hyperlink ref="A60" location="'Cty Thành Hưng'!A1" display="Cty Thành Hưng" xr:uid="{FC3FC3B0-D47C-4E61-B09E-971B1A786892}"/>
    <hyperlink ref="A133" location="'Cty Minh Tám'!A1" display="Cty Minh Tám" xr:uid="{CC3415F4-7BED-4E33-9E06-C316BC597BAE}"/>
    <hyperlink ref="A196" location="'Cty Bình Minh'!A1" display="Cty Bình Minh" xr:uid="{FCE717DB-8F82-4412-8B0B-4554C497B780}"/>
    <hyperlink ref="A74" location="'A Cương - Rùa'!A1" display="A Cương - Rùa" xr:uid="{48555827-0A0A-4FE1-A82C-CBE8EEDA3C94}"/>
    <hyperlink ref="A161" location="'Cty Visco - Hải Phòng'!A1" display="Cty Visco - Hải Phòng" xr:uid="{A1038817-C2C1-4E72-8862-0BF7BD2E46C5}"/>
    <hyperlink ref="A24" location="'Cty Thái Hưng - Phú Thọ'!A1" display="Cty Thái Hưng - Phú Thọ" xr:uid="{C8707E20-CEE4-47AC-A709-B63AA364F0BB}"/>
    <hyperlink ref="A33" location="'Cty Cường Thu - NĐ'!A1" display="Cty Cường Thu - NĐ" xr:uid="{D8D9598B-A2C5-4FE0-BC61-7B5A42BB023F}"/>
    <hyperlink ref="A109" location="'Cty Anh Thư'!A1" display="Cty Anh Thư" xr:uid="{8B67E1BD-26A7-4E7D-A057-51F1AA86F4C0}"/>
    <hyperlink ref="A112" location="'Cty Minh Phương - Hoài Đức'!A1" display="Cty Minh Phương - Hoài Đức" xr:uid="{650280D6-B281-4DC4-A484-00608A5B2326}"/>
    <hyperlink ref="A162" location="'Cty Tiến Hưng'!A1" display="Cty Tiến Hưng" xr:uid="{376B4579-1F50-4CD7-8B87-486CB753B392}"/>
    <hyperlink ref="A163" location="'Cty INOX Diện Hoài'!A1" display="Cty INOX Diện Hoài" xr:uid="{DAEC1D9E-8930-4CD3-8BA5-36F7AA0B874D}"/>
    <hyperlink ref="A73" location="'Cty Đức Thuận HP'!A1" display="Cty Đức Thuận HP" xr:uid="{9E797F3F-6364-4F24-9538-408B1CA06D61}"/>
    <hyperlink ref="A138" location="'Cty Khanh Tâm - NA'!A1" display="Cty Khanh Tâm - NA" xr:uid="{4594D671-82CF-4E01-A70D-85827C313A66}"/>
    <hyperlink ref="A164" location="'Cty Đạt Linh'!A1" display="Cty Đạt Linh" xr:uid="{C8351BB5-9988-48FC-8F65-A5F27057CD41}"/>
    <hyperlink ref="A165" location="'Cty Quang Phương - Bắc Ninh'!A1" display="Cty Quang Phương - Bắc Ninh" xr:uid="{835C174E-2930-4CE1-9FC3-F6A3FBCE7FEC}"/>
    <hyperlink ref="A102" location="'C Vui - HY'!A1" display="C Vui - HY" xr:uid="{55FBD50B-21CC-43C8-96D2-14957FCBFB3E}"/>
    <hyperlink ref="A166" location="'E Hoà Khuôn Đá Thanh Hoá'!A1" display="E Hoà Khuôn Đá Thanh Hoá" xr:uid="{C01536A4-4282-4B56-9EAC-76391CBF55FF}"/>
    <hyperlink ref="A11" location="'A Thép - Cty Thép Titan'!A1" display="A Thép - Cty Thép Titan" xr:uid="{23B21C9E-C8F9-44CD-A7E7-309D05F4A3DC}"/>
    <hyperlink ref="A116" location="'CH Phú Lý'!A1" display="CH Phú Lý" xr:uid="{28FE7513-A053-4496-867F-A984F554796A}"/>
    <hyperlink ref="A20" location="'C Dung - Cty Việt Á'!A1" display="C Dung - Cty Việt Á" xr:uid="{F2CB14E8-18D5-43E7-A75A-69B70A6C95A4}"/>
    <hyperlink ref="A167" location="'Cty Thăng Long'!A1" display="Cty Thăng Long" xr:uid="{2843E095-5650-4FDB-A0AB-B85ECBB7CDDE}"/>
    <hyperlink ref="A168" location="'Cty Tuấn Đạt'!A1" display="Cty Tuấn Đạt" xr:uid="{07028EF3-B4C1-45AC-AB61-3AF0803D396D}"/>
    <hyperlink ref="A201" location="'Cty Sao Việt'!A1" display="Cty Sao Việt" xr:uid="{1677CEEA-6918-4873-B7E2-7E7619C5BFD2}"/>
    <hyperlink ref="A140" location="'Cty Hoàng Linh'!A1" display="Cty Hoàng Linh" xr:uid="{B80A4B95-2CD3-4A51-AD1B-AECD5C3D2537}"/>
    <hyperlink ref="A169" location="'Cty Thái An- HY'!A1" display="Cty Thái An- HY" xr:uid="{556F69C4-117C-436E-BB9B-159BDDECAF58}"/>
    <hyperlink ref="A141" location="'Cty Từ Phương - QB'!A1" display="Cty Từ Phương - QB" xr:uid="{07BF3AE8-9A7C-49C9-A8D4-4EBAD1AAD6D0}"/>
    <hyperlink ref="A134" location="'A Khuyến - Ecopark'!A1" display="A Khuyến - Ecopark" xr:uid="{E0F466A4-99E0-41F4-AC70-86821D1F8506}"/>
    <hyperlink ref="A170" location="'Cty CN Hà Thành'!A1" display="Cty CN Hà Thành" xr:uid="{45D41BCE-F5D7-48E2-AC51-A10045386270}"/>
    <hyperlink ref="A121" location="'Cty An Thịnh'!A1" display="Cty An Thịnh" xr:uid="{6629FD7A-1C5C-41B1-8D50-99765345A97D}"/>
    <hyperlink ref="A194" location="'Cty Hưng Thịnh'!A1" display="Cty Hưng Thịnh" xr:uid="{0296816A-A082-4F46-96F4-E129C4AC03D8}"/>
    <hyperlink ref="A202" location="'Cty Thép 568'!A1" display="Cty Thép 568" xr:uid="{0B5D1311-7F97-4941-95C9-AB037807FAD2}"/>
    <hyperlink ref="A70" location="'Cty Thịnh Hưng Quang'!A1" display="Cty Thịnh Hưng Quang" xr:uid="{F4D1AC70-7E5B-4D2A-92E9-3E7913E492F1}"/>
    <hyperlink ref="A101" location="'Cty Đông Nam'!A1" display="Cty Đông Nam" xr:uid="{36F2D01A-ECA8-4326-A2E7-9189927079EF}"/>
    <hyperlink ref="A171" location="'Cty Inox Đoàn Dự'!A1" display="Cty Inox Đoàn Dự" xr:uid="{8E61439A-8160-497E-B1A5-3F7E2AC37B3C}"/>
    <hyperlink ref="A135" location="'C Điều - HY'!A1" display="C Điều - HY" xr:uid="{29A7E99B-D004-4CC5-8DFE-230C335BEFCE}"/>
    <hyperlink ref="A172" location="'Cty Trang Tùng'!A1" display="Cty Trang Tùng" xr:uid="{916E80F6-9265-4A23-BA64-EC24089415FB}"/>
    <hyperlink ref="A173" location="'Cty Kính Thành'!A1" display="Cty Kính Thành" xr:uid="{EA5A5114-ABCD-4F30-855C-F62AD7890A02}"/>
    <hyperlink ref="A190" location="'Cty Việt Tín'!A1" display="Cty Việt Tín" xr:uid="{D927D136-864F-4D6F-8AB3-3436A4A3D503}"/>
    <hyperlink ref="A174" location="'Cty Tùng Linh'!A1" display="Cty Tùng Linh" xr:uid="{73141773-D48C-409D-8899-49EB1F47C1C1}"/>
    <hyperlink ref="A175" location="'Cty Simec'!A1" display="Cty Simec" xr:uid="{06320596-2796-455C-AB52-AE15284B816C}"/>
    <hyperlink ref="A176" location="'Cty Vinatota Việt Mỹ - HD'!A1" display="Cty Vinatota Việt Mỹ - HD" xr:uid="{4548D3B8-63DB-44AE-A548-11D8B6E94C7A}"/>
    <hyperlink ref="A130" location="'A Đại - Vinh'!A1" display="A Đại - Vinh" xr:uid="{B719908E-85A9-40F1-AE2E-616D24058B66}"/>
    <hyperlink ref="A127" location="'E Sáng - Phúc Thọ'!A1" display="E Sáng - Phúc Thọ" xr:uid="{B88D2A51-CCE2-48DE-A82F-F7DE4286AFAA}"/>
    <hyperlink ref="A50" location="'Cty Thắng Lợi'!A1" display="Cty Thắng Lợi" xr:uid="{7B33F781-A82E-41D1-8BE2-C16A02355285}"/>
    <hyperlink ref="A177" location="'Cty Kim Long'!A1" display="Cty Kim Long" xr:uid="{B1DBBEE5-CFB7-45BD-9164-A75DA39FCC71}"/>
    <hyperlink ref="A189" location="'Cty INOX Việt Nam'!A1" display="Cty INOX Việt Nam" xr:uid="{8CD3DDC2-2CB1-4C2D-9EFD-98C9AD3051DC}"/>
    <hyperlink ref="A131" location="'Cty Phúc An - HP'!A1" display="Cty Phúc An - HP" xr:uid="{E39C08BD-ECC1-459A-A8C9-8FD4344E2A79}"/>
    <hyperlink ref="A96" location="'Cty Thuỷ Thuỷ - Vinh'!A1" display="Cty Thuỷ Thuỷ - Vinh" xr:uid="{F64FA58D-7149-437B-ADD3-37DF9F697CA9}"/>
    <hyperlink ref="A178" location="'A Vượng - Thế Đức'!A1" display="A Vượng - Thế Đức" xr:uid="{5F30E6FA-0BEA-4B1E-8BAD-792C8C66810C}"/>
    <hyperlink ref="A46" location="'A Hoàn - Tam Trinh'!A1" display="A Hoàn - Tam Trinh" xr:uid="{B5DB7483-DE20-4A1E-B193-9013E37DFB5A}"/>
    <hyperlink ref="A179" location="'E Minh - HY'!A1" display="E Minh - HY" xr:uid="{CA75A379-2FC8-4DDD-824C-F60A463ED71A}"/>
    <hyperlink ref="A108" location="'Cty Phú Hưng An'!A1" display="Cty Phú Hưng An" xr:uid="{4CEFD190-9BE3-4C0E-9272-A399625540C3}"/>
    <hyperlink ref="A180" location="'Cty Hà Thành'!A1" display="Cty Hà Thành" xr:uid="{BD70A63E-27AA-422F-B117-C402AA6FF3F2}"/>
    <hyperlink ref="A181" location="'Cty Tư Phương'!A1" display="Cty Tư Phương" xr:uid="{512FB856-1AA7-4426-86FE-54DF79EA1C10}"/>
    <hyperlink ref="A72" location="'Cty Á Châu - Phủ Lý'!A1" display="Cty Á Châu - Phủ Lý" xr:uid="{EA7FE616-9994-465F-A0FF-16F87DB14856}"/>
    <hyperlink ref="A187" location="'Cty Tư Hương - Phú Xuyên'!A1" display="Cty Tư Hương - Phú Xuyên" xr:uid="{D6CEF0A9-65A0-4C88-B41B-7663907C7D00}"/>
    <hyperlink ref="A182" location="'E Thiện - Thượng Ốc'!A1" display="E Thiện - Thượng Ốc" xr:uid="{D98A67FC-5EC1-43D3-A722-1E4100AA93FE}"/>
    <hyperlink ref="A183" location="'Cty Nhật Minh'!A1" display="Cty Nhật Minh" xr:uid="{66FD8F5E-A70D-4B62-94A1-72117AFDA4F2}"/>
    <hyperlink ref="A184" location="'Cty SHC Á Châu'!A1" display="Cty SHC Á Châu" xr:uid="{D4E34A90-E575-480B-9706-8B35CD23878B}"/>
    <hyperlink ref="A124" location="'A Sáu - Lĩnh Nam'!A1" display="A Sáu - Lĩnh Nam" xr:uid="{79CEBB06-1FB4-436C-84CC-9620AF1EA9EC}"/>
    <hyperlink ref="A126" location="'Cty An Thuận Phát'!A1" display="Cty An Thuận Phát" xr:uid="{78AC7ABD-EDAA-4383-827B-01675064C644}"/>
    <hyperlink ref="A122" location="'A Cư - Nghệ An'!A1" display="A Cư - Nghệ An" xr:uid="{185A8E57-6E67-498F-93FE-3404C359CB83}"/>
    <hyperlink ref="A5" location="'A Hậu'!A1" display="A Hậu" xr:uid="{2EB2AF47-4F08-4B79-99E8-5F81E94C3310}"/>
    <hyperlink ref="A88" location="'A Sơn Quảng Ninh'!A1" display="A Sơn Quảng Ninh" xr:uid="{EA5681AC-0EF7-4573-9766-67B94BF01F57}"/>
    <hyperlink ref="A115" location="'Minh Khuê'!A1" display="Minh Khuê" xr:uid="{06FD4AD1-BA8B-4A1B-AE08-31C4FCD99C63}"/>
    <hyperlink ref="A61" location="'Cty Gia Minh'!A1" display="Cty Gia Minh" xr:uid="{F6915296-B6FE-45A0-AD91-7814E1D03AE4}"/>
    <hyperlink ref="A107" location="'A Quân 2Q'!A1" display="A Quân 2Q" xr:uid="{DA283088-B7C5-4C2E-A7A3-4E508E3FE3D5}"/>
    <hyperlink ref="A185" location="'E Quyết - VN'!A1" display="E Quyết - VN" xr:uid="{A51D6DFA-06AA-4415-8E90-77416A3DAD64}"/>
    <hyperlink ref="A39" location="'A Hà - Cty HTM'!A1" display="A Hà - Cty HTM" xr:uid="{6326A9F0-FAAC-40D8-86D1-8ABDBA64E5F3}"/>
    <hyperlink ref="A105" location="'A Năng - Hải Dương'!A1" display="A Năng - Hải Dương" xr:uid="{788F7E98-0C2D-4FDC-AD88-87BB32D39832}"/>
    <hyperlink ref="A186" location="'E Đức - Phú Xuyên'!A1" display="E Đức - Phú Xuyên" xr:uid="{39D0FC2E-E9B5-4EAE-B1AB-AC6713C16516}"/>
    <hyperlink ref="A58" location="'Cty Việt Tiệp - Chương Mỹ'!A1" display="Cty Việt Tiệp - Chương Mỹ" xr:uid="{89226091-36AC-4460-8182-D00A747A68BA}"/>
    <hyperlink ref="A142" location="'Cty Mạnh Thược'!A1" display="Cty Mạnh Thược" xr:uid="{B32F58A3-8338-4E17-A28F-D70BF74A2F44}"/>
    <hyperlink ref="A80" location="'Cty Tân Mạnh Dũng - VP'!A1" display="Cty Tân Mạnh Dũng - VP" xr:uid="{44996BA8-C735-4546-B964-10A6BA241EF9}"/>
    <hyperlink ref="A191" location="'Việt Thái'!A1" display="Việt Thái" xr:uid="{63BEB1FC-27CC-4BDE-95DA-A560DC9D89B0}"/>
    <hyperlink ref="A204" location="'Cty Hoàng Vũ'!A1" display="Cty Hoàng Vũ" xr:uid="{23898AC3-A29B-4632-A6DE-78AA931EF313}"/>
    <hyperlink ref="A192" location="'C Dung - Tam Trinh'!A1" display="C Dung - Tam Trinh" xr:uid="{89651227-2BD0-4299-9C5E-B135DD9719D4}"/>
    <hyperlink ref="A53" location="'Cty Sunhouse'!A1" display="Cty Sunhouse" xr:uid="{66CC18F6-A5FF-4647-A3BB-0BF8D9C0551B}"/>
    <hyperlink ref="A93" location="'Cty Máy NN Văn Lang'!A1" display="Cty Máy NN Văn Lang" xr:uid="{5B760CF9-B976-4FFA-9981-C2912FA77E21}"/>
  </hyperlinks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EDADDE-BBE6-429A-8059-E177759D1890}">
  <sheetPr codeName="Sheet1"/>
  <dimension ref="A5:K146"/>
  <sheetViews>
    <sheetView topLeftCell="A4" zoomScaleNormal="100" workbookViewId="0">
      <selection activeCell="F115" sqref="F115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8.7109375" style="1" bestFit="1" customWidth="1"/>
    <col min="5" max="5" width="28.28515625" style="1" bestFit="1" customWidth="1"/>
    <col min="6" max="6" width="21.85546875" style="1" bestFit="1" customWidth="1"/>
    <col min="7" max="7" width="18.5703125" style="1" bestFit="1" customWidth="1"/>
    <col min="8" max="8" width="23.28515625" style="1" bestFit="1" customWidth="1"/>
    <col min="9" max="9" width="24.42578125" style="1" bestFit="1" customWidth="1"/>
    <col min="10" max="10" width="19.140625" style="185" bestFit="1" customWidth="1"/>
    <col min="11" max="11" width="15" style="1" bestFit="1" customWidth="1"/>
    <col min="12" max="16384" width="9.140625" style="1"/>
  </cols>
  <sheetData>
    <row r="5" spans="1:11" ht="35.25" x14ac:dyDescent="0.3">
      <c r="B5" s="175"/>
      <c r="C5" s="201" t="s">
        <v>0</v>
      </c>
      <c r="D5" s="201"/>
      <c r="E5" s="201"/>
      <c r="F5" s="176">
        <v>1812742926</v>
      </c>
    </row>
    <row r="6" spans="1:11" ht="27.75" x14ac:dyDescent="0.25">
      <c r="B6" s="202" t="s">
        <v>1</v>
      </c>
      <c r="C6" s="202"/>
      <c r="D6" s="202"/>
      <c r="E6" s="202"/>
      <c r="F6" s="177"/>
    </row>
    <row r="7" spans="1:11" ht="23.25" x14ac:dyDescent="0.35">
      <c r="C7" s="16"/>
      <c r="E7" s="15"/>
    </row>
    <row r="9" spans="1:11" ht="37.5" x14ac:dyDescent="0.25">
      <c r="A9" s="10" t="s">
        <v>2</v>
      </c>
      <c r="B9" s="96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2" t="s">
        <v>2011</v>
      </c>
      <c r="H9" s="12" t="s">
        <v>8</v>
      </c>
      <c r="I9" s="12" t="s">
        <v>9</v>
      </c>
      <c r="J9" s="20" t="s">
        <v>10</v>
      </c>
      <c r="K9" s="14" t="s">
        <v>11</v>
      </c>
    </row>
    <row r="10" spans="1:11" x14ac:dyDescent="0.25">
      <c r="A10" s="17"/>
      <c r="B10" s="97">
        <v>46081</v>
      </c>
      <c r="C10" s="166" t="s">
        <v>12</v>
      </c>
      <c r="D10" s="166"/>
      <c r="E10" s="166"/>
      <c r="F10" s="164">
        <v>1</v>
      </c>
      <c r="G10" s="165">
        <v>187537481</v>
      </c>
      <c r="H10" s="165">
        <f>E_Minh_TH[[#This Row],[ĐƠN GIÁ]]*E_Minh_TH[[#This Row],[SỐ LƯỢNG]]</f>
        <v>187537481</v>
      </c>
      <c r="I10" s="167"/>
      <c r="J10" s="168">
        <f ca="1">N(INDIRECT("R[-1]C", FALSE)) + E_Minh_TH[[#This Row],[THÀNH TIỀN]] - E_Minh_TH[[#This Row],[THANH TOÁN]]</f>
        <v>187537481</v>
      </c>
      <c r="K10" s="18"/>
    </row>
    <row r="11" spans="1:11" x14ac:dyDescent="0.25">
      <c r="A11" s="2">
        <v>7777</v>
      </c>
      <c r="B11" s="98">
        <v>46082</v>
      </c>
      <c r="C11" s="3" t="s">
        <v>13</v>
      </c>
      <c r="D11" s="59" t="s">
        <v>14</v>
      </c>
      <c r="E11" s="3" t="s">
        <v>15</v>
      </c>
      <c r="F11" s="3">
        <v>334</v>
      </c>
      <c r="G11" s="8">
        <v>42000</v>
      </c>
      <c r="H11" s="8">
        <f>E_Minh_TH[[#This Row],[ĐƠN GIÁ]]*E_Minh_TH[[#This Row],[SỐ LƯỢNG]]</f>
        <v>14028000</v>
      </c>
      <c r="I11" s="8"/>
      <c r="J11" s="168">
        <f ca="1">N(INDIRECT("R[-1]C", FALSE)) + E_Minh_TH[[#This Row],[THÀNH TIỀN]] - E_Minh_TH[[#This Row],[THANH TOÁN]]</f>
        <v>201565481</v>
      </c>
      <c r="K11" s="4"/>
    </row>
    <row r="12" spans="1:11" x14ac:dyDescent="0.25">
      <c r="A12" s="2">
        <v>7777</v>
      </c>
      <c r="B12" s="98">
        <v>46082</v>
      </c>
      <c r="C12" s="3" t="s">
        <v>13</v>
      </c>
      <c r="D12" s="59" t="s">
        <v>14</v>
      </c>
      <c r="E12" s="6" t="s">
        <v>16</v>
      </c>
      <c r="F12" s="6">
        <f>526+524</f>
        <v>1050</v>
      </c>
      <c r="G12" s="9">
        <v>41000</v>
      </c>
      <c r="H12" s="9">
        <f>E_Minh_TH[[#This Row],[ĐƠN GIÁ]]*E_Minh_TH[[#This Row],[SỐ LƯỢNG]]</f>
        <v>43050000</v>
      </c>
      <c r="I12" s="9"/>
      <c r="J12" s="168">
        <f ca="1">N(INDIRECT("R[-1]C", FALSE)) + E_Minh_TH[[#This Row],[THÀNH TIỀN]] - E_Minh_TH[[#This Row],[THANH TOÁN]]</f>
        <v>244615481</v>
      </c>
      <c r="K12" s="7"/>
    </row>
    <row r="13" spans="1:11" x14ac:dyDescent="0.25">
      <c r="A13" s="2">
        <v>7777</v>
      </c>
      <c r="B13" s="98">
        <v>46082</v>
      </c>
      <c r="C13" s="3" t="s">
        <v>13</v>
      </c>
      <c r="D13" s="60" t="s">
        <v>17</v>
      </c>
      <c r="E13" s="6" t="s">
        <v>15</v>
      </c>
      <c r="F13" s="6">
        <v>528</v>
      </c>
      <c r="G13" s="9">
        <v>58000</v>
      </c>
      <c r="H13" s="9">
        <f>E_Minh_TH[[#This Row],[ĐƠN GIÁ]]*E_Minh_TH[[#This Row],[SỐ LƯỢNG]]</f>
        <v>30624000</v>
      </c>
      <c r="I13" s="9"/>
      <c r="J13" s="168">
        <f ca="1">N(INDIRECT("R[-1]C", FALSE)) + E_Minh_TH[[#This Row],[THÀNH TIỀN]] - E_Minh_TH[[#This Row],[THANH TOÁN]]</f>
        <v>275239481</v>
      </c>
      <c r="K13" s="7"/>
    </row>
    <row r="14" spans="1:11" x14ac:dyDescent="0.25">
      <c r="A14" s="2">
        <v>7777</v>
      </c>
      <c r="B14" s="98">
        <v>46082</v>
      </c>
      <c r="C14" s="3" t="s">
        <v>13</v>
      </c>
      <c r="D14" s="60" t="s">
        <v>17</v>
      </c>
      <c r="E14" s="6" t="s">
        <v>18</v>
      </c>
      <c r="F14" s="6">
        <f>318+240+267</f>
        <v>825</v>
      </c>
      <c r="G14" s="9">
        <v>52000</v>
      </c>
      <c r="H14" s="9">
        <f>E_Minh_TH[[#This Row],[ĐƠN GIÁ]]*E_Minh_TH[[#This Row],[SỐ LƯỢNG]]</f>
        <v>42900000</v>
      </c>
      <c r="I14" s="9"/>
      <c r="J14" s="168">
        <f ca="1">N(INDIRECT("R[-1]C", FALSE)) + E_Minh_TH[[#This Row],[THÀNH TIỀN]] - E_Minh_TH[[#This Row],[THANH TOÁN]]</f>
        <v>318139481</v>
      </c>
      <c r="K14" s="7"/>
    </row>
    <row r="15" spans="1:11" x14ac:dyDescent="0.25">
      <c r="A15" s="2">
        <v>7777</v>
      </c>
      <c r="B15" s="98">
        <v>46082</v>
      </c>
      <c r="C15" s="3" t="s">
        <v>13</v>
      </c>
      <c r="D15" s="60" t="s">
        <v>17</v>
      </c>
      <c r="E15" s="6" t="s">
        <v>19</v>
      </c>
      <c r="F15" s="6">
        <f>572-12+550-12</f>
        <v>1098</v>
      </c>
      <c r="G15" s="9">
        <v>57000</v>
      </c>
      <c r="H15" s="9">
        <f>E_Minh_TH[[#This Row],[ĐƠN GIÁ]]*E_Minh_TH[[#This Row],[SỐ LƯỢNG]]</f>
        <v>62586000</v>
      </c>
      <c r="I15" s="9"/>
      <c r="J15" s="168">
        <f ca="1">N(INDIRECT("R[-1]C", FALSE)) + E_Minh_TH[[#This Row],[THÀNH TIỀN]] - E_Minh_TH[[#This Row],[THANH TOÁN]]</f>
        <v>380725481</v>
      </c>
      <c r="K15" s="7"/>
    </row>
    <row r="16" spans="1:11" x14ac:dyDescent="0.25">
      <c r="A16" s="32">
        <v>7778</v>
      </c>
      <c r="B16" s="99">
        <v>46082</v>
      </c>
      <c r="C16" s="5" t="s">
        <v>13</v>
      </c>
      <c r="D16" s="60" t="s">
        <v>17</v>
      </c>
      <c r="E16" s="6" t="s">
        <v>20</v>
      </c>
      <c r="F16" s="6">
        <f>602+1190+1132+1374+1174</f>
        <v>5472</v>
      </c>
      <c r="G16" s="9">
        <v>57000</v>
      </c>
      <c r="H16" s="9">
        <f>E_Minh_TH[[#This Row],[ĐƠN GIÁ]]*E_Minh_TH[[#This Row],[SỐ LƯỢNG]]</f>
        <v>311904000</v>
      </c>
      <c r="I16" s="9"/>
      <c r="J16" s="168">
        <f ca="1">N(INDIRECT("R[-1]C", FALSE)) + E_Minh_TH[[#This Row],[THÀNH TIỀN]] - E_Minh_TH[[#This Row],[THANH TOÁN]]</f>
        <v>692629481</v>
      </c>
      <c r="K16" s="7"/>
    </row>
    <row r="17" spans="1:11" x14ac:dyDescent="0.25">
      <c r="A17" s="32"/>
      <c r="B17" s="99">
        <v>46082</v>
      </c>
      <c r="C17" s="5" t="s">
        <v>21</v>
      </c>
      <c r="D17" s="61" t="s">
        <v>22</v>
      </c>
      <c r="E17" s="6" t="s">
        <v>2067</v>
      </c>
      <c r="F17" s="6">
        <v>0</v>
      </c>
      <c r="G17" s="9">
        <v>0</v>
      </c>
      <c r="H17" s="9">
        <f>E_Minh_TH[[#This Row],[ĐƠN GIÁ]]*E_Minh_TH[[#This Row],[SỐ LƯỢNG]]</f>
        <v>0</v>
      </c>
      <c r="I17" s="9">
        <v>7000000</v>
      </c>
      <c r="J17" s="168">
        <f ca="1">N(INDIRECT("R[-1]C", FALSE)) + E_Minh_TH[[#This Row],[THÀNH TIỀN]] - E_Minh_TH[[#This Row],[THANH TOÁN]]</f>
        <v>685629481</v>
      </c>
      <c r="K17" s="7"/>
    </row>
    <row r="18" spans="1:11" x14ac:dyDescent="0.25">
      <c r="A18" s="32"/>
      <c r="B18" s="99">
        <v>46082</v>
      </c>
      <c r="C18" s="5" t="s">
        <v>21</v>
      </c>
      <c r="D18" s="61" t="s">
        <v>22</v>
      </c>
      <c r="E18" s="6" t="s">
        <v>2067</v>
      </c>
      <c r="F18" s="6">
        <v>0</v>
      </c>
      <c r="G18" s="9">
        <v>0</v>
      </c>
      <c r="H18" s="9">
        <f>E_Minh_TH[[#This Row],[ĐƠN GIÁ]]*E_Minh_TH[[#This Row],[SỐ LƯỢNG]]</f>
        <v>0</v>
      </c>
      <c r="I18" s="9">
        <v>30000000</v>
      </c>
      <c r="J18" s="168">
        <f ca="1">N(INDIRECT("R[-1]C", FALSE)) + E_Minh_TH[[#This Row],[THÀNH TIỀN]] - E_Minh_TH[[#This Row],[THANH TOÁN]]</f>
        <v>655629481</v>
      </c>
      <c r="K18" s="7"/>
    </row>
    <row r="19" spans="1:11" x14ac:dyDescent="0.25">
      <c r="A19" s="32"/>
      <c r="B19" s="99">
        <v>46082</v>
      </c>
      <c r="C19" s="5" t="s">
        <v>21</v>
      </c>
      <c r="D19" s="61" t="s">
        <v>24</v>
      </c>
      <c r="E19" s="6"/>
      <c r="F19" s="6"/>
      <c r="G19" s="9"/>
      <c r="H19" s="9">
        <f>E_Minh_TH[[#This Row],[ĐƠN GIÁ]]*E_Minh_TH[[#This Row],[SỐ LƯỢNG]]</f>
        <v>0</v>
      </c>
      <c r="I19" s="9">
        <v>70000000</v>
      </c>
      <c r="J19" s="168">
        <f ca="1">N(INDIRECT("R[-1]C", FALSE)) + E_Minh_TH[[#This Row],[THÀNH TIỀN]] - E_Minh_TH[[#This Row],[THANH TOÁN]]</f>
        <v>585629481</v>
      </c>
      <c r="K19" s="7"/>
    </row>
    <row r="20" spans="1:11" x14ac:dyDescent="0.25">
      <c r="A20" s="32"/>
      <c r="B20" s="99">
        <v>46083</v>
      </c>
      <c r="C20" s="5" t="s">
        <v>21</v>
      </c>
      <c r="D20" s="61" t="s">
        <v>22</v>
      </c>
      <c r="E20" s="3" t="s">
        <v>2067</v>
      </c>
      <c r="F20" s="3">
        <v>0</v>
      </c>
      <c r="G20" s="8">
        <v>0</v>
      </c>
      <c r="H20" s="8">
        <f>E_Minh_TH[[#This Row],[ĐƠN GIÁ]]*E_Minh_TH[[#This Row],[SỐ LƯỢNG]]</f>
        <v>0</v>
      </c>
      <c r="I20" s="8">
        <v>15000000</v>
      </c>
      <c r="J20" s="168">
        <f ca="1">N(INDIRECT("R[-1]C", FALSE)) + E_Minh_TH[[#This Row],[THÀNH TIỀN]] - E_Minh_TH[[#This Row],[THANH TOÁN]]</f>
        <v>570629481</v>
      </c>
      <c r="K20" s="4"/>
    </row>
    <row r="21" spans="1:11" x14ac:dyDescent="0.25">
      <c r="A21" s="32"/>
      <c r="B21" s="99">
        <v>46087</v>
      </c>
      <c r="C21" s="5" t="s">
        <v>21</v>
      </c>
      <c r="D21" s="61" t="s">
        <v>22</v>
      </c>
      <c r="E21" s="3" t="s">
        <v>2067</v>
      </c>
      <c r="F21" s="3">
        <v>0</v>
      </c>
      <c r="G21" s="8">
        <v>0</v>
      </c>
      <c r="H21" s="8">
        <f>E_Minh_TH[[#This Row],[ĐƠN GIÁ]]*E_Minh_TH[[#This Row],[SỐ LƯỢNG]]</f>
        <v>0</v>
      </c>
      <c r="I21" s="8">
        <v>11000000</v>
      </c>
      <c r="J21" s="168">
        <f ca="1">N(INDIRECT("R[-1]C", FALSE)) + E_Minh_TH[[#This Row],[THÀNH TIỀN]] - E_Minh_TH[[#This Row],[THANH TOÁN]]</f>
        <v>559629481</v>
      </c>
      <c r="K21" s="4"/>
    </row>
    <row r="22" spans="1:11" x14ac:dyDescent="0.25">
      <c r="A22" s="32">
        <v>7911</v>
      </c>
      <c r="B22" s="99">
        <v>46088</v>
      </c>
      <c r="C22" s="5" t="s">
        <v>13</v>
      </c>
      <c r="D22" s="61" t="s">
        <v>17</v>
      </c>
      <c r="E22" s="6" t="s">
        <v>25</v>
      </c>
      <c r="F22" s="6">
        <v>1930</v>
      </c>
      <c r="G22" s="9">
        <v>57000</v>
      </c>
      <c r="H22" s="9">
        <f>E_Minh_TH[[#This Row],[ĐƠN GIÁ]]*E_Minh_TH[[#This Row],[SỐ LƯỢNG]]</f>
        <v>110010000</v>
      </c>
      <c r="I22" s="9"/>
      <c r="J22" s="168">
        <f ca="1">N(INDIRECT("R[-1]C", FALSE)) + E_Minh_TH[[#This Row],[THÀNH TIỀN]] - E_Minh_TH[[#This Row],[THANH TOÁN]]</f>
        <v>669639481</v>
      </c>
      <c r="K22" s="7"/>
    </row>
    <row r="23" spans="1:11" x14ac:dyDescent="0.25">
      <c r="A23" s="32">
        <v>7911</v>
      </c>
      <c r="B23" s="99">
        <v>46088</v>
      </c>
      <c r="C23" s="5" t="s">
        <v>13</v>
      </c>
      <c r="D23" s="61" t="s">
        <v>26</v>
      </c>
      <c r="E23" s="3" t="s">
        <v>25</v>
      </c>
      <c r="F23" s="3">
        <v>1306</v>
      </c>
      <c r="G23" s="8">
        <v>32000</v>
      </c>
      <c r="H23" s="8">
        <f>E_Minh_TH[[#This Row],[ĐƠN GIÁ]]*E_Minh_TH[[#This Row],[SỐ LƯỢNG]]</f>
        <v>41792000</v>
      </c>
      <c r="I23" s="8"/>
      <c r="J23" s="168">
        <f ca="1">N(INDIRECT("R[-1]C", FALSE)) + E_Minh_TH[[#This Row],[THÀNH TIỀN]] - E_Minh_TH[[#This Row],[THANH TOÁN]]</f>
        <v>711431481</v>
      </c>
      <c r="K23" s="4"/>
    </row>
    <row r="24" spans="1:11" x14ac:dyDescent="0.25">
      <c r="A24" s="32">
        <v>7911</v>
      </c>
      <c r="B24" s="99">
        <v>46088</v>
      </c>
      <c r="C24" s="5" t="s">
        <v>13</v>
      </c>
      <c r="D24" s="61" t="s">
        <v>27</v>
      </c>
      <c r="E24" s="3" t="s">
        <v>28</v>
      </c>
      <c r="F24" s="3">
        <v>214</v>
      </c>
      <c r="G24" s="8">
        <v>56000</v>
      </c>
      <c r="H24" s="8">
        <f>E_Minh_TH[[#This Row],[ĐƠN GIÁ]]*E_Minh_TH[[#This Row],[SỐ LƯỢNG]]</f>
        <v>11984000</v>
      </c>
      <c r="I24" s="8"/>
      <c r="J24" s="168">
        <f ca="1">N(INDIRECT("R[-1]C", FALSE)) + E_Minh_TH[[#This Row],[THÀNH TIỀN]] - E_Minh_TH[[#This Row],[THANH TOÁN]]</f>
        <v>723415481</v>
      </c>
      <c r="K24" s="4"/>
    </row>
    <row r="25" spans="1:11" x14ac:dyDescent="0.25">
      <c r="A25" s="32">
        <v>7911</v>
      </c>
      <c r="B25" s="99">
        <v>46088</v>
      </c>
      <c r="C25" s="5" t="s">
        <v>13</v>
      </c>
      <c r="D25" s="61" t="s">
        <v>27</v>
      </c>
      <c r="E25" s="6" t="s">
        <v>29</v>
      </c>
      <c r="F25" s="6">
        <v>138</v>
      </c>
      <c r="G25" s="9">
        <v>56000</v>
      </c>
      <c r="H25" s="9">
        <f>E_Minh_TH[[#This Row],[ĐƠN GIÁ]]*E_Minh_TH[[#This Row],[SỐ LƯỢNG]]</f>
        <v>7728000</v>
      </c>
      <c r="I25" s="9"/>
      <c r="J25" s="168">
        <f ca="1">N(INDIRECT("R[-1]C", FALSE)) + E_Minh_TH[[#This Row],[THÀNH TIỀN]] - E_Minh_TH[[#This Row],[THANH TOÁN]]</f>
        <v>731143481</v>
      </c>
      <c r="K25" s="7"/>
    </row>
    <row r="26" spans="1:11" x14ac:dyDescent="0.25">
      <c r="A26" s="32">
        <v>7911</v>
      </c>
      <c r="B26" s="99">
        <v>46088</v>
      </c>
      <c r="C26" s="5" t="s">
        <v>13</v>
      </c>
      <c r="D26" s="61" t="s">
        <v>27</v>
      </c>
      <c r="E26" s="3" t="s">
        <v>30</v>
      </c>
      <c r="F26" s="3">
        <v>814</v>
      </c>
      <c r="G26" s="8">
        <v>57000</v>
      </c>
      <c r="H26" s="8">
        <f>E_Minh_TH[[#This Row],[ĐƠN GIÁ]]*E_Minh_TH[[#This Row],[SỐ LƯỢNG]]</f>
        <v>46398000</v>
      </c>
      <c r="I26" s="8"/>
      <c r="J26" s="168">
        <f ca="1">N(INDIRECT("R[-1]C", FALSE)) + E_Minh_TH[[#This Row],[THÀNH TIỀN]] - E_Minh_TH[[#This Row],[THANH TOÁN]]</f>
        <v>777541481</v>
      </c>
      <c r="K26" s="4"/>
    </row>
    <row r="27" spans="1:11" x14ac:dyDescent="0.25">
      <c r="A27" s="32">
        <v>7911</v>
      </c>
      <c r="B27" s="99">
        <v>46088</v>
      </c>
      <c r="C27" s="5" t="s">
        <v>13</v>
      </c>
      <c r="D27" s="61" t="s">
        <v>2029</v>
      </c>
      <c r="E27" s="148">
        <v>0.1</v>
      </c>
      <c r="F27" s="6">
        <v>1</v>
      </c>
      <c r="G27" s="9">
        <v>4725000</v>
      </c>
      <c r="H27" s="9">
        <f>E_Minh_TH[[#This Row],[ĐƠN GIÁ]]*E_Minh_TH[[#This Row],[SỐ LƯỢNG]]</f>
        <v>4725000</v>
      </c>
      <c r="I27" s="9"/>
      <c r="J27" s="168">
        <f ca="1">N(INDIRECT("R[-1]C", FALSE)) + E_Minh_TH[[#This Row],[THÀNH TIỀN]] - E_Minh_TH[[#This Row],[THANH TOÁN]]</f>
        <v>782266481</v>
      </c>
      <c r="K27" s="7"/>
    </row>
    <row r="28" spans="1:11" x14ac:dyDescent="0.25">
      <c r="A28" s="32"/>
      <c r="B28" s="99">
        <v>46088</v>
      </c>
      <c r="C28" s="5" t="s">
        <v>21</v>
      </c>
      <c r="D28" s="61" t="s">
        <v>22</v>
      </c>
      <c r="E28" s="3" t="s">
        <v>2067</v>
      </c>
      <c r="F28" s="3">
        <v>0</v>
      </c>
      <c r="G28" s="8">
        <v>0</v>
      </c>
      <c r="H28" s="8">
        <f>E_Minh_TH[[#This Row],[ĐƠN GIÁ]]*E_Minh_TH[[#This Row],[SỐ LƯỢNG]]</f>
        <v>0</v>
      </c>
      <c r="I28" s="8">
        <v>145000000</v>
      </c>
      <c r="J28" s="168">
        <f ca="1">N(INDIRECT("R[-1]C", FALSE)) + E_Minh_TH[[#This Row],[THÀNH TIỀN]] - E_Minh_TH[[#This Row],[THANH TOÁN]]</f>
        <v>637266481</v>
      </c>
      <c r="K28" s="4"/>
    </row>
    <row r="29" spans="1:11" x14ac:dyDescent="0.25">
      <c r="A29" s="32"/>
      <c r="B29" s="99">
        <v>46089</v>
      </c>
      <c r="C29" s="5" t="s">
        <v>21</v>
      </c>
      <c r="D29" s="61" t="s">
        <v>22</v>
      </c>
      <c r="E29" s="3" t="s">
        <v>2067</v>
      </c>
      <c r="F29" s="6">
        <v>0</v>
      </c>
      <c r="G29" s="9">
        <v>0</v>
      </c>
      <c r="H29" s="9">
        <f>E_Minh_TH[[#This Row],[ĐƠN GIÁ]]*E_Minh_TH[[#This Row],[SỐ LƯỢNG]]</f>
        <v>0</v>
      </c>
      <c r="I29" s="9">
        <v>6910000</v>
      </c>
      <c r="J29" s="168">
        <f ca="1">N(INDIRECT("R[-1]C", FALSE)) + E_Minh_TH[[#This Row],[THÀNH TIỀN]] - E_Minh_TH[[#This Row],[THANH TOÁN]]</f>
        <v>630356481</v>
      </c>
      <c r="K29" s="7"/>
    </row>
    <row r="30" spans="1:11" x14ac:dyDescent="0.25">
      <c r="A30" s="32"/>
      <c r="B30" s="99">
        <v>46089</v>
      </c>
      <c r="C30" s="5" t="s">
        <v>21</v>
      </c>
      <c r="D30" s="61" t="s">
        <v>22</v>
      </c>
      <c r="E30" s="3" t="s">
        <v>2067</v>
      </c>
      <c r="F30" s="6">
        <v>0</v>
      </c>
      <c r="G30" s="9">
        <v>0</v>
      </c>
      <c r="H30" s="9">
        <f>E_Minh_TH[[#This Row],[ĐƠN GIÁ]]*E_Minh_TH[[#This Row],[SỐ LƯỢNG]]</f>
        <v>0</v>
      </c>
      <c r="I30" s="9">
        <v>6750000</v>
      </c>
      <c r="J30" s="168">
        <f ca="1">N(INDIRECT("R[-1]C", FALSE)) + E_Minh_TH[[#This Row],[THÀNH TIỀN]] - E_Minh_TH[[#This Row],[THANH TOÁN]]</f>
        <v>623606481</v>
      </c>
      <c r="K30" s="7"/>
    </row>
    <row r="31" spans="1:11" x14ac:dyDescent="0.25">
      <c r="A31" s="32"/>
      <c r="B31" s="99">
        <v>46091</v>
      </c>
      <c r="C31" s="5" t="s">
        <v>21</v>
      </c>
      <c r="D31" s="61" t="s">
        <v>22</v>
      </c>
      <c r="E31" s="3" t="s">
        <v>2067</v>
      </c>
      <c r="F31" s="6">
        <v>0</v>
      </c>
      <c r="G31" s="9">
        <v>0</v>
      </c>
      <c r="H31" s="9">
        <f>E_Minh_TH[[#This Row],[ĐƠN GIÁ]]*E_Minh_TH[[#This Row],[SỐ LƯỢNG]]</f>
        <v>0</v>
      </c>
      <c r="I31" s="9">
        <v>2934000</v>
      </c>
      <c r="J31" s="168">
        <f ca="1">N(INDIRECT("R[-1]C", FALSE)) + E_Minh_TH[[#This Row],[THÀNH TIỀN]] - E_Minh_TH[[#This Row],[THANH TOÁN]]</f>
        <v>620672481</v>
      </c>
      <c r="K31" s="7"/>
    </row>
    <row r="32" spans="1:11" x14ac:dyDescent="0.25">
      <c r="A32" s="32"/>
      <c r="B32" s="99">
        <v>46092</v>
      </c>
      <c r="C32" s="5" t="s">
        <v>21</v>
      </c>
      <c r="D32" s="61" t="s">
        <v>22</v>
      </c>
      <c r="E32" s="3" t="s">
        <v>2067</v>
      </c>
      <c r="F32" s="6">
        <v>0</v>
      </c>
      <c r="G32" s="9">
        <v>0</v>
      </c>
      <c r="H32" s="9">
        <f>E_Minh_TH[[#This Row],[ĐƠN GIÁ]]*E_Minh_TH[[#This Row],[SỐ LƯỢNG]]</f>
        <v>0</v>
      </c>
      <c r="I32" s="9">
        <v>16718000</v>
      </c>
      <c r="J32" s="168">
        <f ca="1">N(INDIRECT("R[-1]C", FALSE)) + E_Minh_TH[[#This Row],[THÀNH TIỀN]] - E_Minh_TH[[#This Row],[THANH TOÁN]]</f>
        <v>603954481</v>
      </c>
      <c r="K32" s="7"/>
    </row>
    <row r="33" spans="1:11" x14ac:dyDescent="0.25">
      <c r="A33" s="32"/>
      <c r="B33" s="99">
        <v>46092</v>
      </c>
      <c r="C33" s="5" t="s">
        <v>21</v>
      </c>
      <c r="D33" s="61" t="s">
        <v>22</v>
      </c>
      <c r="E33" s="3" t="s">
        <v>2067</v>
      </c>
      <c r="F33" s="6">
        <v>0</v>
      </c>
      <c r="G33" s="9">
        <v>0</v>
      </c>
      <c r="H33" s="9">
        <f>E_Minh_TH[[#This Row],[ĐƠN GIÁ]]*E_Minh_TH[[#This Row],[SỐ LƯỢNG]]</f>
        <v>0</v>
      </c>
      <c r="I33" s="9">
        <v>98000000</v>
      </c>
      <c r="J33" s="168">
        <f ca="1">N(INDIRECT("R[-1]C", FALSE)) + E_Minh_TH[[#This Row],[THÀNH TIỀN]] - E_Minh_TH[[#This Row],[THANH TOÁN]]</f>
        <v>505954481</v>
      </c>
      <c r="K33" s="7"/>
    </row>
    <row r="34" spans="1:11" x14ac:dyDescent="0.25">
      <c r="A34" s="32"/>
      <c r="B34" s="99">
        <v>46093</v>
      </c>
      <c r="C34" s="5" t="s">
        <v>21</v>
      </c>
      <c r="D34" s="61" t="s">
        <v>22</v>
      </c>
      <c r="E34" s="3" t="s">
        <v>2067</v>
      </c>
      <c r="F34" s="6">
        <v>0</v>
      </c>
      <c r="G34" s="9">
        <v>0</v>
      </c>
      <c r="H34" s="9">
        <f>E_Minh_TH[[#This Row],[ĐƠN GIÁ]]*E_Minh_TH[[#This Row],[SỐ LƯỢNG]]</f>
        <v>0</v>
      </c>
      <c r="I34" s="9">
        <v>34040000</v>
      </c>
      <c r="J34" s="168">
        <f ca="1">N(INDIRECT("R[-1]C", FALSE)) + E_Minh_TH[[#This Row],[THÀNH TIỀN]] - E_Minh_TH[[#This Row],[THANH TOÁN]]</f>
        <v>471914481</v>
      </c>
      <c r="K34" s="7"/>
    </row>
    <row r="35" spans="1:11" x14ac:dyDescent="0.25">
      <c r="A35" s="108"/>
      <c r="B35" s="99">
        <v>46093</v>
      </c>
      <c r="C35" s="5" t="s">
        <v>21</v>
      </c>
      <c r="D35" s="61" t="s">
        <v>22</v>
      </c>
      <c r="E35" s="3" t="s">
        <v>2067</v>
      </c>
      <c r="F35" s="6">
        <v>0</v>
      </c>
      <c r="G35" s="9">
        <v>0</v>
      </c>
      <c r="H35" s="9">
        <f>E_Minh_TH[[#This Row],[ĐƠN GIÁ]]*E_Minh_TH[[#This Row],[SỐ LƯỢNG]]</f>
        <v>0</v>
      </c>
      <c r="I35" s="8">
        <v>16000000</v>
      </c>
      <c r="J35" s="168">
        <f ca="1">N(INDIRECT("R[-1]C", FALSE)) + E_Minh_TH[[#This Row],[THÀNH TIỀN]] - E_Minh_TH[[#This Row],[THANH TOÁN]]</f>
        <v>455914481</v>
      </c>
      <c r="K35" s="4"/>
    </row>
    <row r="36" spans="1:11" x14ac:dyDescent="0.25">
      <c r="A36" s="32"/>
      <c r="B36" s="99">
        <v>46094</v>
      </c>
      <c r="C36" s="5" t="s">
        <v>21</v>
      </c>
      <c r="D36" s="61" t="s">
        <v>22</v>
      </c>
      <c r="E36" s="3" t="s">
        <v>2067</v>
      </c>
      <c r="F36" s="6">
        <v>0</v>
      </c>
      <c r="G36" s="9">
        <v>0</v>
      </c>
      <c r="H36" s="9">
        <f>E_Minh_TH[[#This Row],[ĐƠN GIÁ]]*E_Minh_TH[[#This Row],[SỐ LƯỢNG]]</f>
        <v>0</v>
      </c>
      <c r="I36" s="9">
        <v>48953000</v>
      </c>
      <c r="J36" s="168">
        <f ca="1">N(INDIRECT("R[-1]C", FALSE)) + E_Minh_TH[[#This Row],[THÀNH TIỀN]] - E_Minh_TH[[#This Row],[THANH TOÁN]]</f>
        <v>406961481</v>
      </c>
      <c r="K36" s="7"/>
    </row>
    <row r="37" spans="1:11" x14ac:dyDescent="0.25">
      <c r="A37" s="32">
        <v>8092</v>
      </c>
      <c r="B37" s="99">
        <v>46095</v>
      </c>
      <c r="C37" s="5" t="s">
        <v>13</v>
      </c>
      <c r="D37" s="61" t="s">
        <v>17</v>
      </c>
      <c r="E37" s="6" t="s">
        <v>31</v>
      </c>
      <c r="F37" s="6">
        <v>1618</v>
      </c>
      <c r="G37" s="9">
        <v>58000</v>
      </c>
      <c r="H37" s="9">
        <f>E_Minh_TH[[#This Row],[ĐƠN GIÁ]]*E_Minh_TH[[#This Row],[SỐ LƯỢNG]]</f>
        <v>93844000</v>
      </c>
      <c r="I37" s="9"/>
      <c r="J37" s="168">
        <f ca="1">N(INDIRECT("R[-1]C", FALSE)) + E_Minh_TH[[#This Row],[THÀNH TIỀN]] - E_Minh_TH[[#This Row],[THANH TOÁN]]</f>
        <v>500805481</v>
      </c>
      <c r="K37" s="7"/>
    </row>
    <row r="38" spans="1:11" x14ac:dyDescent="0.25">
      <c r="A38" s="32">
        <v>8092</v>
      </c>
      <c r="B38" s="99">
        <v>46095</v>
      </c>
      <c r="C38" s="5" t="s">
        <v>13</v>
      </c>
      <c r="D38" s="61" t="s">
        <v>17</v>
      </c>
      <c r="E38" s="6" t="s">
        <v>30</v>
      </c>
      <c r="F38" s="6">
        <v>789</v>
      </c>
      <c r="G38" s="9">
        <v>59000</v>
      </c>
      <c r="H38" s="9">
        <f>E_Minh_TH[[#This Row],[ĐƠN GIÁ]]*E_Minh_TH[[#This Row],[SỐ LƯỢNG]]</f>
        <v>46551000</v>
      </c>
      <c r="I38" s="9"/>
      <c r="J38" s="168">
        <f ca="1">N(INDIRECT("R[-1]C", FALSE)) + E_Minh_TH[[#This Row],[THÀNH TIỀN]] - E_Minh_TH[[#This Row],[THANH TOÁN]]</f>
        <v>547356481</v>
      </c>
      <c r="K38" s="7"/>
    </row>
    <row r="39" spans="1:11" x14ac:dyDescent="0.25">
      <c r="A39" s="32">
        <v>8092</v>
      </c>
      <c r="B39" s="99">
        <v>46095</v>
      </c>
      <c r="C39" s="5" t="s">
        <v>13</v>
      </c>
      <c r="D39" s="61" t="s">
        <v>17</v>
      </c>
      <c r="E39" s="6" t="s">
        <v>25</v>
      </c>
      <c r="F39" s="6">
        <v>988</v>
      </c>
      <c r="G39" s="9">
        <v>59000</v>
      </c>
      <c r="H39" s="9">
        <f>E_Minh_TH[[#This Row],[ĐƠN GIÁ]]*E_Minh_TH[[#This Row],[SỐ LƯỢNG]]</f>
        <v>58292000</v>
      </c>
      <c r="I39" s="9"/>
      <c r="J39" s="168">
        <f ca="1">N(INDIRECT("R[-1]C", FALSE)) + E_Minh_TH[[#This Row],[THÀNH TIỀN]] - E_Minh_TH[[#This Row],[THANH TOÁN]]</f>
        <v>605648481</v>
      </c>
      <c r="K39" s="7"/>
    </row>
    <row r="40" spans="1:11" x14ac:dyDescent="0.25">
      <c r="A40" s="32">
        <v>8092</v>
      </c>
      <c r="B40" s="99">
        <v>46095</v>
      </c>
      <c r="C40" s="5" t="s">
        <v>13</v>
      </c>
      <c r="D40" s="61" t="s">
        <v>32</v>
      </c>
      <c r="E40" s="6" t="s">
        <v>33</v>
      </c>
      <c r="F40" s="6">
        <f>502+626+880</f>
        <v>2008</v>
      </c>
      <c r="G40" s="9">
        <v>41000</v>
      </c>
      <c r="H40" s="9">
        <f>E_Minh_TH[[#This Row],[ĐƠN GIÁ]]*E_Minh_TH[[#This Row],[SỐ LƯỢNG]]</f>
        <v>82328000</v>
      </c>
      <c r="I40" s="9"/>
      <c r="J40" s="168">
        <f ca="1">N(INDIRECT("R[-1]C", FALSE)) + E_Minh_TH[[#This Row],[THÀNH TIỀN]] - E_Minh_TH[[#This Row],[THANH TOÁN]]</f>
        <v>687976481</v>
      </c>
      <c r="K40" s="7"/>
    </row>
    <row r="41" spans="1:11" x14ac:dyDescent="0.25">
      <c r="A41" s="32">
        <v>8092</v>
      </c>
      <c r="B41" s="99">
        <v>46095</v>
      </c>
      <c r="C41" s="5" t="s">
        <v>13</v>
      </c>
      <c r="D41" s="61" t="s">
        <v>32</v>
      </c>
      <c r="E41" s="6" t="s">
        <v>34</v>
      </c>
      <c r="F41" s="6">
        <v>1088</v>
      </c>
      <c r="G41" s="9">
        <v>41000</v>
      </c>
      <c r="H41" s="9">
        <f>E_Minh_TH[[#This Row],[ĐƠN GIÁ]]*E_Minh_TH[[#This Row],[SỐ LƯỢNG]]</f>
        <v>44608000</v>
      </c>
      <c r="I41" s="9"/>
      <c r="J41" s="168">
        <f ca="1">N(INDIRECT("R[-1]C", FALSE)) + E_Minh_TH[[#This Row],[THÀNH TIỀN]] - E_Minh_TH[[#This Row],[THANH TOÁN]]</f>
        <v>732584481</v>
      </c>
      <c r="K41" s="7"/>
    </row>
    <row r="42" spans="1:11" x14ac:dyDescent="0.25">
      <c r="A42" s="32"/>
      <c r="B42" s="99">
        <v>46098</v>
      </c>
      <c r="C42" s="5" t="s">
        <v>21</v>
      </c>
      <c r="D42" s="61" t="s">
        <v>22</v>
      </c>
      <c r="E42" s="6" t="s">
        <v>2067</v>
      </c>
      <c r="F42" s="6">
        <v>0</v>
      </c>
      <c r="G42" s="9">
        <v>0</v>
      </c>
      <c r="H42" s="9">
        <f>E_Minh_TH[[#This Row],[ĐƠN GIÁ]]*E_Minh_TH[[#This Row],[SỐ LƯỢNG]]</f>
        <v>0</v>
      </c>
      <c r="I42" s="9">
        <v>30000000</v>
      </c>
      <c r="J42" s="168">
        <f ca="1">N(INDIRECT("R[-1]C", FALSE)) + E_Minh_TH[[#This Row],[THÀNH TIỀN]] - E_Minh_TH[[#This Row],[THANH TOÁN]]</f>
        <v>702584481</v>
      </c>
      <c r="K42" s="7"/>
    </row>
    <row r="43" spans="1:11" x14ac:dyDescent="0.25">
      <c r="A43" s="32"/>
      <c r="B43" s="99">
        <v>46099</v>
      </c>
      <c r="C43" s="5" t="s">
        <v>21</v>
      </c>
      <c r="D43" s="61" t="s">
        <v>22</v>
      </c>
      <c r="E43" s="6" t="s">
        <v>2067</v>
      </c>
      <c r="F43" s="6">
        <v>0</v>
      </c>
      <c r="G43" s="9">
        <v>0</v>
      </c>
      <c r="H43" s="9">
        <f>E_Minh_TH[[#This Row],[ĐƠN GIÁ]]*E_Minh_TH[[#This Row],[SỐ LƯỢNG]]</f>
        <v>0</v>
      </c>
      <c r="I43" s="9">
        <v>20000000</v>
      </c>
      <c r="J43" s="168">
        <f ca="1">N(INDIRECT("R[-1]C", FALSE)) + E_Minh_TH[[#This Row],[THÀNH TIỀN]] - E_Minh_TH[[#This Row],[THANH TOÁN]]</f>
        <v>682584481</v>
      </c>
      <c r="K43" s="7"/>
    </row>
    <row r="44" spans="1:11" x14ac:dyDescent="0.25">
      <c r="A44" s="108"/>
      <c r="B44" s="99">
        <v>46099</v>
      </c>
      <c r="C44" s="5" t="s">
        <v>21</v>
      </c>
      <c r="D44" s="61" t="s">
        <v>22</v>
      </c>
      <c r="E44" s="6"/>
      <c r="F44" s="6"/>
      <c r="G44" s="9"/>
      <c r="H44" s="9">
        <f>E_Minh_TH[[#This Row],[ĐƠN GIÁ]]*E_Minh_TH[[#This Row],[SỐ LƯỢNG]]</f>
        <v>0</v>
      </c>
      <c r="I44" s="8">
        <v>20000000</v>
      </c>
      <c r="J44" s="168">
        <f ca="1">N(INDIRECT("R[-1]C", FALSE)) + E_Minh_TH[[#This Row],[THÀNH TIỀN]] - E_Minh_TH[[#This Row],[THANH TOÁN]]</f>
        <v>662584481</v>
      </c>
      <c r="K44" s="4"/>
    </row>
    <row r="45" spans="1:11" x14ac:dyDescent="0.25">
      <c r="A45" s="32">
        <v>8193</v>
      </c>
      <c r="B45" s="99">
        <v>46100</v>
      </c>
      <c r="C45" s="5" t="s">
        <v>13</v>
      </c>
      <c r="D45" s="61" t="s">
        <v>17</v>
      </c>
      <c r="E45" s="6" t="s">
        <v>31</v>
      </c>
      <c r="F45" s="6">
        <v>5218</v>
      </c>
      <c r="G45" s="9">
        <v>58000</v>
      </c>
      <c r="H45" s="9">
        <f>E_Minh_TH[[#This Row],[ĐƠN GIÁ]]*E_Minh_TH[[#This Row],[SỐ LƯỢNG]]</f>
        <v>302644000</v>
      </c>
      <c r="I45" s="9"/>
      <c r="J45" s="168">
        <f ca="1">N(INDIRECT("R[-1]C", FALSE)) + E_Minh_TH[[#This Row],[THÀNH TIỀN]] - E_Minh_TH[[#This Row],[THANH TOÁN]]</f>
        <v>965228481</v>
      </c>
      <c r="K45" s="7"/>
    </row>
    <row r="46" spans="1:11" x14ac:dyDescent="0.25">
      <c r="A46" s="32">
        <v>8193</v>
      </c>
      <c r="B46" s="99">
        <v>46100</v>
      </c>
      <c r="C46" s="5" t="s">
        <v>13</v>
      </c>
      <c r="D46" s="61" t="s">
        <v>17</v>
      </c>
      <c r="E46" s="6" t="s">
        <v>25</v>
      </c>
      <c r="F46" s="6">
        <v>1972</v>
      </c>
      <c r="G46" s="9">
        <v>59000</v>
      </c>
      <c r="H46" s="9">
        <f>E_Minh_TH[[#This Row],[ĐƠN GIÁ]]*E_Minh_TH[[#This Row],[SỐ LƯỢNG]]</f>
        <v>116348000</v>
      </c>
      <c r="I46" s="9"/>
      <c r="J46" s="168">
        <f ca="1">N(INDIRECT("R[-1]C", FALSE)) + E_Minh_TH[[#This Row],[THÀNH TIỀN]] - E_Minh_TH[[#This Row],[THANH TOÁN]]</f>
        <v>1081576481</v>
      </c>
      <c r="K46" s="7"/>
    </row>
    <row r="47" spans="1:11" x14ac:dyDescent="0.25">
      <c r="A47" s="32">
        <v>8193</v>
      </c>
      <c r="B47" s="99">
        <v>46100</v>
      </c>
      <c r="C47" s="5" t="s">
        <v>13</v>
      </c>
      <c r="D47" s="61" t="s">
        <v>26</v>
      </c>
      <c r="E47" s="6" t="s">
        <v>35</v>
      </c>
      <c r="F47" s="6">
        <v>1816</v>
      </c>
      <c r="G47" s="9">
        <v>34000</v>
      </c>
      <c r="H47" s="9">
        <f>E_Minh_TH[[#This Row],[ĐƠN GIÁ]]*E_Minh_TH[[#This Row],[SỐ LƯỢNG]]</f>
        <v>61744000</v>
      </c>
      <c r="I47" s="9"/>
      <c r="J47" s="168">
        <f ca="1">N(INDIRECT("R[-1]C", FALSE)) + E_Minh_TH[[#This Row],[THÀNH TIỀN]] - E_Minh_TH[[#This Row],[THANH TOÁN]]</f>
        <v>1143320481</v>
      </c>
      <c r="K47" s="7"/>
    </row>
    <row r="48" spans="1:11" x14ac:dyDescent="0.25">
      <c r="A48" s="32"/>
      <c r="B48" s="99">
        <v>46100</v>
      </c>
      <c r="C48" s="5" t="s">
        <v>21</v>
      </c>
      <c r="D48" s="61" t="s">
        <v>24</v>
      </c>
      <c r="E48" s="6"/>
      <c r="F48" s="6"/>
      <c r="G48" s="9"/>
      <c r="H48" s="9">
        <f>E_Minh_TH[[#This Row],[ĐƠN GIÁ]]*E_Minh_TH[[#This Row],[SỐ LƯỢNG]]</f>
        <v>0</v>
      </c>
      <c r="I48" s="9">
        <v>200000000</v>
      </c>
      <c r="J48" s="168">
        <f ca="1">N(INDIRECT("R[-1]C", FALSE)) + E_Minh_TH[[#This Row],[THÀNH TIỀN]] - E_Minh_TH[[#This Row],[THANH TOÁN]]</f>
        <v>943320481</v>
      </c>
      <c r="K48" s="7"/>
    </row>
    <row r="49" spans="1:11" x14ac:dyDescent="0.25">
      <c r="A49" s="32"/>
      <c r="B49" s="99">
        <v>46101</v>
      </c>
      <c r="C49" s="5" t="s">
        <v>21</v>
      </c>
      <c r="D49" s="61" t="s">
        <v>22</v>
      </c>
      <c r="E49" s="6" t="s">
        <v>2067</v>
      </c>
      <c r="F49" s="6">
        <v>0</v>
      </c>
      <c r="G49" s="9">
        <v>0</v>
      </c>
      <c r="H49" s="9">
        <f>E_Minh_TH[[#This Row],[ĐƠN GIÁ]]*E_Minh_TH[[#This Row],[SỐ LƯỢNG]]</f>
        <v>0</v>
      </c>
      <c r="I49" s="9">
        <v>4000000</v>
      </c>
      <c r="J49" s="168">
        <f ca="1">N(INDIRECT("R[-1]C", FALSE)) + E_Minh_TH[[#This Row],[THÀNH TIỀN]] - E_Minh_TH[[#This Row],[THANH TOÁN]]</f>
        <v>939320481</v>
      </c>
      <c r="K49" s="7"/>
    </row>
    <row r="50" spans="1:11" x14ac:dyDescent="0.25">
      <c r="A50" s="32"/>
      <c r="B50" s="99">
        <v>46102</v>
      </c>
      <c r="C50" s="5" t="s">
        <v>21</v>
      </c>
      <c r="D50" s="61" t="s">
        <v>22</v>
      </c>
      <c r="E50" s="6" t="s">
        <v>2067</v>
      </c>
      <c r="F50" s="6">
        <v>0</v>
      </c>
      <c r="G50" s="9">
        <v>0</v>
      </c>
      <c r="H50" s="9">
        <f>E_Minh_TH[[#This Row],[ĐƠN GIÁ]]*E_Minh_TH[[#This Row],[SỐ LƯỢNG]]</f>
        <v>0</v>
      </c>
      <c r="I50" s="9">
        <v>3831000</v>
      </c>
      <c r="J50" s="168">
        <f ca="1">N(INDIRECT("R[-1]C", FALSE)) + E_Minh_TH[[#This Row],[THÀNH TIỀN]] - E_Minh_TH[[#This Row],[THANH TOÁN]]</f>
        <v>935489481</v>
      </c>
      <c r="K50" s="7"/>
    </row>
    <row r="51" spans="1:11" x14ac:dyDescent="0.25">
      <c r="A51" s="108"/>
      <c r="B51" s="98">
        <v>46103</v>
      </c>
      <c r="C51" s="2" t="s">
        <v>21</v>
      </c>
      <c r="D51" s="131" t="s">
        <v>22</v>
      </c>
      <c r="E51" s="3"/>
      <c r="F51" s="3"/>
      <c r="G51" s="8"/>
      <c r="H51" s="8">
        <f>E_Minh_TH[[#This Row],[ĐƠN GIÁ]]*E_Minh_TH[[#This Row],[SỐ LƯỢNG]]</f>
        <v>0</v>
      </c>
      <c r="I51" s="8">
        <v>20000000</v>
      </c>
      <c r="J51" s="168">
        <f ca="1">N(INDIRECT("R[-1]C", FALSE)) + E_Minh_TH[[#This Row],[THÀNH TIỀN]] - E_Minh_TH[[#This Row],[THANH TOÁN]]</f>
        <v>915489481</v>
      </c>
      <c r="K51" s="4"/>
    </row>
    <row r="52" spans="1:11" x14ac:dyDescent="0.25">
      <c r="A52" s="108">
        <v>8371</v>
      </c>
      <c r="B52" s="98">
        <v>46108</v>
      </c>
      <c r="C52" s="2" t="s">
        <v>13</v>
      </c>
      <c r="D52" s="131" t="s">
        <v>32</v>
      </c>
      <c r="E52" s="3" t="s">
        <v>30</v>
      </c>
      <c r="F52" s="3">
        <v>278</v>
      </c>
      <c r="G52" s="8">
        <v>41000</v>
      </c>
      <c r="H52" s="8">
        <f>E_Minh_TH[[#This Row],[ĐƠN GIÁ]]*E_Minh_TH[[#This Row],[SỐ LƯỢNG]]</f>
        <v>11398000</v>
      </c>
      <c r="I52" s="8"/>
      <c r="J52" s="168">
        <f ca="1">N(INDIRECT("R[-1]C", FALSE)) + E_Minh_TH[[#This Row],[THÀNH TIỀN]] - E_Minh_TH[[#This Row],[THANH TOÁN]]</f>
        <v>926887481</v>
      </c>
      <c r="K52" s="4"/>
    </row>
    <row r="53" spans="1:11" x14ac:dyDescent="0.25">
      <c r="A53" s="108">
        <v>8371</v>
      </c>
      <c r="B53" s="98">
        <v>46108</v>
      </c>
      <c r="C53" s="2" t="s">
        <v>13</v>
      </c>
      <c r="D53" s="131" t="s">
        <v>17</v>
      </c>
      <c r="E53" s="3" t="s">
        <v>31</v>
      </c>
      <c r="F53" s="3">
        <v>2204</v>
      </c>
      <c r="G53" s="8">
        <v>59000</v>
      </c>
      <c r="H53" s="8">
        <f>E_Minh_TH[[#This Row],[ĐƠN GIÁ]]*E_Minh_TH[[#This Row],[SỐ LƯỢNG]]</f>
        <v>130036000</v>
      </c>
      <c r="I53" s="8"/>
      <c r="J53" s="168">
        <f ca="1">N(INDIRECT("R[-1]C", FALSE)) + E_Minh_TH[[#This Row],[THÀNH TIỀN]] - E_Minh_TH[[#This Row],[THANH TOÁN]]</f>
        <v>1056923481</v>
      </c>
      <c r="K53" s="4"/>
    </row>
    <row r="54" spans="1:11" x14ac:dyDescent="0.25">
      <c r="A54" s="108">
        <v>8371</v>
      </c>
      <c r="B54" s="98">
        <v>46108</v>
      </c>
      <c r="C54" s="2" t="s">
        <v>13</v>
      </c>
      <c r="D54" s="131" t="s">
        <v>36</v>
      </c>
      <c r="E54" s="3" t="s">
        <v>37</v>
      </c>
      <c r="F54" s="3">
        <v>78</v>
      </c>
      <c r="G54" s="8">
        <v>64000</v>
      </c>
      <c r="H54" s="8">
        <f>E_Minh_TH[[#This Row],[ĐƠN GIÁ]]*E_Minh_TH[[#This Row],[SỐ LƯỢNG]]</f>
        <v>4992000</v>
      </c>
      <c r="I54" s="8"/>
      <c r="J54" s="168">
        <f ca="1">N(INDIRECT("R[-1]C", FALSE)) + E_Minh_TH[[#This Row],[THÀNH TIỀN]] - E_Minh_TH[[#This Row],[THANH TOÁN]]</f>
        <v>1061915481</v>
      </c>
      <c r="K54" s="4"/>
    </row>
    <row r="55" spans="1:11" x14ac:dyDescent="0.25">
      <c r="A55" s="108"/>
      <c r="B55" s="98">
        <v>46108</v>
      </c>
      <c r="C55" s="2" t="s">
        <v>21</v>
      </c>
      <c r="D55" s="131" t="s">
        <v>22</v>
      </c>
      <c r="E55" s="3"/>
      <c r="F55" s="3"/>
      <c r="G55" s="8"/>
      <c r="H55" s="8">
        <f>E_Minh_TH[[#This Row],[ĐƠN GIÁ]]*E_Minh_TH[[#This Row],[SỐ LƯỢNG]]</f>
        <v>0</v>
      </c>
      <c r="I55" s="8">
        <v>40000000</v>
      </c>
      <c r="J55" s="168">
        <f ca="1">N(INDIRECT("R[-1]C", FALSE)) + E_Minh_TH[[#This Row],[THÀNH TIỀN]] - E_Minh_TH[[#This Row],[THANH TOÁN]]</f>
        <v>1021915481</v>
      </c>
      <c r="K55" s="4"/>
    </row>
    <row r="56" spans="1:11" x14ac:dyDescent="0.25">
      <c r="A56" s="108"/>
      <c r="B56" s="98">
        <v>46108</v>
      </c>
      <c r="C56" s="2" t="s">
        <v>21</v>
      </c>
      <c r="D56" s="131" t="s">
        <v>22</v>
      </c>
      <c r="E56" s="3"/>
      <c r="F56" s="3"/>
      <c r="G56" s="8"/>
      <c r="H56" s="8">
        <f>E_Minh_TH[[#This Row],[ĐƠN GIÁ]]*E_Minh_TH[[#This Row],[SỐ LƯỢNG]]</f>
        <v>0</v>
      </c>
      <c r="I56" s="8">
        <v>11914000</v>
      </c>
      <c r="J56" s="168">
        <f ca="1">N(INDIRECT("R[-1]C", FALSE)) + E_Minh_TH[[#This Row],[THÀNH TIỀN]] - E_Minh_TH[[#This Row],[THANH TOÁN]]</f>
        <v>1010001481</v>
      </c>
      <c r="K56" s="4"/>
    </row>
    <row r="57" spans="1:11" x14ac:dyDescent="0.25">
      <c r="A57" s="108"/>
      <c r="B57" s="98">
        <v>46108</v>
      </c>
      <c r="C57" s="2" t="s">
        <v>21</v>
      </c>
      <c r="D57" s="131" t="s">
        <v>22</v>
      </c>
      <c r="E57" s="3"/>
      <c r="F57" s="3"/>
      <c r="G57" s="8"/>
      <c r="H57" s="8">
        <f>E_Minh_TH[[#This Row],[ĐƠN GIÁ]]*E_Minh_TH[[#This Row],[SỐ LƯỢNG]]</f>
        <v>0</v>
      </c>
      <c r="I57" s="8">
        <v>10000000</v>
      </c>
      <c r="J57" s="168">
        <f ca="1">N(INDIRECT("R[-1]C", FALSE)) + E_Minh_TH[[#This Row],[THÀNH TIỀN]] - E_Minh_TH[[#This Row],[THANH TOÁN]]</f>
        <v>1000001481</v>
      </c>
      <c r="K57" s="4"/>
    </row>
    <row r="58" spans="1:11" x14ac:dyDescent="0.25">
      <c r="A58" s="108"/>
      <c r="B58" s="98">
        <v>46109</v>
      </c>
      <c r="C58" s="2" t="s">
        <v>21</v>
      </c>
      <c r="D58" s="131" t="s">
        <v>22</v>
      </c>
      <c r="E58" s="3"/>
      <c r="F58" s="3"/>
      <c r="G58" s="8"/>
      <c r="H58" s="8">
        <f>E_Minh_TH[[#This Row],[ĐƠN GIÁ]]*E_Minh_TH[[#This Row],[SỐ LƯỢNG]]</f>
        <v>0</v>
      </c>
      <c r="I58" s="8">
        <v>15000000</v>
      </c>
      <c r="J58" s="168">
        <f ca="1">N(INDIRECT("R[-1]C", FALSE)) + E_Minh_TH[[#This Row],[THÀNH TIỀN]] - E_Minh_TH[[#This Row],[THANH TOÁN]]</f>
        <v>985001481</v>
      </c>
      <c r="K58" s="4"/>
    </row>
    <row r="59" spans="1:11" x14ac:dyDescent="0.25">
      <c r="A59" s="108">
        <v>8508</v>
      </c>
      <c r="B59" s="98">
        <v>46114</v>
      </c>
      <c r="C59" s="2" t="s">
        <v>13</v>
      </c>
      <c r="D59" s="131" t="s">
        <v>17</v>
      </c>
      <c r="E59" s="3" t="s">
        <v>38</v>
      </c>
      <c r="F59" s="3">
        <v>2022</v>
      </c>
      <c r="G59" s="8">
        <v>60500</v>
      </c>
      <c r="H59" s="8">
        <f>E_Minh_TH[[#This Row],[ĐƠN GIÁ]]*E_Minh_TH[[#This Row],[SỐ LƯỢNG]]</f>
        <v>122331000</v>
      </c>
      <c r="I59" s="8"/>
      <c r="J59" s="168">
        <f ca="1">N(INDIRECT("R[-1]C", FALSE)) + E_Minh_TH[[#This Row],[THÀNH TIỀN]] - E_Minh_TH[[#This Row],[THANH TOÁN]]</f>
        <v>1107332481</v>
      </c>
      <c r="K59" s="4"/>
    </row>
    <row r="60" spans="1:11" x14ac:dyDescent="0.25">
      <c r="A60" s="108">
        <v>8508</v>
      </c>
      <c r="B60" s="98">
        <v>46114</v>
      </c>
      <c r="C60" s="2" t="s">
        <v>13</v>
      </c>
      <c r="D60" s="131" t="s">
        <v>17</v>
      </c>
      <c r="E60" s="3" t="s">
        <v>39</v>
      </c>
      <c r="F60" s="3">
        <v>2110</v>
      </c>
      <c r="G60" s="8">
        <v>60500</v>
      </c>
      <c r="H60" s="8">
        <f>E_Minh_TH[[#This Row],[ĐƠN GIÁ]]*E_Minh_TH[[#This Row],[SỐ LƯỢNG]]</f>
        <v>127655000</v>
      </c>
      <c r="I60" s="8"/>
      <c r="J60" s="168">
        <f ca="1">N(INDIRECT("R[-1]C", FALSE)) + E_Minh_TH[[#This Row],[THÀNH TIỀN]] - E_Minh_TH[[#This Row],[THANH TOÁN]]</f>
        <v>1234987481</v>
      </c>
      <c r="K60" s="4"/>
    </row>
    <row r="61" spans="1:11" x14ac:dyDescent="0.25">
      <c r="A61" s="108">
        <v>8508</v>
      </c>
      <c r="B61" s="98">
        <v>46114</v>
      </c>
      <c r="C61" s="2" t="s">
        <v>13</v>
      </c>
      <c r="D61" s="131" t="s">
        <v>17</v>
      </c>
      <c r="E61" s="3" t="s">
        <v>40</v>
      </c>
      <c r="F61" s="3">
        <v>487</v>
      </c>
      <c r="G61" s="8">
        <v>60500</v>
      </c>
      <c r="H61" s="8">
        <f>E_Minh_TH[[#This Row],[ĐƠN GIÁ]]*E_Minh_TH[[#This Row],[SỐ LƯỢNG]]</f>
        <v>29463500</v>
      </c>
      <c r="I61" s="8"/>
      <c r="J61" s="168">
        <f ca="1">N(INDIRECT("R[-1]C", FALSE)) + E_Minh_TH[[#This Row],[THÀNH TIỀN]] - E_Minh_TH[[#This Row],[THANH TOÁN]]</f>
        <v>1264450981</v>
      </c>
      <c r="K61" s="4"/>
    </row>
    <row r="62" spans="1:11" x14ac:dyDescent="0.25">
      <c r="A62" s="108">
        <v>8508</v>
      </c>
      <c r="B62" s="98">
        <v>46114</v>
      </c>
      <c r="C62" s="2" t="s">
        <v>13</v>
      </c>
      <c r="D62" s="131" t="s">
        <v>17</v>
      </c>
      <c r="E62" s="3" t="s">
        <v>41</v>
      </c>
      <c r="F62" s="3">
        <v>624</v>
      </c>
      <c r="G62" s="8">
        <v>60500</v>
      </c>
      <c r="H62" s="8">
        <f>E_Minh_TH[[#This Row],[ĐƠN GIÁ]]*E_Minh_TH[[#This Row],[SỐ LƯỢNG]]</f>
        <v>37752000</v>
      </c>
      <c r="I62" s="8"/>
      <c r="J62" s="168">
        <f ca="1">N(INDIRECT("R[-1]C", FALSE)) + E_Minh_TH[[#This Row],[THÀNH TIỀN]] - E_Minh_TH[[#This Row],[THANH TOÁN]]</f>
        <v>1302202981</v>
      </c>
      <c r="K62" s="4"/>
    </row>
    <row r="63" spans="1:11" x14ac:dyDescent="0.25">
      <c r="A63" s="108"/>
      <c r="B63" s="98">
        <v>46114</v>
      </c>
      <c r="C63" s="2" t="s">
        <v>21</v>
      </c>
      <c r="D63" s="131" t="s">
        <v>22</v>
      </c>
      <c r="E63" s="3" t="s">
        <v>47</v>
      </c>
      <c r="F63" s="3">
        <v>0</v>
      </c>
      <c r="G63" s="8"/>
      <c r="H63" s="8">
        <f>E_Minh_TH[[#This Row],[ĐƠN GIÁ]]*E_Minh_TH[[#This Row],[SỐ LƯỢNG]]</f>
        <v>0</v>
      </c>
      <c r="I63" s="8">
        <v>9207000</v>
      </c>
      <c r="J63" s="168">
        <f ca="1">N(INDIRECT("R[-1]C", FALSE)) + E_Minh_TH[[#This Row],[THÀNH TIỀN]] - E_Minh_TH[[#This Row],[THANH TOÁN]]</f>
        <v>1292995981</v>
      </c>
      <c r="K63" s="4"/>
    </row>
    <row r="64" spans="1:11" x14ac:dyDescent="0.25">
      <c r="A64" s="108"/>
      <c r="B64" s="98">
        <v>46114</v>
      </c>
      <c r="C64" s="2" t="s">
        <v>21</v>
      </c>
      <c r="D64" s="131" t="s">
        <v>24</v>
      </c>
      <c r="E64" s="3"/>
      <c r="F64" s="3">
        <v>0</v>
      </c>
      <c r="G64" s="8"/>
      <c r="H64" s="8">
        <f>E_Minh_TH[[#This Row],[ĐƠN GIÁ]]*E_Minh_TH[[#This Row],[SỐ LƯỢNG]]</f>
        <v>0</v>
      </c>
      <c r="I64" s="8">
        <v>110000000</v>
      </c>
      <c r="J64" s="168">
        <f ca="1">N(INDIRECT("R[-1]C", FALSE)) + E_Minh_TH[[#This Row],[THÀNH TIỀN]] - E_Minh_TH[[#This Row],[THANH TOÁN]]</f>
        <v>1182995981</v>
      </c>
      <c r="K64" s="4"/>
    </row>
    <row r="65" spans="1:11" x14ac:dyDescent="0.25">
      <c r="A65" s="108"/>
      <c r="B65" s="98">
        <v>46121</v>
      </c>
      <c r="C65" s="2" t="s">
        <v>21</v>
      </c>
      <c r="D65" s="131" t="s">
        <v>22</v>
      </c>
      <c r="E65" s="3" t="s">
        <v>47</v>
      </c>
      <c r="F65" s="3">
        <v>0</v>
      </c>
      <c r="G65" s="8"/>
      <c r="H65" s="8">
        <f>E_Minh_TH[[#This Row],[ĐƠN GIÁ]]*E_Minh_TH[[#This Row],[SỐ LƯỢNG]]</f>
        <v>0</v>
      </c>
      <c r="I65" s="8">
        <v>8650000</v>
      </c>
      <c r="J65" s="168">
        <f ca="1">N(INDIRECT("R[-1]C", FALSE)) + E_Minh_TH[[#This Row],[THÀNH TIỀN]] - E_Minh_TH[[#This Row],[THANH TOÁN]]</f>
        <v>1174345981</v>
      </c>
      <c r="K65" s="4"/>
    </row>
    <row r="66" spans="1:11" x14ac:dyDescent="0.25">
      <c r="A66" s="108"/>
      <c r="B66" s="98">
        <v>46121</v>
      </c>
      <c r="C66" s="2" t="s">
        <v>21</v>
      </c>
      <c r="D66" s="131" t="s">
        <v>22</v>
      </c>
      <c r="E66" s="3" t="s">
        <v>47</v>
      </c>
      <c r="F66" s="3">
        <v>0</v>
      </c>
      <c r="G66" s="8"/>
      <c r="H66" s="8">
        <f>E_Minh_TH[[#This Row],[ĐƠN GIÁ]]*E_Minh_TH[[#This Row],[SỐ LƯỢNG]]</f>
        <v>0</v>
      </c>
      <c r="I66" s="8">
        <v>16600000</v>
      </c>
      <c r="J66" s="168">
        <f ca="1">N(INDIRECT("R[-1]C", FALSE)) + E_Minh_TH[[#This Row],[THÀNH TIỀN]] - E_Minh_TH[[#This Row],[THANH TOÁN]]</f>
        <v>1157745981</v>
      </c>
      <c r="K66" s="4"/>
    </row>
    <row r="67" spans="1:11" x14ac:dyDescent="0.25">
      <c r="A67" s="108"/>
      <c r="B67" s="98">
        <v>46124</v>
      </c>
      <c r="C67" s="2" t="s">
        <v>21</v>
      </c>
      <c r="D67" s="131" t="s">
        <v>22</v>
      </c>
      <c r="E67" s="3" t="s">
        <v>47</v>
      </c>
      <c r="F67" s="3">
        <v>0</v>
      </c>
      <c r="G67" s="8"/>
      <c r="H67" s="8">
        <f>E_Minh_TH[[#This Row],[ĐƠN GIÁ]]*E_Minh_TH[[#This Row],[SỐ LƯỢNG]]</f>
        <v>0</v>
      </c>
      <c r="I67" s="8">
        <v>53805000</v>
      </c>
      <c r="J67" s="168">
        <f ca="1">N(INDIRECT("R[-1]C", FALSE)) + E_Minh_TH[[#This Row],[THÀNH TIỀN]] - E_Minh_TH[[#This Row],[THANH TOÁN]]</f>
        <v>1103940981</v>
      </c>
      <c r="K67" s="4"/>
    </row>
    <row r="68" spans="1:11" x14ac:dyDescent="0.25">
      <c r="A68" s="108"/>
      <c r="B68" s="98">
        <v>46125</v>
      </c>
      <c r="C68" s="2" t="s">
        <v>21</v>
      </c>
      <c r="D68" s="131" t="s">
        <v>22</v>
      </c>
      <c r="E68" s="3" t="s">
        <v>47</v>
      </c>
      <c r="F68" s="3">
        <v>0</v>
      </c>
      <c r="G68" s="8"/>
      <c r="H68" s="8">
        <f>E_Minh_TH[[#This Row],[ĐƠN GIÁ]]*E_Minh_TH[[#This Row],[SỐ LƯỢNG]]</f>
        <v>0</v>
      </c>
      <c r="I68" s="8">
        <v>10913000</v>
      </c>
      <c r="J68" s="168">
        <f ca="1">N(INDIRECT("R[-1]C", FALSE)) + E_Minh_TH[[#This Row],[THÀNH TIỀN]] - E_Minh_TH[[#This Row],[THANH TOÁN]]</f>
        <v>1093027981</v>
      </c>
      <c r="K68" s="4"/>
    </row>
    <row r="69" spans="1:11" x14ac:dyDescent="0.25">
      <c r="A69" s="108"/>
      <c r="B69" s="98">
        <v>46125</v>
      </c>
      <c r="C69" s="2" t="s">
        <v>21</v>
      </c>
      <c r="D69" s="131" t="s">
        <v>22</v>
      </c>
      <c r="E69" s="3" t="s">
        <v>47</v>
      </c>
      <c r="F69" s="3">
        <v>0</v>
      </c>
      <c r="G69" s="8"/>
      <c r="H69" s="8">
        <f>E_Minh_TH[[#This Row],[ĐƠN GIÁ]]*E_Minh_TH[[#This Row],[SỐ LƯỢNG]]</f>
        <v>0</v>
      </c>
      <c r="I69" s="8">
        <v>54701000</v>
      </c>
      <c r="J69" s="168">
        <f ca="1">N(INDIRECT("R[-1]C", FALSE)) + E_Minh_TH[[#This Row],[THÀNH TIỀN]] - E_Minh_TH[[#This Row],[THANH TOÁN]]</f>
        <v>1038326981</v>
      </c>
      <c r="K69" s="4"/>
    </row>
    <row r="70" spans="1:11" x14ac:dyDescent="0.25">
      <c r="A70" s="108">
        <v>8816</v>
      </c>
      <c r="B70" s="98">
        <v>46128</v>
      </c>
      <c r="C70" s="2" t="s">
        <v>13</v>
      </c>
      <c r="D70" s="131" t="s">
        <v>17</v>
      </c>
      <c r="E70" s="3" t="s">
        <v>33</v>
      </c>
      <c r="F70" s="3">
        <v>1446</v>
      </c>
      <c r="G70" s="8">
        <v>60500</v>
      </c>
      <c r="H70" s="8">
        <f>E_Minh_TH[[#This Row],[ĐƠN GIÁ]]*E_Minh_TH[[#This Row],[SỐ LƯỢNG]]</f>
        <v>87483000</v>
      </c>
      <c r="I70" s="8"/>
      <c r="J70" s="168">
        <f ca="1">N(INDIRECT("R[-1]C", FALSE)) + E_Minh_TH[[#This Row],[THÀNH TIỀN]] - E_Minh_TH[[#This Row],[THANH TOÁN]]</f>
        <v>1125809981</v>
      </c>
      <c r="K70" s="4"/>
    </row>
    <row r="71" spans="1:11" x14ac:dyDescent="0.25">
      <c r="A71" s="108">
        <v>8816</v>
      </c>
      <c r="B71" s="98">
        <v>46128</v>
      </c>
      <c r="C71" s="2" t="s">
        <v>13</v>
      </c>
      <c r="D71" s="131" t="s">
        <v>17</v>
      </c>
      <c r="E71" s="3" t="s">
        <v>25</v>
      </c>
      <c r="F71" s="3">
        <v>1320</v>
      </c>
      <c r="G71" s="8">
        <v>60500</v>
      </c>
      <c r="H71" s="8">
        <f>E_Minh_TH[[#This Row],[ĐƠN GIÁ]]*E_Minh_TH[[#This Row],[SỐ LƯỢNG]]</f>
        <v>79860000</v>
      </c>
      <c r="I71" s="8"/>
      <c r="J71" s="168">
        <f ca="1">N(INDIRECT("R[-1]C", FALSE)) + E_Minh_TH[[#This Row],[THÀNH TIỀN]] - E_Minh_TH[[#This Row],[THANH TOÁN]]</f>
        <v>1205669981</v>
      </c>
      <c r="K71" s="4"/>
    </row>
    <row r="72" spans="1:11" x14ac:dyDescent="0.25">
      <c r="A72" s="108">
        <v>8816</v>
      </c>
      <c r="B72" s="98">
        <v>46128</v>
      </c>
      <c r="C72" s="2" t="s">
        <v>13</v>
      </c>
      <c r="D72" s="131" t="s">
        <v>43</v>
      </c>
      <c r="E72" s="3" t="s">
        <v>44</v>
      </c>
      <c r="F72" s="3">
        <v>319</v>
      </c>
      <c r="G72" s="8">
        <v>57000</v>
      </c>
      <c r="H72" s="8">
        <f>E_Minh_TH[[#This Row],[ĐƠN GIÁ]]*E_Minh_TH[[#This Row],[SỐ LƯỢNG]]</f>
        <v>18183000</v>
      </c>
      <c r="I72" s="8"/>
      <c r="J72" s="168">
        <f ca="1">N(INDIRECT("R[-1]C", FALSE)) + E_Minh_TH[[#This Row],[THÀNH TIỀN]] - E_Minh_TH[[#This Row],[THANH TOÁN]]</f>
        <v>1223852981</v>
      </c>
      <c r="K72" s="4"/>
    </row>
    <row r="73" spans="1:11" x14ac:dyDescent="0.25">
      <c r="A73" s="108">
        <v>8816</v>
      </c>
      <c r="B73" s="98">
        <v>46128</v>
      </c>
      <c r="C73" s="2" t="s">
        <v>13</v>
      </c>
      <c r="D73" s="131" t="s">
        <v>45</v>
      </c>
      <c r="E73" s="3" t="s">
        <v>46</v>
      </c>
      <c r="F73" s="3">
        <v>536</v>
      </c>
      <c r="G73" s="8">
        <v>32500</v>
      </c>
      <c r="H73" s="8">
        <f>E_Minh_TH[[#This Row],[ĐƠN GIÁ]]*E_Minh_TH[[#This Row],[SỐ LƯỢNG]]</f>
        <v>17420000</v>
      </c>
      <c r="I73" s="8"/>
      <c r="J73" s="168">
        <f ca="1">N(INDIRECT("R[-1]C", FALSE)) + E_Minh_TH[[#This Row],[THÀNH TIỀN]] - E_Minh_TH[[#This Row],[THANH TOÁN]]</f>
        <v>1241272981</v>
      </c>
      <c r="K73" s="4"/>
    </row>
    <row r="74" spans="1:11" x14ac:dyDescent="0.25">
      <c r="A74" s="108">
        <v>8816</v>
      </c>
      <c r="B74" s="98">
        <v>46128</v>
      </c>
      <c r="C74" s="2" t="s">
        <v>13</v>
      </c>
      <c r="D74" s="131" t="s">
        <v>45</v>
      </c>
      <c r="E74" s="3" t="s">
        <v>25</v>
      </c>
      <c r="F74" s="3">
        <v>948</v>
      </c>
      <c r="G74" s="8">
        <v>32500</v>
      </c>
      <c r="H74" s="8">
        <f>E_Minh_TH[[#This Row],[ĐƠN GIÁ]]*E_Minh_TH[[#This Row],[SỐ LƯỢNG]]</f>
        <v>30810000</v>
      </c>
      <c r="I74" s="8"/>
      <c r="J74" s="168">
        <f ca="1">N(INDIRECT("R[-1]C", FALSE)) + E_Minh_TH[[#This Row],[THÀNH TIỀN]] - E_Minh_TH[[#This Row],[THANH TOÁN]]</f>
        <v>1272082981</v>
      </c>
      <c r="K74" s="4"/>
    </row>
    <row r="75" spans="1:11" x14ac:dyDescent="0.25">
      <c r="A75" s="108">
        <v>8816</v>
      </c>
      <c r="B75" s="98">
        <v>46128</v>
      </c>
      <c r="C75" s="2" t="s">
        <v>13</v>
      </c>
      <c r="D75" s="131" t="s">
        <v>32</v>
      </c>
      <c r="E75" s="3" t="s">
        <v>46</v>
      </c>
      <c r="F75" s="3">
        <v>686</v>
      </c>
      <c r="G75" s="8">
        <v>41000</v>
      </c>
      <c r="H75" s="8">
        <f>E_Minh_TH[[#This Row],[ĐƠN GIÁ]]*E_Minh_TH[[#This Row],[SỐ LƯỢNG]]</f>
        <v>28126000</v>
      </c>
      <c r="I75" s="8"/>
      <c r="J75" s="168">
        <f ca="1">N(INDIRECT("R[-1]C", FALSE)) + E_Minh_TH[[#This Row],[THÀNH TIỀN]] - E_Minh_TH[[#This Row],[THANH TOÁN]]</f>
        <v>1300208981</v>
      </c>
      <c r="K75" s="4"/>
    </row>
    <row r="76" spans="1:11" x14ac:dyDescent="0.25">
      <c r="A76" s="108"/>
      <c r="B76" s="98">
        <v>46128</v>
      </c>
      <c r="C76" s="2" t="s">
        <v>21</v>
      </c>
      <c r="D76" s="131" t="s">
        <v>22</v>
      </c>
      <c r="E76" s="3" t="s">
        <v>47</v>
      </c>
      <c r="F76" s="3">
        <v>0</v>
      </c>
      <c r="G76" s="8"/>
      <c r="H76" s="8">
        <f>E_Minh_TH[[#This Row],[ĐƠN GIÁ]]*E_Minh_TH[[#This Row],[SỐ LƯỢNG]]</f>
        <v>0</v>
      </c>
      <c r="I76" s="8">
        <v>45000000</v>
      </c>
      <c r="J76" s="168">
        <f ca="1">N(INDIRECT("R[-1]C", FALSE)) + E_Minh_TH[[#This Row],[THÀNH TIỀN]] - E_Minh_TH[[#This Row],[THANH TOÁN]]</f>
        <v>1255208981</v>
      </c>
      <c r="K76" s="4"/>
    </row>
    <row r="77" spans="1:11" x14ac:dyDescent="0.25">
      <c r="A77" s="108"/>
      <c r="B77" s="98">
        <v>46128</v>
      </c>
      <c r="C77" s="2" t="s">
        <v>21</v>
      </c>
      <c r="D77" s="131" t="s">
        <v>24</v>
      </c>
      <c r="E77" s="3"/>
      <c r="F77" s="3"/>
      <c r="G77" s="8"/>
      <c r="H77" s="8">
        <f>E_Minh_TH[[#This Row],[ĐƠN GIÁ]]*E_Minh_TH[[#This Row],[SỐ LƯỢNG]]</f>
        <v>0</v>
      </c>
      <c r="I77" s="8">
        <v>30000000</v>
      </c>
      <c r="J77" s="168">
        <f ca="1">N(INDIRECT("R[-1]C", FALSE)) + E_Minh_TH[[#This Row],[THÀNH TIỀN]] - E_Minh_TH[[#This Row],[THANH TOÁN]]</f>
        <v>1225208981</v>
      </c>
      <c r="K77" s="4"/>
    </row>
    <row r="78" spans="1:11" x14ac:dyDescent="0.25">
      <c r="A78" s="108"/>
      <c r="B78" s="98">
        <v>46129</v>
      </c>
      <c r="C78" s="2" t="s">
        <v>21</v>
      </c>
      <c r="D78" s="131" t="s">
        <v>22</v>
      </c>
      <c r="E78" s="3" t="s">
        <v>47</v>
      </c>
      <c r="F78" s="3">
        <v>0</v>
      </c>
      <c r="G78" s="8"/>
      <c r="H78" s="8">
        <f>E_Minh_TH[[#This Row],[ĐƠN GIÁ]]*E_Minh_TH[[#This Row],[SỐ LƯỢNG]]</f>
        <v>0</v>
      </c>
      <c r="I78" s="8">
        <v>8835000</v>
      </c>
      <c r="J78" s="168">
        <f ca="1">N(INDIRECT("R[-1]C", FALSE)) + E_Minh_TH[[#This Row],[THÀNH TIỀN]] - E_Minh_TH[[#This Row],[THANH TOÁN]]</f>
        <v>1216373981</v>
      </c>
      <c r="K78" s="4"/>
    </row>
    <row r="79" spans="1:11" x14ac:dyDescent="0.25">
      <c r="A79" s="108"/>
      <c r="B79" s="98">
        <v>46131</v>
      </c>
      <c r="C79" s="2" t="s">
        <v>21</v>
      </c>
      <c r="D79" s="131" t="s">
        <v>22</v>
      </c>
      <c r="E79" s="3" t="s">
        <v>47</v>
      </c>
      <c r="F79" s="3">
        <v>0</v>
      </c>
      <c r="G79" s="8"/>
      <c r="H79" s="8">
        <f>E_Minh_TH[[#This Row],[ĐƠN GIÁ]]*E_Minh_TH[[#This Row],[SỐ LƯỢNG]]</f>
        <v>0</v>
      </c>
      <c r="I79" s="8">
        <v>6847000</v>
      </c>
      <c r="J79" s="168">
        <f ca="1">N(INDIRECT("R[-1]C", FALSE)) + E_Minh_TH[[#This Row],[THÀNH TIỀN]] - E_Minh_TH[[#This Row],[THANH TOÁN]]</f>
        <v>1209526981</v>
      </c>
      <c r="K79" s="4"/>
    </row>
    <row r="80" spans="1:11" x14ac:dyDescent="0.25">
      <c r="A80" s="108"/>
      <c r="B80" s="98">
        <v>46132</v>
      </c>
      <c r="C80" s="2" t="s">
        <v>21</v>
      </c>
      <c r="D80" s="131" t="s">
        <v>22</v>
      </c>
      <c r="E80" s="3" t="s">
        <v>47</v>
      </c>
      <c r="F80" s="3">
        <v>0</v>
      </c>
      <c r="G80" s="8"/>
      <c r="H80" s="8">
        <f>E_Minh_TH[[#This Row],[ĐƠN GIÁ]]*E_Minh_TH[[#This Row],[SỐ LƯỢNG]]</f>
        <v>0</v>
      </c>
      <c r="I80" s="8">
        <v>5000000</v>
      </c>
      <c r="J80" s="168">
        <f ca="1">N(INDIRECT("R[-1]C", FALSE)) + E_Minh_TH[[#This Row],[THÀNH TIỀN]] - E_Minh_TH[[#This Row],[THANH TOÁN]]</f>
        <v>1204526981</v>
      </c>
      <c r="K80" s="4"/>
    </row>
    <row r="81" spans="1:11" x14ac:dyDescent="0.25">
      <c r="A81" s="108"/>
      <c r="B81" s="98">
        <v>46132</v>
      </c>
      <c r="C81" s="2" t="s">
        <v>21</v>
      </c>
      <c r="D81" s="131" t="s">
        <v>22</v>
      </c>
      <c r="E81" s="3" t="s">
        <v>47</v>
      </c>
      <c r="F81" s="3">
        <v>0</v>
      </c>
      <c r="G81" s="8"/>
      <c r="H81" s="8">
        <f>E_Minh_TH[[#This Row],[ĐƠN GIÁ]]*E_Minh_TH[[#This Row],[SỐ LƯỢNG]]</f>
        <v>0</v>
      </c>
      <c r="I81" s="8">
        <v>4320000</v>
      </c>
      <c r="J81" s="168">
        <f ca="1">N(INDIRECT("R[-1]C", FALSE)) + E_Minh_TH[[#This Row],[THÀNH TIỀN]] - E_Minh_TH[[#This Row],[THANH TOÁN]]</f>
        <v>1200206981</v>
      </c>
      <c r="K81" s="4"/>
    </row>
    <row r="82" spans="1:11" x14ac:dyDescent="0.25">
      <c r="A82" s="108"/>
      <c r="B82" s="98">
        <v>46134</v>
      </c>
      <c r="C82" s="2" t="s">
        <v>21</v>
      </c>
      <c r="D82" s="131" t="s">
        <v>22</v>
      </c>
      <c r="E82" s="3" t="s">
        <v>47</v>
      </c>
      <c r="F82" s="3">
        <v>0</v>
      </c>
      <c r="G82" s="8"/>
      <c r="H82" s="8">
        <f>E_Minh_TH[[#This Row],[ĐƠN GIÁ]]*E_Minh_TH[[#This Row],[SỐ LƯỢNG]]</f>
        <v>0</v>
      </c>
      <c r="I82" s="8">
        <v>92891000</v>
      </c>
      <c r="J82" s="168">
        <f ca="1">N(INDIRECT("R[-1]C", FALSE)) + E_Minh_TH[[#This Row],[THÀNH TIỀN]] - E_Minh_TH[[#This Row],[THANH TOÁN]]</f>
        <v>1107315981</v>
      </c>
      <c r="K82" s="4"/>
    </row>
    <row r="83" spans="1:11" x14ac:dyDescent="0.25">
      <c r="A83" s="108"/>
      <c r="B83" s="98">
        <v>46135</v>
      </c>
      <c r="C83" s="2" t="s">
        <v>21</v>
      </c>
      <c r="D83" s="131" t="s">
        <v>22</v>
      </c>
      <c r="E83" s="3" t="s">
        <v>47</v>
      </c>
      <c r="F83" s="3">
        <v>0</v>
      </c>
      <c r="G83" s="8"/>
      <c r="H83" s="8">
        <f>E_Minh_TH[[#This Row],[ĐƠN GIÁ]]*E_Minh_TH[[#This Row],[SỐ LƯỢNG]]</f>
        <v>0</v>
      </c>
      <c r="I83" s="8">
        <v>28527000</v>
      </c>
      <c r="J83" s="168">
        <f ca="1">N(INDIRECT("R[-1]C", FALSE)) + E_Minh_TH[[#This Row],[THÀNH TIỀN]] - E_Minh_TH[[#This Row],[THANH TOÁN]]</f>
        <v>1078788981</v>
      </c>
      <c r="K83" s="4"/>
    </row>
    <row r="84" spans="1:11" x14ac:dyDescent="0.25">
      <c r="A84" s="108"/>
      <c r="B84" s="98">
        <v>46136</v>
      </c>
      <c r="C84" s="2" t="s">
        <v>21</v>
      </c>
      <c r="D84" s="131" t="s">
        <v>22</v>
      </c>
      <c r="E84" s="3" t="s">
        <v>47</v>
      </c>
      <c r="F84" s="3">
        <v>0</v>
      </c>
      <c r="G84" s="8"/>
      <c r="H84" s="8">
        <f>E_Minh_TH[[#This Row],[ĐƠN GIÁ]]*E_Minh_TH[[#This Row],[SỐ LƯỢNG]]</f>
        <v>0</v>
      </c>
      <c r="I84" s="8">
        <v>55141000</v>
      </c>
      <c r="J84" s="168">
        <f ca="1">N(INDIRECT("R[-1]C", FALSE)) + E_Minh_TH[[#This Row],[THÀNH TIỀN]] - E_Minh_TH[[#This Row],[THANH TOÁN]]</f>
        <v>1023647981</v>
      </c>
      <c r="K84" s="4"/>
    </row>
    <row r="85" spans="1:11" x14ac:dyDescent="0.25">
      <c r="A85" s="108">
        <v>9038</v>
      </c>
      <c r="B85" s="98">
        <v>46138</v>
      </c>
      <c r="C85" s="2" t="s">
        <v>13</v>
      </c>
      <c r="D85" s="131" t="s">
        <v>290</v>
      </c>
      <c r="E85" s="3" t="s">
        <v>38</v>
      </c>
      <c r="F85" s="3">
        <v>2824</v>
      </c>
      <c r="G85" s="8">
        <v>61500</v>
      </c>
      <c r="H85" s="8">
        <f>E_Minh_TH[[#This Row],[ĐƠN GIÁ]]*E_Minh_TH[[#This Row],[SỐ LƯỢNG]]</f>
        <v>173676000</v>
      </c>
      <c r="I85" s="8"/>
      <c r="J85" s="168">
        <f ca="1">N(INDIRECT("R[-1]C", FALSE)) + E_Minh_TH[[#This Row],[THÀNH TIỀN]] - E_Minh_TH[[#This Row],[THANH TOÁN]]</f>
        <v>1197323981</v>
      </c>
      <c r="K85" s="4"/>
    </row>
    <row r="86" spans="1:11" x14ac:dyDescent="0.25">
      <c r="A86" s="108">
        <v>9038</v>
      </c>
      <c r="B86" s="98">
        <v>46138</v>
      </c>
      <c r="C86" s="2" t="s">
        <v>13</v>
      </c>
      <c r="D86" s="131" t="s">
        <v>17</v>
      </c>
      <c r="E86" s="3" t="s">
        <v>41</v>
      </c>
      <c r="F86" s="3">
        <v>631</v>
      </c>
      <c r="G86" s="8">
        <v>60000</v>
      </c>
      <c r="H86" s="8">
        <f>E_Minh_TH[[#This Row],[ĐƠN GIÁ]]*E_Minh_TH[[#This Row],[SỐ LƯỢNG]]</f>
        <v>37860000</v>
      </c>
      <c r="I86" s="8"/>
      <c r="J86" s="168">
        <f ca="1">N(INDIRECT("R[-1]C", FALSE)) + E_Minh_TH[[#This Row],[THÀNH TIỀN]] - E_Minh_TH[[#This Row],[THANH TOÁN]]</f>
        <v>1235183981</v>
      </c>
      <c r="K86" s="4"/>
    </row>
    <row r="87" spans="1:11" x14ac:dyDescent="0.25">
      <c r="A87" s="108">
        <v>9038</v>
      </c>
      <c r="B87" s="98">
        <v>46138</v>
      </c>
      <c r="C87" s="2" t="s">
        <v>13</v>
      </c>
      <c r="D87" s="131" t="s">
        <v>17</v>
      </c>
      <c r="E87" s="3" t="s">
        <v>136</v>
      </c>
      <c r="F87" s="3">
        <v>552</v>
      </c>
      <c r="G87" s="8">
        <v>60000</v>
      </c>
      <c r="H87" s="8">
        <f>E_Minh_TH[[#This Row],[ĐƠN GIÁ]]*E_Minh_TH[[#This Row],[SỐ LƯỢNG]]</f>
        <v>33120000</v>
      </c>
      <c r="I87" s="8"/>
      <c r="J87" s="168">
        <f ca="1">N(INDIRECT("R[-1]C", FALSE)) + E_Minh_TH[[#This Row],[THÀNH TIỀN]] - E_Minh_TH[[#This Row],[THANH TOÁN]]</f>
        <v>1268303981</v>
      </c>
      <c r="K87" s="4"/>
    </row>
    <row r="88" spans="1:11" x14ac:dyDescent="0.25">
      <c r="A88" s="108">
        <v>9038</v>
      </c>
      <c r="B88" s="98">
        <v>46138</v>
      </c>
      <c r="C88" s="2" t="s">
        <v>13</v>
      </c>
      <c r="D88" s="131" t="s">
        <v>32</v>
      </c>
      <c r="E88" s="3" t="s">
        <v>33</v>
      </c>
      <c r="F88" s="3">
        <v>490</v>
      </c>
      <c r="G88" s="8">
        <v>41000</v>
      </c>
      <c r="H88" s="8">
        <f>E_Minh_TH[[#This Row],[ĐƠN GIÁ]]*E_Minh_TH[[#This Row],[SỐ LƯỢNG]]</f>
        <v>20090000</v>
      </c>
      <c r="I88" s="8"/>
      <c r="J88" s="168">
        <f ca="1">N(INDIRECT("R[-1]C", FALSE)) + E_Minh_TH[[#This Row],[THÀNH TIỀN]] - E_Minh_TH[[#This Row],[THANH TOÁN]]</f>
        <v>1288393981</v>
      </c>
      <c r="K88" s="4"/>
    </row>
    <row r="89" spans="1:11" x14ac:dyDescent="0.25">
      <c r="A89" s="108">
        <v>9038</v>
      </c>
      <c r="B89" s="98">
        <v>46138</v>
      </c>
      <c r="C89" s="2" t="s">
        <v>13</v>
      </c>
      <c r="D89" s="131" t="s">
        <v>26</v>
      </c>
      <c r="E89" s="3" t="s">
        <v>25</v>
      </c>
      <c r="F89" s="3">
        <v>944</v>
      </c>
      <c r="G89" s="8">
        <v>33000</v>
      </c>
      <c r="H89" s="8">
        <f>E_Minh_TH[[#This Row],[ĐƠN GIÁ]]*E_Minh_TH[[#This Row],[SỐ LƯỢNG]]</f>
        <v>31152000</v>
      </c>
      <c r="I89" s="8"/>
      <c r="J89" s="168">
        <f ca="1">N(INDIRECT("R[-1]C", FALSE)) + E_Minh_TH[[#This Row],[THÀNH TIỀN]] - E_Minh_TH[[#This Row],[THANH TOÁN]]</f>
        <v>1319545981</v>
      </c>
      <c r="K89" s="4"/>
    </row>
    <row r="90" spans="1:11" x14ac:dyDescent="0.25">
      <c r="A90" s="108">
        <v>9038</v>
      </c>
      <c r="B90" s="98">
        <v>46138</v>
      </c>
      <c r="C90" s="2" t="s">
        <v>13</v>
      </c>
      <c r="D90" s="131" t="s">
        <v>26</v>
      </c>
      <c r="E90" s="3" t="s">
        <v>33</v>
      </c>
      <c r="F90" s="3">
        <v>616</v>
      </c>
      <c r="G90" s="8">
        <v>33000</v>
      </c>
      <c r="H90" s="8">
        <f>E_Minh_TH[[#This Row],[ĐƠN GIÁ]]*E_Minh_TH[[#This Row],[SỐ LƯỢNG]]</f>
        <v>20328000</v>
      </c>
      <c r="I90" s="8"/>
      <c r="J90" s="168">
        <f ca="1">N(INDIRECT("R[-1]C", FALSE)) + E_Minh_TH[[#This Row],[THÀNH TIỀN]] - E_Minh_TH[[#This Row],[THANH TOÁN]]</f>
        <v>1339873981</v>
      </c>
      <c r="K90" s="4"/>
    </row>
    <row r="91" spans="1:11" x14ac:dyDescent="0.25">
      <c r="A91" s="32">
        <v>9038</v>
      </c>
      <c r="B91" s="99">
        <v>46138</v>
      </c>
      <c r="C91" s="5" t="s">
        <v>13</v>
      </c>
      <c r="D91" s="61" t="s">
        <v>26</v>
      </c>
      <c r="E91" s="6" t="s">
        <v>46</v>
      </c>
      <c r="F91" s="6">
        <v>542</v>
      </c>
      <c r="G91" s="9">
        <v>33000</v>
      </c>
      <c r="H91" s="9">
        <f>E_Minh_TH[[#This Row],[ĐƠN GIÁ]]*E_Minh_TH[[#This Row],[SỐ LƯỢNG]]</f>
        <v>17886000</v>
      </c>
      <c r="I91" s="9"/>
      <c r="J91" s="168">
        <f ca="1">N(INDIRECT("R[-1]C", FALSE)) + E_Minh_TH[[#This Row],[THÀNH TIỀN]] - E_Minh_TH[[#This Row],[THANH TOÁN]]</f>
        <v>1357759981</v>
      </c>
      <c r="K91" s="7"/>
    </row>
    <row r="92" spans="1:11" x14ac:dyDescent="0.25">
      <c r="A92" s="32">
        <v>9038</v>
      </c>
      <c r="B92" s="99">
        <v>46138</v>
      </c>
      <c r="C92" s="5" t="s">
        <v>13</v>
      </c>
      <c r="D92" s="61" t="s">
        <v>17</v>
      </c>
      <c r="E92" s="6" t="s">
        <v>1845</v>
      </c>
      <c r="F92" s="6">
        <v>1148</v>
      </c>
      <c r="G92" s="9">
        <v>61500</v>
      </c>
      <c r="H92" s="9">
        <f>E_Minh_TH[[#This Row],[ĐƠN GIÁ]]*E_Minh_TH[[#This Row],[SỐ LƯỢNG]]</f>
        <v>70602000</v>
      </c>
      <c r="I92" s="9"/>
      <c r="J92" s="168">
        <f ca="1">N(INDIRECT("R[-1]C", FALSE)) + E_Minh_TH[[#This Row],[THÀNH TIỀN]] - E_Minh_TH[[#This Row],[THANH TOÁN]]</f>
        <v>1428361981</v>
      </c>
      <c r="K92" s="7"/>
    </row>
    <row r="93" spans="1:11" x14ac:dyDescent="0.25">
      <c r="A93" s="32"/>
      <c r="B93" s="99">
        <v>46138</v>
      </c>
      <c r="C93" s="5" t="s">
        <v>21</v>
      </c>
      <c r="D93" s="61" t="s">
        <v>22</v>
      </c>
      <c r="E93" s="6" t="s">
        <v>47</v>
      </c>
      <c r="F93" s="6">
        <v>0</v>
      </c>
      <c r="G93" s="9"/>
      <c r="H93" s="9">
        <f>E_Minh_TH[[#This Row],[ĐƠN GIÁ]]*E_Minh_TH[[#This Row],[SỐ LƯỢNG]]</f>
        <v>0</v>
      </c>
      <c r="I93" s="9">
        <v>33000000</v>
      </c>
      <c r="J93" s="168">
        <f ca="1">N(INDIRECT("R[-1]C", FALSE)) + E_Minh_TH[[#This Row],[THÀNH TIỀN]] - E_Minh_TH[[#This Row],[THANH TOÁN]]</f>
        <v>1395361981</v>
      </c>
      <c r="K93" s="7"/>
    </row>
    <row r="94" spans="1:11" x14ac:dyDescent="0.25">
      <c r="A94" s="32"/>
      <c r="B94" s="99">
        <v>46138</v>
      </c>
      <c r="C94" s="5" t="s">
        <v>21</v>
      </c>
      <c r="D94" s="61" t="s">
        <v>24</v>
      </c>
      <c r="E94" s="6"/>
      <c r="F94" s="6"/>
      <c r="G94" s="9"/>
      <c r="H94" s="9">
        <f>E_Minh_TH[[#This Row],[ĐƠN GIÁ]]*E_Minh_TH[[#This Row],[SỐ LƯỢNG]]</f>
        <v>0</v>
      </c>
      <c r="I94" s="9">
        <v>50000000</v>
      </c>
      <c r="J94" s="168">
        <f ca="1">N(INDIRECT("R[-1]C", FALSE)) + E_Minh_TH[[#This Row],[THÀNH TIỀN]] - E_Minh_TH[[#This Row],[THANH TOÁN]]</f>
        <v>1345361981</v>
      </c>
      <c r="K94" s="7"/>
    </row>
    <row r="95" spans="1:11" x14ac:dyDescent="0.25">
      <c r="A95" s="32"/>
      <c r="B95" s="99">
        <v>46144</v>
      </c>
      <c r="C95" s="5" t="s">
        <v>21</v>
      </c>
      <c r="D95" s="61" t="s">
        <v>22</v>
      </c>
      <c r="E95" s="6" t="s">
        <v>47</v>
      </c>
      <c r="F95" s="6">
        <v>0</v>
      </c>
      <c r="G95" s="9"/>
      <c r="H95" s="9">
        <f>E_Minh_TH[[#This Row],[ĐƠN GIÁ]]*E_Minh_TH[[#This Row],[SỐ LƯỢNG]]</f>
        <v>0</v>
      </c>
      <c r="I95" s="9">
        <v>29600000</v>
      </c>
      <c r="J95" s="168">
        <f ca="1">N(INDIRECT("R[-1]C", FALSE)) + E_Minh_TH[[#This Row],[THÀNH TIỀN]] - E_Minh_TH[[#This Row],[THANH TOÁN]]</f>
        <v>1315761981</v>
      </c>
      <c r="K95" s="7"/>
    </row>
    <row r="96" spans="1:11" x14ac:dyDescent="0.25">
      <c r="A96" s="32"/>
      <c r="B96" s="99">
        <v>46145</v>
      </c>
      <c r="C96" s="5" t="s">
        <v>21</v>
      </c>
      <c r="D96" s="61" t="s">
        <v>22</v>
      </c>
      <c r="E96" s="6" t="s">
        <v>47</v>
      </c>
      <c r="F96" s="6">
        <v>0</v>
      </c>
      <c r="G96" s="9"/>
      <c r="H96" s="9">
        <f>E_Minh_TH[[#This Row],[ĐƠN GIÁ]]*E_Minh_TH[[#This Row],[SỐ LƯỢNG]]</f>
        <v>0</v>
      </c>
      <c r="I96" s="9">
        <v>52800000</v>
      </c>
      <c r="J96" s="168">
        <f ca="1">N(INDIRECT("R[-1]C", FALSE)) + E_Minh_TH[[#This Row],[THÀNH TIỀN]] - E_Minh_TH[[#This Row],[THANH TOÁN]]</f>
        <v>1262961981</v>
      </c>
      <c r="K96" s="7"/>
    </row>
    <row r="97" spans="1:11" x14ac:dyDescent="0.25">
      <c r="A97" s="32"/>
      <c r="B97" s="99">
        <v>46146</v>
      </c>
      <c r="C97" s="5" t="s">
        <v>21</v>
      </c>
      <c r="D97" s="61" t="s">
        <v>22</v>
      </c>
      <c r="E97" s="6" t="s">
        <v>47</v>
      </c>
      <c r="F97" s="6">
        <v>0</v>
      </c>
      <c r="G97" s="9"/>
      <c r="H97" s="9">
        <f>E_Minh_TH[[#This Row],[ĐƠN GIÁ]]*E_Minh_TH[[#This Row],[SỐ LƯỢNG]]</f>
        <v>0</v>
      </c>
      <c r="I97" s="9">
        <v>45770000</v>
      </c>
      <c r="J97" s="168">
        <f ca="1">N(INDIRECT("R[-1]C", FALSE)) + E_Minh_TH[[#This Row],[THÀNH TIỀN]] - E_Minh_TH[[#This Row],[THANH TOÁN]]</f>
        <v>1217191981</v>
      </c>
      <c r="K97" s="7"/>
    </row>
    <row r="98" spans="1:11" x14ac:dyDescent="0.25">
      <c r="A98" s="32"/>
      <c r="B98" s="99">
        <v>46146</v>
      </c>
      <c r="C98" s="5" t="s">
        <v>21</v>
      </c>
      <c r="D98" s="61" t="s">
        <v>22</v>
      </c>
      <c r="E98" s="6" t="s">
        <v>47</v>
      </c>
      <c r="F98" s="6">
        <v>0</v>
      </c>
      <c r="G98" s="9"/>
      <c r="H98" s="9">
        <f>E_Minh_TH[[#This Row],[ĐƠN GIÁ]]*E_Minh_TH[[#This Row],[SỐ LƯỢNG]]</f>
        <v>0</v>
      </c>
      <c r="I98" s="9">
        <v>20265000</v>
      </c>
      <c r="J98" s="168">
        <f ca="1">N(INDIRECT("R[-1]C", FALSE)) + E_Minh_TH[[#This Row],[THÀNH TIỀN]] - E_Minh_TH[[#This Row],[THANH TOÁN]]</f>
        <v>1196926981</v>
      </c>
      <c r="K98" s="7"/>
    </row>
    <row r="99" spans="1:11" x14ac:dyDescent="0.25">
      <c r="A99" s="32">
        <v>9203</v>
      </c>
      <c r="B99" s="99">
        <v>46148</v>
      </c>
      <c r="C99" s="5" t="s">
        <v>13</v>
      </c>
      <c r="D99" s="61" t="s">
        <v>17</v>
      </c>
      <c r="E99" s="6" t="s">
        <v>25</v>
      </c>
      <c r="F99" s="6">
        <v>1068</v>
      </c>
      <c r="G99" s="9">
        <v>63500</v>
      </c>
      <c r="H99" s="9">
        <f>E_Minh_TH[[#This Row],[ĐƠN GIÁ]]*E_Minh_TH[[#This Row],[SỐ LƯỢNG]]</f>
        <v>67818000</v>
      </c>
      <c r="I99" s="9"/>
      <c r="J99" s="168">
        <f ca="1">N(INDIRECT("R[-1]C", FALSE)) + E_Minh_TH[[#This Row],[THÀNH TIỀN]] - E_Minh_TH[[#This Row],[THANH TOÁN]]</f>
        <v>1264744981</v>
      </c>
      <c r="K99" s="7"/>
    </row>
    <row r="100" spans="1:11" x14ac:dyDescent="0.25">
      <c r="A100" s="108">
        <v>9203</v>
      </c>
      <c r="B100" s="98">
        <v>46148</v>
      </c>
      <c r="C100" s="2" t="s">
        <v>13</v>
      </c>
      <c r="D100" s="131" t="s">
        <v>17</v>
      </c>
      <c r="E100" s="3" t="s">
        <v>33</v>
      </c>
      <c r="F100" s="3">
        <v>2013</v>
      </c>
      <c r="G100" s="8">
        <v>63500</v>
      </c>
      <c r="H100" s="8">
        <f>E_Minh_TH[[#This Row],[ĐƠN GIÁ]]*E_Minh_TH[[#This Row],[SỐ LƯỢNG]]</f>
        <v>127825500</v>
      </c>
      <c r="I100" s="8"/>
      <c r="J100" s="168">
        <f ca="1">N(INDIRECT("R[-1]C", FALSE)) + E_Minh_TH[[#This Row],[THÀNH TIỀN]] - E_Minh_TH[[#This Row],[THANH TOÁN]]</f>
        <v>1392570481</v>
      </c>
      <c r="K100" s="4"/>
    </row>
    <row r="101" spans="1:11" x14ac:dyDescent="0.25">
      <c r="A101" s="108">
        <v>9203</v>
      </c>
      <c r="B101" s="98">
        <v>46148</v>
      </c>
      <c r="C101" s="2" t="s">
        <v>13</v>
      </c>
      <c r="D101" s="131" t="s">
        <v>17</v>
      </c>
      <c r="E101" s="3" t="s">
        <v>46</v>
      </c>
      <c r="F101" s="3">
        <v>1362</v>
      </c>
      <c r="G101" s="8">
        <v>63500</v>
      </c>
      <c r="H101" s="8">
        <f>E_Minh_TH[[#This Row],[ĐƠN GIÁ]]*E_Minh_TH[[#This Row],[SỐ LƯỢNG]]</f>
        <v>86487000</v>
      </c>
      <c r="I101" s="8"/>
      <c r="J101" s="168">
        <f ca="1">N(INDIRECT("R[-1]C", FALSE)) + E_Minh_TH[[#This Row],[THÀNH TIỀN]] - E_Minh_TH[[#This Row],[THANH TOÁN]]</f>
        <v>1479057481</v>
      </c>
      <c r="K101" s="4"/>
    </row>
    <row r="102" spans="1:11" x14ac:dyDescent="0.25">
      <c r="A102" s="108">
        <v>9203</v>
      </c>
      <c r="B102" s="98">
        <v>46148</v>
      </c>
      <c r="C102" s="2" t="s">
        <v>13</v>
      </c>
      <c r="D102" s="131" t="s">
        <v>43</v>
      </c>
      <c r="E102" s="3" t="s">
        <v>38</v>
      </c>
      <c r="F102" s="3">
        <v>1082</v>
      </c>
      <c r="G102" s="8">
        <v>58000</v>
      </c>
      <c r="H102" s="8">
        <f>E_Minh_TH[[#This Row],[ĐƠN GIÁ]]*E_Minh_TH[[#This Row],[SỐ LƯỢNG]]</f>
        <v>62756000</v>
      </c>
      <c r="I102" s="8"/>
      <c r="J102" s="168">
        <f ca="1">N(INDIRECT("R[-1]C", FALSE)) + E_Minh_TH[[#This Row],[THÀNH TIỀN]] - E_Minh_TH[[#This Row],[THANH TOÁN]]</f>
        <v>1541813481</v>
      </c>
      <c r="K102" s="4"/>
    </row>
    <row r="103" spans="1:11" x14ac:dyDescent="0.25">
      <c r="A103" s="108">
        <v>9203</v>
      </c>
      <c r="B103" s="98">
        <v>46148</v>
      </c>
      <c r="C103" s="2" t="s">
        <v>13</v>
      </c>
      <c r="D103" s="131" t="s">
        <v>45</v>
      </c>
      <c r="E103" s="3" t="s">
        <v>46</v>
      </c>
      <c r="F103" s="3">
        <v>1052</v>
      </c>
      <c r="G103" s="8">
        <v>33000</v>
      </c>
      <c r="H103" s="8">
        <f>E_Minh_TH[[#This Row],[ĐƠN GIÁ]]*E_Minh_TH[[#This Row],[SỐ LƯỢNG]]</f>
        <v>34716000</v>
      </c>
      <c r="I103" s="8"/>
      <c r="J103" s="168">
        <f ca="1">N(INDIRECT("R[-1]C", FALSE)) + E_Minh_TH[[#This Row],[THÀNH TIỀN]] - E_Minh_TH[[#This Row],[THANH TOÁN]]</f>
        <v>1576529481</v>
      </c>
      <c r="K103" s="4"/>
    </row>
    <row r="104" spans="1:11" x14ac:dyDescent="0.25">
      <c r="A104" s="108"/>
      <c r="B104" s="98">
        <v>46149</v>
      </c>
      <c r="C104" s="2" t="s">
        <v>21</v>
      </c>
      <c r="D104" s="131" t="s">
        <v>22</v>
      </c>
      <c r="E104" s="3" t="s">
        <v>47</v>
      </c>
      <c r="F104" s="3">
        <v>0</v>
      </c>
      <c r="G104" s="8"/>
      <c r="H104" s="8">
        <f>E_Minh_TH[[#This Row],[ĐƠN GIÁ]]*E_Minh_TH[[#This Row],[SỐ LƯỢNG]]</f>
        <v>0</v>
      </c>
      <c r="I104" s="8">
        <v>8000000</v>
      </c>
      <c r="J104" s="168">
        <f ca="1">N(INDIRECT("R[-1]C", FALSE)) + E_Minh_TH[[#This Row],[THÀNH TIỀN]] - E_Minh_TH[[#This Row],[THANH TOÁN]]</f>
        <v>1568529481</v>
      </c>
      <c r="K104" s="4"/>
    </row>
    <row r="105" spans="1:11" x14ac:dyDescent="0.25">
      <c r="A105" s="108"/>
      <c r="B105" s="98">
        <v>46153</v>
      </c>
      <c r="C105" s="2" t="s">
        <v>21</v>
      </c>
      <c r="D105" s="131" t="s">
        <v>22</v>
      </c>
      <c r="E105" s="3" t="s">
        <v>47</v>
      </c>
      <c r="F105" s="3">
        <v>0</v>
      </c>
      <c r="G105" s="8"/>
      <c r="H105" s="8">
        <f>E_Minh_TH[[#This Row],[ĐƠN GIÁ]]*E_Minh_TH[[#This Row],[SỐ LƯỢNG]]</f>
        <v>0</v>
      </c>
      <c r="I105" s="8">
        <v>15565555</v>
      </c>
      <c r="J105" s="168">
        <f ca="1">N(INDIRECT("R[-1]C", FALSE)) + E_Minh_TH[[#This Row],[THÀNH TIỀN]] - E_Minh_TH[[#This Row],[THANH TOÁN]]</f>
        <v>1552963926</v>
      </c>
      <c r="K105" s="4"/>
    </row>
    <row r="106" spans="1:11" x14ac:dyDescent="0.25">
      <c r="A106" s="108"/>
      <c r="B106" s="98">
        <v>46155</v>
      </c>
      <c r="C106" s="2" t="s">
        <v>21</v>
      </c>
      <c r="D106" s="131" t="s">
        <v>22</v>
      </c>
      <c r="E106" s="3" t="s">
        <v>47</v>
      </c>
      <c r="F106" s="3">
        <v>0</v>
      </c>
      <c r="G106" s="8"/>
      <c r="H106" s="8">
        <f>E_Minh_TH[[#This Row],[ĐƠN GIÁ]]*E_Minh_TH[[#This Row],[SỐ LƯỢNG]]</f>
        <v>0</v>
      </c>
      <c r="I106" s="8">
        <v>70000000</v>
      </c>
      <c r="J106" s="168">
        <f ca="1">N(INDIRECT("R[-1]C", FALSE)) + E_Minh_TH[[#This Row],[THÀNH TIỀN]] - E_Minh_TH[[#This Row],[THANH TOÁN]]</f>
        <v>1482963926</v>
      </c>
      <c r="K106" s="4"/>
    </row>
    <row r="107" spans="1:11" x14ac:dyDescent="0.25">
      <c r="A107" s="108"/>
      <c r="B107" s="98">
        <v>46155</v>
      </c>
      <c r="C107" s="2" t="s">
        <v>21</v>
      </c>
      <c r="D107" s="131" t="s">
        <v>22</v>
      </c>
      <c r="E107" s="3" t="s">
        <v>47</v>
      </c>
      <c r="F107" s="3">
        <v>0</v>
      </c>
      <c r="G107" s="8"/>
      <c r="H107" s="8">
        <f>E_Minh_TH[[#This Row],[ĐƠN GIÁ]]*E_Minh_TH[[#This Row],[SỐ LƯỢNG]]</f>
        <v>0</v>
      </c>
      <c r="I107" s="8">
        <v>4000000</v>
      </c>
      <c r="J107" s="168">
        <f ca="1">N(INDIRECT("R[-1]C", FALSE)) + E_Minh_TH[[#This Row],[THÀNH TIỀN]] - E_Minh_TH[[#This Row],[THANH TOÁN]]</f>
        <v>1478963926</v>
      </c>
      <c r="K107" s="4"/>
    </row>
    <row r="108" spans="1:11" x14ac:dyDescent="0.25">
      <c r="A108" s="108"/>
      <c r="B108" s="98">
        <v>46156</v>
      </c>
      <c r="C108" s="2" t="s">
        <v>21</v>
      </c>
      <c r="D108" s="131" t="s">
        <v>22</v>
      </c>
      <c r="E108" s="3" t="s">
        <v>47</v>
      </c>
      <c r="F108" s="3">
        <v>0</v>
      </c>
      <c r="G108" s="8"/>
      <c r="H108" s="8">
        <f>E_Minh_TH[[#This Row],[ĐƠN GIÁ]]*E_Minh_TH[[#This Row],[SỐ LƯỢNG]]</f>
        <v>0</v>
      </c>
      <c r="I108" s="8">
        <v>14755000</v>
      </c>
      <c r="J108" s="168">
        <f ca="1">N(INDIRECT("R[-1]C", FALSE)) + E_Minh_TH[[#This Row],[THÀNH TIỀN]] - E_Minh_TH[[#This Row],[THANH TOÁN]]</f>
        <v>1464208926</v>
      </c>
      <c r="K108" s="4"/>
    </row>
    <row r="109" spans="1:11" x14ac:dyDescent="0.25">
      <c r="A109" s="108"/>
      <c r="B109" s="98">
        <v>46156</v>
      </c>
      <c r="C109" s="2" t="s">
        <v>21</v>
      </c>
      <c r="D109" s="131" t="s">
        <v>22</v>
      </c>
      <c r="E109" s="3" t="s">
        <v>47</v>
      </c>
      <c r="F109" s="3">
        <v>0</v>
      </c>
      <c r="G109" s="8"/>
      <c r="H109" s="8">
        <f>E_Minh_TH[[#This Row],[ĐƠN GIÁ]]*E_Minh_TH[[#This Row],[SỐ LƯỢNG]]</f>
        <v>0</v>
      </c>
      <c r="I109" s="8">
        <v>19200000</v>
      </c>
      <c r="J109" s="168">
        <f ca="1">N(INDIRECT("R[-1]C", FALSE)) + E_Minh_TH[[#This Row],[THÀNH TIỀN]] - E_Minh_TH[[#This Row],[THANH TOÁN]]</f>
        <v>1445008926</v>
      </c>
      <c r="K109" s="4"/>
    </row>
    <row r="110" spans="1:11" x14ac:dyDescent="0.25">
      <c r="A110" s="108"/>
      <c r="B110" s="98">
        <v>46157</v>
      </c>
      <c r="C110" s="2" t="s">
        <v>21</v>
      </c>
      <c r="D110" s="131" t="s">
        <v>22</v>
      </c>
      <c r="E110" s="3" t="s">
        <v>47</v>
      </c>
      <c r="F110" s="3">
        <v>0</v>
      </c>
      <c r="G110" s="8"/>
      <c r="H110" s="8">
        <f>E_Minh_TH[[#This Row],[ĐƠN GIÁ]]*E_Minh_TH[[#This Row],[SỐ LƯỢNG]]</f>
        <v>0</v>
      </c>
      <c r="I110" s="8">
        <v>16000000</v>
      </c>
      <c r="J110" s="168">
        <f ca="1">N(INDIRECT("R[-1]C", FALSE)) + E_Minh_TH[[#This Row],[THÀNH TIỀN]] - E_Minh_TH[[#This Row],[THANH TOÁN]]</f>
        <v>1429008926</v>
      </c>
      <c r="K110" s="4"/>
    </row>
    <row r="111" spans="1:11" x14ac:dyDescent="0.25">
      <c r="A111" s="108"/>
      <c r="B111" s="98">
        <v>46157</v>
      </c>
      <c r="C111" s="2" t="s">
        <v>21</v>
      </c>
      <c r="D111" s="131" t="s">
        <v>22</v>
      </c>
      <c r="E111" s="3" t="s">
        <v>47</v>
      </c>
      <c r="F111" s="3">
        <v>0</v>
      </c>
      <c r="G111" s="8"/>
      <c r="H111" s="8">
        <f>E_Minh_TH[[#This Row],[ĐƠN GIÁ]]*E_Minh_TH[[#This Row],[SỐ LƯỢNG]]</f>
        <v>0</v>
      </c>
      <c r="I111" s="8">
        <v>46918000</v>
      </c>
      <c r="J111" s="168">
        <f ca="1">N(INDIRECT("R[-1]C", FALSE)) + E_Minh_TH[[#This Row],[THÀNH TIỀN]] - E_Minh_TH[[#This Row],[THANH TOÁN]]</f>
        <v>1382090926</v>
      </c>
      <c r="K111" s="4"/>
    </row>
    <row r="112" spans="1:11" x14ac:dyDescent="0.25">
      <c r="A112" s="108"/>
      <c r="B112" s="98">
        <v>46158</v>
      </c>
      <c r="C112" s="2" t="s">
        <v>21</v>
      </c>
      <c r="D112" s="131" t="s">
        <v>22</v>
      </c>
      <c r="E112" s="3" t="s">
        <v>47</v>
      </c>
      <c r="F112" s="3">
        <v>0</v>
      </c>
      <c r="G112" s="8"/>
      <c r="H112" s="8">
        <f>E_Minh_TH[[#This Row],[ĐƠN GIÁ]]*E_Minh_TH[[#This Row],[SỐ LƯỢNG]]</f>
        <v>0</v>
      </c>
      <c r="I112" s="8">
        <v>50000000</v>
      </c>
      <c r="J112" s="168">
        <f ca="1">N(INDIRECT("R[-1]C", FALSE)) + E_Minh_TH[[#This Row],[THÀNH TIỀN]] - E_Minh_TH[[#This Row],[THANH TOÁN]]</f>
        <v>1332090926</v>
      </c>
      <c r="K112" s="4"/>
    </row>
    <row r="113" spans="1:11" x14ac:dyDescent="0.25">
      <c r="A113" s="108"/>
      <c r="B113" s="98">
        <v>46158</v>
      </c>
      <c r="C113" s="2" t="s">
        <v>13</v>
      </c>
      <c r="D113" s="131" t="s">
        <v>2029</v>
      </c>
      <c r="E113" s="3"/>
      <c r="F113" s="3">
        <v>1</v>
      </c>
      <c r="G113" s="8">
        <v>4554000</v>
      </c>
      <c r="H113" s="8">
        <f>E_Minh_TH[[#This Row],[ĐƠN GIÁ]]*E_Minh_TH[[#This Row],[SỐ LƯỢNG]]</f>
        <v>4554000</v>
      </c>
      <c r="I113" s="8"/>
      <c r="J113" s="168">
        <f ca="1">N(INDIRECT("R[-1]C", FALSE)) + E_Minh_TH[[#This Row],[THÀNH TIỀN]] - E_Minh_TH[[#This Row],[THANH TOÁN]]</f>
        <v>1336644926</v>
      </c>
      <c r="K113" s="4"/>
    </row>
    <row r="114" spans="1:11" x14ac:dyDescent="0.25">
      <c r="A114" s="190">
        <v>9428</v>
      </c>
      <c r="B114" s="191">
        <v>46158</v>
      </c>
      <c r="C114" s="192" t="s">
        <v>13</v>
      </c>
      <c r="D114" s="193" t="s">
        <v>17</v>
      </c>
      <c r="E114" s="194" t="s">
        <v>46</v>
      </c>
      <c r="F114" s="194">
        <v>524</v>
      </c>
      <c r="G114" s="195">
        <v>62500</v>
      </c>
      <c r="H114" s="195">
        <f>E_Minh_TH[[#This Row],[ĐƠN GIÁ]]*E_Minh_TH[[#This Row],[SỐ LƯỢNG]]</f>
        <v>32750000</v>
      </c>
      <c r="I114" s="195"/>
      <c r="J114" s="196">
        <f ca="1">N(INDIRECT("R[-1]C", FALSE)) + E_Minh_TH[[#This Row],[THÀNH TIỀN]] - E_Minh_TH[[#This Row],[THANH TOÁN]]</f>
        <v>1369394926</v>
      </c>
      <c r="K114" s="197"/>
    </row>
    <row r="115" spans="1:11" x14ac:dyDescent="0.25">
      <c r="A115" s="108">
        <v>9428</v>
      </c>
      <c r="B115" s="98">
        <v>46158</v>
      </c>
      <c r="C115" s="2" t="s">
        <v>13</v>
      </c>
      <c r="D115" s="131" t="s">
        <v>17</v>
      </c>
      <c r="E115" s="3" t="s">
        <v>640</v>
      </c>
      <c r="F115" s="3">
        <v>492</v>
      </c>
      <c r="G115" s="8">
        <v>62500</v>
      </c>
      <c r="H115" s="8">
        <f>E_Minh_TH[[#This Row],[ĐƠN GIÁ]]*E_Minh_TH[[#This Row],[SỐ LƯỢNG]]</f>
        <v>30750000</v>
      </c>
      <c r="I115" s="8"/>
      <c r="J115" s="168">
        <f ca="1">N(INDIRECT("R[-1]C", FALSE)) + E_Minh_TH[[#This Row],[THÀNH TIỀN]] - E_Minh_TH[[#This Row],[THANH TOÁN]]</f>
        <v>1400144926</v>
      </c>
      <c r="K115" s="4"/>
    </row>
    <row r="116" spans="1:11" x14ac:dyDescent="0.25">
      <c r="A116" s="108">
        <v>9428</v>
      </c>
      <c r="B116" s="98">
        <v>46158</v>
      </c>
      <c r="C116" s="2" t="s">
        <v>13</v>
      </c>
      <c r="D116" s="131" t="s">
        <v>17</v>
      </c>
      <c r="E116" s="3" t="s">
        <v>38</v>
      </c>
      <c r="F116" s="3">
        <v>3038</v>
      </c>
      <c r="G116" s="8">
        <v>62500</v>
      </c>
      <c r="H116" s="8">
        <f>E_Minh_TH[[#This Row],[ĐƠN GIÁ]]*E_Minh_TH[[#This Row],[SỐ LƯỢNG]]</f>
        <v>189875000</v>
      </c>
      <c r="I116" s="8"/>
      <c r="J116" s="168">
        <f ca="1">N(INDIRECT("R[-1]C", FALSE)) + E_Minh_TH[[#This Row],[THÀNH TIỀN]] - E_Minh_TH[[#This Row],[THANH TOÁN]]</f>
        <v>1590019926</v>
      </c>
      <c r="K116" s="4"/>
    </row>
    <row r="117" spans="1:11" x14ac:dyDescent="0.25">
      <c r="A117" s="108">
        <v>9428</v>
      </c>
      <c r="B117" s="98">
        <v>46158</v>
      </c>
      <c r="C117" s="2" t="s">
        <v>13</v>
      </c>
      <c r="D117" s="131" t="s">
        <v>14</v>
      </c>
      <c r="E117" s="3" t="s">
        <v>33</v>
      </c>
      <c r="F117" s="3">
        <v>1022</v>
      </c>
      <c r="G117" s="8">
        <v>45000</v>
      </c>
      <c r="H117" s="8">
        <f>E_Minh_TH[[#This Row],[ĐƠN GIÁ]]*E_Minh_TH[[#This Row],[SỐ LƯỢNG]]</f>
        <v>45990000</v>
      </c>
      <c r="I117" s="8"/>
      <c r="J117" s="168">
        <f ca="1">N(INDIRECT("R[-1]C", FALSE)) + E_Minh_TH[[#This Row],[THÀNH TIỀN]] - E_Minh_TH[[#This Row],[THANH TOÁN]]</f>
        <v>1636009926</v>
      </c>
      <c r="K117" s="4"/>
    </row>
    <row r="118" spans="1:11" x14ac:dyDescent="0.25">
      <c r="A118" s="108">
        <v>9428</v>
      </c>
      <c r="B118" s="98">
        <v>46158</v>
      </c>
      <c r="C118" s="2" t="s">
        <v>13</v>
      </c>
      <c r="D118" s="131" t="s">
        <v>26</v>
      </c>
      <c r="E118" s="3" t="s">
        <v>38</v>
      </c>
      <c r="F118" s="3">
        <v>1942</v>
      </c>
      <c r="G118" s="8">
        <v>32500</v>
      </c>
      <c r="H118" s="8">
        <f>E_Minh_TH[[#This Row],[ĐƠN GIÁ]]*E_Minh_TH[[#This Row],[SỐ LƯỢNG]]</f>
        <v>63115000</v>
      </c>
      <c r="I118" s="8"/>
      <c r="J118" s="168">
        <f ca="1">N(INDIRECT("R[-1]C", FALSE)) + E_Minh_TH[[#This Row],[THÀNH TIỀN]] - E_Minh_TH[[#This Row],[THANH TOÁN]]</f>
        <v>1699124926</v>
      </c>
      <c r="K118" s="4"/>
    </row>
    <row r="119" spans="1:11" x14ac:dyDescent="0.25">
      <c r="A119" s="108">
        <v>9428</v>
      </c>
      <c r="B119" s="98">
        <v>46158</v>
      </c>
      <c r="C119" s="2" t="s">
        <v>13</v>
      </c>
      <c r="D119" s="131" t="s">
        <v>17</v>
      </c>
      <c r="E119" s="3" t="s">
        <v>469</v>
      </c>
      <c r="F119" s="3">
        <v>66</v>
      </c>
      <c r="G119" s="8">
        <v>67000</v>
      </c>
      <c r="H119" s="8">
        <f>E_Minh_TH[[#This Row],[ĐƠN GIÁ]]*E_Minh_TH[[#This Row],[SỐ LƯỢNG]]</f>
        <v>4422000</v>
      </c>
      <c r="I119" s="8"/>
      <c r="J119" s="168">
        <f ca="1">N(INDIRECT("R[-1]C", FALSE)) + E_Minh_TH[[#This Row],[THÀNH TIỀN]] - E_Minh_TH[[#This Row],[THANH TOÁN]]</f>
        <v>1703546926</v>
      </c>
      <c r="K119" s="4"/>
    </row>
    <row r="120" spans="1:11" x14ac:dyDescent="0.25">
      <c r="A120" s="108"/>
      <c r="B120" s="98">
        <v>46159</v>
      </c>
      <c r="C120" s="2" t="s">
        <v>21</v>
      </c>
      <c r="D120" s="131" t="s">
        <v>22</v>
      </c>
      <c r="E120" s="3" t="s">
        <v>47</v>
      </c>
      <c r="F120" s="3">
        <v>0</v>
      </c>
      <c r="G120" s="8"/>
      <c r="H120" s="8">
        <f>E_Minh_TH[[#This Row],[ĐƠN GIÁ]]*E_Minh_TH[[#This Row],[SỐ LƯỢNG]]</f>
        <v>0</v>
      </c>
      <c r="I120" s="8">
        <v>30540000</v>
      </c>
      <c r="J120" s="168">
        <f ca="1">N(INDIRECT("R[-1]C", FALSE)) + E_Minh_TH[[#This Row],[THÀNH TIỀN]] - E_Minh_TH[[#This Row],[THANH TOÁN]]</f>
        <v>1673006926</v>
      </c>
      <c r="K120" s="4"/>
    </row>
    <row r="121" spans="1:11" x14ac:dyDescent="0.25">
      <c r="A121" s="108"/>
      <c r="B121" s="98">
        <v>46160</v>
      </c>
      <c r="C121" s="2" t="s">
        <v>21</v>
      </c>
      <c r="D121" s="131" t="s">
        <v>22</v>
      </c>
      <c r="E121" s="3" t="s">
        <v>2067</v>
      </c>
      <c r="F121" s="3">
        <v>0</v>
      </c>
      <c r="G121" s="8"/>
      <c r="H121" s="8">
        <f>E_Minh_TH[[#This Row],[ĐƠN GIÁ]]*E_Minh_TH[[#This Row],[SỐ LƯỢNG]]</f>
        <v>0</v>
      </c>
      <c r="I121" s="8">
        <v>20000000</v>
      </c>
      <c r="J121" s="168">
        <f ca="1">N(INDIRECT("R[-1]C", FALSE)) + E_Minh_TH[[#This Row],[THÀNH TIỀN]] - E_Minh_TH[[#This Row],[THANH TOÁN]]</f>
        <v>1653006926</v>
      </c>
      <c r="K121" s="4"/>
    </row>
    <row r="122" spans="1:11" x14ac:dyDescent="0.25">
      <c r="A122" s="108"/>
      <c r="B122" s="98">
        <v>46160</v>
      </c>
      <c r="C122" s="2" t="s">
        <v>21</v>
      </c>
      <c r="D122" s="131" t="s">
        <v>22</v>
      </c>
      <c r="E122" s="3" t="s">
        <v>47</v>
      </c>
      <c r="F122" s="3">
        <v>0</v>
      </c>
      <c r="G122" s="8"/>
      <c r="H122" s="8">
        <f>E_Minh_TH[[#This Row],[ĐƠN GIÁ]]*E_Minh_TH[[#This Row],[SỐ LƯỢNG]]</f>
        <v>0</v>
      </c>
      <c r="I122" s="8">
        <v>15000000</v>
      </c>
      <c r="J122" s="168">
        <f ca="1">N(INDIRECT("R[-1]C", FALSE)) + E_Minh_TH[[#This Row],[THÀNH TIỀN]] - E_Minh_TH[[#This Row],[THANH TOÁN]]</f>
        <v>1638006926</v>
      </c>
      <c r="K122" s="4"/>
    </row>
    <row r="123" spans="1:11" x14ac:dyDescent="0.25">
      <c r="A123" s="108"/>
      <c r="B123" s="98">
        <v>46160</v>
      </c>
      <c r="C123" s="2" t="s">
        <v>21</v>
      </c>
      <c r="D123" s="131" t="s">
        <v>22</v>
      </c>
      <c r="E123" s="3" t="s">
        <v>47</v>
      </c>
      <c r="F123" s="3">
        <v>0</v>
      </c>
      <c r="G123" s="8"/>
      <c r="H123" s="8">
        <f>E_Minh_TH[[#This Row],[ĐƠN GIÁ]]*E_Minh_TH[[#This Row],[SỐ LƯỢNG]]</f>
        <v>0</v>
      </c>
      <c r="I123" s="8">
        <v>10000000</v>
      </c>
      <c r="J123" s="168">
        <f ca="1">N(INDIRECT("R[-1]C", FALSE)) + E_Minh_TH[[#This Row],[THÀNH TIỀN]] - E_Minh_TH[[#This Row],[THANH TOÁN]]</f>
        <v>1628006926</v>
      </c>
      <c r="K123" s="4"/>
    </row>
    <row r="124" spans="1:11" x14ac:dyDescent="0.25">
      <c r="A124" s="108"/>
      <c r="B124" s="98">
        <v>46160</v>
      </c>
      <c r="C124" s="2" t="s">
        <v>21</v>
      </c>
      <c r="D124" s="131" t="s">
        <v>2157</v>
      </c>
      <c r="E124" s="3"/>
      <c r="F124" s="3">
        <v>0</v>
      </c>
      <c r="G124" s="8"/>
      <c r="H124" s="8">
        <f>E_Minh_TH[[#This Row],[ĐƠN GIÁ]]*E_Minh_TH[[#This Row],[SỐ LƯỢNG]]</f>
        <v>0</v>
      </c>
      <c r="I124" s="8">
        <v>70780000</v>
      </c>
      <c r="J124" s="168">
        <f ca="1">N(INDIRECT("R[-1]C", FALSE)) + E_Minh_TH[[#This Row],[THÀNH TIỀN]] - E_Minh_TH[[#This Row],[THANH TOÁN]]</f>
        <v>1557226926</v>
      </c>
      <c r="K124" s="4"/>
    </row>
    <row r="125" spans="1:11" x14ac:dyDescent="0.25">
      <c r="A125" s="108"/>
      <c r="B125" s="98">
        <v>46160</v>
      </c>
      <c r="C125" s="2" t="s">
        <v>21</v>
      </c>
      <c r="D125" s="131" t="s">
        <v>2157</v>
      </c>
      <c r="E125" s="3"/>
      <c r="F125" s="3">
        <v>0</v>
      </c>
      <c r="G125" s="8"/>
      <c r="H125" s="8">
        <f>E_Minh_TH[[#This Row],[ĐƠN GIÁ]]*E_Minh_TH[[#This Row],[SỐ LƯỢNG]]</f>
        <v>0</v>
      </c>
      <c r="I125" s="8">
        <v>10000000</v>
      </c>
      <c r="J125" s="168">
        <f ca="1">N(INDIRECT("R[-1]C", FALSE)) + E_Minh_TH[[#This Row],[THÀNH TIỀN]] - E_Minh_TH[[#This Row],[THANH TOÁN]]</f>
        <v>1547226926</v>
      </c>
      <c r="K125" s="4"/>
    </row>
    <row r="126" spans="1:11" x14ac:dyDescent="0.25">
      <c r="A126" s="108"/>
      <c r="B126" s="98">
        <v>46160</v>
      </c>
      <c r="C126" s="2" t="s">
        <v>21</v>
      </c>
      <c r="D126" s="131" t="s">
        <v>2157</v>
      </c>
      <c r="E126" s="3"/>
      <c r="F126" s="3">
        <v>0</v>
      </c>
      <c r="G126" s="8"/>
      <c r="H126" s="8">
        <f>E_Minh_TH[[#This Row],[ĐƠN GIÁ]]*E_Minh_TH[[#This Row],[SỐ LƯỢNG]]</f>
        <v>0</v>
      </c>
      <c r="I126" s="8">
        <v>6014000</v>
      </c>
      <c r="J126" s="168">
        <f ca="1">N(INDIRECT("R[-1]C", FALSE)) + E_Minh_TH[[#This Row],[THÀNH TIỀN]] - E_Minh_TH[[#This Row],[THANH TOÁN]]</f>
        <v>1541212926</v>
      </c>
      <c r="K126" s="4"/>
    </row>
    <row r="127" spans="1:11" x14ac:dyDescent="0.25">
      <c r="A127" s="108"/>
      <c r="B127" s="98">
        <v>46163</v>
      </c>
      <c r="C127" s="2" t="s">
        <v>21</v>
      </c>
      <c r="D127" s="131" t="s">
        <v>22</v>
      </c>
      <c r="E127" s="3" t="s">
        <v>47</v>
      </c>
      <c r="F127" s="3">
        <v>0</v>
      </c>
      <c r="G127" s="8"/>
      <c r="H127" s="8">
        <f>E_Minh_TH[[#This Row],[ĐƠN GIÁ]]*E_Minh_TH[[#This Row],[SỐ LƯỢNG]]</f>
        <v>0</v>
      </c>
      <c r="I127" s="8">
        <v>20000000</v>
      </c>
      <c r="J127" s="168">
        <f ca="1">N(INDIRECT("R[-1]C", FALSE)) + E_Minh_TH[[#This Row],[THÀNH TIỀN]] - E_Minh_TH[[#This Row],[THANH TOÁN]]</f>
        <v>1521212926</v>
      </c>
      <c r="K127" s="4"/>
    </row>
    <row r="128" spans="1:11" x14ac:dyDescent="0.25">
      <c r="A128" s="108"/>
      <c r="B128" s="98">
        <v>46163</v>
      </c>
      <c r="C128" s="2" t="s">
        <v>21</v>
      </c>
      <c r="D128" s="131" t="s">
        <v>22</v>
      </c>
      <c r="E128" s="3" t="s">
        <v>47</v>
      </c>
      <c r="F128" s="3">
        <v>0</v>
      </c>
      <c r="G128" s="8"/>
      <c r="H128" s="8">
        <f>E_Minh_TH[[#This Row],[ĐƠN GIÁ]]*E_Minh_TH[[#This Row],[SỐ LƯỢNG]]</f>
        <v>0</v>
      </c>
      <c r="I128" s="8">
        <v>7252000</v>
      </c>
      <c r="J128" s="168">
        <f ca="1">N(INDIRECT("R[-1]C", FALSE)) + E_Minh_TH[[#This Row],[THÀNH TIỀN]] - E_Minh_TH[[#This Row],[THANH TOÁN]]</f>
        <v>1513960926</v>
      </c>
      <c r="K128" s="4"/>
    </row>
    <row r="129" spans="1:11" x14ac:dyDescent="0.25">
      <c r="A129" s="108"/>
      <c r="B129" s="98">
        <v>46163</v>
      </c>
      <c r="C129" s="2" t="s">
        <v>21</v>
      </c>
      <c r="D129" s="131" t="s">
        <v>22</v>
      </c>
      <c r="E129" s="3" t="s">
        <v>47</v>
      </c>
      <c r="F129" s="3">
        <v>0</v>
      </c>
      <c r="G129" s="8"/>
      <c r="H129" s="8">
        <f>E_Minh_TH[[#This Row],[ĐƠN GIÁ]]*E_Minh_TH[[#This Row],[SỐ LƯỢNG]]</f>
        <v>0</v>
      </c>
      <c r="I129" s="8">
        <v>15700000</v>
      </c>
      <c r="J129" s="168">
        <f ca="1">N(INDIRECT("R[-1]C", FALSE)) + E_Minh_TH[[#This Row],[THÀNH TIỀN]] - E_Minh_TH[[#This Row],[THANH TOÁN]]</f>
        <v>1498260926</v>
      </c>
      <c r="K129" s="4"/>
    </row>
    <row r="130" spans="1:11" x14ac:dyDescent="0.25">
      <c r="A130" s="108"/>
      <c r="B130" s="98">
        <v>46163</v>
      </c>
      <c r="C130" s="2" t="s">
        <v>21</v>
      </c>
      <c r="D130" s="131" t="s">
        <v>22</v>
      </c>
      <c r="E130" s="3" t="s">
        <v>47</v>
      </c>
      <c r="F130" s="3">
        <v>0</v>
      </c>
      <c r="G130" s="8"/>
      <c r="H130" s="8">
        <f>E_Minh_TH[[#This Row],[ĐƠN GIÁ]]*E_Minh_TH[[#This Row],[SỐ LƯỢNG]]</f>
        <v>0</v>
      </c>
      <c r="I130" s="8">
        <v>4000000</v>
      </c>
      <c r="J130" s="168">
        <f ca="1">N(INDIRECT("R[-1]C", FALSE)) + E_Minh_TH[[#This Row],[THÀNH TIỀN]] - E_Minh_TH[[#This Row],[THANH TOÁN]]</f>
        <v>1494260926</v>
      </c>
      <c r="K130" s="4"/>
    </row>
    <row r="131" spans="1:11" x14ac:dyDescent="0.25">
      <c r="A131" s="108">
        <v>9551</v>
      </c>
      <c r="B131" s="98">
        <v>46164</v>
      </c>
      <c r="C131" s="2" t="s">
        <v>13</v>
      </c>
      <c r="D131" s="131" t="s">
        <v>17</v>
      </c>
      <c r="E131" s="3" t="s">
        <v>33</v>
      </c>
      <c r="F131" s="3">
        <v>2568</v>
      </c>
      <c r="G131" s="8">
        <v>62500</v>
      </c>
      <c r="H131" s="8">
        <f>E_Minh_TH[[#This Row],[ĐƠN GIÁ]]*E_Minh_TH[[#This Row],[SỐ LƯỢNG]]</f>
        <v>160500000</v>
      </c>
      <c r="I131" s="8"/>
      <c r="J131" s="168">
        <f ca="1">N(INDIRECT("R[-1]C", FALSE)) + E_Minh_TH[[#This Row],[THÀNH TIỀN]] - E_Minh_TH[[#This Row],[THANH TOÁN]]</f>
        <v>1654760926</v>
      </c>
      <c r="K131" s="4"/>
    </row>
    <row r="132" spans="1:11" x14ac:dyDescent="0.25">
      <c r="A132" s="108">
        <v>9551</v>
      </c>
      <c r="B132" s="98">
        <v>46164</v>
      </c>
      <c r="C132" s="2" t="s">
        <v>13</v>
      </c>
      <c r="D132" s="131" t="s">
        <v>17</v>
      </c>
      <c r="E132" s="3" t="s">
        <v>46</v>
      </c>
      <c r="F132" s="3">
        <v>2126</v>
      </c>
      <c r="G132" s="8">
        <v>62500</v>
      </c>
      <c r="H132" s="8">
        <f>E_Minh_TH[[#This Row],[ĐƠN GIÁ]]*E_Minh_TH[[#This Row],[SỐ LƯỢNG]]</f>
        <v>132875000</v>
      </c>
      <c r="I132" s="8"/>
      <c r="J132" s="168">
        <f ca="1">N(INDIRECT("R[-1]C", FALSE)) + E_Minh_TH[[#This Row],[THÀNH TIỀN]] - E_Minh_TH[[#This Row],[THANH TOÁN]]</f>
        <v>1787635926</v>
      </c>
      <c r="K132" s="4"/>
    </row>
    <row r="133" spans="1:11" x14ac:dyDescent="0.25">
      <c r="A133" s="108">
        <v>9551</v>
      </c>
      <c r="B133" s="98">
        <v>46164</v>
      </c>
      <c r="C133" s="2" t="s">
        <v>13</v>
      </c>
      <c r="D133" s="131" t="s">
        <v>26</v>
      </c>
      <c r="E133" s="3" t="s">
        <v>918</v>
      </c>
      <c r="F133" s="3">
        <v>1238</v>
      </c>
      <c r="G133" s="8">
        <v>32500</v>
      </c>
      <c r="H133" s="8">
        <f>E_Minh_TH[[#This Row],[ĐƠN GIÁ]]*E_Minh_TH[[#This Row],[SỐ LƯỢNG]]</f>
        <v>40235000</v>
      </c>
      <c r="I133" s="8"/>
      <c r="J133" s="168">
        <f ca="1">N(INDIRECT("R[-1]C", FALSE)) + E_Minh_TH[[#This Row],[THÀNH TIỀN]] - E_Minh_TH[[#This Row],[THANH TOÁN]]</f>
        <v>1827870926</v>
      </c>
      <c r="K133" s="4"/>
    </row>
    <row r="134" spans="1:11" x14ac:dyDescent="0.25">
      <c r="A134" s="108">
        <v>9551</v>
      </c>
      <c r="B134" s="98">
        <v>46164</v>
      </c>
      <c r="C134" s="2" t="s">
        <v>13</v>
      </c>
      <c r="D134" s="131" t="s">
        <v>68</v>
      </c>
      <c r="E134" s="3" t="s">
        <v>117</v>
      </c>
      <c r="F134" s="3">
        <v>116</v>
      </c>
      <c r="G134" s="8">
        <v>42000</v>
      </c>
      <c r="H134" s="8">
        <f>E_Minh_TH[[#This Row],[ĐƠN GIÁ]]*E_Minh_TH[[#This Row],[SỐ LƯỢNG]]</f>
        <v>4872000</v>
      </c>
      <c r="I134" s="8"/>
      <c r="J134" s="168">
        <f ca="1">N(INDIRECT("R[-1]C", FALSE)) + E_Minh_TH[[#This Row],[THÀNH TIỀN]] - E_Minh_TH[[#This Row],[THANH TOÁN]]</f>
        <v>1832742926</v>
      </c>
      <c r="K134" s="4"/>
    </row>
    <row r="135" spans="1:11" x14ac:dyDescent="0.25">
      <c r="A135" s="108"/>
      <c r="B135" s="98">
        <v>46166</v>
      </c>
      <c r="C135" s="2" t="s">
        <v>21</v>
      </c>
      <c r="D135" s="131" t="s">
        <v>22</v>
      </c>
      <c r="E135" s="3" t="s">
        <v>47</v>
      </c>
      <c r="F135" s="3">
        <v>0</v>
      </c>
      <c r="G135" s="8"/>
      <c r="H135" s="8">
        <f>E_Minh_TH[[#This Row],[ĐƠN GIÁ]]*E_Minh_TH[[#This Row],[SỐ LƯỢNG]]</f>
        <v>0</v>
      </c>
      <c r="I135" s="8">
        <v>20000000</v>
      </c>
      <c r="J135" s="168">
        <f ca="1">N(INDIRECT("R[-1]C", FALSE)) + E_Minh_TH[[#This Row],[THÀNH TIỀN]] - E_Minh_TH[[#This Row],[THANH TOÁN]]</f>
        <v>1812742926</v>
      </c>
      <c r="K135" s="4"/>
    </row>
    <row r="136" spans="1:11" x14ac:dyDescent="0.25">
      <c r="A136" s="108"/>
      <c r="B136" s="98">
        <v>46169</v>
      </c>
      <c r="C136" s="2" t="s">
        <v>21</v>
      </c>
      <c r="D136" s="131" t="s">
        <v>22</v>
      </c>
      <c r="E136" s="3" t="s">
        <v>47</v>
      </c>
      <c r="F136" s="3">
        <v>0</v>
      </c>
      <c r="G136" s="8"/>
      <c r="H136" s="8">
        <f>E_Minh_TH[[#This Row],[ĐƠN GIÁ]]*E_Minh_TH[[#This Row],[SỐ LƯỢNG]]</f>
        <v>0</v>
      </c>
      <c r="I136" s="8">
        <v>4714000</v>
      </c>
      <c r="J136" s="168">
        <f ca="1">N(INDIRECT("R[-1]C", FALSE)) + E_Minh_TH[[#This Row],[THÀNH TIỀN]] - E_Minh_TH[[#This Row],[THANH TOÁN]]</f>
        <v>1808028926</v>
      </c>
      <c r="K136" s="4"/>
    </row>
    <row r="137" spans="1:11" x14ac:dyDescent="0.25">
      <c r="A137" s="108"/>
      <c r="B137" s="98">
        <v>46170</v>
      </c>
      <c r="C137" s="2" t="s">
        <v>21</v>
      </c>
      <c r="D137" s="131" t="s">
        <v>22</v>
      </c>
      <c r="E137" s="3" t="s">
        <v>47</v>
      </c>
      <c r="F137" s="3">
        <v>0</v>
      </c>
      <c r="G137" s="8"/>
      <c r="H137" s="8">
        <f>E_Minh_TH[[#This Row],[ĐƠN GIÁ]]*E_Minh_TH[[#This Row],[SỐ LƯỢNG]]</f>
        <v>0</v>
      </c>
      <c r="I137" s="8">
        <v>10000000</v>
      </c>
      <c r="J137" s="168">
        <f ca="1">N(INDIRECT("R[-1]C", FALSE)) + E_Minh_TH[[#This Row],[THÀNH TIỀN]] - E_Minh_TH[[#This Row],[THANH TOÁN]]</f>
        <v>1798028926</v>
      </c>
      <c r="K137" s="4"/>
    </row>
    <row r="138" spans="1:11" x14ac:dyDescent="0.25">
      <c r="A138" s="108"/>
      <c r="B138" s="98">
        <v>46170</v>
      </c>
      <c r="C138" s="2" t="s">
        <v>21</v>
      </c>
      <c r="D138" s="131" t="s">
        <v>22</v>
      </c>
      <c r="E138" s="3" t="s">
        <v>47</v>
      </c>
      <c r="F138" s="3">
        <v>0</v>
      </c>
      <c r="G138" s="8"/>
      <c r="H138" s="8">
        <f>E_Minh_TH[[#This Row],[ĐƠN GIÁ]]*E_Minh_TH[[#This Row],[SỐ LƯỢNG]]</f>
        <v>0</v>
      </c>
      <c r="I138" s="8">
        <v>4700000</v>
      </c>
      <c r="J138" s="168">
        <f ca="1">N(INDIRECT("R[-1]C", FALSE)) + E_Minh_TH[[#This Row],[THÀNH TIỀN]] - E_Minh_TH[[#This Row],[THANH TOÁN]]</f>
        <v>1793328926</v>
      </c>
      <c r="K138" s="4"/>
    </row>
    <row r="139" spans="1:11" x14ac:dyDescent="0.25">
      <c r="A139" s="108"/>
      <c r="B139" s="98">
        <v>46171</v>
      </c>
      <c r="C139" s="2" t="s">
        <v>21</v>
      </c>
      <c r="D139" s="131" t="s">
        <v>22</v>
      </c>
      <c r="E139" s="3" t="s">
        <v>47</v>
      </c>
      <c r="F139" s="3">
        <v>0</v>
      </c>
      <c r="G139" s="8"/>
      <c r="H139" s="8">
        <f>E_Minh_TH[[#This Row],[ĐƠN GIÁ]]*E_Minh_TH[[#This Row],[SỐ LƯỢNG]]</f>
        <v>0</v>
      </c>
      <c r="I139" s="8">
        <v>1792000</v>
      </c>
      <c r="J139" s="168">
        <f ca="1">N(INDIRECT("R[-1]C", FALSE)) + E_Minh_TH[[#This Row],[THÀNH TIỀN]] - E_Minh_TH[[#This Row],[THANH TOÁN]]</f>
        <v>1791536926</v>
      </c>
      <c r="K139" s="4"/>
    </row>
    <row r="140" spans="1:11" x14ac:dyDescent="0.25">
      <c r="A140" s="108"/>
      <c r="B140" s="98">
        <v>46171</v>
      </c>
      <c r="C140" s="2" t="s">
        <v>21</v>
      </c>
      <c r="D140" s="131" t="s">
        <v>22</v>
      </c>
      <c r="E140" s="3" t="s">
        <v>47</v>
      </c>
      <c r="F140" s="3">
        <v>0</v>
      </c>
      <c r="G140" s="8"/>
      <c r="H140" s="8">
        <f>E_Minh_TH[[#This Row],[ĐƠN GIÁ]]*E_Minh_TH[[#This Row],[SỐ LƯỢNG]]</f>
        <v>0</v>
      </c>
      <c r="I140" s="8">
        <v>12950000</v>
      </c>
      <c r="J140" s="168">
        <f ca="1">N(INDIRECT("R[-1]C", FALSE)) + E_Minh_TH[[#This Row],[THÀNH TIỀN]] - E_Minh_TH[[#This Row],[THANH TOÁN]]</f>
        <v>1778586926</v>
      </c>
      <c r="K140" s="4"/>
    </row>
    <row r="141" spans="1:11" x14ac:dyDescent="0.25">
      <c r="A141" s="108"/>
      <c r="B141" s="98">
        <v>46171</v>
      </c>
      <c r="C141" s="2" t="s">
        <v>21</v>
      </c>
      <c r="D141" s="131" t="s">
        <v>22</v>
      </c>
      <c r="E141" s="3" t="s">
        <v>47</v>
      </c>
      <c r="F141" s="3">
        <v>0</v>
      </c>
      <c r="G141" s="8"/>
      <c r="H141" s="8">
        <f>E_Minh_TH[[#This Row],[ĐƠN GIÁ]]*E_Minh_TH[[#This Row],[SỐ LƯỢNG]]</f>
        <v>0</v>
      </c>
      <c r="I141" s="8">
        <v>7000000</v>
      </c>
      <c r="J141" s="168">
        <f ca="1">N(INDIRECT("R[-1]C", FALSE)) + E_Minh_TH[[#This Row],[THÀNH TIỀN]] - E_Minh_TH[[#This Row],[THANH TOÁN]]</f>
        <v>1771586926</v>
      </c>
      <c r="K141" s="4"/>
    </row>
    <row r="142" spans="1:11" x14ac:dyDescent="0.25">
      <c r="A142" s="108"/>
      <c r="B142" s="98">
        <v>46172</v>
      </c>
      <c r="C142" s="2" t="s">
        <v>21</v>
      </c>
      <c r="D142" s="131" t="s">
        <v>22</v>
      </c>
      <c r="E142" s="3" t="s">
        <v>47</v>
      </c>
      <c r="F142" s="3">
        <v>0</v>
      </c>
      <c r="G142" s="8"/>
      <c r="H142" s="8">
        <f>E_Minh_TH[[#This Row],[ĐƠN GIÁ]]*E_Minh_TH[[#This Row],[SỐ LƯỢNG]]</f>
        <v>0</v>
      </c>
      <c r="I142" s="8">
        <v>14000000</v>
      </c>
      <c r="J142" s="168">
        <f ca="1">N(INDIRECT("R[-1]C", FALSE)) + E_Minh_TH[[#This Row],[THÀNH TIỀN]] - E_Minh_TH[[#This Row],[THANH TOÁN]]</f>
        <v>1757586926</v>
      </c>
      <c r="K142" s="4"/>
    </row>
    <row r="143" spans="1:11" x14ac:dyDescent="0.25">
      <c r="A143" s="108"/>
      <c r="B143" s="98">
        <v>46173</v>
      </c>
      <c r="C143" s="2" t="s">
        <v>21</v>
      </c>
      <c r="D143" s="131" t="s">
        <v>22</v>
      </c>
      <c r="E143" s="3" t="s">
        <v>47</v>
      </c>
      <c r="F143" s="3">
        <v>0</v>
      </c>
      <c r="G143" s="8"/>
      <c r="H143" s="8">
        <f>E_Minh_TH[[#This Row],[ĐƠN GIÁ]]*E_Minh_TH[[#This Row],[SỐ LƯỢNG]]</f>
        <v>0</v>
      </c>
      <c r="I143" s="8">
        <v>3300000</v>
      </c>
      <c r="J143" s="168">
        <f ca="1">N(INDIRECT("R[-1]C", FALSE)) + E_Minh_TH[[#This Row],[THÀNH TIỀN]] - E_Minh_TH[[#This Row],[THANH TOÁN]]</f>
        <v>1754286926</v>
      </c>
      <c r="K143" s="4"/>
    </row>
    <row r="144" spans="1:11" x14ac:dyDescent="0.25">
      <c r="A144" s="108"/>
      <c r="B144" s="98">
        <v>46174</v>
      </c>
      <c r="C144" s="2" t="s">
        <v>21</v>
      </c>
      <c r="D144" s="131" t="s">
        <v>22</v>
      </c>
      <c r="E144" s="3" t="s">
        <v>47</v>
      </c>
      <c r="F144" s="3">
        <v>0</v>
      </c>
      <c r="G144" s="8"/>
      <c r="H144" s="8">
        <f>E_Minh_TH[[#This Row],[ĐƠN GIÁ]]*E_Minh_TH[[#This Row],[SỐ LƯỢNG]]</f>
        <v>0</v>
      </c>
      <c r="I144" s="8">
        <v>7680000</v>
      </c>
      <c r="J144" s="168">
        <f ca="1">N(INDIRECT("R[-1]C", FALSE)) + E_Minh_TH[[#This Row],[THÀNH TIỀN]] - E_Minh_TH[[#This Row],[THANH TOÁN]]</f>
        <v>1746606926</v>
      </c>
      <c r="K144" s="4"/>
    </row>
    <row r="145" spans="1:11" x14ac:dyDescent="0.25">
      <c r="A145" s="108"/>
      <c r="B145" s="98">
        <v>46174</v>
      </c>
      <c r="C145" s="2" t="s">
        <v>21</v>
      </c>
      <c r="D145" s="131" t="s">
        <v>22</v>
      </c>
      <c r="E145" s="3" t="s">
        <v>47</v>
      </c>
      <c r="F145" s="3">
        <v>0</v>
      </c>
      <c r="G145" s="8"/>
      <c r="H145" s="8">
        <f>E_Minh_TH[[#This Row],[ĐƠN GIÁ]]*E_Minh_TH[[#This Row],[SỐ LƯỢNG]]</f>
        <v>0</v>
      </c>
      <c r="I145" s="8">
        <v>20000000</v>
      </c>
      <c r="J145" s="168">
        <f ca="1">N(INDIRECT("R[-1]C", FALSE)) + E_Minh_TH[[#This Row],[THÀNH TIỀN]] - E_Minh_TH[[#This Row],[THANH TOÁN]]</f>
        <v>1726606926</v>
      </c>
      <c r="K145" s="4"/>
    </row>
    <row r="146" spans="1:11" x14ac:dyDescent="0.25">
      <c r="A146" s="108"/>
      <c r="B146" s="98">
        <v>46174</v>
      </c>
      <c r="C146" s="2" t="s">
        <v>21</v>
      </c>
      <c r="D146" s="131" t="s">
        <v>22</v>
      </c>
      <c r="E146" s="3" t="s">
        <v>47</v>
      </c>
      <c r="F146" s="3">
        <v>0</v>
      </c>
      <c r="G146" s="8"/>
      <c r="H146" s="8">
        <f>E_Minh_TH[[#This Row],[ĐƠN GIÁ]]*E_Minh_TH[[#This Row],[SỐ LƯỢNG]]</f>
        <v>0</v>
      </c>
      <c r="I146" s="8">
        <v>5900000</v>
      </c>
      <c r="J146" s="168">
        <f ca="1">N(INDIRECT("R[-1]C", FALSE)) + E_Minh_TH[[#This Row],[THÀNH TIỀN]] - E_Minh_TH[[#This Row],[THANH TOÁN]]</f>
        <v>1720706926</v>
      </c>
      <c r="K146" s="4"/>
    </row>
  </sheetData>
  <mergeCells count="2">
    <mergeCell ref="C5:E5"/>
    <mergeCell ref="B6:E6"/>
  </mergeCells>
  <phoneticPr fontId="9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093CC-E970-4F6D-BB97-FBBA2D37C4A0}">
  <sheetPr codeName="Sheet2"/>
  <dimension ref="A5:K153"/>
  <sheetViews>
    <sheetView topLeftCell="A5" workbookViewId="0">
      <selection activeCell="J12" sqref="J12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8.7109375" style="1" bestFit="1" customWidth="1"/>
    <col min="5" max="5" width="19.85546875" style="1" bestFit="1" customWidth="1"/>
    <col min="6" max="6" width="20.5703125" style="1" bestFit="1" customWidth="1"/>
    <col min="7" max="7" width="18.5703125" style="1" bestFit="1" customWidth="1"/>
    <col min="8" max="8" width="23.28515625" style="1" bestFit="1" customWidth="1"/>
    <col min="9" max="9" width="24.85546875" style="1" customWidth="1"/>
    <col min="10" max="10" width="19.140625" style="1" bestFit="1" customWidth="1"/>
    <col min="11" max="11" width="15" style="1" bestFit="1" customWidth="1"/>
    <col min="12" max="16384" width="9.140625" style="1"/>
  </cols>
  <sheetData>
    <row r="5" spans="1:11" ht="25.5" x14ac:dyDescent="0.25">
      <c r="D5" s="33" t="s">
        <v>0</v>
      </c>
      <c r="E5" s="33"/>
      <c r="F5" s="163">
        <v>-32567538</v>
      </c>
    </row>
    <row r="6" spans="1:11" ht="22.5" x14ac:dyDescent="0.25">
      <c r="D6" s="34" t="s">
        <v>48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>
        <v>6923</v>
      </c>
      <c r="B10" s="29">
        <v>46025</v>
      </c>
      <c r="C10" s="23" t="s">
        <v>49</v>
      </c>
      <c r="D10" s="37" t="s">
        <v>56</v>
      </c>
      <c r="E10" s="23" t="s">
        <v>117</v>
      </c>
      <c r="F10" s="31">
        <v>184</v>
      </c>
      <c r="G10" s="31"/>
      <c r="H10" s="31">
        <f>Cty_Phu_Minh[[#This Row],[ĐƠN GIÁ]]*Cty_Phu_Minh[[#This Row],[SỐ LƯỢNG]]</f>
        <v>0</v>
      </c>
      <c r="I10" s="31"/>
      <c r="J10" s="31">
        <f ca="1">N(INDIRECT("R[-1]C", FALSE)) + Cty_Phu_Minh[[#This Row],[THÀNH TIỀN]] - Cty_Phu_Minh[[#This Row],[THANH TOÁN]]</f>
        <v>0</v>
      </c>
      <c r="K10" s="24"/>
    </row>
    <row r="11" spans="1:11" x14ac:dyDescent="0.25">
      <c r="A11" s="22">
        <v>6923</v>
      </c>
      <c r="B11" s="29">
        <v>46025</v>
      </c>
      <c r="C11" s="23" t="s">
        <v>49</v>
      </c>
      <c r="D11" s="37" t="s">
        <v>56</v>
      </c>
      <c r="E11" s="23" t="s">
        <v>403</v>
      </c>
      <c r="F11" s="31">
        <v>184</v>
      </c>
      <c r="G11" s="31"/>
      <c r="H11" s="31">
        <f>Cty_Phu_Minh[[#This Row],[ĐƠN GIÁ]]*Cty_Phu_Minh[[#This Row],[SỐ LƯỢNG]]</f>
        <v>0</v>
      </c>
      <c r="I11" s="31"/>
      <c r="J11" s="31">
        <f ca="1">N(INDIRECT("R[-1]C", FALSE)) + Cty_Phu_Minh[[#This Row],[THÀNH TIỀN]] - Cty_Phu_Minh[[#This Row],[THANH TOÁN]]</f>
        <v>0</v>
      </c>
      <c r="K11" s="24"/>
    </row>
    <row r="12" spans="1:11" x14ac:dyDescent="0.25">
      <c r="A12" s="22">
        <v>6938</v>
      </c>
      <c r="B12" s="29">
        <v>46025</v>
      </c>
      <c r="C12" s="23" t="s">
        <v>49</v>
      </c>
      <c r="D12" s="37" t="s">
        <v>150</v>
      </c>
      <c r="E12" s="23" t="s">
        <v>2370</v>
      </c>
      <c r="F12" s="31">
        <v>56</v>
      </c>
      <c r="G12" s="31"/>
      <c r="H12" s="31">
        <f>Cty_Phu_Minh[[#This Row],[ĐƠN GIÁ]]*Cty_Phu_Minh[[#This Row],[SỐ LƯỢNG]]</f>
        <v>0</v>
      </c>
      <c r="I12" s="31"/>
      <c r="J12" s="31">
        <f ca="1">N(INDIRECT("R[-1]C", FALSE)) + Cty_Phu_Minh[[#This Row],[THÀNH TIỀN]] - Cty_Phu_Minh[[#This Row],[THANH TOÁN]]</f>
        <v>0</v>
      </c>
      <c r="K12" s="24"/>
    </row>
    <row r="13" spans="1:11" x14ac:dyDescent="0.25">
      <c r="A13" s="22">
        <v>7014</v>
      </c>
      <c r="B13" s="29">
        <v>46028</v>
      </c>
      <c r="C13" s="23" t="s">
        <v>49</v>
      </c>
      <c r="D13" s="37" t="s">
        <v>50</v>
      </c>
      <c r="E13" s="23" t="s">
        <v>2381</v>
      </c>
      <c r="F13" s="31">
        <v>138</v>
      </c>
      <c r="G13" s="31"/>
      <c r="H13" s="31">
        <f>Cty_Phu_Minh[[#This Row],[ĐƠN GIÁ]]*Cty_Phu_Minh[[#This Row],[SỐ LƯỢNG]]</f>
        <v>0</v>
      </c>
      <c r="I13" s="31"/>
      <c r="J13" s="31">
        <f ca="1">N(INDIRECT("R[-1]C", FALSE)) + Cty_Phu_Minh[[#This Row],[THÀNH TIỀN]] - Cty_Phu_Minh[[#This Row],[THANH TOÁN]]</f>
        <v>0</v>
      </c>
      <c r="K13" s="24" t="s">
        <v>2382</v>
      </c>
    </row>
    <row r="14" spans="1:11" x14ac:dyDescent="0.25">
      <c r="A14" s="22">
        <v>7014</v>
      </c>
      <c r="B14" s="29">
        <v>46028</v>
      </c>
      <c r="C14" s="23" t="s">
        <v>49</v>
      </c>
      <c r="D14" s="37" t="s">
        <v>56</v>
      </c>
      <c r="E14" s="23" t="s">
        <v>117</v>
      </c>
      <c r="F14" s="31">
        <v>300</v>
      </c>
      <c r="G14" s="31"/>
      <c r="H14" s="31">
        <f>Cty_Phu_Minh[[#This Row],[ĐƠN GIÁ]]*Cty_Phu_Minh[[#This Row],[SỐ LƯỢNG]]</f>
        <v>0</v>
      </c>
      <c r="I14" s="31"/>
      <c r="J14" s="31">
        <f ca="1">N(INDIRECT("R[-1]C", FALSE)) + Cty_Phu_Minh[[#This Row],[THÀNH TIỀN]] - Cty_Phu_Minh[[#This Row],[THANH TOÁN]]</f>
        <v>0</v>
      </c>
      <c r="K14" s="24" t="s">
        <v>2385</v>
      </c>
    </row>
    <row r="15" spans="1:11" x14ac:dyDescent="0.25">
      <c r="A15" s="25">
        <v>7014</v>
      </c>
      <c r="B15" s="30">
        <v>46028</v>
      </c>
      <c r="C15" s="26" t="s">
        <v>49</v>
      </c>
      <c r="D15" s="38" t="s">
        <v>2383</v>
      </c>
      <c r="E15" s="26" t="s">
        <v>2384</v>
      </c>
      <c r="F15" s="28"/>
      <c r="G15" s="28"/>
      <c r="H15" s="28">
        <f>Cty_Phu_Minh[[#This Row],[ĐƠN GIÁ]]*Cty_Phu_Minh[[#This Row],[SỐ LƯỢNG]]</f>
        <v>0</v>
      </c>
      <c r="I15" s="28"/>
      <c r="J15" s="31">
        <f ca="1">N(INDIRECT("R[-1]C", FALSE)) + Cty_Phu_Minh[[#This Row],[THÀNH TIỀN]] - Cty_Phu_Minh[[#This Row],[THANH TOÁN]]</f>
        <v>0</v>
      </c>
      <c r="K15" s="27" t="s">
        <v>1985</v>
      </c>
    </row>
    <row r="16" spans="1:11" x14ac:dyDescent="0.25">
      <c r="A16" s="25">
        <v>7044</v>
      </c>
      <c r="B16" s="30">
        <v>46030</v>
      </c>
      <c r="C16" s="26" t="s">
        <v>49</v>
      </c>
      <c r="D16" s="38" t="s">
        <v>50</v>
      </c>
      <c r="E16" s="26" t="s">
        <v>438</v>
      </c>
      <c r="F16" s="28">
        <v>90</v>
      </c>
      <c r="G16" s="28"/>
      <c r="H16" s="28">
        <f>Cty_Phu_Minh[[#This Row],[ĐƠN GIÁ]]*Cty_Phu_Minh[[#This Row],[SỐ LƯỢNG]]</f>
        <v>0</v>
      </c>
      <c r="I16" s="28"/>
      <c r="J16" s="31">
        <f ca="1">N(INDIRECT("R[-1]C", FALSE)) + Cty_Phu_Minh[[#This Row],[THÀNH TIỀN]] - Cty_Phu_Minh[[#This Row],[THANH TOÁN]]</f>
        <v>0</v>
      </c>
      <c r="K16" s="27" t="s">
        <v>66</v>
      </c>
    </row>
    <row r="17" spans="1:11" x14ac:dyDescent="0.25">
      <c r="A17" s="25">
        <v>7064</v>
      </c>
      <c r="B17" s="30">
        <v>46030</v>
      </c>
      <c r="C17" s="26" t="s">
        <v>49</v>
      </c>
      <c r="D17" s="38" t="s">
        <v>470</v>
      </c>
      <c r="E17" s="23" t="s">
        <v>81</v>
      </c>
      <c r="F17" s="31">
        <v>522</v>
      </c>
      <c r="G17" s="31"/>
      <c r="H17" s="31">
        <f>Cty_Phu_Minh[[#This Row],[ĐƠN GIÁ]]*Cty_Phu_Minh[[#This Row],[SỐ LƯỢNG]]</f>
        <v>0</v>
      </c>
      <c r="I17" s="31"/>
      <c r="J17" s="31">
        <f ca="1">N(INDIRECT("R[-1]C", FALSE)) + Cty_Phu_Minh[[#This Row],[THÀNH TIỀN]] - Cty_Phu_Minh[[#This Row],[THANH TOÁN]]</f>
        <v>0</v>
      </c>
      <c r="K17" s="24" t="s">
        <v>1985</v>
      </c>
    </row>
    <row r="18" spans="1:11" x14ac:dyDescent="0.25">
      <c r="A18" s="25">
        <v>7156</v>
      </c>
      <c r="B18" s="30">
        <v>46035</v>
      </c>
      <c r="C18" s="26" t="s">
        <v>49</v>
      </c>
      <c r="D18" s="38" t="s">
        <v>50</v>
      </c>
      <c r="E18" s="23" t="s">
        <v>2419</v>
      </c>
      <c r="F18" s="31"/>
      <c r="G18" s="31"/>
      <c r="H18" s="31">
        <f>Cty_Phu_Minh[[#This Row],[ĐƠN GIÁ]]*Cty_Phu_Minh[[#This Row],[SỐ LƯỢNG]]</f>
        <v>0</v>
      </c>
      <c r="I18" s="31"/>
      <c r="J18" s="31">
        <f ca="1">N(INDIRECT("R[-1]C", FALSE)) + Cty_Phu_Minh[[#This Row],[THÀNH TIỀN]] - Cty_Phu_Minh[[#This Row],[THANH TOÁN]]</f>
        <v>0</v>
      </c>
      <c r="K18" s="24" t="s">
        <v>2421</v>
      </c>
    </row>
    <row r="19" spans="1:11" x14ac:dyDescent="0.25">
      <c r="A19" s="25">
        <v>7156</v>
      </c>
      <c r="B19" s="30">
        <v>46035</v>
      </c>
      <c r="C19" s="26" t="s">
        <v>49</v>
      </c>
      <c r="D19" s="38" t="s">
        <v>50</v>
      </c>
      <c r="E19" s="23" t="s">
        <v>2420</v>
      </c>
      <c r="F19" s="31"/>
      <c r="G19" s="31"/>
      <c r="H19" s="31">
        <f>Cty_Phu_Minh[[#This Row],[ĐƠN GIÁ]]*Cty_Phu_Minh[[#This Row],[SỐ LƯỢNG]]</f>
        <v>0</v>
      </c>
      <c r="I19" s="31"/>
      <c r="J19" s="31">
        <f ca="1">N(INDIRECT("R[-1]C", FALSE)) + Cty_Phu_Minh[[#This Row],[THÀNH TIỀN]] - Cty_Phu_Minh[[#This Row],[THANH TOÁN]]</f>
        <v>0</v>
      </c>
      <c r="K19" s="24" t="s">
        <v>2421</v>
      </c>
    </row>
    <row r="20" spans="1:11" x14ac:dyDescent="0.25">
      <c r="A20" s="25">
        <v>7156</v>
      </c>
      <c r="B20" s="30">
        <v>46035</v>
      </c>
      <c r="C20" s="26" t="s">
        <v>49</v>
      </c>
      <c r="D20" s="38" t="s">
        <v>50</v>
      </c>
      <c r="E20" s="26" t="s">
        <v>2422</v>
      </c>
      <c r="F20" s="28"/>
      <c r="G20" s="28"/>
      <c r="H20" s="28">
        <f>Cty_Phu_Minh[[#This Row],[ĐƠN GIÁ]]*Cty_Phu_Minh[[#This Row],[SỐ LƯỢNG]]</f>
        <v>0</v>
      </c>
      <c r="I20" s="28"/>
      <c r="J20" s="31">
        <f ca="1">N(INDIRECT("R[-1]C", FALSE)) + Cty_Phu_Minh[[#This Row],[THÀNH TIỀN]] - Cty_Phu_Minh[[#This Row],[THANH TOÁN]]</f>
        <v>0</v>
      </c>
      <c r="K20" s="27" t="s">
        <v>2421</v>
      </c>
    </row>
    <row r="21" spans="1:11" x14ac:dyDescent="0.25">
      <c r="A21" s="25">
        <v>7183</v>
      </c>
      <c r="B21" s="30">
        <v>46037</v>
      </c>
      <c r="C21" s="26" t="s">
        <v>49</v>
      </c>
      <c r="D21" s="38" t="s">
        <v>50</v>
      </c>
      <c r="E21" s="26" t="s">
        <v>2425</v>
      </c>
      <c r="F21" s="28">
        <v>644</v>
      </c>
      <c r="G21" s="28"/>
      <c r="H21" s="28">
        <f>Cty_Phu_Minh[[#This Row],[ĐƠN GIÁ]]*Cty_Phu_Minh[[#This Row],[SỐ LƯỢNG]]</f>
        <v>0</v>
      </c>
      <c r="I21" s="28"/>
      <c r="J21" s="31">
        <f ca="1">N(INDIRECT("R[-1]C", FALSE)) + Cty_Phu_Minh[[#This Row],[THÀNH TIỀN]] - Cty_Phu_Minh[[#This Row],[THANH TOÁN]]</f>
        <v>0</v>
      </c>
      <c r="K21" s="27" t="s">
        <v>66</v>
      </c>
    </row>
    <row r="22" spans="1:11" x14ac:dyDescent="0.25">
      <c r="A22" s="25">
        <v>7224</v>
      </c>
      <c r="B22" s="30">
        <v>46039</v>
      </c>
      <c r="C22" s="26" t="s">
        <v>49</v>
      </c>
      <c r="D22" s="38" t="s">
        <v>50</v>
      </c>
      <c r="E22" s="26" t="s">
        <v>117</v>
      </c>
      <c r="F22" s="28">
        <v>494</v>
      </c>
      <c r="G22" s="28"/>
      <c r="H22" s="28">
        <f>Cty_Phu_Minh[[#This Row],[ĐƠN GIÁ]]*Cty_Phu_Minh[[#This Row],[SỐ LƯỢNG]]</f>
        <v>0</v>
      </c>
      <c r="I22" s="28"/>
      <c r="J22" s="31">
        <f ca="1">N(INDIRECT("R[-1]C", FALSE)) + Cty_Phu_Minh[[#This Row],[THÀNH TIỀN]] - Cty_Phu_Minh[[#This Row],[THANH TOÁN]]</f>
        <v>0</v>
      </c>
      <c r="K22" s="27" t="s">
        <v>66</v>
      </c>
    </row>
    <row r="23" spans="1:11" x14ac:dyDescent="0.25">
      <c r="A23" s="25">
        <v>7250</v>
      </c>
      <c r="B23" s="30">
        <v>46041</v>
      </c>
      <c r="C23" s="26" t="s">
        <v>49</v>
      </c>
      <c r="D23" s="38" t="s">
        <v>50</v>
      </c>
      <c r="E23" s="26" t="s">
        <v>438</v>
      </c>
      <c r="F23" s="28">
        <v>270</v>
      </c>
      <c r="G23" s="28"/>
      <c r="H23" s="28">
        <f>Cty_Phu_Minh[[#This Row],[ĐƠN GIÁ]]*Cty_Phu_Minh[[#This Row],[SỐ LƯỢNG]]</f>
        <v>0</v>
      </c>
      <c r="I23" s="28"/>
      <c r="J23" s="31">
        <f ca="1">N(INDIRECT("R[-1]C", FALSE)) + Cty_Phu_Minh[[#This Row],[THÀNH TIỀN]] - Cty_Phu_Minh[[#This Row],[THANH TOÁN]]</f>
        <v>0</v>
      </c>
      <c r="K23" s="27" t="s">
        <v>64</v>
      </c>
    </row>
    <row r="24" spans="1:11" x14ac:dyDescent="0.25">
      <c r="A24" s="25">
        <v>7250</v>
      </c>
      <c r="B24" s="30">
        <v>46041</v>
      </c>
      <c r="C24" s="26" t="s">
        <v>49</v>
      </c>
      <c r="D24" s="38" t="s">
        <v>50</v>
      </c>
      <c r="E24" s="26" t="s">
        <v>153</v>
      </c>
      <c r="F24" s="28">
        <v>574</v>
      </c>
      <c r="G24" s="28"/>
      <c r="H24" s="28">
        <f>Cty_Phu_Minh[[#This Row],[ĐƠN GIÁ]]*Cty_Phu_Minh[[#This Row],[SỐ LƯỢNG]]</f>
        <v>0</v>
      </c>
      <c r="I24" s="28"/>
      <c r="J24" s="31">
        <f ca="1">N(INDIRECT("R[-1]C", FALSE)) + Cty_Phu_Minh[[#This Row],[THÀNH TIỀN]] - Cty_Phu_Minh[[#This Row],[THANH TOÁN]]</f>
        <v>0</v>
      </c>
      <c r="K24" s="27" t="s">
        <v>64</v>
      </c>
    </row>
    <row r="25" spans="1:11" x14ac:dyDescent="0.25">
      <c r="A25" s="25"/>
      <c r="B25" s="30">
        <v>46081</v>
      </c>
      <c r="C25" s="26" t="s">
        <v>12</v>
      </c>
      <c r="D25" s="38"/>
      <c r="E25" s="26"/>
      <c r="F25" s="28">
        <v>1</v>
      </c>
      <c r="G25" s="28">
        <v>-4471800</v>
      </c>
      <c r="H25" s="28">
        <f>Cty_Phu_Minh[[#This Row],[ĐƠN GIÁ]]*Cty_Phu_Minh[[#This Row],[SỐ LƯỢNG]]</f>
        <v>-4471800</v>
      </c>
      <c r="I25" s="28"/>
      <c r="J25" s="31">
        <f ca="1">N(INDIRECT("R[-1]C", FALSE)) + Cty_Phu_Minh[[#This Row],[THÀNH TIỀN]] - Cty_Phu_Minh[[#This Row],[THANH TOÁN]]</f>
        <v>-4471800</v>
      </c>
      <c r="K25" s="27"/>
    </row>
    <row r="26" spans="1:11" x14ac:dyDescent="0.25">
      <c r="A26" s="25">
        <v>7779</v>
      </c>
      <c r="B26" s="30">
        <v>46083</v>
      </c>
      <c r="C26" s="26" t="s">
        <v>49</v>
      </c>
      <c r="D26" s="38" t="s">
        <v>50</v>
      </c>
      <c r="E26" s="26" t="s">
        <v>51</v>
      </c>
      <c r="F26" s="28">
        <v>720</v>
      </c>
      <c r="G26" s="28"/>
      <c r="H26" s="28">
        <f>Cty_Phu_Minh[[#This Row],[ĐƠN GIÁ]]*Cty_Phu_Minh[[#This Row],[SỐ LƯỢNG]]</f>
        <v>0</v>
      </c>
      <c r="I26" s="28"/>
      <c r="J26" s="31">
        <f ca="1">N(INDIRECT("R[-1]C", FALSE)) + Cty_Phu_Minh[[#This Row],[THÀNH TIỀN]] - Cty_Phu_Minh[[#This Row],[THANH TOÁN]]</f>
        <v>-4471800</v>
      </c>
      <c r="K26" s="27"/>
    </row>
    <row r="27" spans="1:11" x14ac:dyDescent="0.25">
      <c r="A27" s="25">
        <v>7779</v>
      </c>
      <c r="B27" s="30">
        <v>46083</v>
      </c>
      <c r="C27" s="26" t="s">
        <v>49</v>
      </c>
      <c r="D27" s="38" t="s">
        <v>50</v>
      </c>
      <c r="E27" s="26" t="s">
        <v>52</v>
      </c>
      <c r="F27" s="28">
        <v>495</v>
      </c>
      <c r="G27" s="28"/>
      <c r="H27" s="28">
        <f>Cty_Phu_Minh[[#This Row],[ĐƠN GIÁ]]*Cty_Phu_Minh[[#This Row],[SỐ LƯỢNG]]</f>
        <v>0</v>
      </c>
      <c r="I27" s="28"/>
      <c r="J27" s="31">
        <f ca="1">N(INDIRECT("R[-1]C", FALSE)) + Cty_Phu_Minh[[#This Row],[THÀNH TIỀN]] - Cty_Phu_Minh[[#This Row],[THANH TOÁN]]</f>
        <v>-4471800</v>
      </c>
      <c r="K27" s="27"/>
    </row>
    <row r="28" spans="1:11" x14ac:dyDescent="0.25">
      <c r="A28" s="25">
        <v>1327</v>
      </c>
      <c r="B28" s="30">
        <v>46083</v>
      </c>
      <c r="C28" s="26" t="s">
        <v>84</v>
      </c>
      <c r="D28" s="38" t="s">
        <v>43</v>
      </c>
      <c r="E28" s="23" t="s">
        <v>85</v>
      </c>
      <c r="F28" s="31">
        <v>1616</v>
      </c>
      <c r="G28" s="31">
        <v>-1500</v>
      </c>
      <c r="H28" s="31">
        <f>Cty_Phu_Minh[[#This Row],[ĐƠN GIÁ]]*Cty_Phu_Minh[[#This Row],[SỐ LƯỢNG]]</f>
        <v>-2424000</v>
      </c>
      <c r="I28" s="31"/>
      <c r="J28" s="31">
        <f ca="1">N(INDIRECT("R[-1]C", FALSE)) + Cty_Phu_Minh[[#This Row],[THÀNH TIỀN]] - Cty_Phu_Minh[[#This Row],[THANH TOÁN]]</f>
        <v>-6895800</v>
      </c>
      <c r="K28" s="24"/>
    </row>
    <row r="29" spans="1:11" x14ac:dyDescent="0.25">
      <c r="A29" s="25">
        <v>1333</v>
      </c>
      <c r="B29" s="30">
        <v>46083</v>
      </c>
      <c r="C29" s="26" t="s">
        <v>84</v>
      </c>
      <c r="D29" s="38" t="s">
        <v>50</v>
      </c>
      <c r="E29" s="23" t="s">
        <v>86</v>
      </c>
      <c r="F29" s="31">
        <v>74</v>
      </c>
      <c r="G29" s="31">
        <v>-2500</v>
      </c>
      <c r="H29" s="31">
        <f>Cty_Phu_Minh[[#This Row],[ĐƠN GIÁ]]*Cty_Phu_Minh[[#This Row],[SỐ LƯỢNG]]</f>
        <v>-185000</v>
      </c>
      <c r="I29" s="31"/>
      <c r="J29" s="31">
        <f ca="1">N(INDIRECT("R[-1]C", FALSE)) + Cty_Phu_Minh[[#This Row],[THÀNH TIỀN]] - Cty_Phu_Minh[[#This Row],[THANH TOÁN]]</f>
        <v>-7080800</v>
      </c>
      <c r="K29" s="24"/>
    </row>
    <row r="30" spans="1:11" x14ac:dyDescent="0.25">
      <c r="A30" s="25">
        <v>1333</v>
      </c>
      <c r="B30" s="30">
        <v>46083</v>
      </c>
      <c r="C30" s="26" t="s">
        <v>84</v>
      </c>
      <c r="D30" s="38" t="s">
        <v>50</v>
      </c>
      <c r="E30" s="26" t="s">
        <v>87</v>
      </c>
      <c r="F30" s="28">
        <v>720</v>
      </c>
      <c r="G30" s="28">
        <v>-1500</v>
      </c>
      <c r="H30" s="28">
        <f>Cty_Phu_Minh[[#This Row],[ĐƠN GIÁ]]*Cty_Phu_Minh[[#This Row],[SỐ LƯỢNG]]</f>
        <v>-1080000</v>
      </c>
      <c r="I30" s="28"/>
      <c r="J30" s="31">
        <f ca="1">N(INDIRECT("R[-1]C", FALSE)) + Cty_Phu_Minh[[#This Row],[THÀNH TIỀN]] - Cty_Phu_Minh[[#This Row],[THANH TOÁN]]</f>
        <v>-8160800</v>
      </c>
      <c r="K30" s="27"/>
    </row>
    <row r="31" spans="1:11" x14ac:dyDescent="0.25">
      <c r="A31" s="25">
        <v>1333</v>
      </c>
      <c r="B31" s="30">
        <v>46083</v>
      </c>
      <c r="C31" s="26" t="s">
        <v>84</v>
      </c>
      <c r="D31" s="38" t="s">
        <v>50</v>
      </c>
      <c r="E31" s="26" t="s">
        <v>88</v>
      </c>
      <c r="F31" s="28">
        <v>495</v>
      </c>
      <c r="G31" s="28">
        <v>-1500</v>
      </c>
      <c r="H31" s="28">
        <f>Cty_Phu_Minh[[#This Row],[ĐƠN GIÁ]]*Cty_Phu_Minh[[#This Row],[SỐ LƯỢNG]]</f>
        <v>-742500</v>
      </c>
      <c r="I31" s="28"/>
      <c r="J31" s="31">
        <f ca="1">N(INDIRECT("R[-1]C", FALSE)) + Cty_Phu_Minh[[#This Row],[THÀNH TIỀN]] - Cty_Phu_Minh[[#This Row],[THANH TOÁN]]</f>
        <v>-8903300</v>
      </c>
      <c r="K31" s="27"/>
    </row>
    <row r="32" spans="1:11" x14ac:dyDescent="0.25">
      <c r="A32" s="25">
        <v>7798</v>
      </c>
      <c r="B32" s="30">
        <v>46084</v>
      </c>
      <c r="C32" s="26" t="s">
        <v>49</v>
      </c>
      <c r="D32" s="38" t="s">
        <v>50</v>
      </c>
      <c r="E32" s="26" t="s">
        <v>53</v>
      </c>
      <c r="F32" s="28">
        <v>774</v>
      </c>
      <c r="G32" s="28"/>
      <c r="H32" s="28">
        <f>Cty_Phu_Minh[[#This Row],[ĐƠN GIÁ]]*Cty_Phu_Minh[[#This Row],[SỐ LƯỢNG]]</f>
        <v>0</v>
      </c>
      <c r="I32" s="28"/>
      <c r="J32" s="31">
        <f ca="1">N(INDIRECT("R[-1]C", FALSE)) + Cty_Phu_Minh[[#This Row],[THÀNH TIỀN]] - Cty_Phu_Minh[[#This Row],[THANH TOÁN]]</f>
        <v>-8903300</v>
      </c>
      <c r="K32" s="27"/>
    </row>
    <row r="33" spans="1:11" x14ac:dyDescent="0.25">
      <c r="A33" s="25">
        <v>7850</v>
      </c>
      <c r="B33" s="30">
        <v>46085</v>
      </c>
      <c r="C33" s="26" t="s">
        <v>13</v>
      </c>
      <c r="D33" s="38" t="s">
        <v>54</v>
      </c>
      <c r="E33" s="26" t="s">
        <v>55</v>
      </c>
      <c r="F33" s="28">
        <v>684</v>
      </c>
      <c r="G33" s="28">
        <v>34000</v>
      </c>
      <c r="H33" s="28">
        <f>Cty_Phu_Minh[[#This Row],[ĐƠN GIÁ]]*Cty_Phu_Minh[[#This Row],[SỐ LƯỢNG]]</f>
        <v>23256000</v>
      </c>
      <c r="I33" s="28"/>
      <c r="J33" s="31">
        <f ca="1">N(INDIRECT("R[-1]C", FALSE)) + Cty_Phu_Minh[[#This Row],[THÀNH TIỀN]] - Cty_Phu_Minh[[#This Row],[THANH TOÁN]]</f>
        <v>14352700</v>
      </c>
      <c r="K33" s="27"/>
    </row>
    <row r="34" spans="1:11" x14ac:dyDescent="0.25">
      <c r="A34" s="25">
        <v>7851</v>
      </c>
      <c r="B34" s="30">
        <v>46085</v>
      </c>
      <c r="C34" s="26" t="s">
        <v>49</v>
      </c>
      <c r="D34" s="38" t="s">
        <v>56</v>
      </c>
      <c r="E34" s="26" t="s">
        <v>57</v>
      </c>
      <c r="F34" s="28">
        <v>218</v>
      </c>
      <c r="G34" s="28"/>
      <c r="H34" s="28">
        <f>Cty_Phu_Minh[[#This Row],[ĐƠN GIÁ]]*Cty_Phu_Minh[[#This Row],[SỐ LƯỢNG]]</f>
        <v>0</v>
      </c>
      <c r="I34" s="28"/>
      <c r="J34" s="31">
        <f ca="1">N(INDIRECT("R[-1]C", FALSE)) + Cty_Phu_Minh[[#This Row],[THÀNH TIỀN]] - Cty_Phu_Minh[[#This Row],[THANH TOÁN]]</f>
        <v>14352700</v>
      </c>
      <c r="K34" s="27"/>
    </row>
    <row r="35" spans="1:11" x14ac:dyDescent="0.25">
      <c r="A35" s="25">
        <v>7851</v>
      </c>
      <c r="B35" s="30">
        <v>46085</v>
      </c>
      <c r="C35" s="26" t="s">
        <v>49</v>
      </c>
      <c r="D35" s="38" t="s">
        <v>50</v>
      </c>
      <c r="E35" s="26" t="s">
        <v>58</v>
      </c>
      <c r="F35" s="28">
        <v>180</v>
      </c>
      <c r="G35" s="28"/>
      <c r="H35" s="28">
        <f>Cty_Phu_Minh[[#This Row],[ĐƠN GIÁ]]*Cty_Phu_Minh[[#This Row],[SỐ LƯỢNG]]</f>
        <v>0</v>
      </c>
      <c r="I35" s="28"/>
      <c r="J35" s="31">
        <f ca="1">N(INDIRECT("R[-1]C", FALSE)) + Cty_Phu_Minh[[#This Row],[THÀNH TIỀN]] - Cty_Phu_Minh[[#This Row],[THANH TOÁN]]</f>
        <v>14352700</v>
      </c>
      <c r="K35" s="27"/>
    </row>
    <row r="36" spans="1:11" x14ac:dyDescent="0.25">
      <c r="A36" s="25">
        <v>7851</v>
      </c>
      <c r="B36" s="30">
        <v>46085</v>
      </c>
      <c r="C36" s="26" t="s">
        <v>49</v>
      </c>
      <c r="D36" s="38" t="s">
        <v>50</v>
      </c>
      <c r="E36" s="26" t="s">
        <v>59</v>
      </c>
      <c r="F36" s="28">
        <v>338</v>
      </c>
      <c r="G36" s="28"/>
      <c r="H36" s="28">
        <f>Cty_Phu_Minh[[#This Row],[ĐƠN GIÁ]]*Cty_Phu_Minh[[#This Row],[SỐ LƯỢNG]]</f>
        <v>0</v>
      </c>
      <c r="I36" s="28"/>
      <c r="J36" s="31">
        <f ca="1">N(INDIRECT("R[-1]C", FALSE)) + Cty_Phu_Minh[[#This Row],[THÀNH TIỀN]] - Cty_Phu_Minh[[#This Row],[THANH TOÁN]]</f>
        <v>14352700</v>
      </c>
      <c r="K36" s="27"/>
    </row>
    <row r="37" spans="1:11" x14ac:dyDescent="0.25">
      <c r="A37" s="25">
        <v>7851</v>
      </c>
      <c r="B37" s="30">
        <v>46085</v>
      </c>
      <c r="C37" s="26" t="s">
        <v>49</v>
      </c>
      <c r="D37" s="38" t="s">
        <v>50</v>
      </c>
      <c r="E37" s="26" t="s">
        <v>60</v>
      </c>
      <c r="F37" s="28">
        <v>220</v>
      </c>
      <c r="G37" s="28"/>
      <c r="H37" s="28">
        <f>Cty_Phu_Minh[[#This Row],[ĐƠN GIÁ]]*Cty_Phu_Minh[[#This Row],[SỐ LƯỢNG]]</f>
        <v>0</v>
      </c>
      <c r="I37" s="28"/>
      <c r="J37" s="31">
        <f ca="1">N(INDIRECT("R[-1]C", FALSE)) + Cty_Phu_Minh[[#This Row],[THÀNH TIỀN]] - Cty_Phu_Minh[[#This Row],[THANH TOÁN]]</f>
        <v>14352700</v>
      </c>
      <c r="K37" s="27"/>
    </row>
    <row r="38" spans="1:11" x14ac:dyDescent="0.25">
      <c r="A38" s="25">
        <v>7851</v>
      </c>
      <c r="B38" s="30">
        <v>46085</v>
      </c>
      <c r="C38" s="26" t="s">
        <v>49</v>
      </c>
      <c r="D38" s="38" t="s">
        <v>50</v>
      </c>
      <c r="E38" s="26" t="s">
        <v>61</v>
      </c>
      <c r="F38" s="28">
        <v>54</v>
      </c>
      <c r="G38" s="28"/>
      <c r="H38" s="28">
        <f>Cty_Phu_Minh[[#This Row],[ĐƠN GIÁ]]*Cty_Phu_Minh[[#This Row],[SỐ LƯỢNG]]</f>
        <v>0</v>
      </c>
      <c r="I38" s="28"/>
      <c r="J38" s="31">
        <f ca="1">N(INDIRECT("R[-1]C", FALSE)) + Cty_Phu_Minh[[#This Row],[THÀNH TIỀN]] - Cty_Phu_Minh[[#This Row],[THANH TOÁN]]</f>
        <v>14352700</v>
      </c>
      <c r="K38" s="27"/>
    </row>
    <row r="39" spans="1:11" x14ac:dyDescent="0.25">
      <c r="A39" s="25">
        <v>7851</v>
      </c>
      <c r="B39" s="30">
        <v>46085</v>
      </c>
      <c r="C39" s="26" t="s">
        <v>49</v>
      </c>
      <c r="D39" s="38" t="s">
        <v>14</v>
      </c>
      <c r="E39" s="26" t="s">
        <v>62</v>
      </c>
      <c r="F39" s="28">
        <v>56</v>
      </c>
      <c r="G39" s="28"/>
      <c r="H39" s="28">
        <f>Cty_Phu_Minh[[#This Row],[ĐƠN GIÁ]]*Cty_Phu_Minh[[#This Row],[SỐ LƯỢNG]]</f>
        <v>0</v>
      </c>
      <c r="I39" s="28"/>
      <c r="J39" s="31">
        <f ca="1">N(INDIRECT("R[-1]C", FALSE)) + Cty_Phu_Minh[[#This Row],[THÀNH TIỀN]] - Cty_Phu_Minh[[#This Row],[THANH TOÁN]]</f>
        <v>14352700</v>
      </c>
      <c r="K39" s="27"/>
    </row>
    <row r="40" spans="1:11" x14ac:dyDescent="0.25">
      <c r="A40" s="25">
        <v>1341</v>
      </c>
      <c r="B40" s="30">
        <v>46086</v>
      </c>
      <c r="C40" s="26" t="s">
        <v>84</v>
      </c>
      <c r="D40" s="38" t="s">
        <v>50</v>
      </c>
      <c r="E40" s="23" t="s">
        <v>89</v>
      </c>
      <c r="F40" s="31">
        <v>774</v>
      </c>
      <c r="G40" s="31">
        <v>-2500</v>
      </c>
      <c r="H40" s="31">
        <f>Cty_Phu_Minh[[#This Row],[ĐƠN GIÁ]]*Cty_Phu_Minh[[#This Row],[SỐ LƯỢNG]]</f>
        <v>-1935000</v>
      </c>
      <c r="I40" s="31"/>
      <c r="J40" s="31">
        <f ca="1">N(INDIRECT("R[-1]C", FALSE)) + Cty_Phu_Minh[[#This Row],[THÀNH TIỀN]] - Cty_Phu_Minh[[#This Row],[THANH TOÁN]]</f>
        <v>12417700</v>
      </c>
      <c r="K40" s="24"/>
    </row>
    <row r="41" spans="1:11" x14ac:dyDescent="0.25">
      <c r="A41" s="25">
        <v>1347</v>
      </c>
      <c r="B41" s="30">
        <v>46087</v>
      </c>
      <c r="C41" s="26" t="s">
        <v>84</v>
      </c>
      <c r="D41" s="38" t="s">
        <v>56</v>
      </c>
      <c r="E41" s="23" t="s">
        <v>90</v>
      </c>
      <c r="F41" s="31">
        <v>218</v>
      </c>
      <c r="G41" s="31">
        <v>-2000</v>
      </c>
      <c r="H41" s="31">
        <f>Cty_Phu_Minh[[#This Row],[ĐƠN GIÁ]]*Cty_Phu_Minh[[#This Row],[SỐ LƯỢNG]]</f>
        <v>-436000</v>
      </c>
      <c r="I41" s="31"/>
      <c r="J41" s="31">
        <f ca="1">N(INDIRECT("R[-1]C", FALSE)) + Cty_Phu_Minh[[#This Row],[THÀNH TIỀN]] - Cty_Phu_Minh[[#This Row],[THANH TOÁN]]</f>
        <v>11981700</v>
      </c>
      <c r="K41" s="24"/>
    </row>
    <row r="42" spans="1:11" x14ac:dyDescent="0.25">
      <c r="A42" s="25">
        <v>1347</v>
      </c>
      <c r="B42" s="30">
        <v>46087</v>
      </c>
      <c r="C42" s="26" t="s">
        <v>84</v>
      </c>
      <c r="D42" s="38" t="s">
        <v>56</v>
      </c>
      <c r="E42" s="26" t="s">
        <v>61</v>
      </c>
      <c r="F42" s="28">
        <v>54</v>
      </c>
      <c r="G42" s="28">
        <v>-2000</v>
      </c>
      <c r="H42" s="28">
        <f>Cty_Phu_Minh[[#This Row],[ĐƠN GIÁ]]*Cty_Phu_Minh[[#This Row],[SỐ LƯỢNG]]</f>
        <v>-108000</v>
      </c>
      <c r="I42" s="28"/>
      <c r="J42" s="31">
        <f ca="1">N(INDIRECT("R[-1]C", FALSE)) + Cty_Phu_Minh[[#This Row],[THÀNH TIỀN]] - Cty_Phu_Minh[[#This Row],[THANH TOÁN]]</f>
        <v>11873700</v>
      </c>
      <c r="K42" s="27"/>
    </row>
    <row r="43" spans="1:11" x14ac:dyDescent="0.25">
      <c r="A43" s="25">
        <v>1347</v>
      </c>
      <c r="B43" s="30">
        <v>46087</v>
      </c>
      <c r="C43" s="26" t="s">
        <v>84</v>
      </c>
      <c r="D43" s="38" t="s">
        <v>56</v>
      </c>
      <c r="E43" s="26" t="s">
        <v>60</v>
      </c>
      <c r="F43" s="28">
        <v>220</v>
      </c>
      <c r="G43" s="28">
        <v>-2000</v>
      </c>
      <c r="H43" s="28">
        <f>Cty_Phu_Minh[[#This Row],[ĐƠN GIÁ]]*Cty_Phu_Minh[[#This Row],[SỐ LƯỢNG]]</f>
        <v>-440000</v>
      </c>
      <c r="I43" s="28"/>
      <c r="J43" s="31">
        <f ca="1">N(INDIRECT("R[-1]C", FALSE)) + Cty_Phu_Minh[[#This Row],[THÀNH TIỀN]] - Cty_Phu_Minh[[#This Row],[THANH TOÁN]]</f>
        <v>11433700</v>
      </c>
      <c r="K43" s="27"/>
    </row>
    <row r="44" spans="1:11" x14ac:dyDescent="0.25">
      <c r="A44" s="25">
        <v>1347</v>
      </c>
      <c r="B44" s="30">
        <v>46087</v>
      </c>
      <c r="C44" s="26" t="s">
        <v>84</v>
      </c>
      <c r="D44" s="38" t="s">
        <v>56</v>
      </c>
      <c r="E44" s="23" t="s">
        <v>58</v>
      </c>
      <c r="F44" s="31">
        <v>180</v>
      </c>
      <c r="G44" s="31">
        <v>-1500</v>
      </c>
      <c r="H44" s="31">
        <f>Cty_Phu_Minh[[#This Row],[ĐƠN GIÁ]]*Cty_Phu_Minh[[#This Row],[SỐ LƯỢNG]]</f>
        <v>-270000</v>
      </c>
      <c r="I44" s="31"/>
      <c r="J44" s="31">
        <f ca="1">N(INDIRECT("R[-1]C", FALSE)) + Cty_Phu_Minh[[#This Row],[THÀNH TIỀN]] - Cty_Phu_Minh[[#This Row],[THANH TOÁN]]</f>
        <v>11163700</v>
      </c>
      <c r="K44" s="24"/>
    </row>
    <row r="45" spans="1:11" x14ac:dyDescent="0.25">
      <c r="A45" s="25">
        <v>1347</v>
      </c>
      <c r="B45" s="30">
        <v>46087</v>
      </c>
      <c r="C45" s="26" t="s">
        <v>84</v>
      </c>
      <c r="D45" s="38" t="s">
        <v>56</v>
      </c>
      <c r="E45" s="23" t="s">
        <v>59</v>
      </c>
      <c r="F45" s="31">
        <v>338</v>
      </c>
      <c r="G45" s="31">
        <v>-1500</v>
      </c>
      <c r="H45" s="31">
        <f>Cty_Phu_Minh[[#This Row],[ĐƠN GIÁ]]*Cty_Phu_Minh[[#This Row],[SỐ LƯỢNG]]</f>
        <v>-507000</v>
      </c>
      <c r="I45" s="31"/>
      <c r="J45" s="31">
        <f ca="1">N(INDIRECT("R[-1]C", FALSE)) + Cty_Phu_Minh[[#This Row],[THÀNH TIỀN]] - Cty_Phu_Minh[[#This Row],[THANH TOÁN]]</f>
        <v>10656700</v>
      </c>
      <c r="K45" s="24"/>
    </row>
    <row r="46" spans="1:11" x14ac:dyDescent="0.25">
      <c r="A46" s="25">
        <v>1347</v>
      </c>
      <c r="B46" s="30">
        <v>46087</v>
      </c>
      <c r="C46" s="26" t="s">
        <v>84</v>
      </c>
      <c r="D46" s="38" t="s">
        <v>68</v>
      </c>
      <c r="E46" s="23" t="s">
        <v>62</v>
      </c>
      <c r="F46" s="31">
        <v>56</v>
      </c>
      <c r="G46" s="31">
        <v>-1500</v>
      </c>
      <c r="H46" s="31">
        <f>Cty_Phu_Minh[[#This Row],[ĐƠN GIÁ]]*Cty_Phu_Minh[[#This Row],[SỐ LƯỢNG]]</f>
        <v>-84000</v>
      </c>
      <c r="I46" s="31"/>
      <c r="J46" s="31">
        <f ca="1">N(INDIRECT("R[-1]C", FALSE)) + Cty_Phu_Minh[[#This Row],[THÀNH TIỀN]] - Cty_Phu_Minh[[#This Row],[THANH TOÁN]]</f>
        <v>10572700</v>
      </c>
      <c r="K46" s="24"/>
    </row>
    <row r="47" spans="1:11" ht="31.5" x14ac:dyDescent="0.25">
      <c r="A47" s="63">
        <v>7962</v>
      </c>
      <c r="B47" s="64">
        <v>46090</v>
      </c>
      <c r="C47" s="65" t="s">
        <v>49</v>
      </c>
      <c r="D47" s="50" t="s">
        <v>36</v>
      </c>
      <c r="E47" s="43" t="s">
        <v>63</v>
      </c>
      <c r="F47" s="44">
        <v>1260</v>
      </c>
      <c r="G47" s="44"/>
      <c r="H47" s="44">
        <f>Cty_Phu_Minh[[#This Row],[ĐƠN GIÁ]]*Cty_Phu_Minh[[#This Row],[SỐ LƯỢNG]]</f>
        <v>0</v>
      </c>
      <c r="I47" s="44"/>
      <c r="J47" s="31">
        <f ca="1">N(INDIRECT("R[-1]C", FALSE)) + Cty_Phu_Minh[[#This Row],[THÀNH TIỀN]] - Cty_Phu_Minh[[#This Row],[THANH TOÁN]]</f>
        <v>10572700</v>
      </c>
      <c r="K47" s="54" t="s">
        <v>64</v>
      </c>
    </row>
    <row r="48" spans="1:11" x14ac:dyDescent="0.25">
      <c r="A48" s="63">
        <v>7962</v>
      </c>
      <c r="B48" s="64">
        <v>46090</v>
      </c>
      <c r="C48" s="65" t="s">
        <v>49</v>
      </c>
      <c r="D48" s="38" t="s">
        <v>26</v>
      </c>
      <c r="E48" s="23" t="s">
        <v>65</v>
      </c>
      <c r="F48" s="31">
        <v>280</v>
      </c>
      <c r="G48" s="31"/>
      <c r="H48" s="31">
        <f>Cty_Phu_Minh[[#This Row],[ĐƠN GIÁ]]*Cty_Phu_Minh[[#This Row],[SỐ LƯỢNG]]</f>
        <v>0</v>
      </c>
      <c r="I48" s="31"/>
      <c r="J48" s="31">
        <f ca="1">N(INDIRECT("R[-1]C", FALSE)) + Cty_Phu_Minh[[#This Row],[THÀNH TIỀN]] - Cty_Phu_Minh[[#This Row],[THANH TOÁN]]</f>
        <v>10572700</v>
      </c>
      <c r="K48" s="24" t="s">
        <v>66</v>
      </c>
    </row>
    <row r="49" spans="1:11" x14ac:dyDescent="0.25">
      <c r="A49" s="25">
        <v>813</v>
      </c>
      <c r="B49" s="30">
        <v>46092</v>
      </c>
      <c r="C49" s="26" t="s">
        <v>84</v>
      </c>
      <c r="D49" s="38" t="s">
        <v>50</v>
      </c>
      <c r="E49" s="26" t="s">
        <v>91</v>
      </c>
      <c r="F49" s="28">
        <v>1260</v>
      </c>
      <c r="G49" s="28">
        <v>-1500</v>
      </c>
      <c r="H49" s="28">
        <f>Cty_Phu_Minh[[#This Row],[ĐƠN GIÁ]]*Cty_Phu_Minh[[#This Row],[SỐ LƯỢNG]]</f>
        <v>-1890000</v>
      </c>
      <c r="I49" s="28"/>
      <c r="J49" s="31">
        <f ca="1">N(INDIRECT("R[-1]C", FALSE)) + Cty_Phu_Minh[[#This Row],[THÀNH TIỀN]] - Cty_Phu_Minh[[#This Row],[THANH TOÁN]]</f>
        <v>8682700</v>
      </c>
      <c r="K49" s="27"/>
    </row>
    <row r="50" spans="1:11" x14ac:dyDescent="0.25">
      <c r="A50" s="25">
        <v>8053</v>
      </c>
      <c r="B50" s="30">
        <v>46094</v>
      </c>
      <c r="C50" s="26" t="s">
        <v>49</v>
      </c>
      <c r="D50" s="38" t="s">
        <v>50</v>
      </c>
      <c r="E50" s="26" t="s">
        <v>67</v>
      </c>
      <c r="F50" s="28">
        <v>481</v>
      </c>
      <c r="G50" s="28"/>
      <c r="H50" s="28">
        <f>Cty_Phu_Minh[[#This Row],[ĐƠN GIÁ]]*Cty_Phu_Minh[[#This Row],[SỐ LƯỢNG]]</f>
        <v>0</v>
      </c>
      <c r="I50" s="28"/>
      <c r="J50" s="31">
        <f ca="1">N(INDIRECT("R[-1]C", FALSE)) + Cty_Phu_Minh[[#This Row],[THÀNH TIỀN]] - Cty_Phu_Minh[[#This Row],[THANH TOÁN]]</f>
        <v>8682700</v>
      </c>
      <c r="K50" s="27"/>
    </row>
    <row r="51" spans="1:11" x14ac:dyDescent="0.25">
      <c r="A51" s="25">
        <v>820</v>
      </c>
      <c r="B51" s="30">
        <v>46094</v>
      </c>
      <c r="C51" s="26" t="s">
        <v>84</v>
      </c>
      <c r="D51" s="38" t="s">
        <v>93</v>
      </c>
      <c r="E51" s="26" t="s">
        <v>94</v>
      </c>
      <c r="F51" s="28">
        <v>280</v>
      </c>
      <c r="G51" s="28">
        <v>-2000</v>
      </c>
      <c r="H51" s="28">
        <f>Cty_Phu_Minh[[#This Row],[ĐƠN GIÁ]]*Cty_Phu_Minh[[#This Row],[SỐ LƯỢNG]]</f>
        <v>-560000</v>
      </c>
      <c r="I51" s="28"/>
      <c r="J51" s="31">
        <f ca="1">N(INDIRECT("R[-1]C", FALSE)) + Cty_Phu_Minh[[#This Row],[THÀNH TIỀN]] - Cty_Phu_Minh[[#This Row],[THANH TOÁN]]</f>
        <v>8122700</v>
      </c>
      <c r="K51" s="27"/>
    </row>
    <row r="52" spans="1:11" x14ac:dyDescent="0.25">
      <c r="A52" s="25">
        <v>825</v>
      </c>
      <c r="B52" s="30">
        <v>46095</v>
      </c>
      <c r="C52" s="26" t="s">
        <v>84</v>
      </c>
      <c r="D52" s="38" t="s">
        <v>50</v>
      </c>
      <c r="E52" s="26" t="s">
        <v>92</v>
      </c>
      <c r="F52" s="28">
        <v>481</v>
      </c>
      <c r="G52" s="28">
        <v>-1800</v>
      </c>
      <c r="H52" s="28">
        <f>Cty_Phu_Minh[[#This Row],[ĐƠN GIÁ]]*Cty_Phu_Minh[[#This Row],[SỐ LƯỢNG]]</f>
        <v>-865800</v>
      </c>
      <c r="I52" s="28"/>
      <c r="J52" s="31">
        <f ca="1">N(INDIRECT("R[-1]C", FALSE)) + Cty_Phu_Minh[[#This Row],[THÀNH TIỀN]] - Cty_Phu_Minh[[#This Row],[THANH TOÁN]]</f>
        <v>7256900</v>
      </c>
      <c r="K52" s="27"/>
    </row>
    <row r="53" spans="1:11" x14ac:dyDescent="0.25">
      <c r="A53" s="25">
        <v>8110</v>
      </c>
      <c r="B53" s="30">
        <v>46097</v>
      </c>
      <c r="C53" s="26" t="s">
        <v>49</v>
      </c>
      <c r="D53" s="38" t="s">
        <v>68</v>
      </c>
      <c r="E53" s="23" t="s">
        <v>69</v>
      </c>
      <c r="F53" s="31">
        <v>88</v>
      </c>
      <c r="G53" s="31"/>
      <c r="H53" s="31">
        <f>Cty_Phu_Minh[[#This Row],[ĐƠN GIÁ]]*Cty_Phu_Minh[[#This Row],[SỐ LƯỢNG]]</f>
        <v>0</v>
      </c>
      <c r="I53" s="31"/>
      <c r="J53" s="31">
        <f ca="1">N(INDIRECT("R[-1]C", FALSE)) + Cty_Phu_Minh[[#This Row],[THÀNH TIỀN]] - Cty_Phu_Minh[[#This Row],[THANH TOÁN]]</f>
        <v>7256900</v>
      </c>
      <c r="K53" s="24"/>
    </row>
    <row r="54" spans="1:11" ht="31.5" x14ac:dyDescent="0.25">
      <c r="A54" s="25">
        <v>8162</v>
      </c>
      <c r="B54" s="30">
        <v>46098</v>
      </c>
      <c r="C54" s="26" t="s">
        <v>49</v>
      </c>
      <c r="D54" s="37" t="s">
        <v>50</v>
      </c>
      <c r="E54" s="68" t="s">
        <v>70</v>
      </c>
      <c r="F54" s="31">
        <v>972</v>
      </c>
      <c r="G54" s="31"/>
      <c r="H54" s="31">
        <f>Cty_Phu_Minh[[#This Row],[ĐƠN GIÁ]]*Cty_Phu_Minh[[#This Row],[SỐ LƯỢNG]]</f>
        <v>0</v>
      </c>
      <c r="I54" s="31"/>
      <c r="J54" s="31">
        <f ca="1">N(INDIRECT("R[-1]C", FALSE)) + Cty_Phu_Minh[[#This Row],[THÀNH TIỀN]] - Cty_Phu_Minh[[#This Row],[THANH TOÁN]]</f>
        <v>7256900</v>
      </c>
      <c r="K54" s="24"/>
    </row>
    <row r="55" spans="1:11" x14ac:dyDescent="0.25">
      <c r="A55" s="22"/>
      <c r="B55" s="29">
        <v>46099</v>
      </c>
      <c r="C55" s="23" t="s">
        <v>654</v>
      </c>
      <c r="D55" s="37"/>
      <c r="E55" s="23"/>
      <c r="F55" s="31"/>
      <c r="G55" s="31"/>
      <c r="H55" s="31">
        <f>Cty_Phu_Minh[[#This Row],[ĐƠN GIÁ]]*Cty_Phu_Minh[[#This Row],[SỐ LƯỢNG]]</f>
        <v>0</v>
      </c>
      <c r="I55" s="31">
        <f>-4473000</f>
        <v>-4473000</v>
      </c>
      <c r="J55" s="31">
        <f ca="1">N(INDIRECT("R[-1]C", FALSE)) + Cty_Phu_Minh[[#This Row],[THÀNH TIỀN]] - Cty_Phu_Minh[[#This Row],[THANH TOÁN]]</f>
        <v>11729900</v>
      </c>
      <c r="K55" s="24"/>
    </row>
    <row r="56" spans="1:11" x14ac:dyDescent="0.25">
      <c r="A56" s="22">
        <v>844</v>
      </c>
      <c r="B56" s="29">
        <v>46100</v>
      </c>
      <c r="C56" s="23" t="s">
        <v>84</v>
      </c>
      <c r="D56" s="37" t="s">
        <v>43</v>
      </c>
      <c r="E56" s="23" t="s">
        <v>95</v>
      </c>
      <c r="F56" s="31">
        <v>422</v>
      </c>
      <c r="G56" s="31">
        <v>-2500</v>
      </c>
      <c r="H56" s="31">
        <f>Cty_Phu_Minh[[#This Row],[ĐƠN GIÁ]]*Cty_Phu_Minh[[#This Row],[SỐ LƯỢNG]]</f>
        <v>-1055000</v>
      </c>
      <c r="I56" s="31"/>
      <c r="J56" s="31">
        <f ca="1">N(INDIRECT("R[-1]C", FALSE)) + Cty_Phu_Minh[[#This Row],[THÀNH TIỀN]] - Cty_Phu_Minh[[#This Row],[THANH TOÁN]]</f>
        <v>10674900</v>
      </c>
      <c r="K56" s="24"/>
    </row>
    <row r="57" spans="1:11" x14ac:dyDescent="0.25">
      <c r="A57" s="22">
        <v>844</v>
      </c>
      <c r="B57" s="29">
        <v>46100</v>
      </c>
      <c r="C57" s="23" t="s">
        <v>84</v>
      </c>
      <c r="D57" s="37" t="s">
        <v>43</v>
      </c>
      <c r="E57" s="23" t="s">
        <v>91</v>
      </c>
      <c r="F57" s="31">
        <v>551</v>
      </c>
      <c r="G57" s="31">
        <v>-1500</v>
      </c>
      <c r="H57" s="31">
        <f>Cty_Phu_Minh[[#This Row],[ĐƠN GIÁ]]*Cty_Phu_Minh[[#This Row],[SỐ LƯỢNG]]</f>
        <v>-826500</v>
      </c>
      <c r="I57" s="31"/>
      <c r="J57" s="31">
        <f ca="1">N(INDIRECT("R[-1]C", FALSE)) + Cty_Phu_Minh[[#This Row],[THÀNH TIỀN]] - Cty_Phu_Minh[[#This Row],[THANH TOÁN]]</f>
        <v>9848400</v>
      </c>
      <c r="K57" s="24"/>
    </row>
    <row r="58" spans="1:11" x14ac:dyDescent="0.25">
      <c r="A58" s="22">
        <v>844</v>
      </c>
      <c r="B58" s="29">
        <v>46100</v>
      </c>
      <c r="C58" s="23" t="s">
        <v>84</v>
      </c>
      <c r="D58" s="37" t="s">
        <v>32</v>
      </c>
      <c r="E58" s="23" t="s">
        <v>96</v>
      </c>
      <c r="F58" s="31">
        <v>88</v>
      </c>
      <c r="G58" s="31">
        <v>-2000</v>
      </c>
      <c r="H58" s="31">
        <f>Cty_Phu_Minh[[#This Row],[ĐƠN GIÁ]]*Cty_Phu_Minh[[#This Row],[SỐ LƯỢNG]]</f>
        <v>-176000</v>
      </c>
      <c r="I58" s="31"/>
      <c r="J58" s="31">
        <f ca="1">N(INDIRECT("R[-1]C", FALSE)) + Cty_Phu_Minh[[#This Row],[THÀNH TIỀN]] - Cty_Phu_Minh[[#This Row],[THANH TOÁN]]</f>
        <v>9672400</v>
      </c>
      <c r="K58" s="24"/>
    </row>
    <row r="59" spans="1:11" x14ac:dyDescent="0.25">
      <c r="A59" s="22">
        <v>8292</v>
      </c>
      <c r="B59" s="29">
        <v>46102</v>
      </c>
      <c r="C59" s="23" t="s">
        <v>49</v>
      </c>
      <c r="D59" s="37" t="s">
        <v>50</v>
      </c>
      <c r="E59" s="23" t="s">
        <v>71</v>
      </c>
      <c r="F59" s="31">
        <v>726</v>
      </c>
      <c r="G59" s="31"/>
      <c r="H59" s="31">
        <f>Cty_Phu_Minh[[#This Row],[ĐƠN GIÁ]]*Cty_Phu_Minh[[#This Row],[SỐ LƯỢNG]]</f>
        <v>0</v>
      </c>
      <c r="I59" s="31"/>
      <c r="J59" s="31">
        <f ca="1">N(INDIRECT("R[-1]C", FALSE)) + Cty_Phu_Minh[[#This Row],[THÀNH TIỀN]] - Cty_Phu_Minh[[#This Row],[THANH TOÁN]]</f>
        <v>9672400</v>
      </c>
      <c r="K59" s="24"/>
    </row>
    <row r="60" spans="1:11" x14ac:dyDescent="0.25">
      <c r="A60" s="22">
        <v>8229</v>
      </c>
      <c r="B60" s="29">
        <v>46104</v>
      </c>
      <c r="C60" s="23" t="s">
        <v>49</v>
      </c>
      <c r="D60" s="37" t="s">
        <v>50</v>
      </c>
      <c r="E60" s="23" t="s">
        <v>72</v>
      </c>
      <c r="F60" s="31">
        <v>198</v>
      </c>
      <c r="G60" s="31"/>
      <c r="H60" s="31">
        <f>Cty_Phu_Minh[[#This Row],[ĐƠN GIÁ]]*Cty_Phu_Minh[[#This Row],[SỐ LƯỢNG]]</f>
        <v>0</v>
      </c>
      <c r="I60" s="31"/>
      <c r="J60" s="31">
        <f ca="1">N(INDIRECT("R[-1]C", FALSE)) + Cty_Phu_Minh[[#This Row],[THÀNH TIỀN]] - Cty_Phu_Minh[[#This Row],[THANH TOÁN]]</f>
        <v>9672400</v>
      </c>
      <c r="K60" s="24"/>
    </row>
    <row r="61" spans="1:11" x14ac:dyDescent="0.25">
      <c r="A61" s="22">
        <v>8229</v>
      </c>
      <c r="B61" s="29">
        <v>46104</v>
      </c>
      <c r="C61" s="23" t="s">
        <v>49</v>
      </c>
      <c r="D61" s="37" t="s">
        <v>50</v>
      </c>
      <c r="E61" s="23" t="s">
        <v>73</v>
      </c>
      <c r="F61" s="31">
        <v>522</v>
      </c>
      <c r="G61" s="31"/>
      <c r="H61" s="31">
        <f>Cty_Phu_Minh[[#This Row],[ĐƠN GIÁ]]*Cty_Phu_Minh[[#This Row],[SỐ LƯỢNG]]</f>
        <v>0</v>
      </c>
      <c r="I61" s="31"/>
      <c r="J61" s="31">
        <f ca="1">N(INDIRECT("R[-1]C", FALSE)) + Cty_Phu_Minh[[#This Row],[THÀNH TIỀN]] - Cty_Phu_Minh[[#This Row],[THANH TOÁN]]</f>
        <v>9672400</v>
      </c>
      <c r="K61" s="24"/>
    </row>
    <row r="62" spans="1:11" x14ac:dyDescent="0.25">
      <c r="A62" s="22">
        <v>8229</v>
      </c>
      <c r="B62" s="29">
        <v>46104</v>
      </c>
      <c r="C62" s="23" t="s">
        <v>49</v>
      </c>
      <c r="D62" s="37" t="s">
        <v>50</v>
      </c>
      <c r="E62" s="23" t="s">
        <v>74</v>
      </c>
      <c r="F62" s="31">
        <v>100</v>
      </c>
      <c r="G62" s="31"/>
      <c r="H62" s="31">
        <f>Cty_Phu_Minh[[#This Row],[ĐƠN GIÁ]]*Cty_Phu_Minh[[#This Row],[SỐ LƯỢNG]]</f>
        <v>0</v>
      </c>
      <c r="I62" s="31"/>
      <c r="J62" s="31">
        <f ca="1">N(INDIRECT("R[-1]C", FALSE)) + Cty_Phu_Minh[[#This Row],[THÀNH TIỀN]] - Cty_Phu_Minh[[#This Row],[THANH TOÁN]]</f>
        <v>9672400</v>
      </c>
      <c r="K62" s="24"/>
    </row>
    <row r="63" spans="1:11" x14ac:dyDescent="0.25">
      <c r="A63" s="22">
        <v>8229</v>
      </c>
      <c r="B63" s="29">
        <v>46104</v>
      </c>
      <c r="C63" s="23" t="s">
        <v>49</v>
      </c>
      <c r="D63" s="37" t="s">
        <v>75</v>
      </c>
      <c r="E63" s="23" t="s">
        <v>76</v>
      </c>
      <c r="F63" s="31">
        <v>116</v>
      </c>
      <c r="G63" s="31"/>
      <c r="H63" s="31">
        <f>Cty_Phu_Minh[[#This Row],[ĐƠN GIÁ]]*Cty_Phu_Minh[[#This Row],[SỐ LƯỢNG]]</f>
        <v>0</v>
      </c>
      <c r="I63" s="31"/>
      <c r="J63" s="31">
        <f ca="1">N(INDIRECT("R[-1]C", FALSE)) + Cty_Phu_Minh[[#This Row],[THÀNH TIỀN]] - Cty_Phu_Minh[[#This Row],[THANH TOÁN]]</f>
        <v>9672400</v>
      </c>
      <c r="K63" s="24"/>
    </row>
    <row r="64" spans="1:11" x14ac:dyDescent="0.25">
      <c r="A64" s="22">
        <v>8229</v>
      </c>
      <c r="B64" s="29">
        <v>46104</v>
      </c>
      <c r="C64" s="23" t="s">
        <v>49</v>
      </c>
      <c r="D64" s="37" t="s">
        <v>50</v>
      </c>
      <c r="E64" s="23" t="s">
        <v>37</v>
      </c>
      <c r="F64" s="31">
        <v>78</v>
      </c>
      <c r="G64" s="31"/>
      <c r="H64" s="31">
        <f>Cty_Phu_Minh[[#This Row],[ĐƠN GIÁ]]*Cty_Phu_Minh[[#This Row],[SỐ LƯỢNG]]</f>
        <v>0</v>
      </c>
      <c r="I64" s="31"/>
      <c r="J64" s="31">
        <f ca="1">N(INDIRECT("R[-1]C", FALSE)) + Cty_Phu_Minh[[#This Row],[THÀNH TIỀN]] - Cty_Phu_Minh[[#This Row],[THANH TOÁN]]</f>
        <v>9672400</v>
      </c>
      <c r="K64" s="24"/>
    </row>
    <row r="65" spans="1:11" x14ac:dyDescent="0.25">
      <c r="A65" s="22">
        <v>1357</v>
      </c>
      <c r="B65" s="29">
        <v>46104</v>
      </c>
      <c r="C65" s="23" t="s">
        <v>84</v>
      </c>
      <c r="D65" s="37" t="s">
        <v>93</v>
      </c>
      <c r="E65" s="23" t="s">
        <v>97</v>
      </c>
      <c r="F65" s="31">
        <v>726</v>
      </c>
      <c r="G65" s="31">
        <v>-2000</v>
      </c>
      <c r="H65" s="31">
        <f>Cty_Phu_Minh[[#This Row],[ĐƠN GIÁ]]*Cty_Phu_Minh[[#This Row],[SỐ LƯỢNG]]</f>
        <v>-1452000</v>
      </c>
      <c r="I65" s="31"/>
      <c r="J65" s="31">
        <f ca="1">N(INDIRECT("R[-1]C", FALSE)) + Cty_Phu_Minh[[#This Row],[THÀNH TIỀN]] - Cty_Phu_Minh[[#This Row],[THANH TOÁN]]</f>
        <v>8220400</v>
      </c>
      <c r="K65" s="24"/>
    </row>
    <row r="66" spans="1:11" x14ac:dyDescent="0.25">
      <c r="A66" s="22"/>
      <c r="B66" s="29">
        <v>46105</v>
      </c>
      <c r="C66" s="23" t="s">
        <v>21</v>
      </c>
      <c r="D66" s="37" t="s">
        <v>22</v>
      </c>
      <c r="E66" s="23" t="s">
        <v>83</v>
      </c>
      <c r="F66" s="31">
        <v>0</v>
      </c>
      <c r="G66" s="31">
        <v>0</v>
      </c>
      <c r="H66" s="31">
        <f>Cty_Phu_Minh[[#This Row],[ĐƠN GIÁ]]*Cty_Phu_Minh[[#This Row],[SỐ LƯỢNG]]</f>
        <v>0</v>
      </c>
      <c r="I66" s="31">
        <v>23255923</v>
      </c>
      <c r="J66" s="31">
        <f ca="1">N(INDIRECT("R[-1]C", FALSE)) + Cty_Phu_Minh[[#This Row],[THÀNH TIỀN]] - Cty_Phu_Minh[[#This Row],[THANH TOÁN]]</f>
        <v>-15035523</v>
      </c>
      <c r="K66" s="24"/>
    </row>
    <row r="67" spans="1:11" x14ac:dyDescent="0.25">
      <c r="A67" s="22">
        <v>1365</v>
      </c>
      <c r="B67" s="29">
        <v>46105</v>
      </c>
      <c r="C67" s="23" t="s">
        <v>84</v>
      </c>
      <c r="D67" s="37" t="s">
        <v>50</v>
      </c>
      <c r="E67" s="23" t="s">
        <v>98</v>
      </c>
      <c r="F67" s="31">
        <v>198</v>
      </c>
      <c r="G67" s="31">
        <v>-2500</v>
      </c>
      <c r="H67" s="31">
        <f>Cty_Phu_Minh[[#This Row],[ĐƠN GIÁ]]*Cty_Phu_Minh[[#This Row],[SỐ LƯỢNG]]</f>
        <v>-495000</v>
      </c>
      <c r="I67" s="31"/>
      <c r="J67" s="31">
        <f ca="1">N(INDIRECT("R[-1]C", FALSE)) + Cty_Phu_Minh[[#This Row],[THÀNH TIỀN]] - Cty_Phu_Minh[[#This Row],[THANH TOÁN]]</f>
        <v>-15530523</v>
      </c>
      <c r="K67" s="24"/>
    </row>
    <row r="68" spans="1:11" x14ac:dyDescent="0.25">
      <c r="A68" s="22">
        <v>1365</v>
      </c>
      <c r="B68" s="29">
        <v>46105</v>
      </c>
      <c r="C68" s="23" t="s">
        <v>84</v>
      </c>
      <c r="D68" s="37" t="s">
        <v>50</v>
      </c>
      <c r="E68" s="23" t="s">
        <v>99</v>
      </c>
      <c r="F68" s="31">
        <v>522</v>
      </c>
      <c r="G68" s="31">
        <v>-1500</v>
      </c>
      <c r="H68" s="31">
        <f>Cty_Phu_Minh[[#This Row],[ĐƠN GIÁ]]*Cty_Phu_Minh[[#This Row],[SỐ LƯỢNG]]</f>
        <v>-783000</v>
      </c>
      <c r="I68" s="31"/>
      <c r="J68" s="31">
        <f ca="1">N(INDIRECT("R[-1]C", FALSE)) + Cty_Phu_Minh[[#This Row],[THÀNH TIỀN]] - Cty_Phu_Minh[[#This Row],[THANH TOÁN]]</f>
        <v>-16313523</v>
      </c>
      <c r="K68" s="24"/>
    </row>
    <row r="69" spans="1:11" x14ac:dyDescent="0.25">
      <c r="A69" s="22">
        <v>1365</v>
      </c>
      <c r="B69" s="29">
        <v>46105</v>
      </c>
      <c r="C69" s="23" t="s">
        <v>84</v>
      </c>
      <c r="D69" s="37" t="s">
        <v>50</v>
      </c>
      <c r="E69" s="23" t="s">
        <v>100</v>
      </c>
      <c r="F69" s="31">
        <v>100</v>
      </c>
      <c r="G69" s="31">
        <v>-2000</v>
      </c>
      <c r="H69" s="31">
        <f>Cty_Phu_Minh[[#This Row],[ĐƠN GIÁ]]*Cty_Phu_Minh[[#This Row],[SỐ LƯỢNG]]</f>
        <v>-200000</v>
      </c>
      <c r="I69" s="31"/>
      <c r="J69" s="31">
        <f ca="1">N(INDIRECT("R[-1]C", FALSE)) + Cty_Phu_Minh[[#This Row],[THÀNH TIỀN]] - Cty_Phu_Minh[[#This Row],[THANH TOÁN]]</f>
        <v>-16513523</v>
      </c>
      <c r="K69" s="24"/>
    </row>
    <row r="70" spans="1:11" x14ac:dyDescent="0.25">
      <c r="A70" s="22">
        <v>1365</v>
      </c>
      <c r="B70" s="29">
        <v>46105</v>
      </c>
      <c r="C70" s="23" t="s">
        <v>84</v>
      </c>
      <c r="D70" s="37" t="s">
        <v>50</v>
      </c>
      <c r="E70" s="23" t="s">
        <v>101</v>
      </c>
      <c r="F70" s="31">
        <v>78</v>
      </c>
      <c r="G70" s="31">
        <v>-2500</v>
      </c>
      <c r="H70" s="31">
        <f>Cty_Phu_Minh[[#This Row],[ĐƠN GIÁ]]*Cty_Phu_Minh[[#This Row],[SỐ LƯỢNG]]</f>
        <v>-195000</v>
      </c>
      <c r="I70" s="31"/>
      <c r="J70" s="31">
        <f ca="1">N(INDIRECT("R[-1]C", FALSE)) + Cty_Phu_Minh[[#This Row],[THÀNH TIỀN]] - Cty_Phu_Minh[[#This Row],[THANH TOÁN]]</f>
        <v>-16708523</v>
      </c>
      <c r="K70" s="24"/>
    </row>
    <row r="71" spans="1:11" x14ac:dyDescent="0.25">
      <c r="A71" s="22">
        <v>1365</v>
      </c>
      <c r="B71" s="29">
        <v>46105</v>
      </c>
      <c r="C71" s="23" t="s">
        <v>84</v>
      </c>
      <c r="D71" s="37" t="s">
        <v>75</v>
      </c>
      <c r="E71" s="23" t="s">
        <v>102</v>
      </c>
      <c r="F71" s="31">
        <v>116</v>
      </c>
      <c r="G71" s="31">
        <v>-2500</v>
      </c>
      <c r="H71" s="31">
        <f>Cty_Phu_Minh[[#This Row],[ĐƠN GIÁ]]*Cty_Phu_Minh[[#This Row],[SỐ LƯỢNG]]</f>
        <v>-290000</v>
      </c>
      <c r="I71" s="31"/>
      <c r="J71" s="31">
        <f ca="1">N(INDIRECT("R[-1]C", FALSE)) + Cty_Phu_Minh[[#This Row],[THÀNH TIỀN]] - Cty_Phu_Minh[[#This Row],[THANH TOÁN]]</f>
        <v>-16998523</v>
      </c>
      <c r="K71" s="24"/>
    </row>
    <row r="72" spans="1:11" x14ac:dyDescent="0.25">
      <c r="A72" s="22">
        <v>1365</v>
      </c>
      <c r="B72" s="29">
        <v>46105</v>
      </c>
      <c r="C72" s="23" t="s">
        <v>84</v>
      </c>
      <c r="D72" s="37" t="s">
        <v>103</v>
      </c>
      <c r="E72" s="23" t="s">
        <v>104</v>
      </c>
      <c r="F72" s="31">
        <v>623</v>
      </c>
      <c r="G72" s="31">
        <v>-2000</v>
      </c>
      <c r="H72" s="31">
        <f>Cty_Phu_Minh[[#This Row],[ĐƠN GIÁ]]*Cty_Phu_Minh[[#This Row],[SỐ LƯỢNG]]</f>
        <v>-1246000</v>
      </c>
      <c r="I72" s="31"/>
      <c r="J72" s="31">
        <f ca="1">N(INDIRECT("R[-1]C", FALSE)) + Cty_Phu_Minh[[#This Row],[THÀNH TIỀN]] - Cty_Phu_Minh[[#This Row],[THANH TOÁN]]</f>
        <v>-18244523</v>
      </c>
      <c r="K72" s="24"/>
    </row>
    <row r="73" spans="1:11" x14ac:dyDescent="0.25">
      <c r="A73" s="22">
        <v>8316</v>
      </c>
      <c r="B73" s="29">
        <v>46106</v>
      </c>
      <c r="C73" s="23" t="s">
        <v>49</v>
      </c>
      <c r="D73" s="37" t="s">
        <v>77</v>
      </c>
      <c r="E73" s="23" t="s">
        <v>78</v>
      </c>
      <c r="F73" s="31">
        <v>735</v>
      </c>
      <c r="G73" s="31"/>
      <c r="H73" s="31">
        <f>Cty_Phu_Minh[[#This Row],[ĐƠN GIÁ]]*Cty_Phu_Minh[[#This Row],[SỐ LƯỢNG]]</f>
        <v>0</v>
      </c>
      <c r="I73" s="31"/>
      <c r="J73" s="31">
        <f ca="1">N(INDIRECT("R[-1]C", FALSE)) + Cty_Phu_Minh[[#This Row],[THÀNH TIỀN]] - Cty_Phu_Minh[[#This Row],[THANH TOÁN]]</f>
        <v>-18244523</v>
      </c>
      <c r="K73" s="24"/>
    </row>
    <row r="74" spans="1:11" x14ac:dyDescent="0.25">
      <c r="A74" s="22">
        <v>8340</v>
      </c>
      <c r="B74" s="29">
        <v>46107</v>
      </c>
      <c r="C74" s="23" t="s">
        <v>49</v>
      </c>
      <c r="D74" s="37" t="s">
        <v>54</v>
      </c>
      <c r="E74" s="23" t="s">
        <v>79</v>
      </c>
      <c r="F74" s="31"/>
      <c r="G74" s="31"/>
      <c r="H74" s="31">
        <f>Cty_Phu_Minh[[#This Row],[ĐƠN GIÁ]]*Cty_Phu_Minh[[#This Row],[SỐ LƯỢNG]]</f>
        <v>0</v>
      </c>
      <c r="I74" s="31"/>
      <c r="J74" s="31">
        <f ca="1">N(INDIRECT("R[-1]C", FALSE)) + Cty_Phu_Minh[[#This Row],[THÀNH TIỀN]] - Cty_Phu_Minh[[#This Row],[THANH TOÁN]]</f>
        <v>-18244523</v>
      </c>
      <c r="K74" s="24" t="s">
        <v>80</v>
      </c>
    </row>
    <row r="75" spans="1:11" x14ac:dyDescent="0.25">
      <c r="A75" s="22">
        <v>1368</v>
      </c>
      <c r="B75" s="29">
        <v>46107</v>
      </c>
      <c r="C75" s="23" t="s">
        <v>84</v>
      </c>
      <c r="D75" s="37" t="s">
        <v>26</v>
      </c>
      <c r="E75" s="23" t="s">
        <v>105</v>
      </c>
      <c r="F75" s="31">
        <v>735</v>
      </c>
      <c r="G75" s="31">
        <v>-2000</v>
      </c>
      <c r="H75" s="31">
        <f>Cty_Phu_Minh[[#This Row],[ĐƠN GIÁ]]*Cty_Phu_Minh[[#This Row],[SỐ LƯỢNG]]</f>
        <v>-1470000</v>
      </c>
      <c r="I75" s="31"/>
      <c r="J75" s="31">
        <f ca="1">N(INDIRECT("R[-1]C", FALSE)) + Cty_Phu_Minh[[#This Row],[THÀNH TIỀN]] - Cty_Phu_Minh[[#This Row],[THANH TOÁN]]</f>
        <v>-19714523</v>
      </c>
      <c r="K75" s="24"/>
    </row>
    <row r="76" spans="1:11" x14ac:dyDescent="0.25">
      <c r="A76" s="22">
        <v>8369</v>
      </c>
      <c r="B76" s="29">
        <v>46108</v>
      </c>
      <c r="C76" s="23" t="s">
        <v>49</v>
      </c>
      <c r="D76" s="37" t="s">
        <v>26</v>
      </c>
      <c r="E76" s="23" t="s">
        <v>81</v>
      </c>
      <c r="F76" s="31">
        <v>744</v>
      </c>
      <c r="G76" s="31"/>
      <c r="H76" s="31">
        <f>Cty_Phu_Minh[[#This Row],[ĐƠN GIÁ]]*Cty_Phu_Minh[[#This Row],[SỐ LƯỢNG]]</f>
        <v>0</v>
      </c>
      <c r="I76" s="31"/>
      <c r="J76" s="31">
        <f ca="1">N(INDIRECT("R[-1]C", FALSE)) + Cty_Phu_Minh[[#This Row],[THÀNH TIỀN]] - Cty_Phu_Minh[[#This Row],[THANH TOÁN]]</f>
        <v>-19714523</v>
      </c>
      <c r="K76" s="24"/>
    </row>
    <row r="77" spans="1:11" x14ac:dyDescent="0.25">
      <c r="A77" s="22">
        <v>1378</v>
      </c>
      <c r="B77" s="29">
        <v>46109</v>
      </c>
      <c r="C77" s="23" t="s">
        <v>84</v>
      </c>
      <c r="D77" s="37" t="s">
        <v>93</v>
      </c>
      <c r="E77" s="23" t="s">
        <v>94</v>
      </c>
      <c r="F77" s="31">
        <v>744</v>
      </c>
      <c r="G77" s="31">
        <v>-2000</v>
      </c>
      <c r="H77" s="31">
        <f>Cty_Phu_Minh[[#This Row],[ĐƠN GIÁ]]*Cty_Phu_Minh[[#This Row],[SỐ LƯỢNG]]</f>
        <v>-1488000</v>
      </c>
      <c r="I77" s="31"/>
      <c r="J77" s="31">
        <f ca="1">N(INDIRECT("R[-1]C", FALSE)) + Cty_Phu_Minh[[#This Row],[THÀNH TIỀN]] - Cty_Phu_Minh[[#This Row],[THANH TOÁN]]</f>
        <v>-21202523</v>
      </c>
      <c r="K77" s="24"/>
    </row>
    <row r="78" spans="1:11" ht="31.5" x14ac:dyDescent="0.25">
      <c r="A78" s="22">
        <v>8414</v>
      </c>
      <c r="B78" s="29">
        <v>46111</v>
      </c>
      <c r="C78" s="23" t="s">
        <v>49</v>
      </c>
      <c r="D78" s="37" t="s">
        <v>50</v>
      </c>
      <c r="E78" s="68" t="s">
        <v>82</v>
      </c>
      <c r="F78" s="31">
        <v>2636</v>
      </c>
      <c r="G78" s="31"/>
      <c r="H78" s="31">
        <f>Cty_Phu_Minh[[#This Row],[ĐƠN GIÁ]]*Cty_Phu_Minh[[#This Row],[SỐ LƯỢNG]]</f>
        <v>0</v>
      </c>
      <c r="I78" s="31"/>
      <c r="J78" s="31">
        <f ca="1">N(INDIRECT("R[-1]C", FALSE)) + Cty_Phu_Minh[[#This Row],[THÀNH TIỀN]] - Cty_Phu_Minh[[#This Row],[THANH TOÁN]]</f>
        <v>-21202523</v>
      </c>
      <c r="K78" s="24"/>
    </row>
    <row r="79" spans="1:11" x14ac:dyDescent="0.25">
      <c r="A79" s="22">
        <v>8414</v>
      </c>
      <c r="B79" s="29">
        <v>46111</v>
      </c>
      <c r="C79" s="23" t="s">
        <v>49</v>
      </c>
      <c r="D79" s="37" t="s">
        <v>14</v>
      </c>
      <c r="E79" s="23" t="s">
        <v>62</v>
      </c>
      <c r="F79" s="31">
        <v>48</v>
      </c>
      <c r="G79" s="31"/>
      <c r="H79" s="31">
        <f>Cty_Phu_Minh[[#This Row],[ĐƠN GIÁ]]*Cty_Phu_Minh[[#This Row],[SỐ LƯỢNG]]</f>
        <v>0</v>
      </c>
      <c r="I79" s="31"/>
      <c r="J79" s="31">
        <f ca="1">N(INDIRECT("R[-1]C", FALSE)) + Cty_Phu_Minh[[#This Row],[THÀNH TIỀN]] - Cty_Phu_Minh[[#This Row],[THANH TOÁN]]</f>
        <v>-21202523</v>
      </c>
      <c r="K79" s="24"/>
    </row>
    <row r="80" spans="1:11" ht="31.5" x14ac:dyDescent="0.25">
      <c r="A80" s="22">
        <v>8453</v>
      </c>
      <c r="B80" s="29">
        <v>46113</v>
      </c>
      <c r="C80" s="23" t="s">
        <v>49</v>
      </c>
      <c r="D80" s="37" t="s">
        <v>50</v>
      </c>
      <c r="E80" s="68" t="s">
        <v>2005</v>
      </c>
      <c r="F80" s="31">
        <v>1126</v>
      </c>
      <c r="G80" s="31"/>
      <c r="H80" s="31">
        <f>Cty_Phu_Minh[[#This Row],[ĐƠN GIÁ]]*Cty_Phu_Minh[[#This Row],[SỐ LƯỢNG]]</f>
        <v>0</v>
      </c>
      <c r="I80" s="31"/>
      <c r="J80" s="31">
        <f ca="1">N(INDIRECT("R[-1]C", FALSE)) + Cty_Phu_Minh[[#This Row],[THÀNH TIỀN]] - Cty_Phu_Minh[[#This Row],[THANH TOÁN]]</f>
        <v>-21202523</v>
      </c>
      <c r="K80" s="24" t="s">
        <v>85</v>
      </c>
    </row>
    <row r="81" spans="1:11" x14ac:dyDescent="0.25">
      <c r="A81" s="22">
        <v>1394</v>
      </c>
      <c r="B81" s="29">
        <v>46114</v>
      </c>
      <c r="C81" s="23" t="s">
        <v>84</v>
      </c>
      <c r="D81" s="37" t="s">
        <v>50</v>
      </c>
      <c r="E81" s="68" t="s">
        <v>116</v>
      </c>
      <c r="F81" s="31">
        <v>1063</v>
      </c>
      <c r="G81" s="31">
        <v>-2500</v>
      </c>
      <c r="H81" s="31">
        <f>Cty_Phu_Minh[[#This Row],[ĐƠN GIÁ]]*Cty_Phu_Minh[[#This Row],[SỐ LƯỢNG]]</f>
        <v>-2657500</v>
      </c>
      <c r="I81" s="31"/>
      <c r="J81" s="31">
        <f ca="1">N(INDIRECT("R[-1]C", FALSE)) + Cty_Phu_Minh[[#This Row],[THÀNH TIỀN]] - Cty_Phu_Minh[[#This Row],[THANH TOÁN]]</f>
        <v>-23860023</v>
      </c>
      <c r="K81" s="24"/>
    </row>
    <row r="82" spans="1:11" x14ac:dyDescent="0.25">
      <c r="A82" s="22">
        <v>1394</v>
      </c>
      <c r="B82" s="29">
        <v>46114</v>
      </c>
      <c r="C82" s="23" t="s">
        <v>84</v>
      </c>
      <c r="D82" s="37" t="s">
        <v>50</v>
      </c>
      <c r="E82" s="68" t="s">
        <v>117</v>
      </c>
      <c r="F82" s="31">
        <v>1757</v>
      </c>
      <c r="G82" s="31">
        <v>-2000</v>
      </c>
      <c r="H82" s="31">
        <f>Cty_Phu_Minh[[#This Row],[ĐƠN GIÁ]]*Cty_Phu_Minh[[#This Row],[SỐ LƯỢNG]]</f>
        <v>-3514000</v>
      </c>
      <c r="I82" s="31"/>
      <c r="J82" s="31">
        <f ca="1">N(INDIRECT("R[-1]C", FALSE)) + Cty_Phu_Minh[[#This Row],[THÀNH TIỀN]] - Cty_Phu_Minh[[#This Row],[THANH TOÁN]]</f>
        <v>-27374023</v>
      </c>
      <c r="K82" s="24"/>
    </row>
    <row r="83" spans="1:11" x14ac:dyDescent="0.25">
      <c r="A83" s="22">
        <v>1394</v>
      </c>
      <c r="B83" s="29">
        <v>46114</v>
      </c>
      <c r="C83" s="23" t="s">
        <v>84</v>
      </c>
      <c r="D83" s="37" t="s">
        <v>50</v>
      </c>
      <c r="E83" s="68" t="s">
        <v>110</v>
      </c>
      <c r="F83" s="31">
        <v>956</v>
      </c>
      <c r="G83" s="31">
        <v>-1500</v>
      </c>
      <c r="H83" s="31">
        <f>Cty_Phu_Minh[[#This Row],[ĐƠN GIÁ]]*Cty_Phu_Minh[[#This Row],[SỐ LƯỢNG]]</f>
        <v>-1434000</v>
      </c>
      <c r="I83" s="31"/>
      <c r="J83" s="31">
        <f ca="1">N(INDIRECT("R[-1]C", FALSE)) + Cty_Phu_Minh[[#This Row],[THÀNH TIỀN]] - Cty_Phu_Minh[[#This Row],[THANH TOÁN]]</f>
        <v>-28808023</v>
      </c>
      <c r="K83" s="24"/>
    </row>
    <row r="84" spans="1:11" x14ac:dyDescent="0.25">
      <c r="A84" s="22">
        <v>1396</v>
      </c>
      <c r="B84" s="29">
        <v>46114</v>
      </c>
      <c r="C84" s="23" t="s">
        <v>84</v>
      </c>
      <c r="D84" s="37" t="s">
        <v>118</v>
      </c>
      <c r="E84" s="68" t="s">
        <v>73</v>
      </c>
      <c r="F84" s="31">
        <v>206</v>
      </c>
      <c r="G84" s="31">
        <v>-1500</v>
      </c>
      <c r="H84" s="31">
        <f>Cty_Phu_Minh[[#This Row],[ĐƠN GIÁ]]*Cty_Phu_Minh[[#This Row],[SỐ LƯỢNG]]</f>
        <v>-309000</v>
      </c>
      <c r="I84" s="31"/>
      <c r="J84" s="31">
        <f ca="1">N(INDIRECT("R[-1]C", FALSE)) + Cty_Phu_Minh[[#This Row],[THÀNH TIỀN]] - Cty_Phu_Minh[[#This Row],[THANH TOÁN]]</f>
        <v>-29117023</v>
      </c>
      <c r="K84" s="24"/>
    </row>
    <row r="85" spans="1:11" x14ac:dyDescent="0.25">
      <c r="A85" s="22">
        <v>1396</v>
      </c>
      <c r="B85" s="29">
        <v>46114</v>
      </c>
      <c r="C85" s="23" t="s">
        <v>84</v>
      </c>
      <c r="D85" s="37" t="s">
        <v>14</v>
      </c>
      <c r="E85" s="68" t="s">
        <v>62</v>
      </c>
      <c r="F85" s="31">
        <v>48</v>
      </c>
      <c r="G85" s="31">
        <v>-2500</v>
      </c>
      <c r="H85" s="31">
        <f>Cty_Phu_Minh[[#This Row],[ĐƠN GIÁ]]*Cty_Phu_Minh[[#This Row],[SỐ LƯỢNG]]</f>
        <v>-120000</v>
      </c>
      <c r="I85" s="31"/>
      <c r="J85" s="31">
        <f ca="1">N(INDIRECT("R[-1]C", FALSE)) + Cty_Phu_Minh[[#This Row],[THÀNH TIỀN]] - Cty_Phu_Minh[[#This Row],[THANH TOÁN]]</f>
        <v>-29237023</v>
      </c>
      <c r="K85" s="24"/>
    </row>
    <row r="86" spans="1:11" x14ac:dyDescent="0.25">
      <c r="A86" s="22">
        <v>8572</v>
      </c>
      <c r="B86" s="29">
        <v>46118</v>
      </c>
      <c r="C86" s="23" t="s">
        <v>49</v>
      </c>
      <c r="D86" s="37" t="s">
        <v>103</v>
      </c>
      <c r="E86" s="68" t="s">
        <v>106</v>
      </c>
      <c r="F86" s="31">
        <v>126</v>
      </c>
      <c r="G86" s="31"/>
      <c r="H86" s="31">
        <f>Cty_Phu_Minh[[#This Row],[ĐƠN GIÁ]]*Cty_Phu_Minh[[#This Row],[SỐ LƯỢNG]]</f>
        <v>0</v>
      </c>
      <c r="I86" s="31"/>
      <c r="J86" s="31">
        <f ca="1">N(INDIRECT("R[-1]C", FALSE)) + Cty_Phu_Minh[[#This Row],[THÀNH TIỀN]] - Cty_Phu_Minh[[#This Row],[THANH TOÁN]]</f>
        <v>-29237023</v>
      </c>
      <c r="K86" s="24" t="s">
        <v>64</v>
      </c>
    </row>
    <row r="87" spans="1:11" x14ac:dyDescent="0.25">
      <c r="A87" s="22">
        <v>8572</v>
      </c>
      <c r="B87" s="29">
        <v>46118</v>
      </c>
      <c r="C87" s="23" t="s">
        <v>49</v>
      </c>
      <c r="D87" s="37" t="s">
        <v>107</v>
      </c>
      <c r="E87" s="68" t="s">
        <v>108</v>
      </c>
      <c r="F87" s="31">
        <v>302</v>
      </c>
      <c r="G87" s="31"/>
      <c r="H87" s="31">
        <f>Cty_Phu_Minh[[#This Row],[ĐƠN GIÁ]]*Cty_Phu_Minh[[#This Row],[SỐ LƯỢNG]]</f>
        <v>0</v>
      </c>
      <c r="I87" s="31"/>
      <c r="J87" s="31">
        <f ca="1">N(INDIRECT("R[-1]C", FALSE)) + Cty_Phu_Minh[[#This Row],[THÀNH TIỀN]] - Cty_Phu_Minh[[#This Row],[THANH TOÁN]]</f>
        <v>-29237023</v>
      </c>
      <c r="K87" s="24" t="s">
        <v>64</v>
      </c>
    </row>
    <row r="88" spans="1:11" x14ac:dyDescent="0.25">
      <c r="A88" s="22">
        <v>861</v>
      </c>
      <c r="B88" s="29">
        <v>46118</v>
      </c>
      <c r="C88" s="23" t="s">
        <v>84</v>
      </c>
      <c r="D88" s="37" t="s">
        <v>103</v>
      </c>
      <c r="E88" s="68" t="s">
        <v>119</v>
      </c>
      <c r="F88" s="31">
        <v>126</v>
      </c>
      <c r="G88" s="31">
        <v>-2000</v>
      </c>
      <c r="H88" s="31">
        <f>Cty_Phu_Minh[[#This Row],[ĐƠN GIÁ]]*Cty_Phu_Minh[[#This Row],[SỐ LƯỢNG]]</f>
        <v>-252000</v>
      </c>
      <c r="I88" s="31"/>
      <c r="J88" s="31">
        <f ca="1">N(INDIRECT("R[-1]C", FALSE)) + Cty_Phu_Minh[[#This Row],[THÀNH TIỀN]] - Cty_Phu_Minh[[#This Row],[THANH TOÁN]]</f>
        <v>-29489023</v>
      </c>
      <c r="K88" s="24"/>
    </row>
    <row r="89" spans="1:11" x14ac:dyDescent="0.25">
      <c r="A89" s="22">
        <v>861</v>
      </c>
      <c r="B89" s="29">
        <v>46118</v>
      </c>
      <c r="C89" s="23" t="s">
        <v>84</v>
      </c>
      <c r="D89" s="37" t="s">
        <v>50</v>
      </c>
      <c r="E89" s="68" t="s">
        <v>120</v>
      </c>
      <c r="F89" s="31">
        <v>302</v>
      </c>
      <c r="G89" s="31">
        <v>-2000</v>
      </c>
      <c r="H89" s="31">
        <f>Cty_Phu_Minh[[#This Row],[ĐƠN GIÁ]]*Cty_Phu_Minh[[#This Row],[SỐ LƯỢNG]]</f>
        <v>-604000</v>
      </c>
      <c r="I89" s="31"/>
      <c r="J89" s="31">
        <f ca="1">N(INDIRECT("R[-1]C", FALSE)) + Cty_Phu_Minh[[#This Row],[THÀNH TIỀN]] - Cty_Phu_Minh[[#This Row],[THANH TOÁN]]</f>
        <v>-30093023</v>
      </c>
      <c r="K89" s="24"/>
    </row>
    <row r="90" spans="1:11" x14ac:dyDescent="0.25">
      <c r="A90" s="22">
        <v>8660</v>
      </c>
      <c r="B90" s="29">
        <v>46121</v>
      </c>
      <c r="C90" s="23" t="s">
        <v>49</v>
      </c>
      <c r="D90" s="37" t="s">
        <v>109</v>
      </c>
      <c r="E90" s="68" t="s">
        <v>73</v>
      </c>
      <c r="F90" s="31">
        <v>858</v>
      </c>
      <c r="G90" s="31"/>
      <c r="H90" s="31">
        <f>Cty_Phu_Minh[[#This Row],[ĐƠN GIÁ]]*Cty_Phu_Minh[[#This Row],[SỐ LƯỢNG]]</f>
        <v>0</v>
      </c>
      <c r="I90" s="31"/>
      <c r="J90" s="31">
        <f ca="1">N(INDIRECT("R[-1]C", FALSE)) + Cty_Phu_Minh[[#This Row],[THÀNH TIỀN]] - Cty_Phu_Minh[[#This Row],[THANH TOÁN]]</f>
        <v>-30093023</v>
      </c>
      <c r="K90" s="24" t="s">
        <v>66</v>
      </c>
    </row>
    <row r="91" spans="1:11" x14ac:dyDescent="0.25">
      <c r="A91" s="22">
        <v>876</v>
      </c>
      <c r="B91" s="29">
        <v>46122</v>
      </c>
      <c r="C91" s="23" t="s">
        <v>84</v>
      </c>
      <c r="D91" s="37" t="s">
        <v>109</v>
      </c>
      <c r="E91" s="68" t="s">
        <v>73</v>
      </c>
      <c r="F91" s="31">
        <v>858</v>
      </c>
      <c r="G91" s="31">
        <v>-1500</v>
      </c>
      <c r="H91" s="31">
        <f>Cty_Phu_Minh[[#This Row],[ĐƠN GIÁ]]*Cty_Phu_Minh[[#This Row],[SỐ LƯỢNG]]</f>
        <v>-1287000</v>
      </c>
      <c r="I91" s="31"/>
      <c r="J91" s="31">
        <f ca="1">N(INDIRECT("R[-1]C", FALSE)) + Cty_Phu_Minh[[#This Row],[THÀNH TIỀN]] - Cty_Phu_Minh[[#This Row],[THANH TOÁN]]</f>
        <v>-31380023</v>
      </c>
      <c r="K91" s="24"/>
    </row>
    <row r="92" spans="1:11" x14ac:dyDescent="0.25">
      <c r="A92" s="22">
        <v>8724</v>
      </c>
      <c r="B92" s="29">
        <v>46125</v>
      </c>
      <c r="C92" s="23" t="s">
        <v>49</v>
      </c>
      <c r="D92" s="37" t="s">
        <v>27</v>
      </c>
      <c r="E92" s="68" t="s">
        <v>110</v>
      </c>
      <c r="F92" s="31">
        <v>830</v>
      </c>
      <c r="G92" s="31"/>
      <c r="H92" s="31">
        <f>Cty_Phu_Minh[[#This Row],[ĐƠN GIÁ]]*Cty_Phu_Minh[[#This Row],[SỐ LƯỢNG]]</f>
        <v>0</v>
      </c>
      <c r="I92" s="31"/>
      <c r="J92" s="31">
        <f ca="1">N(INDIRECT("R[-1]C", FALSE)) + Cty_Phu_Minh[[#This Row],[THÀNH TIỀN]] - Cty_Phu_Minh[[#This Row],[THANH TOÁN]]</f>
        <v>-31380023</v>
      </c>
      <c r="K92" s="24" t="s">
        <v>64</v>
      </c>
    </row>
    <row r="93" spans="1:11" x14ac:dyDescent="0.25">
      <c r="A93" s="22">
        <v>8749</v>
      </c>
      <c r="B93" s="29">
        <v>46125</v>
      </c>
      <c r="C93" s="23" t="s">
        <v>13</v>
      </c>
      <c r="D93" s="37" t="s">
        <v>50</v>
      </c>
      <c r="E93" s="68" t="s">
        <v>111</v>
      </c>
      <c r="F93" s="31">
        <v>429</v>
      </c>
      <c r="G93" s="31">
        <v>61000</v>
      </c>
      <c r="H93" s="31">
        <f>Cty_Phu_Minh[[#This Row],[ĐƠN GIÁ]]*Cty_Phu_Minh[[#This Row],[SỐ LƯỢNG]]</f>
        <v>26169000</v>
      </c>
      <c r="I93" s="31"/>
      <c r="J93" s="31">
        <f ca="1">N(INDIRECT("R[-1]C", FALSE)) + Cty_Phu_Minh[[#This Row],[THÀNH TIỀN]] - Cty_Phu_Minh[[#This Row],[THANH TOÁN]]</f>
        <v>-5211023</v>
      </c>
      <c r="K93" s="24"/>
    </row>
    <row r="94" spans="1:11" x14ac:dyDescent="0.25">
      <c r="A94" s="25">
        <v>8752</v>
      </c>
      <c r="B94" s="30">
        <v>46125</v>
      </c>
      <c r="C94" s="26" t="s">
        <v>49</v>
      </c>
      <c r="D94" s="38" t="s">
        <v>68</v>
      </c>
      <c r="E94" s="67" t="s">
        <v>112</v>
      </c>
      <c r="F94" s="28">
        <v>38</v>
      </c>
      <c r="G94" s="28"/>
      <c r="H94" s="28">
        <f>Cty_Phu_Minh[[#This Row],[ĐƠN GIÁ]]*Cty_Phu_Minh[[#This Row],[SỐ LƯỢNG]]</f>
        <v>0</v>
      </c>
      <c r="I94" s="28"/>
      <c r="J94" s="31">
        <f ca="1">N(INDIRECT("R[-1]C", FALSE)) + Cty_Phu_Minh[[#This Row],[THÀNH TIỀN]] - Cty_Phu_Minh[[#This Row],[THANH TOÁN]]</f>
        <v>-5211023</v>
      </c>
      <c r="K94" s="27" t="s">
        <v>113</v>
      </c>
    </row>
    <row r="95" spans="1:11" x14ac:dyDescent="0.25">
      <c r="A95" s="22">
        <v>8752</v>
      </c>
      <c r="B95" s="29">
        <v>46125</v>
      </c>
      <c r="C95" s="23" t="s">
        <v>49</v>
      </c>
      <c r="D95" s="37" t="s">
        <v>68</v>
      </c>
      <c r="E95" s="68" t="s">
        <v>114</v>
      </c>
      <c r="F95" s="31">
        <v>34</v>
      </c>
      <c r="G95" s="31"/>
      <c r="H95" s="31">
        <f>Cty_Phu_Minh[[#This Row],[ĐƠN GIÁ]]*Cty_Phu_Minh[[#This Row],[SỐ LƯỢNG]]</f>
        <v>0</v>
      </c>
      <c r="I95" s="31"/>
      <c r="J95" s="31">
        <f ca="1">N(INDIRECT("R[-1]C", FALSE)) + Cty_Phu_Minh[[#This Row],[THÀNH TIỀN]] - Cty_Phu_Minh[[#This Row],[THANH TOÁN]]</f>
        <v>-5211023</v>
      </c>
      <c r="K95" s="24" t="s">
        <v>113</v>
      </c>
    </row>
    <row r="96" spans="1:11" x14ac:dyDescent="0.25">
      <c r="A96" s="22">
        <v>890</v>
      </c>
      <c r="B96" s="29">
        <v>46125</v>
      </c>
      <c r="C96" s="23" t="s">
        <v>84</v>
      </c>
      <c r="D96" s="37" t="s">
        <v>50</v>
      </c>
      <c r="E96" s="68" t="s">
        <v>110</v>
      </c>
      <c r="F96" s="31">
        <v>830</v>
      </c>
      <c r="G96" s="31">
        <v>-1500</v>
      </c>
      <c r="H96" s="31">
        <f>Cty_Phu_Minh[[#This Row],[ĐƠN GIÁ]]*Cty_Phu_Minh[[#This Row],[SỐ LƯỢNG]]</f>
        <v>-1245000</v>
      </c>
      <c r="I96" s="31"/>
      <c r="J96" s="31">
        <f ca="1">N(INDIRECT("R[-1]C", FALSE)) + Cty_Phu_Minh[[#This Row],[THÀNH TIỀN]] - Cty_Phu_Minh[[#This Row],[THANH TOÁN]]</f>
        <v>-6456023</v>
      </c>
      <c r="K96" s="24"/>
    </row>
    <row r="97" spans="1:11" x14ac:dyDescent="0.25">
      <c r="A97" s="22">
        <v>897</v>
      </c>
      <c r="B97" s="29">
        <v>46127</v>
      </c>
      <c r="C97" s="23" t="s">
        <v>84</v>
      </c>
      <c r="D97" s="37" t="s">
        <v>14</v>
      </c>
      <c r="E97" s="68" t="s">
        <v>62</v>
      </c>
      <c r="F97" s="31">
        <v>72</v>
      </c>
      <c r="G97" s="31">
        <v>-2500</v>
      </c>
      <c r="H97" s="31">
        <f>Cty_Phu_Minh[[#This Row],[ĐƠN GIÁ]]*Cty_Phu_Minh[[#This Row],[SỐ LƯỢNG]]</f>
        <v>-180000</v>
      </c>
      <c r="I97" s="31"/>
      <c r="J97" s="31">
        <f ca="1">N(INDIRECT("R[-1]C", FALSE)) + Cty_Phu_Minh[[#This Row],[THÀNH TIỀN]] - Cty_Phu_Minh[[#This Row],[THANH TOÁN]]</f>
        <v>-6636023</v>
      </c>
      <c r="K97" s="24"/>
    </row>
    <row r="98" spans="1:11" x14ac:dyDescent="0.25">
      <c r="A98" s="25">
        <v>8812</v>
      </c>
      <c r="B98" s="30">
        <v>46128</v>
      </c>
      <c r="C98" s="26" t="s">
        <v>49</v>
      </c>
      <c r="D98" s="38" t="s">
        <v>103</v>
      </c>
      <c r="E98" s="67" t="s">
        <v>115</v>
      </c>
      <c r="F98" s="28">
        <v>700</v>
      </c>
      <c r="G98" s="28"/>
      <c r="H98" s="28">
        <f>Cty_Phu_Minh[[#This Row],[ĐƠN GIÁ]]*Cty_Phu_Minh[[#This Row],[SỐ LƯỢNG]]</f>
        <v>0</v>
      </c>
      <c r="I98" s="28"/>
      <c r="J98" s="31">
        <f ca="1">N(INDIRECT("R[-1]C", FALSE)) + Cty_Phu_Minh[[#This Row],[THÀNH TIỀN]] - Cty_Phu_Minh[[#This Row],[THANH TOÁN]]</f>
        <v>-6636023</v>
      </c>
      <c r="K98" s="27"/>
    </row>
    <row r="99" spans="1:11" x14ac:dyDescent="0.25">
      <c r="A99" s="22"/>
      <c r="B99" s="29">
        <v>46128</v>
      </c>
      <c r="C99" s="23" t="s">
        <v>654</v>
      </c>
      <c r="D99" s="37"/>
      <c r="E99" s="23"/>
      <c r="F99" s="31"/>
      <c r="G99" s="31"/>
      <c r="H99" s="31">
        <f>Cty_Phu_Minh[[#This Row],[ĐƠN GIÁ]]*Cty_Phu_Minh[[#This Row],[SỐ LƯỢNG]]</f>
        <v>0</v>
      </c>
      <c r="I99" s="31">
        <v>-21260000</v>
      </c>
      <c r="J99" s="31">
        <f ca="1">N(INDIRECT("R[-1]C", FALSE)) + Cty_Phu_Minh[[#This Row],[THÀNH TIỀN]] - Cty_Phu_Minh[[#This Row],[THANH TOÁN]]</f>
        <v>14623977</v>
      </c>
      <c r="K99" s="24"/>
    </row>
    <row r="100" spans="1:11" x14ac:dyDescent="0.25">
      <c r="A100" s="22">
        <v>1411</v>
      </c>
      <c r="B100" s="29">
        <v>46129</v>
      </c>
      <c r="C100" s="23" t="s">
        <v>84</v>
      </c>
      <c r="D100" s="37" t="s">
        <v>121</v>
      </c>
      <c r="E100" s="68">
        <v>700</v>
      </c>
      <c r="F100" s="31">
        <v>700</v>
      </c>
      <c r="G100" s="31">
        <v>-1500</v>
      </c>
      <c r="H100" s="31">
        <f>Cty_Phu_Minh[[#This Row],[ĐƠN GIÁ]]*Cty_Phu_Minh[[#This Row],[SỐ LƯỢNG]]</f>
        <v>-1050000</v>
      </c>
      <c r="I100" s="31"/>
      <c r="J100" s="31">
        <f ca="1">N(INDIRECT("R[-1]C", FALSE)) + Cty_Phu_Minh[[#This Row],[THÀNH TIỀN]] - Cty_Phu_Minh[[#This Row],[THANH TOÁN]]</f>
        <v>13573977</v>
      </c>
      <c r="K100" s="24"/>
    </row>
    <row r="101" spans="1:11" x14ac:dyDescent="0.25">
      <c r="A101" s="25">
        <v>8918</v>
      </c>
      <c r="B101" s="30">
        <v>46133</v>
      </c>
      <c r="C101" s="26" t="s">
        <v>49</v>
      </c>
      <c r="D101" s="38" t="s">
        <v>411</v>
      </c>
      <c r="E101" s="67" t="s">
        <v>122</v>
      </c>
      <c r="F101" s="28">
        <v>258</v>
      </c>
      <c r="G101" s="28"/>
      <c r="H101" s="28">
        <f>Cty_Phu_Minh[[#This Row],[ĐƠN GIÁ]]*Cty_Phu_Minh[[#This Row],[SỐ LƯỢNG]]</f>
        <v>0</v>
      </c>
      <c r="I101" s="28"/>
      <c r="J101" s="31">
        <f ca="1">N(INDIRECT("R[-1]C", FALSE)) + Cty_Phu_Minh[[#This Row],[THÀNH TIỀN]] - Cty_Phu_Minh[[#This Row],[THANH TOÁN]]</f>
        <v>13573977</v>
      </c>
      <c r="K101" s="27" t="s">
        <v>64</v>
      </c>
    </row>
    <row r="102" spans="1:11" x14ac:dyDescent="0.25">
      <c r="A102" s="22">
        <v>1437</v>
      </c>
      <c r="B102" s="29">
        <v>46135</v>
      </c>
      <c r="C102" s="23" t="s">
        <v>84</v>
      </c>
      <c r="D102" s="37" t="s">
        <v>103</v>
      </c>
      <c r="E102" s="68" t="s">
        <v>122</v>
      </c>
      <c r="F102" s="31">
        <v>258</v>
      </c>
      <c r="G102" s="31">
        <v>-1500</v>
      </c>
      <c r="H102" s="31">
        <f>Cty_Phu_Minh[[#This Row],[ĐƠN GIÁ]]*Cty_Phu_Minh[[#This Row],[SỐ LƯỢNG]]</f>
        <v>-387000</v>
      </c>
      <c r="I102" s="31"/>
      <c r="J102" s="31">
        <f ca="1">N(INDIRECT("R[-1]C", FALSE)) + Cty_Phu_Minh[[#This Row],[THÀNH TIỀN]] - Cty_Phu_Minh[[#This Row],[THANH TOÁN]]</f>
        <v>13186977</v>
      </c>
      <c r="K102" s="24"/>
    </row>
    <row r="103" spans="1:11" x14ac:dyDescent="0.25">
      <c r="A103" s="22">
        <v>9077</v>
      </c>
      <c r="B103" s="29">
        <v>46140</v>
      </c>
      <c r="C103" s="23" t="s">
        <v>49</v>
      </c>
      <c r="D103" s="37" t="s">
        <v>68</v>
      </c>
      <c r="E103" s="68" t="s">
        <v>1859</v>
      </c>
      <c r="F103" s="31">
        <v>44</v>
      </c>
      <c r="G103" s="31"/>
      <c r="H103" s="31">
        <f>Cty_Phu_Minh[[#This Row],[ĐƠN GIÁ]]*Cty_Phu_Minh[[#This Row],[SỐ LƯỢNG]]</f>
        <v>0</v>
      </c>
      <c r="I103" s="31"/>
      <c r="J103" s="31">
        <f ca="1">N(INDIRECT("R[-1]C", FALSE)) + Cty_Phu_Minh[[#This Row],[THÀNH TIỀN]] - Cty_Phu_Minh[[#This Row],[THANH TOÁN]]</f>
        <v>13186977</v>
      </c>
      <c r="K103" s="24" t="s">
        <v>64</v>
      </c>
    </row>
    <row r="104" spans="1:11" x14ac:dyDescent="0.25">
      <c r="A104" s="22">
        <v>9077</v>
      </c>
      <c r="B104" s="29">
        <v>46140</v>
      </c>
      <c r="C104" s="23" t="s">
        <v>49</v>
      </c>
      <c r="D104" s="37" t="s">
        <v>103</v>
      </c>
      <c r="E104" s="68" t="s">
        <v>1860</v>
      </c>
      <c r="F104" s="31">
        <v>686</v>
      </c>
      <c r="G104" s="31"/>
      <c r="H104" s="31">
        <f>Cty_Phu_Minh[[#This Row],[ĐƠN GIÁ]]*Cty_Phu_Minh[[#This Row],[SỐ LƯỢNG]]</f>
        <v>0</v>
      </c>
      <c r="I104" s="31"/>
      <c r="J104" s="31">
        <f ca="1">N(INDIRECT("R[-1]C", FALSE)) + Cty_Phu_Minh[[#This Row],[THÀNH TIỀN]] - Cty_Phu_Minh[[#This Row],[THANH TOÁN]]</f>
        <v>13186977</v>
      </c>
      <c r="K104" s="24" t="s">
        <v>64</v>
      </c>
    </row>
    <row r="105" spans="1:11" x14ac:dyDescent="0.25">
      <c r="A105" s="22">
        <v>9137</v>
      </c>
      <c r="B105" s="29">
        <v>46146</v>
      </c>
      <c r="C105" s="23" t="s">
        <v>49</v>
      </c>
      <c r="D105" s="37" t="s">
        <v>50</v>
      </c>
      <c r="E105" s="68" t="s">
        <v>1915</v>
      </c>
      <c r="F105" s="31">
        <v>720</v>
      </c>
      <c r="G105" s="31"/>
      <c r="H105" s="31">
        <f>Cty_Phu_Minh[[#This Row],[ĐƠN GIÁ]]*Cty_Phu_Minh[[#This Row],[SỐ LƯỢNG]]</f>
        <v>0</v>
      </c>
      <c r="I105" s="31"/>
      <c r="J105" s="31">
        <f ca="1">N(INDIRECT("R[-1]C", FALSE)) + Cty_Phu_Minh[[#This Row],[THÀNH TIỀN]] - Cty_Phu_Minh[[#This Row],[THANH TOÁN]]</f>
        <v>13186977</v>
      </c>
      <c r="K105" s="24" t="s">
        <v>66</v>
      </c>
    </row>
    <row r="106" spans="1:11" x14ac:dyDescent="0.25">
      <c r="A106" s="25">
        <v>9137</v>
      </c>
      <c r="B106" s="30">
        <v>46146</v>
      </c>
      <c r="C106" s="26" t="s">
        <v>49</v>
      </c>
      <c r="D106" s="38" t="s">
        <v>50</v>
      </c>
      <c r="E106" s="67" t="s">
        <v>1916</v>
      </c>
      <c r="F106" s="28">
        <v>40</v>
      </c>
      <c r="G106" s="28"/>
      <c r="H106" s="28">
        <f>Cty_Phu_Minh[[#This Row],[ĐƠN GIÁ]]*Cty_Phu_Minh[[#This Row],[SỐ LƯỢNG]]</f>
        <v>0</v>
      </c>
      <c r="I106" s="28"/>
      <c r="J106" s="31">
        <f ca="1">N(INDIRECT("R[-1]C", FALSE)) + Cty_Phu_Minh[[#This Row],[THÀNH TIỀN]] - Cty_Phu_Minh[[#This Row],[THANH TOÁN]]</f>
        <v>13186977</v>
      </c>
      <c r="K106" s="27" t="s">
        <v>66</v>
      </c>
    </row>
    <row r="107" spans="1:11" x14ac:dyDescent="0.25">
      <c r="A107" s="25">
        <v>907</v>
      </c>
      <c r="B107" s="30">
        <v>46146</v>
      </c>
      <c r="C107" s="26" t="s">
        <v>84</v>
      </c>
      <c r="D107" s="38" t="s">
        <v>68</v>
      </c>
      <c r="E107" s="26" t="s">
        <v>117</v>
      </c>
      <c r="F107" s="28">
        <v>44</v>
      </c>
      <c r="G107" s="28">
        <v>-2000</v>
      </c>
      <c r="H107" s="28">
        <f>Cty_Phu_Minh[[#This Row],[ĐƠN GIÁ]]*Cty_Phu_Minh[[#This Row],[SỐ LƯỢNG]]</f>
        <v>-88000</v>
      </c>
      <c r="I107" s="28"/>
      <c r="J107" s="31">
        <f ca="1">N(INDIRECT("R[-1]C", FALSE)) + Cty_Phu_Minh[[#This Row],[THÀNH TIỀN]] - Cty_Phu_Minh[[#This Row],[THANH TOÁN]]</f>
        <v>13098977</v>
      </c>
      <c r="K107" s="27"/>
    </row>
    <row r="108" spans="1:11" x14ac:dyDescent="0.25">
      <c r="A108" s="25">
        <v>907</v>
      </c>
      <c r="B108" s="30">
        <v>46146</v>
      </c>
      <c r="C108" s="26" t="s">
        <v>84</v>
      </c>
      <c r="D108" s="38" t="s">
        <v>68</v>
      </c>
      <c r="E108" s="26" t="s">
        <v>117</v>
      </c>
      <c r="F108" s="28">
        <v>686</v>
      </c>
      <c r="G108" s="28">
        <v>-2000</v>
      </c>
      <c r="H108" s="28">
        <f>Cty_Phu_Minh[[#This Row],[ĐƠN GIÁ]]*Cty_Phu_Minh[[#This Row],[SỐ LƯỢNG]]</f>
        <v>-1372000</v>
      </c>
      <c r="I108" s="28"/>
      <c r="J108" s="31">
        <f ca="1">N(INDIRECT("R[-1]C", FALSE)) + Cty_Phu_Minh[[#This Row],[THÀNH TIỀN]] - Cty_Phu_Minh[[#This Row],[THANH TOÁN]]</f>
        <v>11726977</v>
      </c>
      <c r="K108" s="27"/>
    </row>
    <row r="109" spans="1:11" x14ac:dyDescent="0.25">
      <c r="A109" s="22">
        <v>910</v>
      </c>
      <c r="B109" s="29">
        <v>46147</v>
      </c>
      <c r="C109" s="23" t="s">
        <v>84</v>
      </c>
      <c r="D109" s="37" t="s">
        <v>50</v>
      </c>
      <c r="E109" s="23" t="s">
        <v>2172</v>
      </c>
      <c r="F109" s="31">
        <v>760</v>
      </c>
      <c r="G109" s="31">
        <v>-2000</v>
      </c>
      <c r="H109" s="31">
        <f>Cty_Phu_Minh[[#This Row],[ĐƠN GIÁ]]*Cty_Phu_Minh[[#This Row],[SỐ LƯỢNG]]</f>
        <v>-1520000</v>
      </c>
      <c r="I109" s="31"/>
      <c r="J109" s="31">
        <f ca="1">N(INDIRECT("R[-1]C", FALSE)) + Cty_Phu_Minh[[#This Row],[THÀNH TIỀN]] - Cty_Phu_Minh[[#This Row],[THANH TOÁN]]</f>
        <v>10206977</v>
      </c>
      <c r="K109" s="24"/>
    </row>
    <row r="110" spans="1:11" x14ac:dyDescent="0.25">
      <c r="A110" s="22">
        <v>9190</v>
      </c>
      <c r="B110" s="29">
        <v>46148</v>
      </c>
      <c r="C110" s="23" t="s">
        <v>49</v>
      </c>
      <c r="D110" s="37" t="s">
        <v>54</v>
      </c>
      <c r="E110" s="68" t="s">
        <v>1948</v>
      </c>
      <c r="F110" s="31">
        <v>178</v>
      </c>
      <c r="G110" s="31"/>
      <c r="H110" s="31">
        <f>Cty_Phu_Minh[[#This Row],[ĐƠN GIÁ]]*Cty_Phu_Minh[[#This Row],[SỐ LƯỢNG]]</f>
        <v>0</v>
      </c>
      <c r="I110" s="31"/>
      <c r="J110" s="31">
        <f ca="1">N(INDIRECT("R[-1]C", FALSE)) + Cty_Phu_Minh[[#This Row],[THÀNH TIỀN]] - Cty_Phu_Minh[[#This Row],[THANH TOÁN]]</f>
        <v>10206977</v>
      </c>
      <c r="K110" s="24" t="s">
        <v>64</v>
      </c>
    </row>
    <row r="111" spans="1:11" x14ac:dyDescent="0.25">
      <c r="A111" s="22">
        <v>9260</v>
      </c>
      <c r="B111" s="29">
        <v>46150</v>
      </c>
      <c r="C111" s="23" t="s">
        <v>49</v>
      </c>
      <c r="D111" s="37" t="s">
        <v>14</v>
      </c>
      <c r="E111" s="68" t="s">
        <v>62</v>
      </c>
      <c r="F111" s="31">
        <v>100</v>
      </c>
      <c r="G111" s="31"/>
      <c r="H111" s="31">
        <f>Cty_Phu_Minh[[#This Row],[ĐƠN GIÁ]]*Cty_Phu_Minh[[#This Row],[SỐ LƯỢNG]]</f>
        <v>0</v>
      </c>
      <c r="I111" s="31"/>
      <c r="J111" s="31">
        <f ca="1">N(INDIRECT("R[-1]C", FALSE)) + Cty_Phu_Minh[[#This Row],[THÀNH TIỀN]] - Cty_Phu_Minh[[#This Row],[THANH TOÁN]]</f>
        <v>10206977</v>
      </c>
      <c r="K111" s="24" t="s">
        <v>1985</v>
      </c>
    </row>
    <row r="112" spans="1:11" x14ac:dyDescent="0.25">
      <c r="A112" s="22">
        <v>9266</v>
      </c>
      <c r="B112" s="29">
        <v>46150</v>
      </c>
      <c r="C112" s="23" t="s">
        <v>49</v>
      </c>
      <c r="D112" s="37" t="s">
        <v>50</v>
      </c>
      <c r="E112" s="68" t="s">
        <v>1988</v>
      </c>
      <c r="F112" s="31">
        <v>126</v>
      </c>
      <c r="G112" s="31"/>
      <c r="H112" s="31">
        <f>Cty_Phu_Minh[[#This Row],[ĐƠN GIÁ]]*Cty_Phu_Minh[[#This Row],[SỐ LƯỢNG]]</f>
        <v>0</v>
      </c>
      <c r="I112" s="31"/>
      <c r="J112" s="31">
        <f ca="1">N(INDIRECT("R[-1]C", FALSE)) + Cty_Phu_Minh[[#This Row],[THÀNH TIỀN]] - Cty_Phu_Minh[[#This Row],[THANH TOÁN]]</f>
        <v>10206977</v>
      </c>
      <c r="K112" s="24" t="s">
        <v>64</v>
      </c>
    </row>
    <row r="113" spans="1:11" x14ac:dyDescent="0.25">
      <c r="A113" s="22">
        <v>9268</v>
      </c>
      <c r="B113" s="29">
        <v>46150</v>
      </c>
      <c r="C113" s="23" t="s">
        <v>49</v>
      </c>
      <c r="D113" s="37" t="s">
        <v>703</v>
      </c>
      <c r="E113" s="68" t="s">
        <v>122</v>
      </c>
      <c r="F113" s="31">
        <v>1002</v>
      </c>
      <c r="G113" s="31"/>
      <c r="H113" s="31">
        <f>Cty_Phu_Minh[[#This Row],[ĐƠN GIÁ]]*Cty_Phu_Minh[[#This Row],[SỐ LƯỢNG]]</f>
        <v>0</v>
      </c>
      <c r="I113" s="31"/>
      <c r="J113" s="31">
        <f ca="1">N(INDIRECT("R[-1]C", FALSE)) + Cty_Phu_Minh[[#This Row],[THÀNH TIỀN]] - Cty_Phu_Minh[[#This Row],[THANH TOÁN]]</f>
        <v>10206977</v>
      </c>
      <c r="K113" s="24" t="s">
        <v>64</v>
      </c>
    </row>
    <row r="114" spans="1:11" x14ac:dyDescent="0.25">
      <c r="A114" s="22">
        <v>925</v>
      </c>
      <c r="B114" s="29">
        <v>46150</v>
      </c>
      <c r="C114" s="23" t="s">
        <v>84</v>
      </c>
      <c r="D114" s="37" t="s">
        <v>54</v>
      </c>
      <c r="E114" s="68" t="s">
        <v>116</v>
      </c>
      <c r="F114" s="31">
        <v>180</v>
      </c>
      <c r="G114" s="31">
        <v>-2500</v>
      </c>
      <c r="H114" s="31">
        <f>Cty_Phu_Minh[[#This Row],[ĐƠN GIÁ]]*Cty_Phu_Minh[[#This Row],[SỐ LƯỢNG]]</f>
        <v>-450000</v>
      </c>
      <c r="I114" s="31"/>
      <c r="J114" s="31">
        <f ca="1">N(INDIRECT("R[-1]C", FALSE)) + Cty_Phu_Minh[[#This Row],[THÀNH TIỀN]] - Cty_Phu_Minh[[#This Row],[THANH TOÁN]]</f>
        <v>9756977</v>
      </c>
      <c r="K114" s="24"/>
    </row>
    <row r="115" spans="1:11" x14ac:dyDescent="0.25">
      <c r="A115" s="22">
        <v>930</v>
      </c>
      <c r="B115" s="29">
        <v>46150</v>
      </c>
      <c r="C115" s="23" t="s">
        <v>84</v>
      </c>
      <c r="D115" s="37" t="s">
        <v>50</v>
      </c>
      <c r="E115" s="23" t="s">
        <v>1988</v>
      </c>
      <c r="F115" s="31">
        <v>126</v>
      </c>
      <c r="G115" s="31">
        <v>-2000</v>
      </c>
      <c r="H115" s="31">
        <f>Cty_Phu_Minh[[#This Row],[ĐƠN GIÁ]]*Cty_Phu_Minh[[#This Row],[SỐ LƯỢNG]]</f>
        <v>-252000</v>
      </c>
      <c r="I115" s="31"/>
      <c r="J115" s="31">
        <f ca="1">N(INDIRECT("R[-1]C", FALSE)) + Cty_Phu_Minh[[#This Row],[THÀNH TIỀN]] - Cty_Phu_Minh[[#This Row],[THANH TOÁN]]</f>
        <v>9504977</v>
      </c>
      <c r="K115" s="24"/>
    </row>
    <row r="116" spans="1:11" x14ac:dyDescent="0.25">
      <c r="A116" s="25">
        <v>9302</v>
      </c>
      <c r="B116" s="30">
        <v>46153</v>
      </c>
      <c r="C116" s="26" t="s">
        <v>49</v>
      </c>
      <c r="D116" s="38" t="s">
        <v>50</v>
      </c>
      <c r="E116" s="26" t="s">
        <v>110</v>
      </c>
      <c r="F116" s="28">
        <v>1188</v>
      </c>
      <c r="G116" s="28"/>
      <c r="H116" s="28">
        <f>Cty_Phu_Minh[[#This Row],[ĐƠN GIÁ]]*Cty_Phu_Minh[[#This Row],[SỐ LƯỢNG]]</f>
        <v>0</v>
      </c>
      <c r="I116" s="28"/>
      <c r="J116" s="28">
        <f ca="1">N(INDIRECT("R[-1]C", FALSE)) + Cty_Phu_Minh[[#This Row],[THÀNH TIỀN]] - Cty_Phu_Minh[[#This Row],[THANH TOÁN]]</f>
        <v>9504977</v>
      </c>
      <c r="K116" s="27" t="s">
        <v>64</v>
      </c>
    </row>
    <row r="117" spans="1:11" x14ac:dyDescent="0.25">
      <c r="A117" s="22">
        <v>941</v>
      </c>
      <c r="B117" s="29">
        <v>46153</v>
      </c>
      <c r="C117" s="23" t="s">
        <v>84</v>
      </c>
      <c r="D117" s="37" t="s">
        <v>56</v>
      </c>
      <c r="E117" s="23" t="s">
        <v>122</v>
      </c>
      <c r="F117" s="31">
        <v>1002</v>
      </c>
      <c r="G117" s="31">
        <v>-1500</v>
      </c>
      <c r="H117" s="31">
        <f>Cty_Phu_Minh[[#This Row],[ĐƠN GIÁ]]*Cty_Phu_Minh[[#This Row],[SỐ LƯỢNG]]</f>
        <v>-1503000</v>
      </c>
      <c r="I117" s="31"/>
      <c r="J117" s="31">
        <f ca="1">N(INDIRECT("R[-1]C", FALSE)) + Cty_Phu_Minh[[#This Row],[THÀNH TIỀN]] - Cty_Phu_Minh[[#This Row],[THANH TOÁN]]</f>
        <v>8001977</v>
      </c>
      <c r="K117" s="24"/>
    </row>
    <row r="118" spans="1:11" x14ac:dyDescent="0.25">
      <c r="A118" s="25">
        <v>941</v>
      </c>
      <c r="B118" s="30">
        <v>46153</v>
      </c>
      <c r="C118" s="26" t="s">
        <v>84</v>
      </c>
      <c r="D118" s="37" t="s">
        <v>68</v>
      </c>
      <c r="E118" s="26" t="s">
        <v>449</v>
      </c>
      <c r="F118" s="28">
        <v>100</v>
      </c>
      <c r="G118" s="28">
        <v>-2000</v>
      </c>
      <c r="H118" s="28">
        <f>Cty_Phu_Minh[[#This Row],[ĐƠN GIÁ]]*Cty_Phu_Minh[[#This Row],[SỐ LƯỢNG]]</f>
        <v>-200000</v>
      </c>
      <c r="I118" s="28"/>
      <c r="J118" s="28">
        <f ca="1">N(INDIRECT("R[-1]C", FALSE)) + Cty_Phu_Minh[[#This Row],[THÀNH TIỀN]] - Cty_Phu_Minh[[#This Row],[THANH TOÁN]]</f>
        <v>7801977</v>
      </c>
      <c r="K118" s="27"/>
    </row>
    <row r="119" spans="1:11" x14ac:dyDescent="0.25">
      <c r="A119" s="22"/>
      <c r="B119" s="29">
        <v>46154</v>
      </c>
      <c r="C119" s="23" t="s">
        <v>21</v>
      </c>
      <c r="D119" s="37" t="s">
        <v>22</v>
      </c>
      <c r="E119" s="23" t="s">
        <v>147</v>
      </c>
      <c r="F119" s="31">
        <v>0</v>
      </c>
      <c r="G119" s="31"/>
      <c r="H119" s="31">
        <f>Cty_Phu_Minh[[#This Row],[ĐƠN GIÁ]]*Cty_Phu_Minh[[#This Row],[SỐ LƯỢNG]]</f>
        <v>0</v>
      </c>
      <c r="I119" s="31">
        <v>26169215</v>
      </c>
      <c r="J119" s="31">
        <f ca="1">N(INDIRECT("R[-1]C", FALSE)) + Cty_Phu_Minh[[#This Row],[THÀNH TIỀN]] - Cty_Phu_Minh[[#This Row],[THANH TOÁN]]</f>
        <v>-18367238</v>
      </c>
      <c r="K119" s="24"/>
    </row>
    <row r="120" spans="1:11" x14ac:dyDescent="0.25">
      <c r="A120" s="22">
        <v>1452</v>
      </c>
      <c r="B120" s="29">
        <v>46155</v>
      </c>
      <c r="C120" s="23" t="s">
        <v>84</v>
      </c>
      <c r="D120" s="37" t="s">
        <v>50</v>
      </c>
      <c r="E120" s="23" t="s">
        <v>110</v>
      </c>
      <c r="F120" s="31">
        <v>1188</v>
      </c>
      <c r="G120" s="31">
        <v>-1500</v>
      </c>
      <c r="H120" s="31">
        <f>Cty_Phu_Minh[[#This Row],[ĐƠN GIÁ]]*Cty_Phu_Minh[[#This Row],[SỐ LƯỢNG]]</f>
        <v>-1782000</v>
      </c>
      <c r="I120" s="31"/>
      <c r="J120" s="31">
        <f ca="1">N(INDIRECT("R[-1]C", FALSE)) + Cty_Phu_Minh[[#This Row],[THÀNH TIỀN]] - Cty_Phu_Minh[[#This Row],[THANH TOÁN]]</f>
        <v>-20149238</v>
      </c>
      <c r="K120" s="24"/>
    </row>
    <row r="121" spans="1:11" x14ac:dyDescent="0.25">
      <c r="A121" s="25">
        <v>9413</v>
      </c>
      <c r="B121" s="30">
        <v>46157</v>
      </c>
      <c r="C121" s="26" t="s">
        <v>49</v>
      </c>
      <c r="D121" s="38" t="s">
        <v>50</v>
      </c>
      <c r="E121" s="26" t="s">
        <v>1106</v>
      </c>
      <c r="F121" s="28"/>
      <c r="G121" s="28"/>
      <c r="H121" s="28">
        <f>Cty_Phu_Minh[[#This Row],[ĐƠN GIÁ]]*Cty_Phu_Minh[[#This Row],[SỐ LƯỢNG]]</f>
        <v>0</v>
      </c>
      <c r="I121" s="28"/>
      <c r="J121" s="28">
        <f ca="1">N(INDIRECT("R[-1]C", FALSE)) + Cty_Phu_Minh[[#This Row],[THÀNH TIỀN]] - Cty_Phu_Minh[[#This Row],[THANH TOÁN]]</f>
        <v>-20149238</v>
      </c>
      <c r="K121" s="27" t="s">
        <v>64</v>
      </c>
    </row>
    <row r="122" spans="1:11" x14ac:dyDescent="0.25">
      <c r="A122" s="22">
        <v>9413</v>
      </c>
      <c r="B122" s="29">
        <v>46157</v>
      </c>
      <c r="C122" s="23" t="s">
        <v>49</v>
      </c>
      <c r="D122" s="37" t="s">
        <v>50</v>
      </c>
      <c r="E122" s="23" t="s">
        <v>28</v>
      </c>
      <c r="F122" s="31"/>
      <c r="G122" s="31"/>
      <c r="H122" s="31">
        <f>Cty_Phu_Minh[[#This Row],[ĐƠN GIÁ]]*Cty_Phu_Minh[[#This Row],[SỐ LƯỢNG]]</f>
        <v>0</v>
      </c>
      <c r="I122" s="31"/>
      <c r="J122" s="31">
        <f ca="1">N(INDIRECT("R[-1]C", FALSE)) + Cty_Phu_Minh[[#This Row],[THÀNH TIỀN]] - Cty_Phu_Minh[[#This Row],[THANH TOÁN]]</f>
        <v>-20149238</v>
      </c>
      <c r="K122" s="24" t="s">
        <v>64</v>
      </c>
    </row>
    <row r="123" spans="1:11" x14ac:dyDescent="0.25">
      <c r="A123" s="22">
        <v>9413</v>
      </c>
      <c r="B123" s="29">
        <v>46157</v>
      </c>
      <c r="C123" s="23" t="s">
        <v>49</v>
      </c>
      <c r="D123" s="37" t="s">
        <v>50</v>
      </c>
      <c r="E123" s="23" t="s">
        <v>2128</v>
      </c>
      <c r="F123" s="31"/>
      <c r="G123" s="31"/>
      <c r="H123" s="31">
        <f>Cty_Phu_Minh[[#This Row],[ĐƠN GIÁ]]*Cty_Phu_Minh[[#This Row],[SỐ LƯỢNG]]</f>
        <v>0</v>
      </c>
      <c r="I123" s="31"/>
      <c r="J123" s="31">
        <f ca="1">N(INDIRECT("R[-1]C", FALSE)) + Cty_Phu_Minh[[#This Row],[THÀNH TIỀN]] - Cty_Phu_Minh[[#This Row],[THANH TOÁN]]</f>
        <v>-20149238</v>
      </c>
      <c r="K123" s="24" t="s">
        <v>64</v>
      </c>
    </row>
    <row r="124" spans="1:11" x14ac:dyDescent="0.25">
      <c r="A124" s="22">
        <v>9455</v>
      </c>
      <c r="B124" s="29">
        <v>46160</v>
      </c>
      <c r="C124" s="23" t="s">
        <v>49</v>
      </c>
      <c r="D124" s="37" t="s">
        <v>26</v>
      </c>
      <c r="E124" s="23" t="s">
        <v>81</v>
      </c>
      <c r="F124" s="31">
        <v>648</v>
      </c>
      <c r="G124" s="31"/>
      <c r="H124" s="31">
        <f>Cty_Phu_Minh[[#This Row],[ĐƠN GIÁ]]*Cty_Phu_Minh[[#This Row],[SỐ LƯỢNG]]</f>
        <v>0</v>
      </c>
      <c r="I124" s="31"/>
      <c r="J124" s="31">
        <f ca="1">N(INDIRECT("R[-1]C", FALSE)) + Cty_Phu_Minh[[#This Row],[THÀNH TIỀN]] - Cty_Phu_Minh[[#This Row],[THANH TOÁN]]</f>
        <v>-20149238</v>
      </c>
      <c r="K124" s="24" t="s">
        <v>1985</v>
      </c>
    </row>
    <row r="125" spans="1:11" x14ac:dyDescent="0.25">
      <c r="A125" s="22">
        <v>1477</v>
      </c>
      <c r="B125" s="29">
        <v>46160</v>
      </c>
      <c r="C125" s="23" t="s">
        <v>84</v>
      </c>
      <c r="D125" s="37" t="s">
        <v>50</v>
      </c>
      <c r="E125" s="23" t="s">
        <v>848</v>
      </c>
      <c r="F125" s="31">
        <v>316</v>
      </c>
      <c r="G125" s="31">
        <v>-2000</v>
      </c>
      <c r="H125" s="31">
        <f>Cty_Phu_Minh[[#This Row],[ĐƠN GIÁ]]*Cty_Phu_Minh[[#This Row],[SỐ LƯỢNG]]</f>
        <v>-632000</v>
      </c>
      <c r="I125" s="31"/>
      <c r="J125" s="31">
        <f ca="1">N(INDIRECT("R[-1]C", FALSE)) + Cty_Phu_Minh[[#This Row],[THÀNH TIỀN]] - Cty_Phu_Minh[[#This Row],[THANH TOÁN]]</f>
        <v>-20781238</v>
      </c>
      <c r="K125" s="24"/>
    </row>
    <row r="126" spans="1:11" x14ac:dyDescent="0.25">
      <c r="A126" s="22">
        <v>1477</v>
      </c>
      <c r="B126" s="29">
        <v>46160</v>
      </c>
      <c r="C126" s="23" t="s">
        <v>84</v>
      </c>
      <c r="D126" s="37" t="s">
        <v>50</v>
      </c>
      <c r="E126" s="23" t="s">
        <v>2128</v>
      </c>
      <c r="F126" s="31">
        <v>81</v>
      </c>
      <c r="G126" s="31">
        <v>-2000</v>
      </c>
      <c r="H126" s="31">
        <f>Cty_Phu_Minh[[#This Row],[ĐƠN GIÁ]]*Cty_Phu_Minh[[#This Row],[SỐ LƯỢNG]]</f>
        <v>-162000</v>
      </c>
      <c r="I126" s="31"/>
      <c r="J126" s="31">
        <f ca="1">N(INDIRECT("R[-1]C", FALSE)) + Cty_Phu_Minh[[#This Row],[THÀNH TIỀN]] - Cty_Phu_Minh[[#This Row],[THANH TOÁN]]</f>
        <v>-20943238</v>
      </c>
      <c r="K126" s="24"/>
    </row>
    <row r="127" spans="1:11" x14ac:dyDescent="0.25">
      <c r="A127" s="22">
        <v>1480</v>
      </c>
      <c r="B127" s="29">
        <v>46160</v>
      </c>
      <c r="C127" s="23" t="s">
        <v>84</v>
      </c>
      <c r="D127" s="37" t="s">
        <v>50</v>
      </c>
      <c r="E127" s="23" t="s">
        <v>110</v>
      </c>
      <c r="F127" s="31">
        <v>886</v>
      </c>
      <c r="G127" s="31">
        <v>-1500</v>
      </c>
      <c r="H127" s="31">
        <f>Cty_Phu_Minh[[#This Row],[ĐƠN GIÁ]]*Cty_Phu_Minh[[#This Row],[SỐ LƯỢNG]]</f>
        <v>-1329000</v>
      </c>
      <c r="I127" s="31"/>
      <c r="J127" s="31">
        <f ca="1">N(INDIRECT("R[-1]C", FALSE)) + Cty_Phu_Minh[[#This Row],[THÀNH TIỀN]] - Cty_Phu_Minh[[#This Row],[THANH TOÁN]]</f>
        <v>-22272238</v>
      </c>
      <c r="K127" s="24"/>
    </row>
    <row r="128" spans="1:11" x14ac:dyDescent="0.25">
      <c r="A128" s="22">
        <v>1480</v>
      </c>
      <c r="B128" s="29">
        <v>46160</v>
      </c>
      <c r="C128" s="23" t="s">
        <v>84</v>
      </c>
      <c r="D128" s="37" t="s">
        <v>54</v>
      </c>
      <c r="E128" s="23" t="s">
        <v>81</v>
      </c>
      <c r="F128" s="31">
        <v>648</v>
      </c>
      <c r="G128" s="31">
        <v>-1500</v>
      </c>
      <c r="H128" s="31">
        <f>Cty_Phu_Minh[[#This Row],[ĐƠN GIÁ]]*Cty_Phu_Minh[[#This Row],[SỐ LƯỢNG]]</f>
        <v>-972000</v>
      </c>
      <c r="I128" s="31"/>
      <c r="J128" s="31">
        <f ca="1">N(INDIRECT("R[-1]C", FALSE)) + Cty_Phu_Minh[[#This Row],[THÀNH TIỀN]] - Cty_Phu_Minh[[#This Row],[THANH TOÁN]]</f>
        <v>-23244238</v>
      </c>
      <c r="K128" s="24"/>
    </row>
    <row r="129" spans="1:11" x14ac:dyDescent="0.25">
      <c r="A129" s="22">
        <v>9492</v>
      </c>
      <c r="B129" s="29">
        <v>46161</v>
      </c>
      <c r="C129" s="23" t="s">
        <v>49</v>
      </c>
      <c r="D129" s="37" t="s">
        <v>50</v>
      </c>
      <c r="E129" s="23" t="s">
        <v>2226</v>
      </c>
      <c r="F129" s="31"/>
      <c r="G129" s="31"/>
      <c r="H129" s="31">
        <f>Cty_Phu_Minh[[#This Row],[ĐƠN GIÁ]]*Cty_Phu_Minh[[#This Row],[SỐ LƯỢNG]]</f>
        <v>0</v>
      </c>
      <c r="I129" s="31"/>
      <c r="J129" s="31">
        <f ca="1">N(INDIRECT("R[-1]C", FALSE)) + Cty_Phu_Minh[[#This Row],[THÀNH TIỀN]] - Cty_Phu_Minh[[#This Row],[THANH TOÁN]]</f>
        <v>-23244238</v>
      </c>
      <c r="K129" s="24"/>
    </row>
    <row r="130" spans="1:11" x14ac:dyDescent="0.25">
      <c r="A130" s="22">
        <v>9492</v>
      </c>
      <c r="B130" s="29">
        <v>46161</v>
      </c>
      <c r="C130" s="23" t="s">
        <v>49</v>
      </c>
      <c r="D130" s="37" t="s">
        <v>50</v>
      </c>
      <c r="E130" s="23" t="s">
        <v>221</v>
      </c>
      <c r="F130" s="31"/>
      <c r="G130" s="31"/>
      <c r="H130" s="31">
        <f>Cty_Phu_Minh[[#This Row],[ĐƠN GIÁ]]*Cty_Phu_Minh[[#This Row],[SỐ LƯỢNG]]</f>
        <v>0</v>
      </c>
      <c r="I130" s="31"/>
      <c r="J130" s="31">
        <f ca="1">N(INDIRECT("R[-1]C", FALSE)) + Cty_Phu_Minh[[#This Row],[THÀNH TIỀN]] - Cty_Phu_Minh[[#This Row],[THANH TOÁN]]</f>
        <v>-23244238</v>
      </c>
      <c r="K130" s="24"/>
    </row>
    <row r="131" spans="1:11" x14ac:dyDescent="0.25">
      <c r="A131" s="22">
        <v>1493</v>
      </c>
      <c r="B131" s="29">
        <v>46162</v>
      </c>
      <c r="C131" s="23" t="s">
        <v>84</v>
      </c>
      <c r="D131" s="37" t="s">
        <v>50</v>
      </c>
      <c r="E131" s="23" t="s">
        <v>221</v>
      </c>
      <c r="F131" s="31">
        <v>245</v>
      </c>
      <c r="G131" s="31">
        <v>-2500</v>
      </c>
      <c r="H131" s="31">
        <f>Cty_Phu_Minh[[#This Row],[ĐƠN GIÁ]]*Cty_Phu_Minh[[#This Row],[SỐ LƯỢNG]]</f>
        <v>-612500</v>
      </c>
      <c r="I131" s="31"/>
      <c r="J131" s="31">
        <f ca="1">N(INDIRECT("R[-1]C", FALSE)) + Cty_Phu_Minh[[#This Row],[THÀNH TIỀN]] - Cty_Phu_Minh[[#This Row],[THANH TOÁN]]</f>
        <v>-23856738</v>
      </c>
      <c r="K131" s="24"/>
    </row>
    <row r="132" spans="1:11" x14ac:dyDescent="0.25">
      <c r="A132" s="22">
        <v>1498</v>
      </c>
      <c r="B132" s="29">
        <v>46163</v>
      </c>
      <c r="C132" s="23" t="s">
        <v>84</v>
      </c>
      <c r="D132" s="37" t="s">
        <v>50</v>
      </c>
      <c r="E132" s="23" t="s">
        <v>117</v>
      </c>
      <c r="F132" s="31">
        <v>225</v>
      </c>
      <c r="G132" s="31">
        <v>-2000</v>
      </c>
      <c r="H132" s="31">
        <f>Cty_Phu_Minh[[#This Row],[ĐƠN GIÁ]]*Cty_Phu_Minh[[#This Row],[SỐ LƯỢNG]]</f>
        <v>-450000</v>
      </c>
      <c r="I132" s="31"/>
      <c r="J132" s="31">
        <f ca="1">N(INDIRECT("R[-1]C", FALSE)) + Cty_Phu_Minh[[#This Row],[THÀNH TIỀN]] - Cty_Phu_Minh[[#This Row],[THANH TOÁN]]</f>
        <v>-24306738</v>
      </c>
      <c r="K132" s="24"/>
    </row>
    <row r="133" spans="1:11" x14ac:dyDescent="0.25">
      <c r="A133" s="22">
        <v>1497</v>
      </c>
      <c r="B133" s="29">
        <v>46163</v>
      </c>
      <c r="C133" s="23" t="s">
        <v>84</v>
      </c>
      <c r="D133" s="37" t="s">
        <v>50</v>
      </c>
      <c r="E133" s="23" t="s">
        <v>2206</v>
      </c>
      <c r="F133" s="31">
        <v>1450</v>
      </c>
      <c r="G133" s="31">
        <v>-2500</v>
      </c>
      <c r="H133" s="31">
        <f>Cty_Phu_Minh[[#This Row],[ĐƠN GIÁ]]*Cty_Phu_Minh[[#This Row],[SỐ LƯỢNG]]</f>
        <v>-3625000</v>
      </c>
      <c r="I133" s="31"/>
      <c r="J133" s="31">
        <f ca="1">N(INDIRECT("R[-1]C", FALSE)) + Cty_Phu_Minh[[#This Row],[THÀNH TIỀN]] - Cty_Phu_Minh[[#This Row],[THANH TOÁN]]</f>
        <v>-27931738</v>
      </c>
      <c r="K133" s="24"/>
    </row>
    <row r="134" spans="1:11" x14ac:dyDescent="0.25">
      <c r="A134" s="22">
        <v>9609</v>
      </c>
      <c r="B134" s="29">
        <v>46168</v>
      </c>
      <c r="C134" s="23" t="s">
        <v>49</v>
      </c>
      <c r="D134" s="37" t="s">
        <v>50</v>
      </c>
      <c r="E134" s="23" t="s">
        <v>177</v>
      </c>
      <c r="F134" s="31">
        <v>1344</v>
      </c>
      <c r="G134" s="31"/>
      <c r="H134" s="31">
        <f>Cty_Phu_Minh[[#This Row],[ĐƠN GIÁ]]*Cty_Phu_Minh[[#This Row],[SỐ LƯỢNG]]</f>
        <v>0</v>
      </c>
      <c r="I134" s="31"/>
      <c r="J134" s="31">
        <f ca="1">N(INDIRECT("R[-1]C", FALSE)) + Cty_Phu_Minh[[#This Row],[THÀNH TIỀN]] - Cty_Phu_Minh[[#This Row],[THANH TOÁN]]</f>
        <v>-27931738</v>
      </c>
      <c r="K134" s="24" t="s">
        <v>64</v>
      </c>
    </row>
    <row r="135" spans="1:11" x14ac:dyDescent="0.25">
      <c r="A135" s="22">
        <v>9625</v>
      </c>
      <c r="B135" s="29">
        <v>46168</v>
      </c>
      <c r="C135" s="23" t="s">
        <v>49</v>
      </c>
      <c r="D135" s="37" t="s">
        <v>150</v>
      </c>
      <c r="E135" s="23" t="s">
        <v>1347</v>
      </c>
      <c r="F135" s="31">
        <v>108</v>
      </c>
      <c r="G135" s="31"/>
      <c r="H135" s="31">
        <f>Cty_Phu_Minh[[#This Row],[ĐƠN GIÁ]]*Cty_Phu_Minh[[#This Row],[SỐ LƯỢNG]]</f>
        <v>0</v>
      </c>
      <c r="I135" s="31"/>
      <c r="J135" s="31">
        <f ca="1">N(INDIRECT("R[-1]C", FALSE)) + Cty_Phu_Minh[[#This Row],[THÀNH TIỀN]] - Cty_Phu_Minh[[#This Row],[THANH TOÁN]]</f>
        <v>-27931738</v>
      </c>
      <c r="K135" s="24" t="s">
        <v>64</v>
      </c>
    </row>
    <row r="136" spans="1:11" x14ac:dyDescent="0.25">
      <c r="A136" s="22">
        <v>971</v>
      </c>
      <c r="B136" s="29">
        <v>46168</v>
      </c>
      <c r="C136" s="23" t="s">
        <v>84</v>
      </c>
      <c r="D136" s="37" t="s">
        <v>50</v>
      </c>
      <c r="E136" s="23" t="s">
        <v>177</v>
      </c>
      <c r="F136" s="31">
        <v>1344</v>
      </c>
      <c r="G136" s="31">
        <v>-1700</v>
      </c>
      <c r="H136" s="31">
        <f>Cty_Phu_Minh[[#This Row],[ĐƠN GIÁ]]*Cty_Phu_Minh[[#This Row],[SỐ LƯỢNG]]</f>
        <v>-2284800</v>
      </c>
      <c r="I136" s="31"/>
      <c r="J136" s="31">
        <f ca="1">N(INDIRECT("R[-1]C", FALSE)) + Cty_Phu_Minh[[#This Row],[THÀNH TIỀN]] - Cty_Phu_Minh[[#This Row],[THANH TOÁN]]</f>
        <v>-30216538</v>
      </c>
      <c r="K136" s="24"/>
    </row>
    <row r="137" spans="1:11" x14ac:dyDescent="0.25">
      <c r="A137" s="22">
        <v>7311</v>
      </c>
      <c r="B137" s="29">
        <v>46044</v>
      </c>
      <c r="C137" s="23" t="s">
        <v>49</v>
      </c>
      <c r="D137" s="37" t="s">
        <v>50</v>
      </c>
      <c r="E137" s="23" t="s">
        <v>73</v>
      </c>
      <c r="F137" s="31">
        <v>1154</v>
      </c>
      <c r="G137" s="31"/>
      <c r="H137" s="31">
        <f>Cty_Phu_Minh[[#This Row],[ĐƠN GIÁ]]*Cty_Phu_Minh[[#This Row],[SỐ LƯỢNG]]</f>
        <v>0</v>
      </c>
      <c r="I137" s="31"/>
      <c r="J137" s="31">
        <f ca="1">N(INDIRECT("R[-1]C", FALSE)) + Cty_Phu_Minh[[#This Row],[THÀNH TIỀN]] - Cty_Phu_Minh[[#This Row],[THANH TOÁN]]</f>
        <v>-30216538</v>
      </c>
      <c r="K137" s="24" t="s">
        <v>64</v>
      </c>
    </row>
    <row r="138" spans="1:11" x14ac:dyDescent="0.25">
      <c r="A138" s="22">
        <v>7402</v>
      </c>
      <c r="B138" s="29">
        <v>46049</v>
      </c>
      <c r="C138" s="23" t="s">
        <v>49</v>
      </c>
      <c r="D138" s="37" t="s">
        <v>50</v>
      </c>
      <c r="E138" s="23" t="s">
        <v>2456</v>
      </c>
      <c r="F138" s="31"/>
      <c r="G138" s="31"/>
      <c r="H138" s="31">
        <f>Cty_Phu_Minh[[#This Row],[ĐƠN GIÁ]]*Cty_Phu_Minh[[#This Row],[SỐ LƯỢNG]]</f>
        <v>0</v>
      </c>
      <c r="I138" s="31"/>
      <c r="J138" s="31">
        <f ca="1">N(INDIRECT("R[-1]C", FALSE)) + Cty_Phu_Minh[[#This Row],[THÀNH TIỀN]] - Cty_Phu_Minh[[#This Row],[THANH TOÁN]]</f>
        <v>-30216538</v>
      </c>
      <c r="K138" s="24" t="s">
        <v>66</v>
      </c>
    </row>
    <row r="139" spans="1:11" x14ac:dyDescent="0.25">
      <c r="A139" s="22">
        <v>7402</v>
      </c>
      <c r="B139" s="29">
        <v>46049</v>
      </c>
      <c r="C139" s="23" t="s">
        <v>49</v>
      </c>
      <c r="D139" s="37" t="s">
        <v>50</v>
      </c>
      <c r="E139" s="23" t="s">
        <v>2455</v>
      </c>
      <c r="F139" s="31"/>
      <c r="G139" s="31"/>
      <c r="H139" s="31">
        <f>Cty_Phu_Minh[[#This Row],[ĐƠN GIÁ]]*Cty_Phu_Minh[[#This Row],[SỐ LƯỢNG]]</f>
        <v>0</v>
      </c>
      <c r="I139" s="31"/>
      <c r="J139" s="31">
        <f ca="1">N(INDIRECT("R[-1]C", FALSE)) + Cty_Phu_Minh[[#This Row],[THÀNH TIỀN]] - Cty_Phu_Minh[[#This Row],[THANH TOÁN]]</f>
        <v>-30216538</v>
      </c>
      <c r="K139" s="24"/>
    </row>
    <row r="140" spans="1:11" x14ac:dyDescent="0.25">
      <c r="A140" s="22">
        <v>7459</v>
      </c>
      <c r="B140" s="29">
        <v>46051</v>
      </c>
      <c r="C140" s="23" t="s">
        <v>49</v>
      </c>
      <c r="D140" s="37" t="s">
        <v>77</v>
      </c>
      <c r="E140" s="23" t="s">
        <v>81</v>
      </c>
      <c r="F140" s="31">
        <v>418</v>
      </c>
      <c r="G140" s="31"/>
      <c r="H140" s="31">
        <f>Cty_Phu_Minh[[#This Row],[ĐƠN GIÁ]]*Cty_Phu_Minh[[#This Row],[SỐ LƯỢNG]]</f>
        <v>0</v>
      </c>
      <c r="I140" s="31"/>
      <c r="J140" s="31">
        <f ca="1">N(INDIRECT("R[-1]C", FALSE)) + Cty_Phu_Minh[[#This Row],[THÀNH TIỀN]] - Cty_Phu_Minh[[#This Row],[THANH TOÁN]]</f>
        <v>-30216538</v>
      </c>
      <c r="K140" s="24" t="s">
        <v>113</v>
      </c>
    </row>
    <row r="141" spans="1:11" x14ac:dyDescent="0.25">
      <c r="A141" s="22">
        <v>9660</v>
      </c>
      <c r="B141" s="29">
        <v>46169</v>
      </c>
      <c r="C141" s="23" t="s">
        <v>49</v>
      </c>
      <c r="D141" s="37" t="s">
        <v>50</v>
      </c>
      <c r="E141" s="23" t="s">
        <v>110</v>
      </c>
      <c r="F141" s="31">
        <v>1422</v>
      </c>
      <c r="G141" s="31"/>
      <c r="H141" s="31">
        <f>Cty_Phu_Minh[[#This Row],[ĐƠN GIÁ]]*Cty_Phu_Minh[[#This Row],[SỐ LƯỢNG]]</f>
        <v>0</v>
      </c>
      <c r="I141" s="31"/>
      <c r="J141" s="31">
        <f ca="1">N(INDIRECT("R[-1]C", FALSE)) + Cty_Phu_Minh[[#This Row],[THÀNH TIỀN]] - Cty_Phu_Minh[[#This Row],[THANH TOÁN]]</f>
        <v>-30216538</v>
      </c>
      <c r="K141" s="24" t="s">
        <v>64</v>
      </c>
    </row>
    <row r="142" spans="1:11" x14ac:dyDescent="0.25">
      <c r="A142" s="22">
        <v>9660</v>
      </c>
      <c r="B142" s="29">
        <v>46169</v>
      </c>
      <c r="C142" s="23" t="s">
        <v>49</v>
      </c>
      <c r="D142" s="37" t="s">
        <v>50</v>
      </c>
      <c r="E142" s="23" t="s">
        <v>2492</v>
      </c>
      <c r="F142" s="31">
        <v>28</v>
      </c>
      <c r="G142" s="31"/>
      <c r="H142" s="31">
        <f>Cty_Phu_Minh[[#This Row],[ĐƠN GIÁ]]*Cty_Phu_Minh[[#This Row],[SỐ LƯỢNG]]</f>
        <v>0</v>
      </c>
      <c r="I142" s="31"/>
      <c r="J142" s="31">
        <f ca="1">N(INDIRECT("R[-1]C", FALSE)) + Cty_Phu_Minh[[#This Row],[THÀNH TIỀN]] - Cty_Phu_Minh[[#This Row],[THANH TOÁN]]</f>
        <v>-30216538</v>
      </c>
      <c r="K142" s="24" t="s">
        <v>64</v>
      </c>
    </row>
    <row r="143" spans="1:11" x14ac:dyDescent="0.25">
      <c r="A143" s="25">
        <v>973</v>
      </c>
      <c r="B143" s="30">
        <v>46168</v>
      </c>
      <c r="C143" s="26" t="s">
        <v>84</v>
      </c>
      <c r="D143" s="38" t="s">
        <v>2497</v>
      </c>
      <c r="E143" s="26" t="s">
        <v>73</v>
      </c>
      <c r="F143" s="28">
        <v>108</v>
      </c>
      <c r="G143" s="28">
        <v>-1500</v>
      </c>
      <c r="H143" s="28">
        <f>Cty_Phu_Minh[[#This Row],[ĐƠN GIÁ]]*Cty_Phu_Minh[[#This Row],[SỐ LƯỢNG]]</f>
        <v>-162000</v>
      </c>
      <c r="I143" s="28"/>
      <c r="J143" s="28">
        <f ca="1">N(INDIRECT("R[-1]C", FALSE)) + Cty_Phu_Minh[[#This Row],[THÀNH TIỀN]] - Cty_Phu_Minh[[#This Row],[THANH TOÁN]]</f>
        <v>-30378538</v>
      </c>
      <c r="K143" s="27"/>
    </row>
    <row r="144" spans="1:11" x14ac:dyDescent="0.25">
      <c r="A144" s="25">
        <v>982</v>
      </c>
      <c r="B144" s="30">
        <v>46170</v>
      </c>
      <c r="C144" s="26" t="s">
        <v>84</v>
      </c>
      <c r="D144" s="38" t="s">
        <v>50</v>
      </c>
      <c r="E144" s="26" t="s">
        <v>110</v>
      </c>
      <c r="F144" s="28">
        <v>1422</v>
      </c>
      <c r="G144" s="28">
        <v>-1500</v>
      </c>
      <c r="H144" s="28">
        <f>Cty_Phu_Minh[[#This Row],[ĐƠN GIÁ]]*Cty_Phu_Minh[[#This Row],[SỐ LƯỢNG]]</f>
        <v>-2133000</v>
      </c>
      <c r="I144" s="28"/>
      <c r="J144" s="28">
        <f ca="1">N(INDIRECT("R[-1]C", FALSE)) + Cty_Phu_Minh[[#This Row],[THÀNH TIỀN]] - Cty_Phu_Minh[[#This Row],[THANH TOÁN]]</f>
        <v>-32511538</v>
      </c>
      <c r="K144" s="27"/>
    </row>
    <row r="145" spans="1:11" x14ac:dyDescent="0.25">
      <c r="A145" s="25">
        <v>982</v>
      </c>
      <c r="B145" s="30">
        <v>46170</v>
      </c>
      <c r="C145" s="26" t="s">
        <v>84</v>
      </c>
      <c r="D145" s="38" t="s">
        <v>50</v>
      </c>
      <c r="E145" s="26" t="s">
        <v>2492</v>
      </c>
      <c r="F145" s="28">
        <v>28</v>
      </c>
      <c r="G145" s="28">
        <v>-2000</v>
      </c>
      <c r="H145" s="28">
        <f>Cty_Phu_Minh[[#This Row],[ĐƠN GIÁ]]*Cty_Phu_Minh[[#This Row],[SỐ LƯỢNG]]</f>
        <v>-56000</v>
      </c>
      <c r="I145" s="28"/>
      <c r="J145" s="28">
        <f ca="1">N(INDIRECT("R[-1]C", FALSE)) + Cty_Phu_Minh[[#This Row],[THÀNH TIỀN]] - Cty_Phu_Minh[[#This Row],[THANH TOÁN]]</f>
        <v>-32567538</v>
      </c>
      <c r="K145" s="27"/>
    </row>
    <row r="146" spans="1:11" x14ac:dyDescent="0.25">
      <c r="A146" s="22">
        <v>7519</v>
      </c>
      <c r="B146" s="29">
        <v>46056</v>
      </c>
      <c r="C146" s="23" t="s">
        <v>49</v>
      </c>
      <c r="D146" s="37" t="s">
        <v>50</v>
      </c>
      <c r="E146" s="23" t="s">
        <v>1094</v>
      </c>
      <c r="F146" s="31">
        <v>234</v>
      </c>
      <c r="G146" s="31"/>
      <c r="H146" s="31">
        <f>Cty_Phu_Minh[[#This Row],[ĐƠN GIÁ]]*Cty_Phu_Minh[[#This Row],[SỐ LƯỢNG]]</f>
        <v>0</v>
      </c>
      <c r="I146" s="31"/>
      <c r="J146" s="31">
        <f ca="1">N(INDIRECT("R[-1]C", FALSE)) + Cty_Phu_Minh[[#This Row],[THÀNH TIỀN]] - Cty_Phu_Minh[[#This Row],[THANH TOÁN]]</f>
        <v>-32567538</v>
      </c>
      <c r="K146" s="24"/>
    </row>
    <row r="147" spans="1:11" x14ac:dyDescent="0.25">
      <c r="A147" s="22">
        <v>7603</v>
      </c>
      <c r="B147" s="29">
        <v>46062</v>
      </c>
      <c r="C147" s="23" t="s">
        <v>49</v>
      </c>
      <c r="D147" s="37" t="s">
        <v>109</v>
      </c>
      <c r="E147" s="23" t="s">
        <v>73</v>
      </c>
      <c r="F147" s="31">
        <v>1292</v>
      </c>
      <c r="G147" s="31"/>
      <c r="H147" s="31">
        <f>Cty_Phu_Minh[[#This Row],[ĐƠN GIÁ]]*Cty_Phu_Minh[[#This Row],[SỐ LƯỢNG]]</f>
        <v>0</v>
      </c>
      <c r="I147" s="31"/>
      <c r="J147" s="31">
        <f ca="1">N(INDIRECT("R[-1]C", FALSE)) + Cty_Phu_Minh[[#This Row],[THÀNH TIỀN]] - Cty_Phu_Minh[[#This Row],[THANH TOÁN]]</f>
        <v>-32567538</v>
      </c>
      <c r="K147" s="24"/>
    </row>
    <row r="148" spans="1:11" x14ac:dyDescent="0.25">
      <c r="A148" s="22">
        <v>7636</v>
      </c>
      <c r="B148" s="29">
        <v>46064</v>
      </c>
      <c r="C148" s="23" t="s">
        <v>49</v>
      </c>
      <c r="D148" s="37" t="s">
        <v>50</v>
      </c>
      <c r="E148" s="23" t="s">
        <v>717</v>
      </c>
      <c r="F148" s="31">
        <v>514</v>
      </c>
      <c r="G148" s="31"/>
      <c r="H148" s="31">
        <f>Cty_Phu_Minh[[#This Row],[ĐƠN GIÁ]]*Cty_Phu_Minh[[#This Row],[SỐ LƯỢNG]]</f>
        <v>0</v>
      </c>
      <c r="I148" s="31"/>
      <c r="J148" s="31">
        <f ca="1">N(INDIRECT("R[-1]C", FALSE)) + Cty_Phu_Minh[[#This Row],[THÀNH TIỀN]] - Cty_Phu_Minh[[#This Row],[THANH TOÁN]]</f>
        <v>-32567538</v>
      </c>
      <c r="K148" s="24"/>
    </row>
    <row r="149" spans="1:11" x14ac:dyDescent="0.25">
      <c r="A149" s="22">
        <v>7705</v>
      </c>
      <c r="B149" s="29">
        <v>46078</v>
      </c>
      <c r="C149" s="23" t="s">
        <v>49</v>
      </c>
      <c r="D149" s="37" t="s">
        <v>470</v>
      </c>
      <c r="E149" s="23" t="s">
        <v>81</v>
      </c>
      <c r="F149" s="31">
        <v>420</v>
      </c>
      <c r="G149" s="31"/>
      <c r="H149" s="31">
        <f>Cty_Phu_Minh[[#This Row],[ĐƠN GIÁ]]*Cty_Phu_Minh[[#This Row],[SỐ LƯỢNG]]</f>
        <v>0</v>
      </c>
      <c r="I149" s="31"/>
      <c r="J149" s="31">
        <f ca="1">N(INDIRECT("R[-1]C", FALSE)) + Cty_Phu_Minh[[#This Row],[THÀNH TIỀN]] - Cty_Phu_Minh[[#This Row],[THANH TOÁN]]</f>
        <v>-32567538</v>
      </c>
      <c r="K149" s="24"/>
    </row>
    <row r="150" spans="1:11" x14ac:dyDescent="0.25">
      <c r="A150" s="22">
        <v>7749</v>
      </c>
      <c r="B150" s="29">
        <v>46080</v>
      </c>
      <c r="C150" s="23" t="s">
        <v>49</v>
      </c>
      <c r="D150" s="37" t="s">
        <v>56</v>
      </c>
      <c r="E150" s="23" t="s">
        <v>2575</v>
      </c>
      <c r="F150" s="31">
        <v>158</v>
      </c>
      <c r="G150" s="31"/>
      <c r="H150" s="31">
        <f>Cty_Phu_Minh[[#This Row],[ĐƠN GIÁ]]*Cty_Phu_Minh[[#This Row],[SỐ LƯỢNG]]</f>
        <v>0</v>
      </c>
      <c r="I150" s="31"/>
      <c r="J150" s="31">
        <f ca="1">N(INDIRECT("R[-1]C", FALSE)) + Cty_Phu_Minh[[#This Row],[THÀNH TIỀN]] - Cty_Phu_Minh[[#This Row],[THANH TOÁN]]</f>
        <v>-32567538</v>
      </c>
      <c r="K150" s="24"/>
    </row>
    <row r="151" spans="1:11" x14ac:dyDescent="0.25">
      <c r="A151" s="22">
        <v>7774</v>
      </c>
      <c r="B151" s="29">
        <v>46081</v>
      </c>
      <c r="C151" s="23" t="s">
        <v>49</v>
      </c>
      <c r="D151" s="37" t="s">
        <v>50</v>
      </c>
      <c r="E151" s="23" t="s">
        <v>110</v>
      </c>
      <c r="F151" s="31">
        <v>1026</v>
      </c>
      <c r="G151" s="31"/>
      <c r="H151" s="31">
        <f>Cty_Phu_Minh[[#This Row],[ĐƠN GIÁ]]*Cty_Phu_Minh[[#This Row],[SỐ LƯỢNG]]</f>
        <v>0</v>
      </c>
      <c r="I151" s="31"/>
      <c r="J151" s="31">
        <f ca="1">N(INDIRECT("R[-1]C", FALSE)) + Cty_Phu_Minh[[#This Row],[THÀNH TIỀN]] - Cty_Phu_Minh[[#This Row],[THANH TOÁN]]</f>
        <v>-32567538</v>
      </c>
      <c r="K151" s="24"/>
    </row>
    <row r="152" spans="1:11" x14ac:dyDescent="0.25">
      <c r="A152" s="22">
        <v>7774</v>
      </c>
      <c r="B152" s="29">
        <v>46081</v>
      </c>
      <c r="C152" s="23" t="s">
        <v>49</v>
      </c>
      <c r="D152" s="37" t="s">
        <v>50</v>
      </c>
      <c r="E152" s="23" t="s">
        <v>122</v>
      </c>
      <c r="F152" s="31">
        <v>590</v>
      </c>
      <c r="G152" s="31"/>
      <c r="H152" s="31">
        <f>Cty_Phu_Minh[[#This Row],[ĐƠN GIÁ]]*Cty_Phu_Minh[[#This Row],[SỐ LƯỢNG]]</f>
        <v>0</v>
      </c>
      <c r="I152" s="31"/>
      <c r="J152" s="31">
        <f ca="1">N(INDIRECT("R[-1]C", FALSE)) + Cty_Phu_Minh[[#This Row],[THÀNH TIỀN]] - Cty_Phu_Minh[[#This Row],[THANH TOÁN]]</f>
        <v>-32567538</v>
      </c>
      <c r="K152" s="24"/>
    </row>
    <row r="153" spans="1:11" x14ac:dyDescent="0.25">
      <c r="A153" s="22">
        <v>7774</v>
      </c>
      <c r="B153" s="29">
        <v>46081</v>
      </c>
      <c r="C153" s="23" t="s">
        <v>49</v>
      </c>
      <c r="D153" s="37" t="s">
        <v>50</v>
      </c>
      <c r="E153" s="23" t="s">
        <v>116</v>
      </c>
      <c r="F153" s="31">
        <v>74</v>
      </c>
      <c r="G153" s="31"/>
      <c r="H153" s="31">
        <f>Cty_Phu_Minh[[#This Row],[ĐƠN GIÁ]]*Cty_Phu_Minh[[#This Row],[SỐ LƯỢNG]]</f>
        <v>0</v>
      </c>
      <c r="I153" s="31"/>
      <c r="J153" s="31">
        <f ca="1">N(INDIRECT("R[-1]C", FALSE)) + Cty_Phu_Minh[[#This Row],[THÀNH TIỀN]] - Cty_Phu_Minh[[#This Row],[THANH TOÁN]]</f>
        <v>-32567538</v>
      </c>
      <c r="K153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0E1418-A7EE-441F-AD4E-EBD82F5ED8E4}">
  <sheetPr codeName="Sheet3"/>
  <dimension ref="A5:P30"/>
  <sheetViews>
    <sheetView topLeftCell="A6" workbookViewId="0">
      <selection activeCell="J5" sqref="J5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4.140625" style="1" bestFit="1" customWidth="1"/>
    <col min="5" max="5" width="19.140625" style="1" bestFit="1" customWidth="1"/>
    <col min="6" max="6" width="20.5703125" style="1" bestFit="1" customWidth="1"/>
    <col min="7" max="7" width="18.5703125" style="1" bestFit="1" customWidth="1"/>
    <col min="8" max="8" width="23.28515625" style="1" bestFit="1" customWidth="1"/>
    <col min="9" max="9" width="24.42578125" style="1" bestFit="1" customWidth="1"/>
    <col min="10" max="10" width="19.140625" style="1" bestFit="1" customWidth="1"/>
    <col min="11" max="11" width="15" style="1" bestFit="1" customWidth="1"/>
    <col min="12" max="14" width="9.140625" style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2500</v>
      </c>
    </row>
    <row r="6" spans="1:16" ht="22.5" x14ac:dyDescent="0.25">
      <c r="D6" s="34" t="s">
        <v>123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36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Cty_Y_Thuy[[#This Row],[ĐƠN GIÁ]]*Cty_Y_Thuy[[#This Row],[SỐ LƯỢNG]]</f>
        <v>0</v>
      </c>
      <c r="I10" s="31"/>
      <c r="J10" s="31">
        <v>0</v>
      </c>
      <c r="K10" s="24"/>
    </row>
    <row r="11" spans="1:16" x14ac:dyDescent="0.25">
      <c r="A11" s="22">
        <v>7780</v>
      </c>
      <c r="B11" s="29">
        <v>46083</v>
      </c>
      <c r="C11" s="23" t="s">
        <v>13</v>
      </c>
      <c r="D11" s="37" t="s">
        <v>17</v>
      </c>
      <c r="E11" s="23" t="s">
        <v>124</v>
      </c>
      <c r="F11" s="31">
        <v>890</v>
      </c>
      <c r="G11" s="31">
        <v>55000</v>
      </c>
      <c r="H11" s="31">
        <f>Cty_Y_Thuy[[#This Row],[ĐƠN GIÁ]]*Cty_Y_Thuy[[#This Row],[SỐ LƯỢNG]]</f>
        <v>48950000</v>
      </c>
      <c r="I11" s="31"/>
      <c r="J11" s="31">
        <f>J10+Cty_Y_Thuy[[#This Row],[THÀNH TIỀN]]-Cty_Y_Thuy[[#This Row],[THANH TOÁN]]</f>
        <v>48950000</v>
      </c>
      <c r="K11" s="24"/>
    </row>
    <row r="12" spans="1:16" x14ac:dyDescent="0.25">
      <c r="A12" s="22">
        <v>7780</v>
      </c>
      <c r="B12" s="29">
        <v>46083</v>
      </c>
      <c r="C12" s="23" t="s">
        <v>13</v>
      </c>
      <c r="D12" s="37" t="s">
        <v>17</v>
      </c>
      <c r="E12" s="23" t="s">
        <v>125</v>
      </c>
      <c r="F12" s="31">
        <v>310</v>
      </c>
      <c r="G12" s="31">
        <v>55000</v>
      </c>
      <c r="H12" s="31">
        <f>Cty_Y_Thuy[[#This Row],[ĐƠN GIÁ]]*Cty_Y_Thuy[[#This Row],[SỐ LƯỢNG]]</f>
        <v>17050000</v>
      </c>
      <c r="I12" s="31"/>
      <c r="J12" s="31">
        <f>J11+Cty_Y_Thuy[[#This Row],[THÀNH TIỀN]]-Cty_Y_Thuy[[#This Row],[THANH TOÁN]]</f>
        <v>66000000</v>
      </c>
      <c r="K12" s="24"/>
    </row>
    <row r="13" spans="1:16" x14ac:dyDescent="0.25">
      <c r="A13" s="22">
        <v>7780</v>
      </c>
      <c r="B13" s="29">
        <v>46083</v>
      </c>
      <c r="C13" s="23" t="s">
        <v>13</v>
      </c>
      <c r="D13" s="37" t="s">
        <v>17</v>
      </c>
      <c r="E13" s="23" t="s">
        <v>126</v>
      </c>
      <c r="F13" s="31">
        <v>750</v>
      </c>
      <c r="G13" s="31">
        <v>55000</v>
      </c>
      <c r="H13" s="31">
        <f>Cty_Y_Thuy[[#This Row],[ĐƠN GIÁ]]*Cty_Y_Thuy[[#This Row],[SỐ LƯỢNG]]</f>
        <v>41250000</v>
      </c>
      <c r="I13" s="31"/>
      <c r="J13" s="31">
        <f>J12+Cty_Y_Thuy[[#This Row],[THÀNH TIỀN]]-Cty_Y_Thuy[[#This Row],[THANH TOÁN]]</f>
        <v>107250000</v>
      </c>
      <c r="K13" s="24"/>
    </row>
    <row r="14" spans="1:16" x14ac:dyDescent="0.25">
      <c r="A14" s="22">
        <v>7780</v>
      </c>
      <c r="B14" s="29">
        <v>46083</v>
      </c>
      <c r="C14" s="23" t="s">
        <v>84</v>
      </c>
      <c r="D14" s="37"/>
      <c r="E14" s="23"/>
      <c r="F14" s="31">
        <v>1950</v>
      </c>
      <c r="G14" s="31">
        <v>1000</v>
      </c>
      <c r="H14" s="31">
        <f>Cty_Y_Thuy[[#This Row],[ĐƠN GIÁ]]*Cty_Y_Thuy[[#This Row],[SỐ LƯỢNG]]</f>
        <v>1950000</v>
      </c>
      <c r="I14" s="31"/>
      <c r="J14" s="31">
        <f>J13+Cty_Y_Thuy[[#This Row],[THÀNH TIỀN]]-Cty_Y_Thuy[[#This Row],[THANH TOÁN]]</f>
        <v>109200000</v>
      </c>
      <c r="K14" s="24"/>
      <c r="P14" s="35"/>
    </row>
    <row r="15" spans="1:16" x14ac:dyDescent="0.25">
      <c r="A15" s="25"/>
      <c r="B15" s="30">
        <v>46084</v>
      </c>
      <c r="C15" s="26" t="s">
        <v>21</v>
      </c>
      <c r="D15" s="38" t="s">
        <v>22</v>
      </c>
      <c r="E15" s="26" t="s">
        <v>83</v>
      </c>
      <c r="F15" s="28">
        <v>0</v>
      </c>
      <c r="G15" s="28">
        <v>0</v>
      </c>
      <c r="H15" s="28">
        <f>Cty_Y_Thuy[[#This Row],[ĐƠN GIÁ]]*Cty_Y_Thuy[[#This Row],[SỐ LƯỢNG]]</f>
        <v>0</v>
      </c>
      <c r="I15" s="28">
        <v>107250000</v>
      </c>
      <c r="J15" s="31">
        <f>J14+Cty_Y_Thuy[[#This Row],[THÀNH TIỀN]]-Cty_Y_Thuy[[#This Row],[THANH TOÁN]]</f>
        <v>1950000</v>
      </c>
      <c r="K15" s="27"/>
    </row>
    <row r="16" spans="1:16" x14ac:dyDescent="0.25">
      <c r="A16" s="25"/>
      <c r="B16" s="30">
        <v>46084</v>
      </c>
      <c r="C16" s="26" t="s">
        <v>21</v>
      </c>
      <c r="D16" s="38" t="s">
        <v>22</v>
      </c>
      <c r="E16" s="26" t="s">
        <v>23</v>
      </c>
      <c r="F16" s="28">
        <v>0</v>
      </c>
      <c r="G16" s="28">
        <v>0</v>
      </c>
      <c r="H16" s="28">
        <f>Cty_Y_Thuy[[#This Row],[ĐƠN GIÁ]]*Cty_Y_Thuy[[#This Row],[SỐ LƯỢNG]]</f>
        <v>0</v>
      </c>
      <c r="I16" s="28">
        <v>1950000</v>
      </c>
      <c r="J16" s="28">
        <f>J15+Cty_Y_Thuy[[#This Row],[THÀNH TIỀN]]-Cty_Y_Thuy[[#This Row],[THANH TOÁN]]</f>
        <v>0</v>
      </c>
      <c r="K16" s="27"/>
    </row>
    <row r="17" spans="1:11" x14ac:dyDescent="0.25">
      <c r="A17" s="25">
        <v>8065</v>
      </c>
      <c r="B17" s="30">
        <v>46094</v>
      </c>
      <c r="C17" s="26" t="s">
        <v>13</v>
      </c>
      <c r="D17" s="38" t="s">
        <v>17</v>
      </c>
      <c r="E17" s="26" t="s">
        <v>127</v>
      </c>
      <c r="F17" s="28">
        <f>450+452</f>
        <v>902</v>
      </c>
      <c r="G17" s="28">
        <v>58500</v>
      </c>
      <c r="H17" s="28">
        <f>Cty_Y_Thuy[[#This Row],[ĐƠN GIÁ]]*Cty_Y_Thuy[[#This Row],[SỐ LƯỢNG]]</f>
        <v>52767000</v>
      </c>
      <c r="I17" s="28"/>
      <c r="J17" s="28">
        <f>J16+Cty_Y_Thuy[[#This Row],[THÀNH TIỀN]]-Cty_Y_Thuy[[#This Row],[THANH TOÁN]]</f>
        <v>52767000</v>
      </c>
      <c r="K17" s="27" t="s">
        <v>128</v>
      </c>
    </row>
    <row r="18" spans="1:11" x14ac:dyDescent="0.25">
      <c r="A18" s="25">
        <v>8065</v>
      </c>
      <c r="B18" s="30">
        <v>46094</v>
      </c>
      <c r="C18" s="26" t="s">
        <v>13</v>
      </c>
      <c r="D18" s="38" t="s">
        <v>26</v>
      </c>
      <c r="E18" s="26" t="s">
        <v>25</v>
      </c>
      <c r="F18" s="28">
        <v>302</v>
      </c>
      <c r="G18" s="28">
        <v>34000</v>
      </c>
      <c r="H18" s="28">
        <f>Cty_Y_Thuy[[#This Row],[ĐƠN GIÁ]]*Cty_Y_Thuy[[#This Row],[SỐ LƯỢNG]]</f>
        <v>10268000</v>
      </c>
      <c r="I18" s="28"/>
      <c r="J18" s="28">
        <f>J17+Cty_Y_Thuy[[#This Row],[THÀNH TIỀN]]-Cty_Y_Thuy[[#This Row],[THANH TOÁN]]</f>
        <v>63035000</v>
      </c>
      <c r="K18" s="27"/>
    </row>
    <row r="19" spans="1:11" x14ac:dyDescent="0.25">
      <c r="A19" s="25">
        <v>8065</v>
      </c>
      <c r="B19" s="30">
        <v>46094</v>
      </c>
      <c r="C19" s="26" t="s">
        <v>13</v>
      </c>
      <c r="D19" s="38" t="s">
        <v>26</v>
      </c>
      <c r="E19" s="23" t="s">
        <v>33</v>
      </c>
      <c r="F19" s="31">
        <v>486</v>
      </c>
      <c r="G19" s="31">
        <v>34000</v>
      </c>
      <c r="H19" s="31">
        <f>Cty_Y_Thuy[[#This Row],[ĐƠN GIÁ]]*Cty_Y_Thuy[[#This Row],[SỐ LƯỢNG]]</f>
        <v>16524000</v>
      </c>
      <c r="I19" s="31">
        <v>79559000</v>
      </c>
      <c r="J19" s="31">
        <f>J18+Cty_Y_Thuy[[#This Row],[THÀNH TIỀN]]-Cty_Y_Thuy[[#This Row],[THANH TOÁN]]</f>
        <v>0</v>
      </c>
      <c r="K19" s="24"/>
    </row>
    <row r="20" spans="1:11" x14ac:dyDescent="0.25">
      <c r="A20" s="25">
        <v>8250</v>
      </c>
      <c r="B20" s="30">
        <v>46105</v>
      </c>
      <c r="C20" s="26" t="s">
        <v>13</v>
      </c>
      <c r="D20" s="38" t="s">
        <v>17</v>
      </c>
      <c r="E20" s="26" t="s">
        <v>129</v>
      </c>
      <c r="F20" s="28">
        <v>1580</v>
      </c>
      <c r="G20" s="28">
        <v>59500</v>
      </c>
      <c r="H20" s="28">
        <f>Cty_Y_Thuy[[#This Row],[ĐƠN GIÁ]]*Cty_Y_Thuy[[#This Row],[SỐ LƯỢNG]]</f>
        <v>94010000</v>
      </c>
      <c r="I20" s="28"/>
      <c r="J20" s="28">
        <f>J19+Cty_Y_Thuy[[#This Row],[THÀNH TIỀN]]-Cty_Y_Thuy[[#This Row],[THANH TOÁN]]</f>
        <v>94010000</v>
      </c>
      <c r="K20" s="27" t="s">
        <v>42</v>
      </c>
    </row>
    <row r="21" spans="1:11" x14ac:dyDescent="0.25">
      <c r="A21" s="25">
        <v>8250</v>
      </c>
      <c r="B21" s="30">
        <v>46105</v>
      </c>
      <c r="C21" s="26" t="s">
        <v>13</v>
      </c>
      <c r="D21" s="38" t="s">
        <v>17</v>
      </c>
      <c r="E21" s="26" t="s">
        <v>30</v>
      </c>
      <c r="F21" s="28">
        <v>994</v>
      </c>
      <c r="G21" s="28">
        <v>59500</v>
      </c>
      <c r="H21" s="28">
        <f>Cty_Y_Thuy[[#This Row],[ĐƠN GIÁ]]*Cty_Y_Thuy[[#This Row],[SỐ LƯỢNG]]</f>
        <v>59143000</v>
      </c>
      <c r="I21" s="28"/>
      <c r="J21" s="28">
        <f>J20+Cty_Y_Thuy[[#This Row],[THÀNH TIỀN]]-Cty_Y_Thuy[[#This Row],[THANH TOÁN]]</f>
        <v>153153000</v>
      </c>
      <c r="K21" s="27"/>
    </row>
    <row r="22" spans="1:11" x14ac:dyDescent="0.25">
      <c r="A22" s="25">
        <v>8250</v>
      </c>
      <c r="B22" s="30">
        <v>46105</v>
      </c>
      <c r="C22" s="26" t="s">
        <v>13</v>
      </c>
      <c r="D22" s="38" t="s">
        <v>26</v>
      </c>
      <c r="E22" s="26" t="s">
        <v>25</v>
      </c>
      <c r="F22" s="28">
        <v>624</v>
      </c>
      <c r="G22" s="28">
        <v>34000</v>
      </c>
      <c r="H22" s="28">
        <f>Cty_Y_Thuy[[#This Row],[ĐƠN GIÁ]]*Cty_Y_Thuy[[#This Row],[SỐ LƯỢNG]]</f>
        <v>21216000</v>
      </c>
      <c r="I22" s="28"/>
      <c r="J22" s="28">
        <f>J21+Cty_Y_Thuy[[#This Row],[THÀNH TIỀN]]-Cty_Y_Thuy[[#This Row],[THANH TOÁN]]</f>
        <v>174369000</v>
      </c>
      <c r="K22" s="27"/>
    </row>
    <row r="23" spans="1:11" x14ac:dyDescent="0.25">
      <c r="A23" s="22"/>
      <c r="B23" s="29">
        <v>46108</v>
      </c>
      <c r="C23" s="23" t="s">
        <v>21</v>
      </c>
      <c r="D23" s="37" t="s">
        <v>24</v>
      </c>
      <c r="E23" s="23"/>
      <c r="F23" s="31"/>
      <c r="G23" s="31"/>
      <c r="H23" s="31">
        <f>Cty_Y_Thuy[[#This Row],[ĐƠN GIÁ]]*Cty_Y_Thuy[[#This Row],[SỐ LƯỢNG]]</f>
        <v>0</v>
      </c>
      <c r="I23" s="31">
        <v>174370000</v>
      </c>
      <c r="J23" s="31">
        <f>J22+Cty_Y_Thuy[[#This Row],[THÀNH TIỀN]]-Cty_Y_Thuy[[#This Row],[THANH TOÁN]]</f>
        <v>-1000</v>
      </c>
      <c r="K23" s="24"/>
    </row>
    <row r="24" spans="1:11" x14ac:dyDescent="0.25">
      <c r="A24" s="22">
        <v>8925</v>
      </c>
      <c r="B24" s="29">
        <v>46133</v>
      </c>
      <c r="C24" s="23" t="s">
        <v>13</v>
      </c>
      <c r="D24" s="37" t="s">
        <v>17</v>
      </c>
      <c r="E24" s="23" t="s">
        <v>25</v>
      </c>
      <c r="F24" s="31">
        <v>406</v>
      </c>
      <c r="G24" s="31">
        <v>60500</v>
      </c>
      <c r="H24" s="31">
        <f>Cty_Y_Thuy[[#This Row],[ĐƠN GIÁ]]*Cty_Y_Thuy[[#This Row],[SỐ LƯỢNG]]</f>
        <v>24563000</v>
      </c>
      <c r="I24" s="31"/>
      <c r="J24" s="31">
        <f>J23+Cty_Y_Thuy[[#This Row],[THÀNH TIỀN]]-Cty_Y_Thuy[[#This Row],[THANH TOÁN]]</f>
        <v>24562000</v>
      </c>
      <c r="K24" s="24"/>
    </row>
    <row r="25" spans="1:11" x14ac:dyDescent="0.25">
      <c r="A25" s="25">
        <v>8925</v>
      </c>
      <c r="B25" s="30">
        <v>46133</v>
      </c>
      <c r="C25" s="26" t="s">
        <v>13</v>
      </c>
      <c r="D25" s="38" t="s">
        <v>17</v>
      </c>
      <c r="E25" s="26" t="s">
        <v>1761</v>
      </c>
      <c r="F25" s="28">
        <v>856</v>
      </c>
      <c r="G25" s="28">
        <v>60500</v>
      </c>
      <c r="H25" s="28">
        <f>Cty_Y_Thuy[[#This Row],[ĐƠN GIÁ]]*Cty_Y_Thuy[[#This Row],[SỐ LƯỢNG]]</f>
        <v>51788000</v>
      </c>
      <c r="I25" s="28"/>
      <c r="J25" s="28">
        <f>J24+Cty_Y_Thuy[[#This Row],[THÀNH TIỀN]]-Cty_Y_Thuy[[#This Row],[THANH TOÁN]]</f>
        <v>76350000</v>
      </c>
      <c r="K25" s="27"/>
    </row>
    <row r="26" spans="1:11" x14ac:dyDescent="0.25">
      <c r="A26" s="22"/>
      <c r="B26" s="29">
        <v>46140</v>
      </c>
      <c r="C26" s="23" t="s">
        <v>21</v>
      </c>
      <c r="D26" s="37" t="s">
        <v>24</v>
      </c>
      <c r="E26" s="23"/>
      <c r="F26" s="31">
        <v>0</v>
      </c>
      <c r="G26" s="31"/>
      <c r="H26" s="31">
        <f>Cty_Y_Thuy[[#This Row],[ĐƠN GIÁ]]*Cty_Y_Thuy[[#This Row],[SỐ LƯỢNG]]</f>
        <v>0</v>
      </c>
      <c r="I26" s="31">
        <v>76350000</v>
      </c>
      <c r="J26" s="31">
        <f>J25+Cty_Y_Thuy[[#This Row],[THÀNH TIỀN]]-Cty_Y_Thuy[[#This Row],[THANH TOÁN]]</f>
        <v>0</v>
      </c>
      <c r="K26" s="24"/>
    </row>
    <row r="27" spans="1:11" x14ac:dyDescent="0.25">
      <c r="A27" s="22">
        <v>9399</v>
      </c>
      <c r="B27" s="29">
        <v>46157</v>
      </c>
      <c r="C27" s="23" t="s">
        <v>13</v>
      </c>
      <c r="D27" s="37" t="s">
        <v>17</v>
      </c>
      <c r="E27" s="23" t="s">
        <v>46</v>
      </c>
      <c r="F27" s="31">
        <v>814</v>
      </c>
      <c r="G27" s="31">
        <v>56000</v>
      </c>
      <c r="H27" s="31">
        <f>Cty_Y_Thuy[[#This Row],[ĐƠN GIÁ]]*Cty_Y_Thuy[[#This Row],[SỐ LƯỢNG]]</f>
        <v>45584000</v>
      </c>
      <c r="I27" s="31"/>
      <c r="J27" s="31">
        <f>J26+Cty_Y_Thuy[[#This Row],[THÀNH TIỀN]]-Cty_Y_Thuy[[#This Row],[THANH TOÁN]]</f>
        <v>45584000</v>
      </c>
      <c r="K27" s="24" t="s">
        <v>42</v>
      </c>
    </row>
    <row r="28" spans="1:11" x14ac:dyDescent="0.25">
      <c r="A28" s="22">
        <v>9510</v>
      </c>
      <c r="B28" s="29">
        <v>46162</v>
      </c>
      <c r="C28" s="23" t="s">
        <v>13</v>
      </c>
      <c r="D28" s="37" t="s">
        <v>17</v>
      </c>
      <c r="E28" s="23" t="s">
        <v>2238</v>
      </c>
      <c r="F28" s="31">
        <v>669</v>
      </c>
      <c r="G28" s="31">
        <v>61500</v>
      </c>
      <c r="H28" s="31">
        <f>Cty_Y_Thuy[[#This Row],[ĐƠN GIÁ]]*Cty_Y_Thuy[[#This Row],[SỐ LƯỢNG]]</f>
        <v>41143500</v>
      </c>
      <c r="I28" s="31"/>
      <c r="J28" s="31">
        <f>J27+Cty_Y_Thuy[[#This Row],[THÀNH TIỀN]]-Cty_Y_Thuy[[#This Row],[THANH TOÁN]]</f>
        <v>86727500</v>
      </c>
      <c r="K28" s="24" t="s">
        <v>42</v>
      </c>
    </row>
    <row r="29" spans="1:11" x14ac:dyDescent="0.25">
      <c r="A29" s="22">
        <v>9510</v>
      </c>
      <c r="B29" s="29">
        <v>46162</v>
      </c>
      <c r="C29" s="23" t="s">
        <v>13</v>
      </c>
      <c r="D29" s="37" t="s">
        <v>17</v>
      </c>
      <c r="E29" s="23" t="s">
        <v>25</v>
      </c>
      <c r="F29" s="31">
        <v>1458</v>
      </c>
      <c r="G29" s="31">
        <v>62500</v>
      </c>
      <c r="H29" s="31">
        <f>Cty_Y_Thuy[[#This Row],[ĐƠN GIÁ]]*Cty_Y_Thuy[[#This Row],[SỐ LƯỢNG]]</f>
        <v>91125000</v>
      </c>
      <c r="I29" s="31"/>
      <c r="J29" s="31">
        <f>J28+Cty_Y_Thuy[[#This Row],[THÀNH TIỀN]]-Cty_Y_Thuy[[#This Row],[THANH TOÁN]]</f>
        <v>177852500</v>
      </c>
      <c r="K29" s="24" t="s">
        <v>42</v>
      </c>
    </row>
    <row r="30" spans="1:11" x14ac:dyDescent="0.25">
      <c r="A30" s="22"/>
      <c r="B30" s="29">
        <v>46168</v>
      </c>
      <c r="C30" s="23" t="s">
        <v>21</v>
      </c>
      <c r="D30" s="37" t="s">
        <v>2157</v>
      </c>
      <c r="E30" s="23"/>
      <c r="F30" s="31">
        <v>0</v>
      </c>
      <c r="G30" s="31"/>
      <c r="H30" s="31">
        <f>Cty_Y_Thuy[[#This Row],[ĐƠN GIÁ]]*Cty_Y_Thuy[[#This Row],[SỐ LƯỢNG]]</f>
        <v>0</v>
      </c>
      <c r="I30" s="31">
        <v>177850000</v>
      </c>
      <c r="J30" s="31">
        <f>J29+Cty_Y_Thuy[[#This Row],[THÀNH TIỀN]]-Cty_Y_Thuy[[#This Row],[THANH TOÁN]]</f>
        <v>2500</v>
      </c>
      <c r="K30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92E3E-4DC0-4DB0-A809-8566080214BB}">
  <sheetPr codeName="Sheet4"/>
  <dimension ref="A5:P160"/>
  <sheetViews>
    <sheetView topLeftCell="A115" workbookViewId="0">
      <selection activeCell="I140" sqref="I140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5.8554687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0.140625" style="1" bestFit="1" customWidth="1"/>
    <col min="12" max="14" width="9.140625" style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280690600</v>
      </c>
    </row>
    <row r="6" spans="1:16" ht="22.5" x14ac:dyDescent="0.25">
      <c r="D6" s="34" t="s">
        <v>130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36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Cty_Vinh_Oanh_Phu_Ly[[#This Row],[SỐ LƯỢNG]]*Cty_Vinh_Oanh_Phu_Ly[[#This Row],[ĐƠN GIÁ]]</f>
        <v>0</v>
      </c>
      <c r="I10" s="31"/>
      <c r="J10" s="31">
        <f ca="1">N(INDIRECT("R[-1]C", FALSE)) + Cty_Vinh_Oanh_Phu_Ly[[#This Row],[THÀNH TIỀN]] - Cty_Vinh_Oanh_Phu_Ly[[#This Row],[THANH TOÁN]]</f>
        <v>0</v>
      </c>
      <c r="K10" s="24"/>
    </row>
    <row r="11" spans="1:16" x14ac:dyDescent="0.25">
      <c r="A11" s="22">
        <v>7781</v>
      </c>
      <c r="B11" s="29">
        <v>46083</v>
      </c>
      <c r="C11" s="23" t="s">
        <v>13</v>
      </c>
      <c r="D11" s="37" t="s">
        <v>17</v>
      </c>
      <c r="E11" s="23" t="s">
        <v>131</v>
      </c>
      <c r="F11" s="31">
        <f>3010-10-24</f>
        <v>2976</v>
      </c>
      <c r="G11" s="31">
        <v>56500</v>
      </c>
      <c r="H11" s="31">
        <f>Cty_Vinh_Oanh_Phu_Ly[[#This Row],[SỐ LƯỢNG]]*Cty_Vinh_Oanh_Phu_Ly[[#This Row],[ĐƠN GIÁ]]</f>
        <v>168144000</v>
      </c>
      <c r="I11" s="31"/>
      <c r="J11" s="31">
        <f ca="1">N(INDIRECT("R[-1]C", FALSE)) + Cty_Vinh_Oanh_Phu_Ly[[#This Row],[THÀNH TIỀN]] - Cty_Vinh_Oanh_Phu_Ly[[#This Row],[THANH TOÁN]]</f>
        <v>168144000</v>
      </c>
      <c r="K11" s="24" t="s">
        <v>128</v>
      </c>
    </row>
    <row r="12" spans="1:16" x14ac:dyDescent="0.25">
      <c r="A12" s="22">
        <v>7781</v>
      </c>
      <c r="B12" s="29">
        <v>46083</v>
      </c>
      <c r="C12" s="23" t="s">
        <v>13</v>
      </c>
      <c r="D12" s="37" t="s">
        <v>17</v>
      </c>
      <c r="E12" s="23" t="s">
        <v>132</v>
      </c>
      <c r="F12" s="31">
        <f>2474+588+1240</f>
        <v>4302</v>
      </c>
      <c r="G12" s="31">
        <v>56500</v>
      </c>
      <c r="H12" s="31">
        <f>Cty_Vinh_Oanh_Phu_Ly[[#This Row],[SỐ LƯỢNG]]*Cty_Vinh_Oanh_Phu_Ly[[#This Row],[ĐƠN GIÁ]]</f>
        <v>243063000</v>
      </c>
      <c r="I12" s="31"/>
      <c r="J12" s="31">
        <f ca="1">N(INDIRECT("R[-1]C", FALSE)) + Cty_Vinh_Oanh_Phu_Ly[[#This Row],[THÀNH TIỀN]] - Cty_Vinh_Oanh_Phu_Ly[[#This Row],[THANH TOÁN]]</f>
        <v>411207000</v>
      </c>
      <c r="K12" s="24" t="s">
        <v>128</v>
      </c>
    </row>
    <row r="13" spans="1:16" x14ac:dyDescent="0.25">
      <c r="A13" s="22"/>
      <c r="B13" s="29">
        <v>46083</v>
      </c>
      <c r="C13" s="23" t="s">
        <v>21</v>
      </c>
      <c r="D13" s="37" t="s">
        <v>22</v>
      </c>
      <c r="E13" s="23" t="s">
        <v>23</v>
      </c>
      <c r="F13" s="31">
        <v>0</v>
      </c>
      <c r="G13" s="31">
        <v>0</v>
      </c>
      <c r="H13" s="31">
        <f>Cty_Vinh_Oanh_Phu_Ly[[#This Row],[SỐ LƯỢNG]]*Cty_Vinh_Oanh_Phu_Ly[[#This Row],[ĐƠN GIÁ]]</f>
        <v>0</v>
      </c>
      <c r="I13" s="31">
        <v>20000000</v>
      </c>
      <c r="J13" s="31">
        <f ca="1">N(INDIRECT("R[-1]C", FALSE)) + Cty_Vinh_Oanh_Phu_Ly[[#This Row],[THÀNH TIỀN]] - Cty_Vinh_Oanh_Phu_Ly[[#This Row],[THANH TOÁN]]</f>
        <v>391207000</v>
      </c>
      <c r="K13" s="24"/>
    </row>
    <row r="14" spans="1:16" x14ac:dyDescent="0.25">
      <c r="A14" s="22">
        <v>7820</v>
      </c>
      <c r="B14" s="29">
        <v>46084</v>
      </c>
      <c r="C14" s="23" t="s">
        <v>13</v>
      </c>
      <c r="D14" s="37" t="s">
        <v>14</v>
      </c>
      <c r="E14" s="23" t="s">
        <v>133</v>
      </c>
      <c r="F14" s="31">
        <f>534-16+584-20</f>
        <v>1082</v>
      </c>
      <c r="G14" s="31">
        <v>43000</v>
      </c>
      <c r="H14" s="31">
        <f>Cty_Vinh_Oanh_Phu_Ly[[#This Row],[SỐ LƯỢNG]]*Cty_Vinh_Oanh_Phu_Ly[[#This Row],[ĐƠN GIÁ]]</f>
        <v>46526000</v>
      </c>
      <c r="I14" s="31"/>
      <c r="J14" s="31">
        <f ca="1">N(INDIRECT("R[-1]C", FALSE)) + Cty_Vinh_Oanh_Phu_Ly[[#This Row],[THÀNH TIỀN]] - Cty_Vinh_Oanh_Phu_Ly[[#This Row],[THANH TOÁN]]</f>
        <v>437733000</v>
      </c>
      <c r="K14" s="24" t="s">
        <v>128</v>
      </c>
      <c r="P14" s="35"/>
    </row>
    <row r="15" spans="1:16" x14ac:dyDescent="0.25">
      <c r="A15" s="25">
        <v>7820</v>
      </c>
      <c r="B15" s="30">
        <v>46084</v>
      </c>
      <c r="C15" s="26" t="s">
        <v>13</v>
      </c>
      <c r="D15" s="38" t="s">
        <v>14</v>
      </c>
      <c r="E15" s="26" t="s">
        <v>134</v>
      </c>
      <c r="F15" s="28">
        <f>1230-16-4</f>
        <v>1210</v>
      </c>
      <c r="G15" s="28">
        <v>40000</v>
      </c>
      <c r="H15" s="28">
        <f>Cty_Vinh_Oanh_Phu_Ly[[#This Row],[SỐ LƯỢNG]]*Cty_Vinh_Oanh_Phu_Ly[[#This Row],[ĐƠN GIÁ]]</f>
        <v>48400000</v>
      </c>
      <c r="I15" s="28"/>
      <c r="J15" s="31">
        <f ca="1">N(INDIRECT("R[-1]C", FALSE)) + Cty_Vinh_Oanh_Phu_Ly[[#This Row],[THÀNH TIỀN]] - Cty_Vinh_Oanh_Phu_Ly[[#This Row],[THANH TOÁN]]</f>
        <v>486133000</v>
      </c>
      <c r="K15" s="24" t="s">
        <v>128</v>
      </c>
    </row>
    <row r="16" spans="1:16" x14ac:dyDescent="0.25">
      <c r="A16" s="25"/>
      <c r="B16" s="30">
        <v>46084</v>
      </c>
      <c r="C16" s="26" t="s">
        <v>21</v>
      </c>
      <c r="D16" s="38" t="s">
        <v>22</v>
      </c>
      <c r="E16" s="26" t="s">
        <v>23</v>
      </c>
      <c r="F16" s="28">
        <v>0</v>
      </c>
      <c r="G16" s="28">
        <v>0</v>
      </c>
      <c r="H16" s="28">
        <f>Cty_Vinh_Oanh_Phu_Ly[[#This Row],[SỐ LƯỢNG]]*Cty_Vinh_Oanh_Phu_Ly[[#This Row],[ĐƠN GIÁ]]</f>
        <v>0</v>
      </c>
      <c r="I16" s="28">
        <v>13930000</v>
      </c>
      <c r="J16" s="28">
        <f ca="1">N(INDIRECT("R[-1]C", FALSE)) + Cty_Vinh_Oanh_Phu_Ly[[#This Row],[THÀNH TIỀN]] - Cty_Vinh_Oanh_Phu_Ly[[#This Row],[THANH TOÁN]]</f>
        <v>472203000</v>
      </c>
      <c r="K16" s="27"/>
    </row>
    <row r="17" spans="1:11" x14ac:dyDescent="0.25">
      <c r="A17" s="25"/>
      <c r="B17" s="30">
        <v>46084</v>
      </c>
      <c r="C17" s="26" t="s">
        <v>21</v>
      </c>
      <c r="D17" s="38" t="s">
        <v>24</v>
      </c>
      <c r="E17" s="26"/>
      <c r="F17" s="28">
        <v>0</v>
      </c>
      <c r="G17" s="28">
        <v>0</v>
      </c>
      <c r="H17" s="28">
        <f>Cty_Vinh_Oanh_Phu_Ly[[#This Row],[SỐ LƯỢNG]]*Cty_Vinh_Oanh_Phu_Ly[[#This Row],[ĐƠN GIÁ]]</f>
        <v>0</v>
      </c>
      <c r="I17" s="28">
        <v>130000000</v>
      </c>
      <c r="J17" s="28">
        <f ca="1">N(INDIRECT("R[-1]C", FALSE)) + Cty_Vinh_Oanh_Phu_Ly[[#This Row],[THÀNH TIỀN]] - Cty_Vinh_Oanh_Phu_Ly[[#This Row],[THANH TOÁN]]</f>
        <v>342203000</v>
      </c>
      <c r="K17" s="27"/>
    </row>
    <row r="18" spans="1:11" x14ac:dyDescent="0.25">
      <c r="A18" s="25"/>
      <c r="B18" s="30">
        <v>46085</v>
      </c>
      <c r="C18" s="26" t="s">
        <v>21</v>
      </c>
      <c r="D18" s="38" t="s">
        <v>22</v>
      </c>
      <c r="E18" s="26" t="s">
        <v>23</v>
      </c>
      <c r="F18" s="28">
        <v>0</v>
      </c>
      <c r="G18" s="28">
        <v>0</v>
      </c>
      <c r="H18" s="28">
        <f>Cty_Vinh_Oanh_Phu_Ly[[#This Row],[SỐ LƯỢNG]]*Cty_Vinh_Oanh_Phu_Ly[[#This Row],[ĐƠN GIÁ]]</f>
        <v>0</v>
      </c>
      <c r="I18" s="28">
        <v>7980000</v>
      </c>
      <c r="J18" s="28">
        <f ca="1">N(INDIRECT("R[-1]C", FALSE)) + Cty_Vinh_Oanh_Phu_Ly[[#This Row],[THÀNH TIỀN]] - Cty_Vinh_Oanh_Phu_Ly[[#This Row],[THANH TOÁN]]</f>
        <v>334223000</v>
      </c>
      <c r="K18" s="27"/>
    </row>
    <row r="19" spans="1:11" x14ac:dyDescent="0.25">
      <c r="A19" s="25"/>
      <c r="B19" s="30">
        <v>46086</v>
      </c>
      <c r="C19" s="26" t="s">
        <v>21</v>
      </c>
      <c r="D19" s="38" t="s">
        <v>22</v>
      </c>
      <c r="E19" s="23" t="s">
        <v>23</v>
      </c>
      <c r="F19" s="31">
        <v>0</v>
      </c>
      <c r="G19" s="28">
        <v>0</v>
      </c>
      <c r="H19" s="31">
        <f>Cty_Vinh_Oanh_Phu_Ly[[#This Row],[SỐ LƯỢNG]]*Cty_Vinh_Oanh_Phu_Ly[[#This Row],[ĐƠN GIÁ]]</f>
        <v>0</v>
      </c>
      <c r="I19" s="31">
        <v>13050000</v>
      </c>
      <c r="J19" s="31">
        <f ca="1">N(INDIRECT("R[-1]C", FALSE)) + Cty_Vinh_Oanh_Phu_Ly[[#This Row],[THÀNH TIỀN]] - Cty_Vinh_Oanh_Phu_Ly[[#This Row],[THANH TOÁN]]</f>
        <v>321173000</v>
      </c>
      <c r="K19" s="24"/>
    </row>
    <row r="20" spans="1:11" x14ac:dyDescent="0.25">
      <c r="A20" s="25"/>
      <c r="B20" s="30">
        <v>46086</v>
      </c>
      <c r="C20" s="26" t="s">
        <v>21</v>
      </c>
      <c r="D20" s="38" t="s">
        <v>22</v>
      </c>
      <c r="E20" s="23" t="s">
        <v>23</v>
      </c>
      <c r="F20" s="31">
        <v>0</v>
      </c>
      <c r="G20" s="31">
        <v>0</v>
      </c>
      <c r="H20" s="31">
        <f>Cty_Vinh_Oanh_Phu_Ly[[#This Row],[SỐ LƯỢNG]]*Cty_Vinh_Oanh_Phu_Ly[[#This Row],[ĐƠN GIÁ]]</f>
        <v>0</v>
      </c>
      <c r="I20" s="31">
        <v>85700000</v>
      </c>
      <c r="J20" s="31">
        <f ca="1">N(INDIRECT("R[-1]C", FALSE)) + Cty_Vinh_Oanh_Phu_Ly[[#This Row],[THÀNH TIỀN]] - Cty_Vinh_Oanh_Phu_Ly[[#This Row],[THANH TOÁN]]</f>
        <v>235473000</v>
      </c>
      <c r="K20" s="24"/>
    </row>
    <row r="21" spans="1:11" x14ac:dyDescent="0.25">
      <c r="A21" s="25">
        <v>7899</v>
      </c>
      <c r="B21" s="30">
        <v>46087</v>
      </c>
      <c r="C21" s="26" t="s">
        <v>13</v>
      </c>
      <c r="D21" s="38" t="s">
        <v>135</v>
      </c>
      <c r="E21" s="26" t="s">
        <v>136</v>
      </c>
      <c r="F21" s="28">
        <v>556</v>
      </c>
      <c r="G21" s="28">
        <v>35000</v>
      </c>
      <c r="H21" s="28">
        <f>Cty_Vinh_Oanh_Phu_Ly[[#This Row],[SỐ LƯỢNG]]*Cty_Vinh_Oanh_Phu_Ly[[#This Row],[ĐƠN GIÁ]]</f>
        <v>19460000</v>
      </c>
      <c r="I21" s="28"/>
      <c r="J21" s="28">
        <f ca="1">N(INDIRECT("R[-1]C", FALSE)) + Cty_Vinh_Oanh_Phu_Ly[[#This Row],[THÀNH TIỀN]] - Cty_Vinh_Oanh_Phu_Ly[[#This Row],[THANH TOÁN]]</f>
        <v>254933000</v>
      </c>
      <c r="K21" s="27" t="s">
        <v>128</v>
      </c>
    </row>
    <row r="22" spans="1:11" x14ac:dyDescent="0.25">
      <c r="A22" s="25">
        <v>7899</v>
      </c>
      <c r="B22" s="30">
        <v>46087</v>
      </c>
      <c r="C22" s="26" t="s">
        <v>21</v>
      </c>
      <c r="D22" s="38" t="s">
        <v>24</v>
      </c>
      <c r="E22" s="26">
        <v>0</v>
      </c>
      <c r="F22" s="28">
        <v>0</v>
      </c>
      <c r="G22" s="28">
        <v>0</v>
      </c>
      <c r="H22" s="28">
        <f>Cty_Vinh_Oanh_Phu_Ly[[#This Row],[SỐ LƯỢNG]]*Cty_Vinh_Oanh_Phu_Ly[[#This Row],[ĐƠN GIÁ]]</f>
        <v>0</v>
      </c>
      <c r="I22" s="28">
        <v>90000000</v>
      </c>
      <c r="J22" s="28">
        <f ca="1">N(INDIRECT("R[-1]C", FALSE)) + Cty_Vinh_Oanh_Phu_Ly[[#This Row],[THÀNH TIỀN]] - Cty_Vinh_Oanh_Phu_Ly[[#This Row],[THANH TOÁN]]</f>
        <v>164933000</v>
      </c>
      <c r="K22" s="27"/>
    </row>
    <row r="23" spans="1:11" x14ac:dyDescent="0.25">
      <c r="A23" s="25"/>
      <c r="B23" s="30">
        <v>46087</v>
      </c>
      <c r="C23" s="26" t="s">
        <v>21</v>
      </c>
      <c r="D23" s="38" t="s">
        <v>22</v>
      </c>
      <c r="E23" s="26" t="s">
        <v>23</v>
      </c>
      <c r="F23" s="28">
        <v>0</v>
      </c>
      <c r="G23" s="28">
        <v>0</v>
      </c>
      <c r="H23" s="28">
        <f>Cty_Vinh_Oanh_Phu_Ly[[#This Row],[SỐ LƯỢNG]]*Cty_Vinh_Oanh_Phu_Ly[[#This Row],[ĐƠN GIÁ]]</f>
        <v>0</v>
      </c>
      <c r="I23" s="28">
        <v>1000000</v>
      </c>
      <c r="J23" s="28">
        <f ca="1">N(INDIRECT("R[-1]C", FALSE)) + Cty_Vinh_Oanh_Phu_Ly[[#This Row],[THÀNH TIỀN]] - Cty_Vinh_Oanh_Phu_Ly[[#This Row],[THANH TOÁN]]</f>
        <v>163933000</v>
      </c>
      <c r="K23" s="27"/>
    </row>
    <row r="24" spans="1:11" x14ac:dyDescent="0.25">
      <c r="A24" s="25"/>
      <c r="B24" s="30">
        <v>46088</v>
      </c>
      <c r="C24" s="26" t="s">
        <v>21</v>
      </c>
      <c r="D24" s="38" t="s">
        <v>22</v>
      </c>
      <c r="E24" s="26" t="s">
        <v>147</v>
      </c>
      <c r="F24" s="28">
        <v>0</v>
      </c>
      <c r="G24" s="28">
        <v>0</v>
      </c>
      <c r="H24" s="28">
        <f>Cty_Vinh_Oanh_Phu_Ly[[#This Row],[SỐ LƯỢNG]]*Cty_Vinh_Oanh_Phu_Ly[[#This Row],[ĐƠN GIÁ]]</f>
        <v>0</v>
      </c>
      <c r="I24" s="28">
        <v>60000000</v>
      </c>
      <c r="J24" s="28">
        <f ca="1">N(INDIRECT("R[-1]C", FALSE)) + Cty_Vinh_Oanh_Phu_Ly[[#This Row],[THÀNH TIỀN]] - Cty_Vinh_Oanh_Phu_Ly[[#This Row],[THANH TOÁN]]</f>
        <v>103933000</v>
      </c>
      <c r="K24" s="27"/>
    </row>
    <row r="25" spans="1:11" x14ac:dyDescent="0.25">
      <c r="A25" s="25"/>
      <c r="B25" s="30">
        <v>46088</v>
      </c>
      <c r="C25" s="26" t="s">
        <v>21</v>
      </c>
      <c r="D25" s="38" t="s">
        <v>22</v>
      </c>
      <c r="E25" s="23" t="s">
        <v>23</v>
      </c>
      <c r="F25" s="31">
        <v>0</v>
      </c>
      <c r="G25" s="31">
        <v>0</v>
      </c>
      <c r="H25" s="31">
        <f>Cty_Vinh_Oanh_Phu_Ly[[#This Row],[SỐ LƯỢNG]]*Cty_Vinh_Oanh_Phu_Ly[[#This Row],[ĐƠN GIÁ]]</f>
        <v>0</v>
      </c>
      <c r="I25" s="31">
        <v>60000000</v>
      </c>
      <c r="J25" s="31">
        <f ca="1">N(INDIRECT("R[-1]C", FALSE)) + Cty_Vinh_Oanh_Phu_Ly[[#This Row],[THÀNH TIỀN]] - Cty_Vinh_Oanh_Phu_Ly[[#This Row],[THANH TOÁN]]</f>
        <v>43933000</v>
      </c>
      <c r="K25" s="24"/>
    </row>
    <row r="26" spans="1:11" x14ac:dyDescent="0.25">
      <c r="A26" s="25"/>
      <c r="B26" s="30">
        <v>46090</v>
      </c>
      <c r="C26" s="26" t="s">
        <v>21</v>
      </c>
      <c r="D26" s="38" t="s">
        <v>22</v>
      </c>
      <c r="E26" s="26" t="s">
        <v>23</v>
      </c>
      <c r="F26" s="28">
        <v>0</v>
      </c>
      <c r="G26" s="28">
        <v>0</v>
      </c>
      <c r="H26" s="28">
        <f>Cty_Vinh_Oanh_Phu_Ly[[#This Row],[SỐ LƯỢNG]]*Cty_Vinh_Oanh_Phu_Ly[[#This Row],[ĐƠN GIÁ]]</f>
        <v>0</v>
      </c>
      <c r="I26" s="28">
        <v>10000000</v>
      </c>
      <c r="J26" s="28">
        <f ca="1">N(INDIRECT("R[-1]C", FALSE)) + Cty_Vinh_Oanh_Phu_Ly[[#This Row],[THÀNH TIỀN]] - Cty_Vinh_Oanh_Phu_Ly[[#This Row],[THANH TOÁN]]</f>
        <v>33933000</v>
      </c>
      <c r="K26" s="27"/>
    </row>
    <row r="27" spans="1:11" x14ac:dyDescent="0.25">
      <c r="A27" s="25"/>
      <c r="B27" s="30">
        <v>46090</v>
      </c>
      <c r="C27" s="26" t="s">
        <v>21</v>
      </c>
      <c r="D27" s="38" t="s">
        <v>22</v>
      </c>
      <c r="E27" s="23" t="s">
        <v>23</v>
      </c>
      <c r="F27" s="31">
        <v>0</v>
      </c>
      <c r="G27" s="31">
        <v>0</v>
      </c>
      <c r="H27" s="31">
        <f>Cty_Vinh_Oanh_Phu_Ly[[#This Row],[SỐ LƯỢNG]]*Cty_Vinh_Oanh_Phu_Ly[[#This Row],[ĐƠN GIÁ]]</f>
        <v>0</v>
      </c>
      <c r="I27" s="31">
        <v>13510000</v>
      </c>
      <c r="J27" s="31">
        <f ca="1">N(INDIRECT("R[-1]C", FALSE)) + Cty_Vinh_Oanh_Phu_Ly[[#This Row],[THÀNH TIỀN]] - Cty_Vinh_Oanh_Phu_Ly[[#This Row],[THANH TOÁN]]</f>
        <v>20423000</v>
      </c>
      <c r="K27" s="24"/>
    </row>
    <row r="28" spans="1:11" x14ac:dyDescent="0.25">
      <c r="A28" s="25"/>
      <c r="B28" s="30">
        <v>46091</v>
      </c>
      <c r="C28" s="26" t="s">
        <v>21</v>
      </c>
      <c r="D28" s="38" t="s">
        <v>22</v>
      </c>
      <c r="E28" s="23" t="s">
        <v>147</v>
      </c>
      <c r="F28" s="31">
        <v>0</v>
      </c>
      <c r="G28" s="31">
        <v>0</v>
      </c>
      <c r="H28" s="31">
        <f>Cty_Vinh_Oanh_Phu_Ly[[#This Row],[SỐ LƯỢNG]]*Cty_Vinh_Oanh_Phu_Ly[[#This Row],[ĐƠN GIÁ]]</f>
        <v>0</v>
      </c>
      <c r="I28" s="31">
        <v>49386000</v>
      </c>
      <c r="J28" s="31">
        <f ca="1">N(INDIRECT("R[-1]C", FALSE)) + Cty_Vinh_Oanh_Phu_Ly[[#This Row],[THÀNH TIỀN]] - Cty_Vinh_Oanh_Phu_Ly[[#This Row],[THANH TOÁN]]</f>
        <v>-28963000</v>
      </c>
      <c r="K28" s="24"/>
    </row>
    <row r="29" spans="1:11" x14ac:dyDescent="0.25">
      <c r="A29" s="25">
        <v>8015</v>
      </c>
      <c r="B29" s="30">
        <v>46092</v>
      </c>
      <c r="C29" s="26" t="s">
        <v>13</v>
      </c>
      <c r="D29" s="38" t="s">
        <v>17</v>
      </c>
      <c r="E29" s="23" t="s">
        <v>137</v>
      </c>
      <c r="F29" s="31">
        <f>442+402+320+354+356</f>
        <v>1874</v>
      </c>
      <c r="G29" s="31">
        <v>57000</v>
      </c>
      <c r="H29" s="31">
        <f>Cty_Vinh_Oanh_Phu_Ly[[#This Row],[SỐ LƯỢNG]]*Cty_Vinh_Oanh_Phu_Ly[[#This Row],[ĐƠN GIÁ]]</f>
        <v>106818000</v>
      </c>
      <c r="I29" s="31"/>
      <c r="J29" s="31">
        <f ca="1">N(INDIRECT("R[-1]C", FALSE)) + Cty_Vinh_Oanh_Phu_Ly[[#This Row],[THÀNH TIỀN]] - Cty_Vinh_Oanh_Phu_Ly[[#This Row],[THANH TOÁN]]</f>
        <v>77855000</v>
      </c>
      <c r="K29" s="24" t="s">
        <v>128</v>
      </c>
    </row>
    <row r="30" spans="1:11" x14ac:dyDescent="0.25">
      <c r="A30" s="25">
        <v>8015</v>
      </c>
      <c r="B30" s="30">
        <v>46092</v>
      </c>
      <c r="C30" s="26" t="s">
        <v>13</v>
      </c>
      <c r="D30" s="38" t="s">
        <v>17</v>
      </c>
      <c r="E30" s="26" t="s">
        <v>33</v>
      </c>
      <c r="F30" s="28">
        <v>1886</v>
      </c>
      <c r="G30" s="28">
        <v>57000</v>
      </c>
      <c r="H30" s="28">
        <f>Cty_Vinh_Oanh_Phu_Ly[[#This Row],[SỐ LƯỢNG]]*Cty_Vinh_Oanh_Phu_Ly[[#This Row],[ĐƠN GIÁ]]</f>
        <v>107502000</v>
      </c>
      <c r="I30" s="28"/>
      <c r="J30" s="28">
        <f ca="1">N(INDIRECT("R[-1]C", FALSE)) + Cty_Vinh_Oanh_Phu_Ly[[#This Row],[THÀNH TIỀN]] - Cty_Vinh_Oanh_Phu_Ly[[#This Row],[THANH TOÁN]]</f>
        <v>185357000</v>
      </c>
      <c r="K30" s="27"/>
    </row>
    <row r="31" spans="1:11" x14ac:dyDescent="0.25">
      <c r="A31" s="25">
        <v>8015</v>
      </c>
      <c r="B31" s="30">
        <v>46092</v>
      </c>
      <c r="C31" s="26" t="s">
        <v>13</v>
      </c>
      <c r="D31" s="38" t="s">
        <v>17</v>
      </c>
      <c r="E31" s="23" t="s">
        <v>138</v>
      </c>
      <c r="F31" s="31">
        <f>738+642</f>
        <v>1380</v>
      </c>
      <c r="G31" s="31">
        <v>57000</v>
      </c>
      <c r="H31" s="31">
        <f>Cty_Vinh_Oanh_Phu_Ly[[#This Row],[SỐ LƯỢNG]]*Cty_Vinh_Oanh_Phu_Ly[[#This Row],[ĐƠN GIÁ]]</f>
        <v>78660000</v>
      </c>
      <c r="I31" s="31"/>
      <c r="J31" s="31">
        <f ca="1">N(INDIRECT("R[-1]C", FALSE)) + Cty_Vinh_Oanh_Phu_Ly[[#This Row],[THÀNH TIỀN]] - Cty_Vinh_Oanh_Phu_Ly[[#This Row],[THANH TOÁN]]</f>
        <v>264017000</v>
      </c>
      <c r="K31" s="24"/>
    </row>
    <row r="32" spans="1:11" x14ac:dyDescent="0.25">
      <c r="A32" s="25">
        <v>8015</v>
      </c>
      <c r="B32" s="30">
        <v>46092</v>
      </c>
      <c r="C32" s="26" t="s">
        <v>13</v>
      </c>
      <c r="D32" s="38" t="s">
        <v>17</v>
      </c>
      <c r="E32" s="26" t="s">
        <v>46</v>
      </c>
      <c r="F32" s="28">
        <v>822</v>
      </c>
      <c r="G32" s="28">
        <v>57000</v>
      </c>
      <c r="H32" s="28">
        <f>Cty_Vinh_Oanh_Phu_Ly[[#This Row],[SỐ LƯỢNG]]*Cty_Vinh_Oanh_Phu_Ly[[#This Row],[ĐƠN GIÁ]]</f>
        <v>46854000</v>
      </c>
      <c r="I32" s="28"/>
      <c r="J32" s="28">
        <f ca="1">N(INDIRECT("R[-1]C", FALSE)) + Cty_Vinh_Oanh_Phu_Ly[[#This Row],[THÀNH TIỀN]] - Cty_Vinh_Oanh_Phu_Ly[[#This Row],[THANH TOÁN]]</f>
        <v>310871000</v>
      </c>
      <c r="K32" s="27"/>
    </row>
    <row r="33" spans="1:11" x14ac:dyDescent="0.25">
      <c r="A33" s="25">
        <v>8015</v>
      </c>
      <c r="B33" s="30">
        <v>46092</v>
      </c>
      <c r="C33" s="23" t="s">
        <v>13</v>
      </c>
      <c r="D33" s="37" t="s">
        <v>26</v>
      </c>
      <c r="E33" s="23" t="s">
        <v>35</v>
      </c>
      <c r="F33" s="31">
        <f>1710+1086</f>
        <v>2796</v>
      </c>
      <c r="G33" s="31">
        <v>32000</v>
      </c>
      <c r="H33" s="31">
        <f>Cty_Vinh_Oanh_Phu_Ly[[#This Row],[SỐ LƯỢNG]]*Cty_Vinh_Oanh_Phu_Ly[[#This Row],[ĐƠN GIÁ]]</f>
        <v>89472000</v>
      </c>
      <c r="I33" s="31"/>
      <c r="J33" s="31">
        <f ca="1">N(INDIRECT("R[-1]C", FALSE)) + Cty_Vinh_Oanh_Phu_Ly[[#This Row],[THÀNH TIỀN]] - Cty_Vinh_Oanh_Phu_Ly[[#This Row],[THANH TOÁN]]</f>
        <v>400343000</v>
      </c>
      <c r="K33" s="24"/>
    </row>
    <row r="34" spans="1:11" x14ac:dyDescent="0.25">
      <c r="A34" s="25">
        <v>8015</v>
      </c>
      <c r="B34" s="30">
        <v>46092</v>
      </c>
      <c r="C34" s="26" t="s">
        <v>13</v>
      </c>
      <c r="D34" s="38" t="s">
        <v>17</v>
      </c>
      <c r="E34" s="26" t="s">
        <v>25</v>
      </c>
      <c r="F34" s="28">
        <v>488</v>
      </c>
      <c r="G34" s="28">
        <v>57000</v>
      </c>
      <c r="H34" s="28">
        <f>Cty_Vinh_Oanh_Phu_Ly[[#This Row],[SỐ LƯỢNG]]*Cty_Vinh_Oanh_Phu_Ly[[#This Row],[ĐƠN GIÁ]]</f>
        <v>27816000</v>
      </c>
      <c r="I34" s="28">
        <v>112000000</v>
      </c>
      <c r="J34" s="28">
        <f ca="1">N(INDIRECT("R[-1]C", FALSE)) + Cty_Vinh_Oanh_Phu_Ly[[#This Row],[THÀNH TIỀN]] - Cty_Vinh_Oanh_Phu_Ly[[#This Row],[THANH TOÁN]]</f>
        <v>316159000</v>
      </c>
      <c r="K34" s="27"/>
    </row>
    <row r="35" spans="1:11" x14ac:dyDescent="0.25">
      <c r="A35" s="25"/>
      <c r="B35" s="30">
        <v>46092</v>
      </c>
      <c r="C35" s="26" t="s">
        <v>21</v>
      </c>
      <c r="D35" s="38" t="s">
        <v>22</v>
      </c>
      <c r="E35" s="26" t="s">
        <v>23</v>
      </c>
      <c r="F35" s="28">
        <v>0</v>
      </c>
      <c r="G35" s="28">
        <v>0</v>
      </c>
      <c r="H35" s="28">
        <f>Cty_Vinh_Oanh_Phu_Ly[[#This Row],[SỐ LƯỢNG]]*Cty_Vinh_Oanh_Phu_Ly[[#This Row],[ĐƠN GIÁ]]</f>
        <v>0</v>
      </c>
      <c r="I35" s="28">
        <v>17090000</v>
      </c>
      <c r="J35" s="28">
        <f ca="1">N(INDIRECT("R[-1]C", FALSE)) + Cty_Vinh_Oanh_Phu_Ly[[#This Row],[THÀNH TIỀN]] - Cty_Vinh_Oanh_Phu_Ly[[#This Row],[THANH TOÁN]]</f>
        <v>299069000</v>
      </c>
      <c r="K35" s="27"/>
    </row>
    <row r="36" spans="1:11" x14ac:dyDescent="0.25">
      <c r="A36" s="25"/>
      <c r="B36" s="30">
        <v>46092</v>
      </c>
      <c r="C36" s="26" t="s">
        <v>21</v>
      </c>
      <c r="D36" s="38" t="s">
        <v>22</v>
      </c>
      <c r="E36" s="26" t="s">
        <v>23</v>
      </c>
      <c r="F36" s="28">
        <v>0</v>
      </c>
      <c r="G36" s="28">
        <v>0</v>
      </c>
      <c r="H36" s="28">
        <f>Cty_Vinh_Oanh_Phu_Ly[[#This Row],[SỐ LƯỢNG]]*Cty_Vinh_Oanh_Phu_Ly[[#This Row],[ĐƠN GIÁ]]</f>
        <v>0</v>
      </c>
      <c r="I36" s="28">
        <v>8140000</v>
      </c>
      <c r="J36" s="28">
        <f ca="1">N(INDIRECT("R[-1]C", FALSE)) + Cty_Vinh_Oanh_Phu_Ly[[#This Row],[THÀNH TIỀN]] - Cty_Vinh_Oanh_Phu_Ly[[#This Row],[THANH TOÁN]]</f>
        <v>290929000</v>
      </c>
      <c r="K36" s="27"/>
    </row>
    <row r="37" spans="1:11" x14ac:dyDescent="0.25">
      <c r="A37" s="25"/>
      <c r="B37" s="30">
        <v>46092</v>
      </c>
      <c r="C37" s="26" t="s">
        <v>21</v>
      </c>
      <c r="D37" s="38" t="s">
        <v>22</v>
      </c>
      <c r="E37" s="26" t="s">
        <v>23</v>
      </c>
      <c r="F37" s="28">
        <v>0</v>
      </c>
      <c r="G37" s="28">
        <v>0</v>
      </c>
      <c r="H37" s="28">
        <f>Cty_Vinh_Oanh_Phu_Ly[[#This Row],[SỐ LƯỢNG]]*Cty_Vinh_Oanh_Phu_Ly[[#This Row],[ĐƠN GIÁ]]</f>
        <v>0</v>
      </c>
      <c r="I37" s="28">
        <v>25000000</v>
      </c>
      <c r="J37" s="28">
        <f ca="1">N(INDIRECT("R[-1]C", FALSE)) + Cty_Vinh_Oanh_Phu_Ly[[#This Row],[THÀNH TIỀN]] - Cty_Vinh_Oanh_Phu_Ly[[#This Row],[THANH TOÁN]]</f>
        <v>265929000</v>
      </c>
      <c r="K37" s="27"/>
    </row>
    <row r="38" spans="1:11" x14ac:dyDescent="0.25">
      <c r="A38" s="25"/>
      <c r="B38" s="30">
        <v>46092</v>
      </c>
      <c r="C38" s="26" t="s">
        <v>21</v>
      </c>
      <c r="D38" s="38" t="s">
        <v>22</v>
      </c>
      <c r="E38" s="26" t="s">
        <v>23</v>
      </c>
      <c r="F38" s="28">
        <v>0</v>
      </c>
      <c r="G38" s="28">
        <v>0</v>
      </c>
      <c r="H38" s="28">
        <f>Cty_Vinh_Oanh_Phu_Ly[[#This Row],[SỐ LƯỢNG]]*Cty_Vinh_Oanh_Phu_Ly[[#This Row],[ĐƠN GIÁ]]</f>
        <v>0</v>
      </c>
      <c r="I38" s="28">
        <v>3831000</v>
      </c>
      <c r="J38" s="28">
        <f ca="1">N(INDIRECT("R[-1]C", FALSE)) + Cty_Vinh_Oanh_Phu_Ly[[#This Row],[THÀNH TIỀN]] - Cty_Vinh_Oanh_Phu_Ly[[#This Row],[THANH TOÁN]]</f>
        <v>262098000</v>
      </c>
      <c r="K38" s="27"/>
    </row>
    <row r="39" spans="1:11" x14ac:dyDescent="0.25">
      <c r="A39" s="25"/>
      <c r="B39" s="30">
        <v>46093</v>
      </c>
      <c r="C39" s="26" t="s">
        <v>21</v>
      </c>
      <c r="D39" s="38" t="s">
        <v>22</v>
      </c>
      <c r="E39" s="26" t="s">
        <v>147</v>
      </c>
      <c r="F39" s="28">
        <v>0</v>
      </c>
      <c r="G39" s="28">
        <v>0</v>
      </c>
      <c r="H39" s="28">
        <f>Cty_Vinh_Oanh_Phu_Ly[[#This Row],[SỐ LƯỢNG]]*Cty_Vinh_Oanh_Phu_Ly[[#This Row],[ĐƠN GIÁ]]</f>
        <v>0</v>
      </c>
      <c r="I39" s="28">
        <v>5000000</v>
      </c>
      <c r="J39" s="28">
        <f ca="1">N(INDIRECT("R[-1]C", FALSE)) + Cty_Vinh_Oanh_Phu_Ly[[#This Row],[THÀNH TIỀN]] - Cty_Vinh_Oanh_Phu_Ly[[#This Row],[THANH TOÁN]]</f>
        <v>257098000</v>
      </c>
      <c r="K39" s="27"/>
    </row>
    <row r="40" spans="1:11" x14ac:dyDescent="0.25">
      <c r="A40" s="25"/>
      <c r="B40" s="30">
        <v>46093</v>
      </c>
      <c r="C40" s="26" t="s">
        <v>21</v>
      </c>
      <c r="D40" s="38" t="s">
        <v>22</v>
      </c>
      <c r="E40" s="26" t="s">
        <v>23</v>
      </c>
      <c r="F40" s="28">
        <v>0</v>
      </c>
      <c r="G40" s="28">
        <v>0</v>
      </c>
      <c r="H40" s="28">
        <f>Cty_Vinh_Oanh_Phu_Ly[[#This Row],[SỐ LƯỢNG]]*Cty_Vinh_Oanh_Phu_Ly[[#This Row],[ĐƠN GIÁ]]</f>
        <v>0</v>
      </c>
      <c r="I40" s="28">
        <v>68000000</v>
      </c>
      <c r="J40" s="28">
        <f ca="1">N(INDIRECT("R[-1]C", FALSE)) + Cty_Vinh_Oanh_Phu_Ly[[#This Row],[THÀNH TIỀN]] - Cty_Vinh_Oanh_Phu_Ly[[#This Row],[THANH TOÁN]]</f>
        <v>189098000</v>
      </c>
      <c r="K40" s="27"/>
    </row>
    <row r="41" spans="1:11" x14ac:dyDescent="0.25">
      <c r="A41" s="25"/>
      <c r="B41" s="30">
        <v>46093</v>
      </c>
      <c r="C41" s="26" t="s">
        <v>21</v>
      </c>
      <c r="D41" s="38" t="s">
        <v>22</v>
      </c>
      <c r="E41" s="26" t="s">
        <v>23</v>
      </c>
      <c r="F41" s="28">
        <v>0</v>
      </c>
      <c r="G41" s="28">
        <v>0</v>
      </c>
      <c r="H41" s="28">
        <f>Cty_Vinh_Oanh_Phu_Ly[[#This Row],[SỐ LƯỢNG]]*Cty_Vinh_Oanh_Phu_Ly[[#This Row],[ĐƠN GIÁ]]</f>
        <v>0</v>
      </c>
      <c r="I41" s="28">
        <v>30000000</v>
      </c>
      <c r="J41" s="28">
        <f ca="1">N(INDIRECT("R[-1]C", FALSE)) + Cty_Vinh_Oanh_Phu_Ly[[#This Row],[THÀNH TIỀN]] - Cty_Vinh_Oanh_Phu_Ly[[#This Row],[THANH TOÁN]]</f>
        <v>159098000</v>
      </c>
      <c r="K41" s="27"/>
    </row>
    <row r="42" spans="1:11" x14ac:dyDescent="0.25">
      <c r="A42" s="25"/>
      <c r="B42" s="30">
        <v>46093</v>
      </c>
      <c r="C42" s="26" t="s">
        <v>21</v>
      </c>
      <c r="D42" s="38" t="s">
        <v>22</v>
      </c>
      <c r="E42" s="26" t="s">
        <v>23</v>
      </c>
      <c r="F42" s="28">
        <v>0</v>
      </c>
      <c r="G42" s="28">
        <v>0</v>
      </c>
      <c r="H42" s="28">
        <f>Cty_Vinh_Oanh_Phu_Ly[[#This Row],[SỐ LƯỢNG]]*Cty_Vinh_Oanh_Phu_Ly[[#This Row],[ĐƠN GIÁ]]</f>
        <v>0</v>
      </c>
      <c r="I42" s="28">
        <v>30000000</v>
      </c>
      <c r="J42" s="28">
        <f ca="1">N(INDIRECT("R[-1]C", FALSE)) + Cty_Vinh_Oanh_Phu_Ly[[#This Row],[THÀNH TIỀN]] - Cty_Vinh_Oanh_Phu_Ly[[#This Row],[THANH TOÁN]]</f>
        <v>129098000</v>
      </c>
      <c r="K42" s="27"/>
    </row>
    <row r="43" spans="1:11" x14ac:dyDescent="0.25">
      <c r="A43" s="22"/>
      <c r="B43" s="29">
        <v>46093</v>
      </c>
      <c r="C43" s="26" t="s">
        <v>21</v>
      </c>
      <c r="D43" s="38" t="s">
        <v>22</v>
      </c>
      <c r="E43" s="26" t="s">
        <v>23</v>
      </c>
      <c r="F43" s="28">
        <v>0</v>
      </c>
      <c r="G43" s="28">
        <v>0</v>
      </c>
      <c r="H43" s="31">
        <f>Cty_Vinh_Oanh_Phu_Ly[[#This Row],[SỐ LƯỢNG]]*Cty_Vinh_Oanh_Phu_Ly[[#This Row],[ĐƠN GIÁ]]</f>
        <v>0</v>
      </c>
      <c r="I43" s="31">
        <v>7470000</v>
      </c>
      <c r="J43" s="31">
        <f ca="1">N(INDIRECT("R[-1]C", FALSE)) + Cty_Vinh_Oanh_Phu_Ly[[#This Row],[THÀNH TIỀN]] - Cty_Vinh_Oanh_Phu_Ly[[#This Row],[THANH TOÁN]]</f>
        <v>121628000</v>
      </c>
      <c r="K43" s="24"/>
    </row>
    <row r="44" spans="1:11" x14ac:dyDescent="0.25">
      <c r="A44" s="25">
        <v>8066</v>
      </c>
      <c r="B44" s="30">
        <v>46094</v>
      </c>
      <c r="C44" s="26" t="s">
        <v>13</v>
      </c>
      <c r="D44" s="38" t="s">
        <v>17</v>
      </c>
      <c r="E44" s="26" t="s">
        <v>129</v>
      </c>
      <c r="F44" s="28">
        <f>482+480+444</f>
        <v>1406</v>
      </c>
      <c r="G44" s="28">
        <v>57000</v>
      </c>
      <c r="H44" s="28">
        <f>Cty_Vinh_Oanh_Phu_Ly[[#This Row],[SỐ LƯỢNG]]*Cty_Vinh_Oanh_Phu_Ly[[#This Row],[ĐƠN GIÁ]]</f>
        <v>80142000</v>
      </c>
      <c r="I44" s="28"/>
      <c r="J44" s="28">
        <f ca="1">N(INDIRECT("R[-1]C", FALSE)) + Cty_Vinh_Oanh_Phu_Ly[[#This Row],[THÀNH TIỀN]] - Cty_Vinh_Oanh_Phu_Ly[[#This Row],[THANH TOÁN]]</f>
        <v>201770000</v>
      </c>
      <c r="K44" s="27" t="s">
        <v>128</v>
      </c>
    </row>
    <row r="45" spans="1:11" x14ac:dyDescent="0.25">
      <c r="A45" s="25">
        <v>8066</v>
      </c>
      <c r="B45" s="30">
        <v>46094</v>
      </c>
      <c r="C45" s="26" t="s">
        <v>13</v>
      </c>
      <c r="D45" s="38" t="s">
        <v>17</v>
      </c>
      <c r="E45" s="26" t="s">
        <v>33</v>
      </c>
      <c r="F45" s="28">
        <v>620</v>
      </c>
      <c r="G45" s="28">
        <v>58000</v>
      </c>
      <c r="H45" s="28">
        <f>Cty_Vinh_Oanh_Phu_Ly[[#This Row],[SỐ LƯỢNG]]*Cty_Vinh_Oanh_Phu_Ly[[#This Row],[ĐƠN GIÁ]]</f>
        <v>35960000</v>
      </c>
      <c r="I45" s="28"/>
      <c r="J45" s="28">
        <f ca="1">N(INDIRECT("R[-1]C", FALSE)) + Cty_Vinh_Oanh_Phu_Ly[[#This Row],[THÀNH TIỀN]] - Cty_Vinh_Oanh_Phu_Ly[[#This Row],[THANH TOÁN]]</f>
        <v>237730000</v>
      </c>
      <c r="K45" s="27" t="s">
        <v>128</v>
      </c>
    </row>
    <row r="46" spans="1:11" x14ac:dyDescent="0.25">
      <c r="A46" s="25">
        <v>8066</v>
      </c>
      <c r="B46" s="30">
        <v>46094</v>
      </c>
      <c r="C46" s="26" t="s">
        <v>13</v>
      </c>
      <c r="D46" s="38" t="s">
        <v>17</v>
      </c>
      <c r="E46" s="26" t="s">
        <v>138</v>
      </c>
      <c r="F46" s="28">
        <v>734</v>
      </c>
      <c r="G46" s="28">
        <v>57000</v>
      </c>
      <c r="H46" s="28">
        <f>Cty_Vinh_Oanh_Phu_Ly[[#This Row],[SỐ LƯỢNG]]*Cty_Vinh_Oanh_Phu_Ly[[#This Row],[ĐƠN GIÁ]]</f>
        <v>41838000</v>
      </c>
      <c r="I46" s="28"/>
      <c r="J46" s="28">
        <f ca="1">N(INDIRECT("R[-1]C", FALSE)) + Cty_Vinh_Oanh_Phu_Ly[[#This Row],[THÀNH TIỀN]] - Cty_Vinh_Oanh_Phu_Ly[[#This Row],[THANH TOÁN]]</f>
        <v>279568000</v>
      </c>
      <c r="K46" s="27" t="s">
        <v>128</v>
      </c>
    </row>
    <row r="47" spans="1:11" x14ac:dyDescent="0.25">
      <c r="A47" s="25">
        <v>8066</v>
      </c>
      <c r="B47" s="30">
        <v>46094</v>
      </c>
      <c r="C47" s="26" t="s">
        <v>13</v>
      </c>
      <c r="D47" s="38" t="s">
        <v>43</v>
      </c>
      <c r="E47" s="26" t="s">
        <v>139</v>
      </c>
      <c r="F47" s="28">
        <v>750</v>
      </c>
      <c r="G47" s="28">
        <v>54500</v>
      </c>
      <c r="H47" s="28">
        <f>Cty_Vinh_Oanh_Phu_Ly[[#This Row],[SỐ LƯỢNG]]*Cty_Vinh_Oanh_Phu_Ly[[#This Row],[ĐƠN GIÁ]]</f>
        <v>40875000</v>
      </c>
      <c r="I47" s="28"/>
      <c r="J47" s="28">
        <f ca="1">N(INDIRECT("R[-1]C", FALSE)) + Cty_Vinh_Oanh_Phu_Ly[[#This Row],[THÀNH TIỀN]] - Cty_Vinh_Oanh_Phu_Ly[[#This Row],[THANH TOÁN]]</f>
        <v>320443000</v>
      </c>
      <c r="K47" s="27"/>
    </row>
    <row r="48" spans="1:11" x14ac:dyDescent="0.25">
      <c r="A48" s="25">
        <v>8066</v>
      </c>
      <c r="B48" s="30">
        <v>46094</v>
      </c>
      <c r="C48" s="26" t="s">
        <v>13</v>
      </c>
      <c r="D48" s="38" t="s">
        <v>43</v>
      </c>
      <c r="E48" s="26" t="s">
        <v>140</v>
      </c>
      <c r="F48" s="28">
        <v>1750</v>
      </c>
      <c r="G48" s="28">
        <v>54500</v>
      </c>
      <c r="H48" s="28">
        <f>Cty_Vinh_Oanh_Phu_Ly[[#This Row],[SỐ LƯỢNG]]*Cty_Vinh_Oanh_Phu_Ly[[#This Row],[ĐƠN GIÁ]]</f>
        <v>95375000</v>
      </c>
      <c r="I48" s="28"/>
      <c r="J48" s="28">
        <f ca="1">N(INDIRECT("R[-1]C", FALSE)) + Cty_Vinh_Oanh_Phu_Ly[[#This Row],[THÀNH TIỀN]] - Cty_Vinh_Oanh_Phu_Ly[[#This Row],[THANH TOÁN]]</f>
        <v>415818000</v>
      </c>
      <c r="K48" s="27"/>
    </row>
    <row r="49" spans="1:11" x14ac:dyDescent="0.25">
      <c r="A49" s="25">
        <v>8066</v>
      </c>
      <c r="B49" s="30">
        <v>46094</v>
      </c>
      <c r="C49" s="26" t="s">
        <v>13</v>
      </c>
      <c r="D49" s="38" t="s">
        <v>43</v>
      </c>
      <c r="E49" s="26" t="s">
        <v>141</v>
      </c>
      <c r="F49" s="28">
        <v>584</v>
      </c>
      <c r="G49" s="28">
        <v>56500</v>
      </c>
      <c r="H49" s="28">
        <f>Cty_Vinh_Oanh_Phu_Ly[[#This Row],[SỐ LƯỢNG]]*Cty_Vinh_Oanh_Phu_Ly[[#This Row],[ĐƠN GIÁ]]</f>
        <v>32996000</v>
      </c>
      <c r="I49" s="28"/>
      <c r="J49" s="28">
        <f ca="1">N(INDIRECT("R[-1]C", FALSE)) + Cty_Vinh_Oanh_Phu_Ly[[#This Row],[THÀNH TIỀN]] - Cty_Vinh_Oanh_Phu_Ly[[#This Row],[THANH TOÁN]]</f>
        <v>448814000</v>
      </c>
      <c r="K49" s="27"/>
    </row>
    <row r="50" spans="1:11" x14ac:dyDescent="0.25">
      <c r="A50" s="25">
        <v>8066</v>
      </c>
      <c r="B50" s="30">
        <v>46094</v>
      </c>
      <c r="C50" s="26" t="s">
        <v>13</v>
      </c>
      <c r="D50" s="38" t="s">
        <v>43</v>
      </c>
      <c r="E50" s="26" t="s">
        <v>142</v>
      </c>
      <c r="F50" s="28">
        <v>726</v>
      </c>
      <c r="G50" s="28">
        <v>56500</v>
      </c>
      <c r="H50" s="28">
        <f>Cty_Vinh_Oanh_Phu_Ly[[#This Row],[SỐ LƯỢNG]]*Cty_Vinh_Oanh_Phu_Ly[[#This Row],[ĐƠN GIÁ]]</f>
        <v>41019000</v>
      </c>
      <c r="I50" s="28"/>
      <c r="J50" s="28">
        <f ca="1">N(INDIRECT("R[-1]C", FALSE)) + Cty_Vinh_Oanh_Phu_Ly[[#This Row],[THÀNH TIỀN]] - Cty_Vinh_Oanh_Phu_Ly[[#This Row],[THANH TOÁN]]</f>
        <v>489833000</v>
      </c>
      <c r="K50" s="27"/>
    </row>
    <row r="51" spans="1:11" x14ac:dyDescent="0.25">
      <c r="A51" s="25"/>
      <c r="B51" s="30">
        <v>46094</v>
      </c>
      <c r="C51" s="26" t="s">
        <v>21</v>
      </c>
      <c r="D51" s="38" t="s">
        <v>22</v>
      </c>
      <c r="E51" s="26" t="s">
        <v>23</v>
      </c>
      <c r="F51" s="28">
        <v>0</v>
      </c>
      <c r="G51" s="28">
        <v>0</v>
      </c>
      <c r="H51" s="28">
        <f>Cty_Vinh_Oanh_Phu_Ly[[#This Row],[SỐ LƯỢNG]]*Cty_Vinh_Oanh_Phu_Ly[[#This Row],[ĐƠN GIÁ]]</f>
        <v>0</v>
      </c>
      <c r="I51" s="28">
        <v>3820000</v>
      </c>
      <c r="J51" s="28">
        <f ca="1">N(INDIRECT("R[-1]C", FALSE)) + Cty_Vinh_Oanh_Phu_Ly[[#This Row],[THÀNH TIỀN]] - Cty_Vinh_Oanh_Phu_Ly[[#This Row],[THANH TOÁN]]</f>
        <v>486013000</v>
      </c>
      <c r="K51" s="27"/>
    </row>
    <row r="52" spans="1:11" x14ac:dyDescent="0.25">
      <c r="A52" s="25"/>
      <c r="B52" s="30">
        <v>46094</v>
      </c>
      <c r="C52" s="26" t="s">
        <v>21</v>
      </c>
      <c r="D52" s="38" t="s">
        <v>22</v>
      </c>
      <c r="E52" s="26" t="s">
        <v>23</v>
      </c>
      <c r="F52" s="28">
        <v>0</v>
      </c>
      <c r="G52" s="28">
        <v>0</v>
      </c>
      <c r="H52" s="28">
        <f>Cty_Vinh_Oanh_Phu_Ly[[#This Row],[SỐ LƯỢNG]]*Cty_Vinh_Oanh_Phu_Ly[[#This Row],[ĐƠN GIÁ]]</f>
        <v>0</v>
      </c>
      <c r="I52" s="28">
        <f>45000000+15000000</f>
        <v>60000000</v>
      </c>
      <c r="J52" s="28">
        <f ca="1">N(INDIRECT("R[-1]C", FALSE)) + Cty_Vinh_Oanh_Phu_Ly[[#This Row],[THÀNH TIỀN]] - Cty_Vinh_Oanh_Phu_Ly[[#This Row],[THANH TOÁN]]</f>
        <v>426013000</v>
      </c>
      <c r="K52" s="27"/>
    </row>
    <row r="53" spans="1:11" x14ac:dyDescent="0.25">
      <c r="A53" s="25"/>
      <c r="B53" s="30">
        <v>46094</v>
      </c>
      <c r="C53" s="26" t="s">
        <v>21</v>
      </c>
      <c r="D53" s="38" t="s">
        <v>22</v>
      </c>
      <c r="E53" s="26" t="s">
        <v>23</v>
      </c>
      <c r="F53" s="28">
        <v>0</v>
      </c>
      <c r="G53" s="28">
        <v>0</v>
      </c>
      <c r="H53" s="28">
        <f>Cty_Vinh_Oanh_Phu_Ly[[#This Row],[SỐ LƯỢNG]]*Cty_Vinh_Oanh_Phu_Ly[[#This Row],[ĐƠN GIÁ]]</f>
        <v>0</v>
      </c>
      <c r="I53" s="28">
        <v>57808000</v>
      </c>
      <c r="J53" s="28">
        <f ca="1">N(INDIRECT("R[-1]C", FALSE)) + Cty_Vinh_Oanh_Phu_Ly[[#This Row],[THÀNH TIỀN]] - Cty_Vinh_Oanh_Phu_Ly[[#This Row],[THANH TOÁN]]</f>
        <v>368205000</v>
      </c>
      <c r="K53" s="27"/>
    </row>
    <row r="54" spans="1:11" x14ac:dyDescent="0.25">
      <c r="A54" s="25"/>
      <c r="B54" s="30">
        <v>46094</v>
      </c>
      <c r="C54" s="26" t="s">
        <v>21</v>
      </c>
      <c r="D54" s="38" t="s">
        <v>22</v>
      </c>
      <c r="E54" s="26" t="s">
        <v>23</v>
      </c>
      <c r="F54" s="28">
        <v>0</v>
      </c>
      <c r="G54" s="28">
        <v>0</v>
      </c>
      <c r="H54" s="28">
        <f>Cty_Vinh_Oanh_Phu_Ly[[#This Row],[SỐ LƯỢNG]]*Cty_Vinh_Oanh_Phu_Ly[[#This Row],[ĐƠN GIÁ]]</f>
        <v>0</v>
      </c>
      <c r="I54" s="28">
        <v>14430000</v>
      </c>
      <c r="J54" s="28">
        <f ca="1">N(INDIRECT("R[-1]C", FALSE)) + Cty_Vinh_Oanh_Phu_Ly[[#This Row],[THÀNH TIỀN]] - Cty_Vinh_Oanh_Phu_Ly[[#This Row],[THANH TOÁN]]</f>
        <v>353775000</v>
      </c>
      <c r="K54" s="27"/>
    </row>
    <row r="55" spans="1:11" x14ac:dyDescent="0.25">
      <c r="A55" s="25"/>
      <c r="B55" s="30">
        <v>46094</v>
      </c>
      <c r="C55" s="26" t="s">
        <v>21</v>
      </c>
      <c r="D55" s="38" t="s">
        <v>22</v>
      </c>
      <c r="E55" s="26" t="s">
        <v>23</v>
      </c>
      <c r="F55" s="28">
        <v>0</v>
      </c>
      <c r="G55" s="28">
        <v>0</v>
      </c>
      <c r="H55" s="28">
        <f>Cty_Vinh_Oanh_Phu_Ly[[#This Row],[SỐ LƯỢNG]]*Cty_Vinh_Oanh_Phu_Ly[[#This Row],[ĐƠN GIÁ]]</f>
        <v>0</v>
      </c>
      <c r="I55" s="28">
        <v>30000000</v>
      </c>
      <c r="J55" s="28">
        <f ca="1">N(INDIRECT("R[-1]C", FALSE)) + Cty_Vinh_Oanh_Phu_Ly[[#This Row],[THÀNH TIỀN]] - Cty_Vinh_Oanh_Phu_Ly[[#This Row],[THANH TOÁN]]</f>
        <v>323775000</v>
      </c>
      <c r="K55" s="27"/>
    </row>
    <row r="56" spans="1:11" x14ac:dyDescent="0.25">
      <c r="A56" s="25">
        <v>8094</v>
      </c>
      <c r="B56" s="30">
        <v>46095</v>
      </c>
      <c r="C56" s="26" t="s">
        <v>13</v>
      </c>
      <c r="D56" s="38" t="s">
        <v>17</v>
      </c>
      <c r="E56" s="26" t="s">
        <v>30</v>
      </c>
      <c r="F56" s="28">
        <v>1084</v>
      </c>
      <c r="G56" s="28">
        <v>58500</v>
      </c>
      <c r="H56" s="28">
        <f>Cty_Vinh_Oanh_Phu_Ly[[#This Row],[SỐ LƯỢNG]]*Cty_Vinh_Oanh_Phu_Ly[[#This Row],[ĐƠN GIÁ]]</f>
        <v>63414000</v>
      </c>
      <c r="I56" s="28"/>
      <c r="J56" s="28">
        <f ca="1">N(INDIRECT("R[-1]C", FALSE)) + Cty_Vinh_Oanh_Phu_Ly[[#This Row],[THÀNH TIỀN]] - Cty_Vinh_Oanh_Phu_Ly[[#This Row],[THANH TOÁN]]</f>
        <v>387189000</v>
      </c>
      <c r="K56" s="27" t="s">
        <v>128</v>
      </c>
    </row>
    <row r="57" spans="1:11" x14ac:dyDescent="0.25">
      <c r="A57" s="25">
        <v>8094</v>
      </c>
      <c r="B57" s="30">
        <v>46095</v>
      </c>
      <c r="C57" s="26" t="s">
        <v>13</v>
      </c>
      <c r="D57" s="38" t="s">
        <v>17</v>
      </c>
      <c r="E57" s="26" t="s">
        <v>127</v>
      </c>
      <c r="F57" s="28">
        <v>984</v>
      </c>
      <c r="G57" s="28">
        <v>58500</v>
      </c>
      <c r="H57" s="28">
        <f>Cty_Vinh_Oanh_Phu_Ly[[#This Row],[SỐ LƯỢNG]]*Cty_Vinh_Oanh_Phu_Ly[[#This Row],[ĐƠN GIÁ]]</f>
        <v>57564000</v>
      </c>
      <c r="I57" s="28"/>
      <c r="J57" s="28">
        <f ca="1">N(INDIRECT("R[-1]C", FALSE)) + Cty_Vinh_Oanh_Phu_Ly[[#This Row],[THÀNH TIỀN]] - Cty_Vinh_Oanh_Phu_Ly[[#This Row],[THANH TOÁN]]</f>
        <v>444753000</v>
      </c>
      <c r="K57" s="27" t="s">
        <v>128</v>
      </c>
    </row>
    <row r="58" spans="1:11" x14ac:dyDescent="0.25">
      <c r="A58" s="22"/>
      <c r="B58" s="30">
        <v>46095</v>
      </c>
      <c r="C58" s="26" t="s">
        <v>21</v>
      </c>
      <c r="D58" s="38" t="s">
        <v>22</v>
      </c>
      <c r="E58" s="26" t="s">
        <v>23</v>
      </c>
      <c r="F58" s="28">
        <v>0</v>
      </c>
      <c r="G58" s="28">
        <v>0</v>
      </c>
      <c r="H58" s="31">
        <f>Cty_Vinh_Oanh_Phu_Ly[[#This Row],[SỐ LƯỢNG]]*Cty_Vinh_Oanh_Phu_Ly[[#This Row],[ĐƠN GIÁ]]</f>
        <v>0</v>
      </c>
      <c r="I58" s="31">
        <v>3380000</v>
      </c>
      <c r="J58" s="31">
        <f ca="1">N(INDIRECT("R[-1]C", FALSE)) + Cty_Vinh_Oanh_Phu_Ly[[#This Row],[THÀNH TIỀN]] - Cty_Vinh_Oanh_Phu_Ly[[#This Row],[THANH TOÁN]]</f>
        <v>441373000</v>
      </c>
      <c r="K58" s="24"/>
    </row>
    <row r="59" spans="1:11" x14ac:dyDescent="0.25">
      <c r="A59" s="25"/>
      <c r="B59" s="30">
        <v>46095</v>
      </c>
      <c r="C59" s="26" t="s">
        <v>21</v>
      </c>
      <c r="D59" s="38" t="s">
        <v>22</v>
      </c>
      <c r="E59" s="26" t="s">
        <v>23</v>
      </c>
      <c r="F59" s="28">
        <v>0</v>
      </c>
      <c r="G59" s="28">
        <v>0</v>
      </c>
      <c r="H59" s="28">
        <f>Cty_Vinh_Oanh_Phu_Ly[[#This Row],[SỐ LƯỢNG]]*Cty_Vinh_Oanh_Phu_Ly[[#This Row],[ĐƠN GIÁ]]</f>
        <v>0</v>
      </c>
      <c r="I59" s="28">
        <v>4715000</v>
      </c>
      <c r="J59" s="28">
        <f ca="1">N(INDIRECT("R[-1]C", FALSE)) + Cty_Vinh_Oanh_Phu_Ly[[#This Row],[THÀNH TIỀN]] - Cty_Vinh_Oanh_Phu_Ly[[#This Row],[THANH TOÁN]]</f>
        <v>436658000</v>
      </c>
      <c r="K59" s="27"/>
    </row>
    <row r="60" spans="1:11" x14ac:dyDescent="0.25">
      <c r="A60" s="25"/>
      <c r="B60" s="30">
        <v>46095</v>
      </c>
      <c r="C60" s="26" t="s">
        <v>21</v>
      </c>
      <c r="D60" s="38" t="s">
        <v>22</v>
      </c>
      <c r="E60" s="26" t="s">
        <v>23</v>
      </c>
      <c r="F60" s="28">
        <v>0</v>
      </c>
      <c r="G60" s="28">
        <v>0</v>
      </c>
      <c r="H60" s="28">
        <f>Cty_Vinh_Oanh_Phu_Ly[[#This Row],[SỐ LƯỢNG]]*Cty_Vinh_Oanh_Phu_Ly[[#This Row],[ĐƠN GIÁ]]</f>
        <v>0</v>
      </c>
      <c r="I60" s="28">
        <v>2000000</v>
      </c>
      <c r="J60" s="28">
        <f ca="1">N(INDIRECT("R[-1]C", FALSE)) + Cty_Vinh_Oanh_Phu_Ly[[#This Row],[THÀNH TIỀN]] - Cty_Vinh_Oanh_Phu_Ly[[#This Row],[THANH TOÁN]]</f>
        <v>434658000</v>
      </c>
      <c r="K60" s="27"/>
    </row>
    <row r="61" spans="1:11" x14ac:dyDescent="0.25">
      <c r="A61" s="25"/>
      <c r="B61" s="30">
        <v>46096</v>
      </c>
      <c r="C61" s="26" t="s">
        <v>21</v>
      </c>
      <c r="D61" s="38" t="s">
        <v>22</v>
      </c>
      <c r="E61" s="26" t="s">
        <v>23</v>
      </c>
      <c r="F61" s="28">
        <v>0</v>
      </c>
      <c r="G61" s="28">
        <v>0</v>
      </c>
      <c r="H61" s="28">
        <f>Cty_Vinh_Oanh_Phu_Ly[[#This Row],[SỐ LƯỢNG]]*Cty_Vinh_Oanh_Phu_Ly[[#This Row],[ĐƠN GIÁ]]</f>
        <v>0</v>
      </c>
      <c r="I61" s="28">
        <v>40000000</v>
      </c>
      <c r="J61" s="28">
        <f ca="1">N(INDIRECT("R[-1]C", FALSE)) + Cty_Vinh_Oanh_Phu_Ly[[#This Row],[THÀNH TIỀN]] - Cty_Vinh_Oanh_Phu_Ly[[#This Row],[THANH TOÁN]]</f>
        <v>394658000</v>
      </c>
      <c r="K61" s="27"/>
    </row>
    <row r="62" spans="1:11" x14ac:dyDescent="0.25">
      <c r="A62" s="25"/>
      <c r="B62" s="30">
        <v>46096</v>
      </c>
      <c r="C62" s="26" t="s">
        <v>21</v>
      </c>
      <c r="D62" s="38" t="s">
        <v>22</v>
      </c>
      <c r="E62" s="26" t="s">
        <v>23</v>
      </c>
      <c r="F62" s="28">
        <v>0</v>
      </c>
      <c r="G62" s="28">
        <v>0</v>
      </c>
      <c r="H62" s="28">
        <f>Cty_Vinh_Oanh_Phu_Ly[[#This Row],[SỐ LƯỢNG]]*Cty_Vinh_Oanh_Phu_Ly[[#This Row],[ĐƠN GIÁ]]</f>
        <v>0</v>
      </c>
      <c r="I62" s="28">
        <v>7269000</v>
      </c>
      <c r="J62" s="28">
        <f ca="1">N(INDIRECT("R[-1]C", FALSE)) + Cty_Vinh_Oanh_Phu_Ly[[#This Row],[THÀNH TIỀN]] - Cty_Vinh_Oanh_Phu_Ly[[#This Row],[THANH TOÁN]]</f>
        <v>387389000</v>
      </c>
      <c r="K62" s="27"/>
    </row>
    <row r="63" spans="1:11" x14ac:dyDescent="0.25">
      <c r="A63" s="25"/>
      <c r="B63" s="30">
        <v>46096</v>
      </c>
      <c r="C63" s="26" t="s">
        <v>21</v>
      </c>
      <c r="D63" s="38" t="s">
        <v>22</v>
      </c>
      <c r="E63" s="26" t="s">
        <v>23</v>
      </c>
      <c r="F63" s="28">
        <v>0</v>
      </c>
      <c r="G63" s="28">
        <v>0</v>
      </c>
      <c r="H63" s="28">
        <f>Cty_Vinh_Oanh_Phu_Ly[[#This Row],[SỐ LƯỢNG]]*Cty_Vinh_Oanh_Phu_Ly[[#This Row],[ĐƠN GIÁ]]</f>
        <v>0</v>
      </c>
      <c r="I63" s="28">
        <v>1883000</v>
      </c>
      <c r="J63" s="28">
        <f ca="1">N(INDIRECT("R[-1]C", FALSE)) + Cty_Vinh_Oanh_Phu_Ly[[#This Row],[THÀNH TIỀN]] - Cty_Vinh_Oanh_Phu_Ly[[#This Row],[THANH TOÁN]]</f>
        <v>385506000</v>
      </c>
      <c r="K63" s="27"/>
    </row>
    <row r="64" spans="1:11" x14ac:dyDescent="0.25">
      <c r="A64" s="25"/>
      <c r="B64" s="30">
        <v>46096</v>
      </c>
      <c r="C64" s="26" t="s">
        <v>21</v>
      </c>
      <c r="D64" s="38" t="s">
        <v>22</v>
      </c>
      <c r="E64" s="26" t="s">
        <v>23</v>
      </c>
      <c r="F64" s="28">
        <v>0</v>
      </c>
      <c r="G64" s="28">
        <v>0</v>
      </c>
      <c r="H64" s="28">
        <f>Cty_Vinh_Oanh_Phu_Ly[[#This Row],[SỐ LƯỢNG]]*Cty_Vinh_Oanh_Phu_Ly[[#This Row],[ĐƠN GIÁ]]</f>
        <v>0</v>
      </c>
      <c r="I64" s="28">
        <v>6270000</v>
      </c>
      <c r="J64" s="28">
        <f ca="1">N(INDIRECT("R[-1]C", FALSE)) + Cty_Vinh_Oanh_Phu_Ly[[#This Row],[THÀNH TIỀN]] - Cty_Vinh_Oanh_Phu_Ly[[#This Row],[THANH TOÁN]]</f>
        <v>379236000</v>
      </c>
      <c r="K64" s="27"/>
    </row>
    <row r="65" spans="1:11" x14ac:dyDescent="0.25">
      <c r="A65" s="25"/>
      <c r="B65" s="30">
        <v>46096</v>
      </c>
      <c r="C65" s="26" t="s">
        <v>21</v>
      </c>
      <c r="D65" s="38" t="s">
        <v>22</v>
      </c>
      <c r="E65" s="26" t="s">
        <v>23</v>
      </c>
      <c r="F65" s="28">
        <v>0</v>
      </c>
      <c r="G65" s="28">
        <v>0</v>
      </c>
      <c r="H65" s="28">
        <f>Cty_Vinh_Oanh_Phu_Ly[[#This Row],[SỐ LƯỢNG]]*Cty_Vinh_Oanh_Phu_Ly[[#This Row],[ĐƠN GIÁ]]</f>
        <v>0</v>
      </c>
      <c r="I65" s="28">
        <v>25000000</v>
      </c>
      <c r="J65" s="28">
        <f ca="1">N(INDIRECT("R[-1]C", FALSE)) + Cty_Vinh_Oanh_Phu_Ly[[#This Row],[THÀNH TIỀN]] - Cty_Vinh_Oanh_Phu_Ly[[#This Row],[THANH TOÁN]]</f>
        <v>354236000</v>
      </c>
      <c r="K65" s="27"/>
    </row>
    <row r="66" spans="1:11" x14ac:dyDescent="0.25">
      <c r="A66" s="25">
        <v>8124</v>
      </c>
      <c r="B66" s="30">
        <v>46097</v>
      </c>
      <c r="C66" s="26" t="s">
        <v>13</v>
      </c>
      <c r="D66" s="38" t="s">
        <v>143</v>
      </c>
      <c r="E66" s="26" t="s">
        <v>144</v>
      </c>
      <c r="F66" s="28">
        <f>2166-10+1318-10</f>
        <v>3464</v>
      </c>
      <c r="G66" s="28">
        <v>57000</v>
      </c>
      <c r="H66" s="28">
        <f>Cty_Vinh_Oanh_Phu_Ly[[#This Row],[SỐ LƯỢNG]]*Cty_Vinh_Oanh_Phu_Ly[[#This Row],[ĐƠN GIÁ]]</f>
        <v>197448000</v>
      </c>
      <c r="I66" s="28"/>
      <c r="J66" s="28">
        <f ca="1">N(INDIRECT("R[-1]C", FALSE)) + Cty_Vinh_Oanh_Phu_Ly[[#This Row],[THÀNH TIỀN]] - Cty_Vinh_Oanh_Phu_Ly[[#This Row],[THANH TOÁN]]</f>
        <v>551684000</v>
      </c>
      <c r="K66" s="27"/>
    </row>
    <row r="67" spans="1:11" x14ac:dyDescent="0.25">
      <c r="A67" s="22">
        <v>8124</v>
      </c>
      <c r="B67" s="29">
        <v>46098</v>
      </c>
      <c r="C67" s="26" t="s">
        <v>21</v>
      </c>
      <c r="D67" s="38" t="s">
        <v>24</v>
      </c>
      <c r="E67" s="26">
        <v>0</v>
      </c>
      <c r="F67" s="28">
        <v>0</v>
      </c>
      <c r="G67" s="28">
        <v>0</v>
      </c>
      <c r="H67" s="31">
        <f>Cty_Vinh_Oanh_Phu_Ly[[#This Row],[SỐ LƯỢNG]]*Cty_Vinh_Oanh_Phu_Ly[[#This Row],[ĐƠN GIÁ]]</f>
        <v>0</v>
      </c>
      <c r="I67" s="31">
        <v>144000000</v>
      </c>
      <c r="J67" s="31">
        <f ca="1">N(INDIRECT("R[-1]C", FALSE)) + Cty_Vinh_Oanh_Phu_Ly[[#This Row],[THÀNH TIỀN]] - Cty_Vinh_Oanh_Phu_Ly[[#This Row],[THANH TOÁN]]</f>
        <v>407684000</v>
      </c>
      <c r="K67" s="24"/>
    </row>
    <row r="68" spans="1:11" x14ac:dyDescent="0.25">
      <c r="A68" s="22"/>
      <c r="B68" s="29">
        <v>46098</v>
      </c>
      <c r="C68" s="26" t="s">
        <v>21</v>
      </c>
      <c r="D68" s="38" t="s">
        <v>22</v>
      </c>
      <c r="E68" s="26" t="s">
        <v>147</v>
      </c>
      <c r="F68" s="28">
        <v>0</v>
      </c>
      <c r="G68" s="28">
        <v>0</v>
      </c>
      <c r="H68" s="31">
        <f>Cty_Vinh_Oanh_Phu_Ly[[#This Row],[SỐ LƯỢNG]]*Cty_Vinh_Oanh_Phu_Ly[[#This Row],[ĐƠN GIÁ]]</f>
        <v>0</v>
      </c>
      <c r="I68" s="31">
        <v>60265000</v>
      </c>
      <c r="J68" s="31">
        <f ca="1">N(INDIRECT("R[-1]C", FALSE)) + Cty_Vinh_Oanh_Phu_Ly[[#This Row],[THÀNH TIỀN]] - Cty_Vinh_Oanh_Phu_Ly[[#This Row],[THANH TOÁN]]</f>
        <v>347419000</v>
      </c>
      <c r="K68" s="24"/>
    </row>
    <row r="69" spans="1:11" x14ac:dyDescent="0.25">
      <c r="A69" s="25"/>
      <c r="B69" s="30">
        <v>46098</v>
      </c>
      <c r="C69" s="26" t="s">
        <v>21</v>
      </c>
      <c r="D69" s="38" t="s">
        <v>22</v>
      </c>
      <c r="E69" s="26" t="s">
        <v>23</v>
      </c>
      <c r="F69" s="28">
        <v>0</v>
      </c>
      <c r="G69" s="28">
        <v>0</v>
      </c>
      <c r="H69" s="28">
        <f>Cty_Vinh_Oanh_Phu_Ly[[#This Row],[SỐ LƯỢNG]]*Cty_Vinh_Oanh_Phu_Ly[[#This Row],[ĐƠN GIÁ]]</f>
        <v>0</v>
      </c>
      <c r="I69" s="28">
        <v>15480000</v>
      </c>
      <c r="J69" s="28">
        <f ca="1">N(INDIRECT("R[-1]C", FALSE)) + Cty_Vinh_Oanh_Phu_Ly[[#This Row],[THÀNH TIỀN]] - Cty_Vinh_Oanh_Phu_Ly[[#This Row],[THANH TOÁN]]</f>
        <v>331939000</v>
      </c>
      <c r="K69" s="27"/>
    </row>
    <row r="70" spans="1:11" x14ac:dyDescent="0.25">
      <c r="A70" s="25"/>
      <c r="B70" s="30">
        <v>46099</v>
      </c>
      <c r="C70" s="26" t="s">
        <v>21</v>
      </c>
      <c r="D70" s="38" t="s">
        <v>22</v>
      </c>
      <c r="E70" s="26" t="s">
        <v>147</v>
      </c>
      <c r="F70" s="28">
        <v>0</v>
      </c>
      <c r="G70" s="28">
        <v>0</v>
      </c>
      <c r="H70" s="28">
        <f>Cty_Vinh_Oanh_Phu_Ly[[#This Row],[SỐ LƯỢNG]]*Cty_Vinh_Oanh_Phu_Ly[[#This Row],[ĐƠN GIÁ]]</f>
        <v>0</v>
      </c>
      <c r="I70" s="28">
        <v>60000000</v>
      </c>
      <c r="J70" s="28">
        <f ca="1">N(INDIRECT("R[-1]C", FALSE)) + Cty_Vinh_Oanh_Phu_Ly[[#This Row],[THÀNH TIỀN]] - Cty_Vinh_Oanh_Phu_Ly[[#This Row],[THANH TOÁN]]</f>
        <v>271939000</v>
      </c>
      <c r="K70" s="27"/>
    </row>
    <row r="71" spans="1:11" x14ac:dyDescent="0.25">
      <c r="A71" s="25"/>
      <c r="B71" s="30">
        <v>46099</v>
      </c>
      <c r="C71" s="26" t="s">
        <v>21</v>
      </c>
      <c r="D71" s="38" t="s">
        <v>22</v>
      </c>
      <c r="E71" s="26" t="s">
        <v>23</v>
      </c>
      <c r="F71" s="28">
        <v>0</v>
      </c>
      <c r="G71" s="28">
        <v>0</v>
      </c>
      <c r="H71" s="28">
        <f>Cty_Vinh_Oanh_Phu_Ly[[#This Row],[SỐ LƯỢNG]]*Cty_Vinh_Oanh_Phu_Ly[[#This Row],[ĐƠN GIÁ]]</f>
        <v>0</v>
      </c>
      <c r="I71" s="28">
        <v>13590000</v>
      </c>
      <c r="J71" s="28">
        <f ca="1">N(INDIRECT("R[-1]C", FALSE)) + Cty_Vinh_Oanh_Phu_Ly[[#This Row],[THÀNH TIỀN]] - Cty_Vinh_Oanh_Phu_Ly[[#This Row],[THANH TOÁN]]</f>
        <v>258349000</v>
      </c>
      <c r="K71" s="27"/>
    </row>
    <row r="72" spans="1:11" x14ac:dyDescent="0.25">
      <c r="A72" s="25">
        <v>8284</v>
      </c>
      <c r="B72" s="30">
        <v>46101</v>
      </c>
      <c r="C72" s="26" t="s">
        <v>13</v>
      </c>
      <c r="D72" s="38" t="s">
        <v>26</v>
      </c>
      <c r="E72" s="26" t="s">
        <v>145</v>
      </c>
      <c r="F72" s="28">
        <v>851</v>
      </c>
      <c r="G72" s="28">
        <v>32000</v>
      </c>
      <c r="H72" s="28">
        <f>Cty_Vinh_Oanh_Phu_Ly[[#This Row],[SỐ LƯỢNG]]*Cty_Vinh_Oanh_Phu_Ly[[#This Row],[ĐƠN GIÁ]]</f>
        <v>27232000</v>
      </c>
      <c r="I72" s="28"/>
      <c r="J72" s="28">
        <f ca="1">N(INDIRECT("R[-1]C", FALSE)) + Cty_Vinh_Oanh_Phu_Ly[[#This Row],[THÀNH TIỀN]] - Cty_Vinh_Oanh_Phu_Ly[[#This Row],[THANH TOÁN]]</f>
        <v>285581000</v>
      </c>
      <c r="K72" s="27" t="s">
        <v>128</v>
      </c>
    </row>
    <row r="73" spans="1:11" x14ac:dyDescent="0.25">
      <c r="A73" s="22"/>
      <c r="B73" s="30">
        <v>46101</v>
      </c>
      <c r="C73" s="26" t="s">
        <v>21</v>
      </c>
      <c r="D73" s="38" t="s">
        <v>24</v>
      </c>
      <c r="E73" s="26"/>
      <c r="F73" s="28">
        <v>0</v>
      </c>
      <c r="G73" s="28">
        <v>0</v>
      </c>
      <c r="H73" s="31">
        <f>Cty_Vinh_Oanh_Phu_Ly[[#This Row],[SỐ LƯỢNG]]*Cty_Vinh_Oanh_Phu_Ly[[#This Row],[ĐƠN GIÁ]]</f>
        <v>0</v>
      </c>
      <c r="I73" s="31">
        <v>100000000</v>
      </c>
      <c r="J73" s="31">
        <f ca="1">N(INDIRECT("R[-1]C", FALSE)) + Cty_Vinh_Oanh_Phu_Ly[[#This Row],[THÀNH TIỀN]] - Cty_Vinh_Oanh_Phu_Ly[[#This Row],[THANH TOÁN]]</f>
        <v>185581000</v>
      </c>
      <c r="K73" s="24"/>
    </row>
    <row r="74" spans="1:11" x14ac:dyDescent="0.25">
      <c r="A74" s="25"/>
      <c r="B74" s="30">
        <v>46102</v>
      </c>
      <c r="C74" s="26" t="s">
        <v>21</v>
      </c>
      <c r="D74" s="38" t="s">
        <v>22</v>
      </c>
      <c r="E74" s="26" t="s">
        <v>23</v>
      </c>
      <c r="F74" s="28">
        <v>0</v>
      </c>
      <c r="G74" s="28">
        <v>0</v>
      </c>
      <c r="H74" s="28">
        <f>Cty_Vinh_Oanh_Phu_Ly[[#This Row],[SỐ LƯỢNG]]*Cty_Vinh_Oanh_Phu_Ly[[#This Row],[ĐƠN GIÁ]]</f>
        <v>0</v>
      </c>
      <c r="I74" s="28">
        <v>2740000</v>
      </c>
      <c r="J74" s="28">
        <f ca="1">N(INDIRECT("R[-1]C", FALSE)) + Cty_Vinh_Oanh_Phu_Ly[[#This Row],[THÀNH TIỀN]] - Cty_Vinh_Oanh_Phu_Ly[[#This Row],[THANH TOÁN]]</f>
        <v>182841000</v>
      </c>
      <c r="K74" s="27"/>
    </row>
    <row r="75" spans="1:11" x14ac:dyDescent="0.25">
      <c r="A75" s="22"/>
      <c r="B75" s="30">
        <v>46102</v>
      </c>
      <c r="C75" s="26" t="s">
        <v>21</v>
      </c>
      <c r="D75" s="38" t="s">
        <v>22</v>
      </c>
      <c r="E75" s="26" t="s">
        <v>23</v>
      </c>
      <c r="F75" s="28">
        <v>0</v>
      </c>
      <c r="G75" s="28">
        <v>0</v>
      </c>
      <c r="H75" s="31">
        <f>Cty_Vinh_Oanh_Phu_Ly[[#This Row],[SỐ LƯỢNG]]*Cty_Vinh_Oanh_Phu_Ly[[#This Row],[ĐƠN GIÁ]]</f>
        <v>0</v>
      </c>
      <c r="I75" s="31">
        <v>15000000</v>
      </c>
      <c r="J75" s="31">
        <f ca="1">N(INDIRECT("R[-1]C", FALSE)) + Cty_Vinh_Oanh_Phu_Ly[[#This Row],[THÀNH TIỀN]] - Cty_Vinh_Oanh_Phu_Ly[[#This Row],[THANH TOÁN]]</f>
        <v>167841000</v>
      </c>
      <c r="K75" s="24"/>
    </row>
    <row r="76" spans="1:11" x14ac:dyDescent="0.25">
      <c r="A76" s="25"/>
      <c r="B76" s="30">
        <v>46103</v>
      </c>
      <c r="C76" s="26" t="s">
        <v>21</v>
      </c>
      <c r="D76" s="38" t="s">
        <v>22</v>
      </c>
      <c r="E76" s="26" t="s">
        <v>23</v>
      </c>
      <c r="F76" s="28">
        <v>0</v>
      </c>
      <c r="G76" s="28">
        <v>0</v>
      </c>
      <c r="H76" s="28">
        <f>Cty_Vinh_Oanh_Phu_Ly[[#This Row],[SỐ LƯỢNG]]*Cty_Vinh_Oanh_Phu_Ly[[#This Row],[ĐƠN GIÁ]]</f>
        <v>0</v>
      </c>
      <c r="I76" s="28">
        <v>11040000</v>
      </c>
      <c r="J76" s="28">
        <f ca="1">N(INDIRECT("R[-1]C", FALSE)) + Cty_Vinh_Oanh_Phu_Ly[[#This Row],[THÀNH TIỀN]] - Cty_Vinh_Oanh_Phu_Ly[[#This Row],[THANH TOÁN]]</f>
        <v>156801000</v>
      </c>
      <c r="K76" s="27"/>
    </row>
    <row r="77" spans="1:11" x14ac:dyDescent="0.25">
      <c r="A77" s="25"/>
      <c r="B77" s="30">
        <v>46103</v>
      </c>
      <c r="C77" s="26" t="s">
        <v>21</v>
      </c>
      <c r="D77" s="38" t="s">
        <v>22</v>
      </c>
      <c r="E77" s="26" t="s">
        <v>23</v>
      </c>
      <c r="F77" s="28">
        <v>0</v>
      </c>
      <c r="G77" s="28">
        <v>0</v>
      </c>
      <c r="H77" s="28">
        <f>Cty_Vinh_Oanh_Phu_Ly[[#This Row],[SỐ LƯỢNG]]*Cty_Vinh_Oanh_Phu_Ly[[#This Row],[ĐƠN GIÁ]]</f>
        <v>0</v>
      </c>
      <c r="I77" s="28">
        <v>50000000</v>
      </c>
      <c r="J77" s="28">
        <f ca="1">N(INDIRECT("R[-1]C", FALSE)) + Cty_Vinh_Oanh_Phu_Ly[[#This Row],[THÀNH TIỀN]] - Cty_Vinh_Oanh_Phu_Ly[[#This Row],[THANH TOÁN]]</f>
        <v>106801000</v>
      </c>
      <c r="K77" s="27"/>
    </row>
    <row r="78" spans="1:11" x14ac:dyDescent="0.25">
      <c r="A78" s="25"/>
      <c r="B78" s="30">
        <v>46103</v>
      </c>
      <c r="C78" s="26" t="s">
        <v>21</v>
      </c>
      <c r="D78" s="38" t="s">
        <v>22</v>
      </c>
      <c r="E78" s="26" t="s">
        <v>23</v>
      </c>
      <c r="F78" s="28">
        <v>0</v>
      </c>
      <c r="G78" s="28">
        <v>0</v>
      </c>
      <c r="H78" s="28">
        <f>Cty_Vinh_Oanh_Phu_Ly[[#This Row],[SỐ LƯỢNG]]*Cty_Vinh_Oanh_Phu_Ly[[#This Row],[ĐƠN GIÁ]]</f>
        <v>0</v>
      </c>
      <c r="I78" s="28">
        <v>19320000</v>
      </c>
      <c r="J78" s="28">
        <f ca="1">N(INDIRECT("R[-1]C", FALSE)) + Cty_Vinh_Oanh_Phu_Ly[[#This Row],[THÀNH TIỀN]] - Cty_Vinh_Oanh_Phu_Ly[[#This Row],[THANH TOÁN]]</f>
        <v>87481000</v>
      </c>
      <c r="K78" s="27"/>
    </row>
    <row r="79" spans="1:11" x14ac:dyDescent="0.25">
      <c r="A79" s="22"/>
      <c r="B79" s="30">
        <v>46104</v>
      </c>
      <c r="C79" s="26" t="s">
        <v>21</v>
      </c>
      <c r="D79" s="38" t="s">
        <v>22</v>
      </c>
      <c r="E79" s="26" t="s">
        <v>23</v>
      </c>
      <c r="F79" s="28">
        <v>0</v>
      </c>
      <c r="G79" s="28">
        <v>0</v>
      </c>
      <c r="H79" s="31">
        <f>Cty_Vinh_Oanh_Phu_Ly[[#This Row],[SỐ LƯỢNG]]*Cty_Vinh_Oanh_Phu_Ly[[#This Row],[ĐƠN GIÁ]]</f>
        <v>0</v>
      </c>
      <c r="I79" s="31">
        <v>-2546000</v>
      </c>
      <c r="J79" s="31">
        <f ca="1">N(INDIRECT("R[-1]C", FALSE)) + Cty_Vinh_Oanh_Phu_Ly[[#This Row],[THÀNH TIỀN]] - Cty_Vinh_Oanh_Phu_Ly[[#This Row],[THANH TOÁN]]</f>
        <v>90027000</v>
      </c>
      <c r="K79" s="24"/>
    </row>
    <row r="80" spans="1:11" x14ac:dyDescent="0.25">
      <c r="A80" s="22">
        <v>8301</v>
      </c>
      <c r="B80" s="30">
        <v>46105</v>
      </c>
      <c r="C80" s="26" t="s">
        <v>13</v>
      </c>
      <c r="D80" s="38" t="s">
        <v>14</v>
      </c>
      <c r="E80" s="26" t="s">
        <v>146</v>
      </c>
      <c r="F80" s="28">
        <v>1040</v>
      </c>
      <c r="G80" s="28">
        <v>41500</v>
      </c>
      <c r="H80" s="31">
        <f>Cty_Vinh_Oanh_Phu_Ly[[#This Row],[SỐ LƯỢNG]]*Cty_Vinh_Oanh_Phu_Ly[[#This Row],[ĐƠN GIÁ]]</f>
        <v>43160000</v>
      </c>
      <c r="I80" s="31"/>
      <c r="J80" s="31">
        <f ca="1">N(INDIRECT("R[-1]C", FALSE)) + Cty_Vinh_Oanh_Phu_Ly[[#This Row],[THÀNH TIỀN]] - Cty_Vinh_Oanh_Phu_Ly[[#This Row],[THANH TOÁN]]</f>
        <v>133187000</v>
      </c>
      <c r="K80" s="24"/>
    </row>
    <row r="81" spans="1:11" x14ac:dyDescent="0.25">
      <c r="A81" s="25">
        <v>8301</v>
      </c>
      <c r="B81" s="30">
        <v>46105</v>
      </c>
      <c r="C81" s="26" t="s">
        <v>13</v>
      </c>
      <c r="D81" s="38" t="s">
        <v>43</v>
      </c>
      <c r="E81" s="26" t="s">
        <v>141</v>
      </c>
      <c r="F81" s="28">
        <v>521</v>
      </c>
      <c r="G81" s="28">
        <v>56500</v>
      </c>
      <c r="H81" s="28">
        <f>Cty_Vinh_Oanh_Phu_Ly[[#This Row],[SỐ LƯỢNG]]*Cty_Vinh_Oanh_Phu_Ly[[#This Row],[ĐƠN GIÁ]]</f>
        <v>29436500</v>
      </c>
      <c r="I81" s="28"/>
      <c r="J81" s="28">
        <f ca="1">N(INDIRECT("R[-1]C", FALSE)) + Cty_Vinh_Oanh_Phu_Ly[[#This Row],[THÀNH TIỀN]] - Cty_Vinh_Oanh_Phu_Ly[[#This Row],[THANH TOÁN]]</f>
        <v>162623500</v>
      </c>
      <c r="K81" s="27"/>
    </row>
    <row r="82" spans="1:11" x14ac:dyDescent="0.25">
      <c r="A82" s="25"/>
      <c r="B82" s="30">
        <v>46109</v>
      </c>
      <c r="C82" s="26" t="s">
        <v>21</v>
      </c>
      <c r="D82" s="38" t="s">
        <v>22</v>
      </c>
      <c r="E82" s="26" t="s">
        <v>147</v>
      </c>
      <c r="F82" s="28">
        <v>0</v>
      </c>
      <c r="G82" s="28">
        <v>0</v>
      </c>
      <c r="H82" s="28">
        <f>Cty_Vinh_Oanh_Phu_Ly[[#This Row],[SỐ LƯỢNG]]*Cty_Vinh_Oanh_Phu_Ly[[#This Row],[ĐƠN GIÁ]]</f>
        <v>0</v>
      </c>
      <c r="I82" s="28">
        <v>102596000</v>
      </c>
      <c r="J82" s="28">
        <f ca="1">N(INDIRECT("R[-1]C", FALSE)) + Cty_Vinh_Oanh_Phu_Ly[[#This Row],[THÀNH TIỀN]] - Cty_Vinh_Oanh_Phu_Ly[[#This Row],[THANH TOÁN]]</f>
        <v>60027500</v>
      </c>
      <c r="K82" s="27"/>
    </row>
    <row r="83" spans="1:11" x14ac:dyDescent="0.25">
      <c r="A83" s="22"/>
      <c r="B83" s="30">
        <v>46111</v>
      </c>
      <c r="C83" s="26" t="s">
        <v>21</v>
      </c>
      <c r="D83" s="38" t="s">
        <v>22</v>
      </c>
      <c r="E83" s="26" t="s">
        <v>147</v>
      </c>
      <c r="F83" s="28">
        <v>0</v>
      </c>
      <c r="G83" s="28">
        <v>0</v>
      </c>
      <c r="H83" s="31">
        <f>Cty_Vinh_Oanh_Phu_Ly[[#This Row],[SỐ LƯỢNG]]*Cty_Vinh_Oanh_Phu_Ly[[#This Row],[ĐƠN GIÁ]]</f>
        <v>0</v>
      </c>
      <c r="I83" s="31">
        <v>60000000</v>
      </c>
      <c r="J83" s="31">
        <f ca="1">N(INDIRECT("R[-1]C", FALSE)) + Cty_Vinh_Oanh_Phu_Ly[[#This Row],[THÀNH TIỀN]] - Cty_Vinh_Oanh_Phu_Ly[[#This Row],[THANH TOÁN]]</f>
        <v>27500</v>
      </c>
      <c r="K83" s="24"/>
    </row>
    <row r="84" spans="1:11" x14ac:dyDescent="0.25">
      <c r="A84" s="22">
        <v>8514</v>
      </c>
      <c r="B84" s="29">
        <v>46114</v>
      </c>
      <c r="C84" s="23" t="s">
        <v>13</v>
      </c>
      <c r="D84" s="37" t="s">
        <v>43</v>
      </c>
      <c r="E84" s="23" t="s">
        <v>148</v>
      </c>
      <c r="F84" s="31">
        <v>437</v>
      </c>
      <c r="G84" s="31">
        <v>55000</v>
      </c>
      <c r="H84" s="31">
        <f>Cty_Vinh_Oanh_Phu_Ly[[#This Row],[SỐ LƯỢNG]]*Cty_Vinh_Oanh_Phu_Ly[[#This Row],[ĐƠN GIÁ]]</f>
        <v>24035000</v>
      </c>
      <c r="I84" s="31">
        <v>27500</v>
      </c>
      <c r="J84" s="31">
        <f ca="1">N(INDIRECT("R[-1]C", FALSE)) + Cty_Vinh_Oanh_Phu_Ly[[#This Row],[THÀNH TIỀN]] - Cty_Vinh_Oanh_Phu_Ly[[#This Row],[THANH TOÁN]]</f>
        <v>24035000</v>
      </c>
      <c r="K84" s="24" t="s">
        <v>42</v>
      </c>
    </row>
    <row r="85" spans="1:11" x14ac:dyDescent="0.25">
      <c r="A85" s="22">
        <v>8514</v>
      </c>
      <c r="B85" s="29">
        <v>46114</v>
      </c>
      <c r="C85" s="23" t="s">
        <v>13</v>
      </c>
      <c r="D85" s="37" t="s">
        <v>14</v>
      </c>
      <c r="E85" s="23" t="s">
        <v>149</v>
      </c>
      <c r="F85" s="31">
        <v>1588</v>
      </c>
      <c r="G85" s="31">
        <v>40000</v>
      </c>
      <c r="H85" s="31">
        <f>Cty_Vinh_Oanh_Phu_Ly[[#This Row],[SỐ LƯỢNG]]*Cty_Vinh_Oanh_Phu_Ly[[#This Row],[ĐƠN GIÁ]]</f>
        <v>63520000</v>
      </c>
      <c r="I85" s="31"/>
      <c r="J85" s="31">
        <f ca="1">N(INDIRECT("R[-1]C", FALSE)) + Cty_Vinh_Oanh_Phu_Ly[[#This Row],[THÀNH TIỀN]] - Cty_Vinh_Oanh_Phu_Ly[[#This Row],[THANH TOÁN]]</f>
        <v>87555000</v>
      </c>
      <c r="K85" s="24" t="s">
        <v>42</v>
      </c>
    </row>
    <row r="86" spans="1:11" x14ac:dyDescent="0.25">
      <c r="A86" s="22"/>
      <c r="B86" s="29">
        <v>46115</v>
      </c>
      <c r="C86" s="23" t="s">
        <v>21</v>
      </c>
      <c r="D86" s="37" t="s">
        <v>22</v>
      </c>
      <c r="E86" s="23" t="s">
        <v>2067</v>
      </c>
      <c r="F86" s="31">
        <v>0</v>
      </c>
      <c r="G86" s="31"/>
      <c r="H86" s="31">
        <f>Cty_Vinh_Oanh_Phu_Ly[[#This Row],[SỐ LƯỢNG]]*Cty_Vinh_Oanh_Phu_Ly[[#This Row],[ĐƠN GIÁ]]</f>
        <v>0</v>
      </c>
      <c r="I86" s="31">
        <v>50000000</v>
      </c>
      <c r="J86" s="31">
        <f ca="1">N(INDIRECT("R[-1]C", FALSE)) + Cty_Vinh_Oanh_Phu_Ly[[#This Row],[THÀNH TIỀN]] - Cty_Vinh_Oanh_Phu_Ly[[#This Row],[THANH TOÁN]]</f>
        <v>37555000</v>
      </c>
      <c r="K86" s="24"/>
    </row>
    <row r="87" spans="1:11" x14ac:dyDescent="0.25">
      <c r="A87" s="22">
        <v>8561</v>
      </c>
      <c r="B87" s="29">
        <v>46116</v>
      </c>
      <c r="C87" s="23" t="s">
        <v>13</v>
      </c>
      <c r="D87" s="37" t="s">
        <v>150</v>
      </c>
      <c r="E87" s="23" t="s">
        <v>151</v>
      </c>
      <c r="F87" s="31">
        <v>682</v>
      </c>
      <c r="G87" s="31">
        <v>33500</v>
      </c>
      <c r="H87" s="31">
        <f>Cty_Vinh_Oanh_Phu_Ly[[#This Row],[SỐ LƯỢNG]]*Cty_Vinh_Oanh_Phu_Ly[[#This Row],[ĐƠN GIÁ]]</f>
        <v>22847000</v>
      </c>
      <c r="I87" s="31"/>
      <c r="J87" s="31">
        <f ca="1">N(INDIRECT("R[-1]C", FALSE)) + Cty_Vinh_Oanh_Phu_Ly[[#This Row],[THÀNH TIỀN]] - Cty_Vinh_Oanh_Phu_Ly[[#This Row],[THANH TOÁN]]</f>
        <v>60402000</v>
      </c>
      <c r="K87" s="24" t="s">
        <v>152</v>
      </c>
    </row>
    <row r="88" spans="1:11" x14ac:dyDescent="0.25">
      <c r="A88" s="22"/>
      <c r="B88" s="29">
        <v>46118</v>
      </c>
      <c r="C88" s="23" t="s">
        <v>21</v>
      </c>
      <c r="D88" s="37" t="s">
        <v>22</v>
      </c>
      <c r="E88" s="23" t="s">
        <v>2067</v>
      </c>
      <c r="F88" s="31">
        <v>0</v>
      </c>
      <c r="G88" s="31"/>
      <c r="H88" s="31">
        <f>Cty_Vinh_Oanh_Phu_Ly[[#This Row],[SỐ LƯỢNG]]*Cty_Vinh_Oanh_Phu_Ly[[#This Row],[ĐƠN GIÁ]]</f>
        <v>0</v>
      </c>
      <c r="I88" s="31">
        <v>33848000</v>
      </c>
      <c r="J88" s="31">
        <f ca="1">N(INDIRECT("R[-1]C", FALSE)) + Cty_Vinh_Oanh_Phu_Ly[[#This Row],[THÀNH TIỀN]] - Cty_Vinh_Oanh_Phu_Ly[[#This Row],[THANH TOÁN]]</f>
        <v>26554000</v>
      </c>
      <c r="K88" s="24"/>
    </row>
    <row r="89" spans="1:11" x14ac:dyDescent="0.25">
      <c r="A89" s="22"/>
      <c r="B89" s="29">
        <v>46119</v>
      </c>
      <c r="C89" s="23" t="s">
        <v>21</v>
      </c>
      <c r="D89" s="37" t="s">
        <v>22</v>
      </c>
      <c r="E89" s="23" t="s">
        <v>2067</v>
      </c>
      <c r="F89" s="31">
        <v>0</v>
      </c>
      <c r="G89" s="31"/>
      <c r="H89" s="31">
        <f>Cty_Vinh_Oanh_Phu_Ly[[#This Row],[SỐ LƯỢNG]]*Cty_Vinh_Oanh_Phu_Ly[[#This Row],[ĐƠN GIÁ]]</f>
        <v>0</v>
      </c>
      <c r="I89" s="31">
        <v>9170000</v>
      </c>
      <c r="J89" s="31">
        <f ca="1">N(INDIRECT("R[-1]C", FALSE)) + Cty_Vinh_Oanh_Phu_Ly[[#This Row],[THÀNH TIỀN]] - Cty_Vinh_Oanh_Phu_Ly[[#This Row],[THANH TOÁN]]</f>
        <v>17384000</v>
      </c>
      <c r="K89" s="24"/>
    </row>
    <row r="90" spans="1:11" x14ac:dyDescent="0.25">
      <c r="A90" s="22"/>
      <c r="B90" s="29">
        <v>46120</v>
      </c>
      <c r="C90" s="23" t="s">
        <v>21</v>
      </c>
      <c r="D90" s="37" t="s">
        <v>22</v>
      </c>
      <c r="E90" s="23" t="s">
        <v>2067</v>
      </c>
      <c r="F90" s="31">
        <v>0</v>
      </c>
      <c r="G90" s="31"/>
      <c r="H90" s="31">
        <f>Cty_Vinh_Oanh_Phu_Ly[[#This Row],[SỐ LƯỢNG]]*Cty_Vinh_Oanh_Phu_Ly[[#This Row],[ĐƠN GIÁ]]</f>
        <v>0</v>
      </c>
      <c r="I90" s="31">
        <v>17384000</v>
      </c>
      <c r="J90" s="31">
        <f ca="1">N(INDIRECT("R[-1]C", FALSE)) + Cty_Vinh_Oanh_Phu_Ly[[#This Row],[THÀNH TIỀN]] - Cty_Vinh_Oanh_Phu_Ly[[#This Row],[THANH TOÁN]]</f>
        <v>0</v>
      </c>
      <c r="K90" s="24"/>
    </row>
    <row r="91" spans="1:11" x14ac:dyDescent="0.25">
      <c r="A91" s="22"/>
      <c r="B91" s="29">
        <v>46121</v>
      </c>
      <c r="C91" s="23" t="s">
        <v>21</v>
      </c>
      <c r="D91" s="37" t="s">
        <v>22</v>
      </c>
      <c r="E91" s="23" t="s">
        <v>2067</v>
      </c>
      <c r="F91" s="31">
        <v>0</v>
      </c>
      <c r="G91" s="31"/>
      <c r="H91" s="31">
        <f>Cty_Vinh_Oanh_Phu_Ly[[#This Row],[SỐ LƯỢNG]]*Cty_Vinh_Oanh_Phu_Ly[[#This Row],[ĐƠN GIÁ]]</f>
        <v>0</v>
      </c>
      <c r="I91" s="31">
        <v>33000000</v>
      </c>
      <c r="J91" s="31">
        <f ca="1">N(INDIRECT("R[-1]C", FALSE)) + Cty_Vinh_Oanh_Phu_Ly[[#This Row],[THÀNH TIỀN]] - Cty_Vinh_Oanh_Phu_Ly[[#This Row],[THANH TOÁN]]</f>
        <v>-33000000</v>
      </c>
      <c r="K91" s="24"/>
    </row>
    <row r="92" spans="1:11" x14ac:dyDescent="0.25">
      <c r="A92" s="22"/>
      <c r="B92" s="29">
        <v>46123</v>
      </c>
      <c r="C92" s="23" t="s">
        <v>21</v>
      </c>
      <c r="D92" s="37" t="s">
        <v>22</v>
      </c>
      <c r="E92" s="23" t="s">
        <v>2067</v>
      </c>
      <c r="F92" s="31">
        <v>0</v>
      </c>
      <c r="G92" s="31"/>
      <c r="H92" s="31">
        <f>Cty_Vinh_Oanh_Phu_Ly[[#This Row],[SỐ LƯỢNG]]*Cty_Vinh_Oanh_Phu_Ly[[#This Row],[ĐƠN GIÁ]]</f>
        <v>0</v>
      </c>
      <c r="I92" s="31">
        <v>17640000</v>
      </c>
      <c r="J92" s="31">
        <f ca="1">N(INDIRECT("R[-1]C", FALSE)) + Cty_Vinh_Oanh_Phu_Ly[[#This Row],[THÀNH TIỀN]] - Cty_Vinh_Oanh_Phu_Ly[[#This Row],[THANH TOÁN]]</f>
        <v>-50640000</v>
      </c>
      <c r="K92" s="24"/>
    </row>
    <row r="93" spans="1:11" x14ac:dyDescent="0.25">
      <c r="A93" s="22"/>
      <c r="B93" s="29">
        <v>46124</v>
      </c>
      <c r="C93" s="23" t="s">
        <v>21</v>
      </c>
      <c r="D93" s="37" t="s">
        <v>22</v>
      </c>
      <c r="E93" s="23" t="s">
        <v>2067</v>
      </c>
      <c r="F93" s="31">
        <v>0</v>
      </c>
      <c r="G93" s="31"/>
      <c r="H93" s="31">
        <f>Cty_Vinh_Oanh_Phu_Ly[[#This Row],[SỐ LƯỢNG]]*Cty_Vinh_Oanh_Phu_Ly[[#This Row],[ĐƠN GIÁ]]</f>
        <v>0</v>
      </c>
      <c r="I93" s="31">
        <v>13840000</v>
      </c>
      <c r="J93" s="31">
        <f ca="1">N(INDIRECT("R[-1]C", FALSE)) + Cty_Vinh_Oanh_Phu_Ly[[#This Row],[THÀNH TIỀN]] - Cty_Vinh_Oanh_Phu_Ly[[#This Row],[THANH TOÁN]]</f>
        <v>-64480000</v>
      </c>
      <c r="K93" s="24"/>
    </row>
    <row r="94" spans="1:11" x14ac:dyDescent="0.25">
      <c r="A94" s="22"/>
      <c r="B94" s="29">
        <v>46124</v>
      </c>
      <c r="C94" s="23" t="s">
        <v>21</v>
      </c>
      <c r="D94" s="37" t="s">
        <v>22</v>
      </c>
      <c r="E94" s="23" t="s">
        <v>2067</v>
      </c>
      <c r="F94" s="31">
        <v>0</v>
      </c>
      <c r="G94" s="31"/>
      <c r="H94" s="31">
        <f>Cty_Vinh_Oanh_Phu_Ly[[#This Row],[SỐ LƯỢNG]]*Cty_Vinh_Oanh_Phu_Ly[[#This Row],[ĐƠN GIÁ]]</f>
        <v>0</v>
      </c>
      <c r="I94" s="31">
        <v>21410000</v>
      </c>
      <c r="J94" s="31">
        <f ca="1">N(INDIRECT("R[-1]C", FALSE)) + Cty_Vinh_Oanh_Phu_Ly[[#This Row],[THÀNH TIỀN]] - Cty_Vinh_Oanh_Phu_Ly[[#This Row],[THANH TOÁN]]</f>
        <v>-85890000</v>
      </c>
      <c r="K94" s="24"/>
    </row>
    <row r="95" spans="1:11" x14ac:dyDescent="0.25">
      <c r="A95" s="22">
        <v>8729</v>
      </c>
      <c r="B95" s="29">
        <v>46125</v>
      </c>
      <c r="C95" s="23" t="s">
        <v>13</v>
      </c>
      <c r="D95" s="37" t="s">
        <v>50</v>
      </c>
      <c r="E95" s="23" t="s">
        <v>153</v>
      </c>
      <c r="F95" s="31">
        <v>578</v>
      </c>
      <c r="G95" s="31">
        <v>54000</v>
      </c>
      <c r="H95" s="31">
        <f>Cty_Vinh_Oanh_Phu_Ly[[#This Row],[SỐ LƯỢNG]]*Cty_Vinh_Oanh_Phu_Ly[[#This Row],[ĐƠN GIÁ]]</f>
        <v>31212000</v>
      </c>
      <c r="I95" s="31"/>
      <c r="J95" s="31">
        <f ca="1">N(INDIRECT("R[-1]C", FALSE)) + Cty_Vinh_Oanh_Phu_Ly[[#This Row],[THÀNH TIỀN]] - Cty_Vinh_Oanh_Phu_Ly[[#This Row],[THANH TOÁN]]</f>
        <v>-54678000</v>
      </c>
      <c r="K95" s="24" t="s">
        <v>42</v>
      </c>
    </row>
    <row r="96" spans="1:11" x14ac:dyDescent="0.25">
      <c r="A96" s="22">
        <v>8729</v>
      </c>
      <c r="B96" s="29">
        <v>46125</v>
      </c>
      <c r="C96" s="23" t="s">
        <v>13</v>
      </c>
      <c r="D96" s="37" t="s">
        <v>26</v>
      </c>
      <c r="E96" s="23" t="s">
        <v>145</v>
      </c>
      <c r="F96" s="31">
        <v>1928</v>
      </c>
      <c r="G96" s="31">
        <v>33000</v>
      </c>
      <c r="H96" s="31">
        <f>Cty_Vinh_Oanh_Phu_Ly[[#This Row],[SỐ LƯỢNG]]*Cty_Vinh_Oanh_Phu_Ly[[#This Row],[ĐƠN GIÁ]]</f>
        <v>63624000</v>
      </c>
      <c r="I96" s="31"/>
      <c r="J96" s="31">
        <f ca="1">N(INDIRECT("R[-1]C", FALSE)) + Cty_Vinh_Oanh_Phu_Ly[[#This Row],[THÀNH TIỀN]] - Cty_Vinh_Oanh_Phu_Ly[[#This Row],[THANH TOÁN]]</f>
        <v>8946000</v>
      </c>
      <c r="K96" s="24" t="s">
        <v>42</v>
      </c>
    </row>
    <row r="97" spans="1:11" x14ac:dyDescent="0.25">
      <c r="A97" s="22">
        <v>8729</v>
      </c>
      <c r="B97" s="29">
        <v>46125</v>
      </c>
      <c r="C97" s="23" t="s">
        <v>13</v>
      </c>
      <c r="D97" s="37" t="s">
        <v>14</v>
      </c>
      <c r="E97" s="23" t="s">
        <v>40</v>
      </c>
      <c r="F97" s="31">
        <v>1242</v>
      </c>
      <c r="G97" s="31">
        <v>45500</v>
      </c>
      <c r="H97" s="31">
        <f>Cty_Vinh_Oanh_Phu_Ly[[#This Row],[SỐ LƯỢNG]]*Cty_Vinh_Oanh_Phu_Ly[[#This Row],[ĐƠN GIÁ]]</f>
        <v>56511000</v>
      </c>
      <c r="I97" s="31"/>
      <c r="J97" s="31">
        <f ca="1">N(INDIRECT("R[-1]C", FALSE)) + Cty_Vinh_Oanh_Phu_Ly[[#This Row],[THÀNH TIỀN]] - Cty_Vinh_Oanh_Phu_Ly[[#This Row],[THANH TOÁN]]</f>
        <v>65457000</v>
      </c>
      <c r="K97" s="24" t="s">
        <v>42</v>
      </c>
    </row>
    <row r="98" spans="1:11" x14ac:dyDescent="0.25">
      <c r="A98" s="22">
        <v>8729</v>
      </c>
      <c r="B98" s="29">
        <v>46125</v>
      </c>
      <c r="C98" s="23" t="s">
        <v>13</v>
      </c>
      <c r="D98" s="37" t="s">
        <v>14</v>
      </c>
      <c r="E98" s="23" t="s">
        <v>41</v>
      </c>
      <c r="F98" s="31">
        <v>1324</v>
      </c>
      <c r="G98" s="31">
        <v>40000</v>
      </c>
      <c r="H98" s="31">
        <f>Cty_Vinh_Oanh_Phu_Ly[[#This Row],[SỐ LƯỢNG]]*Cty_Vinh_Oanh_Phu_Ly[[#This Row],[ĐƠN GIÁ]]</f>
        <v>52960000</v>
      </c>
      <c r="I98" s="31"/>
      <c r="J98" s="31">
        <f ca="1">N(INDIRECT("R[-1]C", FALSE)) + Cty_Vinh_Oanh_Phu_Ly[[#This Row],[THÀNH TIỀN]] - Cty_Vinh_Oanh_Phu_Ly[[#This Row],[THANH TOÁN]]</f>
        <v>118417000</v>
      </c>
      <c r="K98" s="24" t="s">
        <v>42</v>
      </c>
    </row>
    <row r="99" spans="1:11" x14ac:dyDescent="0.25">
      <c r="A99" s="22">
        <v>8729</v>
      </c>
      <c r="B99" s="29">
        <v>46125</v>
      </c>
      <c r="C99" s="23" t="s">
        <v>13</v>
      </c>
      <c r="D99" s="37" t="s">
        <v>14</v>
      </c>
      <c r="E99" s="23" t="s">
        <v>146</v>
      </c>
      <c r="F99" s="31">
        <v>1556</v>
      </c>
      <c r="G99" s="31">
        <v>40000</v>
      </c>
      <c r="H99" s="31">
        <f>Cty_Vinh_Oanh_Phu_Ly[[#This Row],[SỐ LƯỢNG]]*Cty_Vinh_Oanh_Phu_Ly[[#This Row],[ĐƠN GIÁ]]</f>
        <v>62240000</v>
      </c>
      <c r="I99" s="31"/>
      <c r="J99" s="31">
        <f ca="1">N(INDIRECT("R[-1]C", FALSE)) + Cty_Vinh_Oanh_Phu_Ly[[#This Row],[THÀNH TIỀN]] - Cty_Vinh_Oanh_Phu_Ly[[#This Row],[THANH TOÁN]]</f>
        <v>180657000</v>
      </c>
      <c r="K99" s="24" t="s">
        <v>42</v>
      </c>
    </row>
    <row r="100" spans="1:11" x14ac:dyDescent="0.25">
      <c r="A100" s="22">
        <v>8729</v>
      </c>
      <c r="B100" s="29">
        <v>46125</v>
      </c>
      <c r="C100" s="23" t="s">
        <v>13</v>
      </c>
      <c r="D100" s="37" t="s">
        <v>43</v>
      </c>
      <c r="E100" s="23" t="s">
        <v>154</v>
      </c>
      <c r="F100" s="31">
        <v>480</v>
      </c>
      <c r="G100" s="31">
        <v>55000</v>
      </c>
      <c r="H100" s="31">
        <f>Cty_Vinh_Oanh_Phu_Ly[[#This Row],[SỐ LƯỢNG]]*Cty_Vinh_Oanh_Phu_Ly[[#This Row],[ĐƠN GIÁ]]</f>
        <v>26400000</v>
      </c>
      <c r="I100" s="31"/>
      <c r="J100" s="31">
        <f ca="1">N(INDIRECT("R[-1]C", FALSE)) + Cty_Vinh_Oanh_Phu_Ly[[#This Row],[THÀNH TIỀN]] - Cty_Vinh_Oanh_Phu_Ly[[#This Row],[THANH TOÁN]]</f>
        <v>207057000</v>
      </c>
      <c r="K100" s="24" t="s">
        <v>42</v>
      </c>
    </row>
    <row r="101" spans="1:11" x14ac:dyDescent="0.25">
      <c r="A101" s="22"/>
      <c r="B101" s="29">
        <v>46125</v>
      </c>
      <c r="C101" s="23" t="s">
        <v>21</v>
      </c>
      <c r="D101" s="37" t="s">
        <v>22</v>
      </c>
      <c r="E101" s="23" t="s">
        <v>2067</v>
      </c>
      <c r="F101" s="31">
        <v>0</v>
      </c>
      <c r="G101" s="31"/>
      <c r="H101" s="31">
        <f>Cty_Vinh_Oanh_Phu_Ly[[#This Row],[SỐ LƯỢNG]]*Cty_Vinh_Oanh_Phu_Ly[[#This Row],[ĐƠN GIÁ]]</f>
        <v>0</v>
      </c>
      <c r="I101" s="31">
        <v>82000000</v>
      </c>
      <c r="J101" s="31">
        <f ca="1">N(INDIRECT("R[-1]C", FALSE)) + Cty_Vinh_Oanh_Phu_Ly[[#This Row],[THÀNH TIỀN]] - Cty_Vinh_Oanh_Phu_Ly[[#This Row],[THANH TOÁN]]</f>
        <v>125057000</v>
      </c>
      <c r="K101" s="24"/>
    </row>
    <row r="102" spans="1:11" x14ac:dyDescent="0.25">
      <c r="A102" s="22"/>
      <c r="B102" s="29">
        <v>46126</v>
      </c>
      <c r="C102" s="23" t="s">
        <v>21</v>
      </c>
      <c r="D102" s="37" t="s">
        <v>22</v>
      </c>
      <c r="E102" s="23" t="s">
        <v>2067</v>
      </c>
      <c r="F102" s="31">
        <v>0</v>
      </c>
      <c r="G102" s="31"/>
      <c r="H102" s="31">
        <f>Cty_Vinh_Oanh_Phu_Ly[[#This Row],[SỐ LƯỢNG]]*Cty_Vinh_Oanh_Phu_Ly[[#This Row],[ĐƠN GIÁ]]</f>
        <v>0</v>
      </c>
      <c r="I102" s="31">
        <v>30350000</v>
      </c>
      <c r="J102" s="31">
        <f ca="1">N(INDIRECT("R[-1]C", FALSE)) + Cty_Vinh_Oanh_Phu_Ly[[#This Row],[THÀNH TIỀN]] - Cty_Vinh_Oanh_Phu_Ly[[#This Row],[THANH TOÁN]]</f>
        <v>94707000</v>
      </c>
      <c r="K102" s="24"/>
    </row>
    <row r="103" spans="1:11" x14ac:dyDescent="0.25">
      <c r="A103" s="22"/>
      <c r="B103" s="29">
        <v>46126</v>
      </c>
      <c r="C103" s="23" t="s">
        <v>21</v>
      </c>
      <c r="D103" s="37" t="s">
        <v>22</v>
      </c>
      <c r="E103" s="23" t="s">
        <v>2067</v>
      </c>
      <c r="F103" s="31">
        <v>0</v>
      </c>
      <c r="G103" s="31"/>
      <c r="H103" s="31">
        <f>Cty_Vinh_Oanh_Phu_Ly[[#This Row],[SỐ LƯỢNG]]*Cty_Vinh_Oanh_Phu_Ly[[#This Row],[ĐƠN GIÁ]]</f>
        <v>0</v>
      </c>
      <c r="I103" s="31">
        <v>3332000</v>
      </c>
      <c r="J103" s="31">
        <f ca="1">N(INDIRECT("R[-1]C", FALSE)) + Cty_Vinh_Oanh_Phu_Ly[[#This Row],[THÀNH TIỀN]] - Cty_Vinh_Oanh_Phu_Ly[[#This Row],[THANH TOÁN]]</f>
        <v>91375000</v>
      </c>
      <c r="K103" s="24"/>
    </row>
    <row r="104" spans="1:11" x14ac:dyDescent="0.25">
      <c r="A104" s="22"/>
      <c r="B104" s="29">
        <v>46127</v>
      </c>
      <c r="C104" s="23" t="s">
        <v>21</v>
      </c>
      <c r="D104" s="37" t="s">
        <v>22</v>
      </c>
      <c r="E104" s="23" t="s">
        <v>2067</v>
      </c>
      <c r="F104" s="31">
        <v>0</v>
      </c>
      <c r="G104" s="31"/>
      <c r="H104" s="31">
        <f>Cty_Vinh_Oanh_Phu_Ly[[#This Row],[SỐ LƯỢNG]]*Cty_Vinh_Oanh_Phu_Ly[[#This Row],[ĐƠN GIÁ]]</f>
        <v>0</v>
      </c>
      <c r="I104" s="31">
        <v>19530000</v>
      </c>
      <c r="J104" s="31">
        <f ca="1">N(INDIRECT("R[-1]C", FALSE)) + Cty_Vinh_Oanh_Phu_Ly[[#This Row],[THÀNH TIỀN]] - Cty_Vinh_Oanh_Phu_Ly[[#This Row],[THANH TOÁN]]</f>
        <v>71845000</v>
      </c>
      <c r="K104" s="24"/>
    </row>
    <row r="105" spans="1:11" x14ac:dyDescent="0.25">
      <c r="A105" s="22">
        <v>8820</v>
      </c>
      <c r="B105" s="29">
        <v>46128</v>
      </c>
      <c r="C105" s="23" t="s">
        <v>13</v>
      </c>
      <c r="D105" s="37" t="s">
        <v>14</v>
      </c>
      <c r="E105" s="23" t="s">
        <v>41</v>
      </c>
      <c r="F105" s="31">
        <v>1462</v>
      </c>
      <c r="G105" s="31">
        <v>40000</v>
      </c>
      <c r="H105" s="31">
        <f>Cty_Vinh_Oanh_Phu_Ly[[#This Row],[SỐ LƯỢNG]]*Cty_Vinh_Oanh_Phu_Ly[[#This Row],[ĐƠN GIÁ]]</f>
        <v>58480000</v>
      </c>
      <c r="I105" s="31"/>
      <c r="J105" s="31">
        <f ca="1">N(INDIRECT("R[-1]C", FALSE)) + Cty_Vinh_Oanh_Phu_Ly[[#This Row],[THÀNH TIỀN]] - Cty_Vinh_Oanh_Phu_Ly[[#This Row],[THANH TOÁN]]</f>
        <v>130325000</v>
      </c>
      <c r="K105" s="24" t="s">
        <v>42</v>
      </c>
    </row>
    <row r="106" spans="1:11" x14ac:dyDescent="0.25">
      <c r="A106" s="22"/>
      <c r="B106" s="29">
        <v>46128</v>
      </c>
      <c r="C106" s="23" t="s">
        <v>21</v>
      </c>
      <c r="D106" s="37" t="s">
        <v>22</v>
      </c>
      <c r="E106" s="23" t="s">
        <v>2067</v>
      </c>
      <c r="F106" s="31">
        <v>0</v>
      </c>
      <c r="G106" s="31"/>
      <c r="H106" s="31">
        <f>Cty_Vinh_Oanh_Phu_Ly[[#This Row],[SỐ LƯỢNG]]*Cty_Vinh_Oanh_Phu_Ly[[#This Row],[ĐƠN GIÁ]]</f>
        <v>0</v>
      </c>
      <c r="I106" s="31">
        <v>116738000</v>
      </c>
      <c r="J106" s="31">
        <f ca="1">N(INDIRECT("R[-1]C", FALSE)) + Cty_Vinh_Oanh_Phu_Ly[[#This Row],[THÀNH TIỀN]] - Cty_Vinh_Oanh_Phu_Ly[[#This Row],[THANH TOÁN]]</f>
        <v>13587000</v>
      </c>
      <c r="K106" s="24"/>
    </row>
    <row r="107" spans="1:11" x14ac:dyDescent="0.25">
      <c r="A107" s="22"/>
      <c r="B107" s="29">
        <v>46132</v>
      </c>
      <c r="C107" s="23" t="s">
        <v>21</v>
      </c>
      <c r="D107" s="37" t="s">
        <v>22</v>
      </c>
      <c r="E107" s="23" t="s">
        <v>2067</v>
      </c>
      <c r="F107" s="31">
        <v>0</v>
      </c>
      <c r="G107" s="31"/>
      <c r="H107" s="31">
        <f>Cty_Vinh_Oanh_Phu_Ly[[#This Row],[SỐ LƯỢNG]]*Cty_Vinh_Oanh_Phu_Ly[[#This Row],[ĐƠN GIÁ]]</f>
        <v>0</v>
      </c>
      <c r="I107" s="31">
        <v>17382000</v>
      </c>
      <c r="J107" s="31">
        <f ca="1">N(INDIRECT("R[-1]C", FALSE)) + Cty_Vinh_Oanh_Phu_Ly[[#This Row],[THÀNH TIỀN]] - Cty_Vinh_Oanh_Phu_Ly[[#This Row],[THANH TOÁN]]</f>
        <v>-3795000</v>
      </c>
      <c r="K107" s="24"/>
    </row>
    <row r="108" spans="1:11" x14ac:dyDescent="0.25">
      <c r="A108" s="22"/>
      <c r="B108" s="29">
        <v>46132</v>
      </c>
      <c r="C108" s="23" t="s">
        <v>654</v>
      </c>
      <c r="D108" s="37" t="s">
        <v>22</v>
      </c>
      <c r="E108" s="23" t="s">
        <v>2067</v>
      </c>
      <c r="F108" s="31">
        <v>0</v>
      </c>
      <c r="G108" s="31"/>
      <c r="H108" s="31">
        <f>Cty_Vinh_Oanh_Phu_Ly[[#This Row],[SỐ LƯỢNG]]*Cty_Vinh_Oanh_Phu_Ly[[#This Row],[ĐƠN GIÁ]]</f>
        <v>0</v>
      </c>
      <c r="I108" s="31">
        <v>-3795000</v>
      </c>
      <c r="J108" s="31">
        <f ca="1">N(INDIRECT("R[-1]C", FALSE)) + Cty_Vinh_Oanh_Phu_Ly[[#This Row],[THÀNH TIỀN]] - Cty_Vinh_Oanh_Phu_Ly[[#This Row],[THANH TOÁN]]</f>
        <v>0</v>
      </c>
      <c r="K108" s="24"/>
    </row>
    <row r="109" spans="1:11" x14ac:dyDescent="0.25">
      <c r="A109" s="22"/>
      <c r="B109" s="29">
        <v>46135</v>
      </c>
      <c r="C109" s="23" t="s">
        <v>21</v>
      </c>
      <c r="D109" s="37" t="s">
        <v>22</v>
      </c>
      <c r="E109" s="23" t="s">
        <v>2067</v>
      </c>
      <c r="F109" s="31">
        <v>0</v>
      </c>
      <c r="G109" s="31"/>
      <c r="H109" s="31">
        <f>Cty_Vinh_Oanh_Phu_Ly[[#This Row],[SỐ LƯỢNG]]*Cty_Vinh_Oanh_Phu_Ly[[#This Row],[ĐƠN GIÁ]]</f>
        <v>0</v>
      </c>
      <c r="I109" s="31">
        <v>15000000</v>
      </c>
      <c r="J109" s="31">
        <f ca="1">N(INDIRECT("R[-1]C", FALSE)) + Cty_Vinh_Oanh_Phu_Ly[[#This Row],[THÀNH TIỀN]] - Cty_Vinh_Oanh_Phu_Ly[[#This Row],[THANH TOÁN]]</f>
        <v>-15000000</v>
      </c>
      <c r="K109" s="24"/>
    </row>
    <row r="110" spans="1:11" x14ac:dyDescent="0.25">
      <c r="A110" s="22"/>
      <c r="B110" s="29">
        <v>46136</v>
      </c>
      <c r="C110" s="23" t="s">
        <v>21</v>
      </c>
      <c r="D110" s="37" t="s">
        <v>22</v>
      </c>
      <c r="E110" s="23" t="s">
        <v>2067</v>
      </c>
      <c r="F110" s="31">
        <v>0</v>
      </c>
      <c r="G110" s="31"/>
      <c r="H110" s="31">
        <f>Cty_Vinh_Oanh_Phu_Ly[[#This Row],[SỐ LƯỢNG]]*Cty_Vinh_Oanh_Phu_Ly[[#This Row],[ĐƠN GIÁ]]</f>
        <v>0</v>
      </c>
      <c r="I110" s="31">
        <v>4608000</v>
      </c>
      <c r="J110" s="31">
        <f ca="1">N(INDIRECT("R[-1]C", FALSE)) + Cty_Vinh_Oanh_Phu_Ly[[#This Row],[THÀNH TIỀN]] - Cty_Vinh_Oanh_Phu_Ly[[#This Row],[THANH TOÁN]]</f>
        <v>-19608000</v>
      </c>
      <c r="K110" s="24"/>
    </row>
    <row r="111" spans="1:11" x14ac:dyDescent="0.25">
      <c r="A111" s="22">
        <v>9031</v>
      </c>
      <c r="B111" s="29">
        <v>46137</v>
      </c>
      <c r="C111" s="23" t="s">
        <v>13</v>
      </c>
      <c r="D111" s="37" t="s">
        <v>17</v>
      </c>
      <c r="E111" s="23" t="s">
        <v>25</v>
      </c>
      <c r="F111" s="31">
        <v>436</v>
      </c>
      <c r="G111" s="31">
        <v>60500</v>
      </c>
      <c r="H111" s="31">
        <f>Cty_Vinh_Oanh_Phu_Ly[[#This Row],[SỐ LƯỢNG]]*Cty_Vinh_Oanh_Phu_Ly[[#This Row],[ĐƠN GIÁ]]</f>
        <v>26378000</v>
      </c>
      <c r="I111" s="31"/>
      <c r="J111" s="31">
        <f ca="1">N(INDIRECT("R[-1]C", FALSE)) + Cty_Vinh_Oanh_Phu_Ly[[#This Row],[THÀNH TIỀN]] - Cty_Vinh_Oanh_Phu_Ly[[#This Row],[THANH TOÁN]]</f>
        <v>6770000</v>
      </c>
      <c r="K111" s="24" t="s">
        <v>42</v>
      </c>
    </row>
    <row r="112" spans="1:11" x14ac:dyDescent="0.25">
      <c r="A112" s="22">
        <v>9031</v>
      </c>
      <c r="B112" s="29">
        <v>46137</v>
      </c>
      <c r="C112" s="23" t="s">
        <v>13</v>
      </c>
      <c r="D112" s="37" t="s">
        <v>17</v>
      </c>
      <c r="E112" s="23" t="s">
        <v>33</v>
      </c>
      <c r="F112" s="31">
        <v>898</v>
      </c>
      <c r="G112" s="31">
        <v>60500</v>
      </c>
      <c r="H112" s="31">
        <f>Cty_Vinh_Oanh_Phu_Ly[[#This Row],[SỐ LƯỢNG]]*Cty_Vinh_Oanh_Phu_Ly[[#This Row],[ĐƠN GIÁ]]</f>
        <v>54329000</v>
      </c>
      <c r="I112" s="31"/>
      <c r="J112" s="31">
        <f ca="1">N(INDIRECT("R[-1]C", FALSE)) + Cty_Vinh_Oanh_Phu_Ly[[#This Row],[THÀNH TIỀN]] - Cty_Vinh_Oanh_Phu_Ly[[#This Row],[THANH TOÁN]]</f>
        <v>61099000</v>
      </c>
      <c r="K112" s="24" t="s">
        <v>42</v>
      </c>
    </row>
    <row r="113" spans="1:11" x14ac:dyDescent="0.25">
      <c r="A113" s="22">
        <v>9031</v>
      </c>
      <c r="B113" s="29">
        <v>46137</v>
      </c>
      <c r="C113" s="23" t="s">
        <v>13</v>
      </c>
      <c r="D113" s="37" t="s">
        <v>17</v>
      </c>
      <c r="E113" s="23" t="s">
        <v>46</v>
      </c>
      <c r="F113" s="31">
        <v>524</v>
      </c>
      <c r="G113" s="31">
        <v>60500</v>
      </c>
      <c r="H113" s="31">
        <f>Cty_Vinh_Oanh_Phu_Ly[[#This Row],[SỐ LƯỢNG]]*Cty_Vinh_Oanh_Phu_Ly[[#This Row],[ĐƠN GIÁ]]</f>
        <v>31702000</v>
      </c>
      <c r="I113" s="31"/>
      <c r="J113" s="31">
        <f ca="1">N(INDIRECT("R[-1]C", FALSE)) + Cty_Vinh_Oanh_Phu_Ly[[#This Row],[THÀNH TIỀN]] - Cty_Vinh_Oanh_Phu_Ly[[#This Row],[THANH TOÁN]]</f>
        <v>92801000</v>
      </c>
      <c r="K113" s="24" t="s">
        <v>42</v>
      </c>
    </row>
    <row r="114" spans="1:11" x14ac:dyDescent="0.25">
      <c r="A114" s="22"/>
      <c r="B114" s="29">
        <v>46139</v>
      </c>
      <c r="C114" s="23" t="s">
        <v>21</v>
      </c>
      <c r="D114" s="37" t="s">
        <v>22</v>
      </c>
      <c r="E114" s="23" t="s">
        <v>2067</v>
      </c>
      <c r="F114" s="31">
        <v>0</v>
      </c>
      <c r="G114" s="31"/>
      <c r="H114" s="31">
        <f>Cty_Vinh_Oanh_Phu_Ly[[#This Row],[SỐ LƯỢNG]]*Cty_Vinh_Oanh_Phu_Ly[[#This Row],[ĐƠN GIÁ]]</f>
        <v>0</v>
      </c>
      <c r="I114" s="31">
        <v>100000000</v>
      </c>
      <c r="J114" s="31">
        <f ca="1">N(INDIRECT("R[-1]C", FALSE)) + Cty_Vinh_Oanh_Phu_Ly[[#This Row],[THÀNH TIỀN]] - Cty_Vinh_Oanh_Phu_Ly[[#This Row],[THANH TOÁN]]</f>
        <v>-7199000</v>
      </c>
      <c r="K114" s="24"/>
    </row>
    <row r="115" spans="1:11" x14ac:dyDescent="0.25">
      <c r="A115" s="22"/>
      <c r="B115" s="29">
        <v>46139</v>
      </c>
      <c r="C115" s="23" t="s">
        <v>21</v>
      </c>
      <c r="D115" s="37" t="s">
        <v>22</v>
      </c>
      <c r="E115" s="23" t="s">
        <v>2067</v>
      </c>
      <c r="F115" s="31">
        <v>0</v>
      </c>
      <c r="G115" s="31"/>
      <c r="H115" s="31">
        <f>Cty_Vinh_Oanh_Phu_Ly[[#This Row],[SỐ LƯỢNG]]*Cty_Vinh_Oanh_Phu_Ly[[#This Row],[ĐƠN GIÁ]]</f>
        <v>0</v>
      </c>
      <c r="I115" s="31">
        <v>5000000</v>
      </c>
      <c r="J115" s="31">
        <f ca="1">N(INDIRECT("R[-1]C", FALSE)) + Cty_Vinh_Oanh_Phu_Ly[[#This Row],[THÀNH TIỀN]] - Cty_Vinh_Oanh_Phu_Ly[[#This Row],[THANH TOÁN]]</f>
        <v>-12199000</v>
      </c>
      <c r="K115" s="24"/>
    </row>
    <row r="116" spans="1:11" x14ac:dyDescent="0.25">
      <c r="A116" s="22"/>
      <c r="B116" s="29">
        <v>46139</v>
      </c>
      <c r="C116" s="23" t="s">
        <v>21</v>
      </c>
      <c r="D116" s="37"/>
      <c r="E116" s="23"/>
      <c r="F116" s="31"/>
      <c r="G116" s="31"/>
      <c r="H116" s="31">
        <f>Cty_Vinh_Oanh_Phu_Ly[[#This Row],[SỐ LƯỢNG]]*Cty_Vinh_Oanh_Phu_Ly[[#This Row],[ĐƠN GIÁ]]</f>
        <v>0</v>
      </c>
      <c r="I116" s="31">
        <v>12040000</v>
      </c>
      <c r="J116" s="31">
        <f ca="1">N(INDIRECT("R[-1]C", FALSE)) + Cty_Vinh_Oanh_Phu_Ly[[#This Row],[THÀNH TIỀN]] - Cty_Vinh_Oanh_Phu_Ly[[#This Row],[THANH TOÁN]]</f>
        <v>-24239000</v>
      </c>
      <c r="K116" s="24">
        <v>12040000</v>
      </c>
    </row>
    <row r="117" spans="1:11" x14ac:dyDescent="0.25">
      <c r="A117" s="22">
        <v>9088</v>
      </c>
      <c r="B117" s="29">
        <v>46140</v>
      </c>
      <c r="C117" s="23" t="s">
        <v>13</v>
      </c>
      <c r="D117" s="37" t="s">
        <v>14</v>
      </c>
      <c r="E117" s="23" t="s">
        <v>146</v>
      </c>
      <c r="F117" s="31">
        <v>1488</v>
      </c>
      <c r="G117" s="31">
        <v>40500</v>
      </c>
      <c r="H117" s="31">
        <f>Cty_Vinh_Oanh_Phu_Ly[[#This Row],[SỐ LƯỢNG]]*Cty_Vinh_Oanh_Phu_Ly[[#This Row],[ĐƠN GIÁ]]</f>
        <v>60264000</v>
      </c>
      <c r="I117" s="31"/>
      <c r="J117" s="31">
        <f ca="1">N(INDIRECT("R[-1]C", FALSE)) + Cty_Vinh_Oanh_Phu_Ly[[#This Row],[THÀNH TIỀN]] - Cty_Vinh_Oanh_Phu_Ly[[#This Row],[THANH TOÁN]]</f>
        <v>36025000</v>
      </c>
      <c r="K117" s="24" t="s">
        <v>42</v>
      </c>
    </row>
    <row r="118" spans="1:11" x14ac:dyDescent="0.25">
      <c r="A118" s="22">
        <v>9088</v>
      </c>
      <c r="B118" s="29">
        <v>46140</v>
      </c>
      <c r="C118" s="23" t="s">
        <v>13</v>
      </c>
      <c r="D118" s="37" t="s">
        <v>14</v>
      </c>
      <c r="E118" s="23" t="s">
        <v>134</v>
      </c>
      <c r="F118" s="31">
        <v>1254</v>
      </c>
      <c r="G118" s="31">
        <v>40500</v>
      </c>
      <c r="H118" s="31">
        <f>Cty_Vinh_Oanh_Phu_Ly[[#This Row],[SỐ LƯỢNG]]*Cty_Vinh_Oanh_Phu_Ly[[#This Row],[ĐƠN GIÁ]]</f>
        <v>50787000</v>
      </c>
      <c r="I118" s="31"/>
      <c r="J118" s="31">
        <f ca="1">N(INDIRECT("R[-1]C", FALSE)) + Cty_Vinh_Oanh_Phu_Ly[[#This Row],[THÀNH TIỀN]] - Cty_Vinh_Oanh_Phu_Ly[[#This Row],[THANH TOÁN]]</f>
        <v>86812000</v>
      </c>
      <c r="K118" s="24" t="s">
        <v>42</v>
      </c>
    </row>
    <row r="119" spans="1:11" x14ac:dyDescent="0.25">
      <c r="A119" s="22"/>
      <c r="B119" s="29">
        <v>46140</v>
      </c>
      <c r="C119" s="23" t="s">
        <v>21</v>
      </c>
      <c r="D119" s="37" t="s">
        <v>22</v>
      </c>
      <c r="E119" s="23" t="s">
        <v>2067</v>
      </c>
      <c r="F119" s="31">
        <v>0</v>
      </c>
      <c r="G119" s="31"/>
      <c r="H119" s="31">
        <f>Cty_Vinh_Oanh_Phu_Ly[[#This Row],[SỐ LƯỢNG]]*Cty_Vinh_Oanh_Phu_Ly[[#This Row],[ĐƠN GIÁ]]</f>
        <v>0</v>
      </c>
      <c r="I119" s="31">
        <v>20930000</v>
      </c>
      <c r="J119" s="31">
        <f ca="1">N(INDIRECT("R[-1]C", FALSE)) + Cty_Vinh_Oanh_Phu_Ly[[#This Row],[THÀNH TIỀN]] - Cty_Vinh_Oanh_Phu_Ly[[#This Row],[THANH TOÁN]]</f>
        <v>65882000</v>
      </c>
      <c r="K119" s="24"/>
    </row>
    <row r="120" spans="1:11" x14ac:dyDescent="0.25">
      <c r="A120" s="22">
        <v>9117</v>
      </c>
      <c r="B120" s="29">
        <v>46141</v>
      </c>
      <c r="C120" s="23" t="s">
        <v>13</v>
      </c>
      <c r="D120" s="37" t="s">
        <v>14</v>
      </c>
      <c r="E120" s="23" t="s">
        <v>41</v>
      </c>
      <c r="F120" s="31">
        <v>1204</v>
      </c>
      <c r="G120" s="31">
        <v>40500</v>
      </c>
      <c r="H120" s="31">
        <f>Cty_Vinh_Oanh_Phu_Ly[[#This Row],[SỐ LƯỢNG]]*Cty_Vinh_Oanh_Phu_Ly[[#This Row],[ĐƠN GIÁ]]</f>
        <v>48762000</v>
      </c>
      <c r="I120" s="31"/>
      <c r="J120" s="31">
        <f ca="1">N(INDIRECT("R[-1]C", FALSE)) + Cty_Vinh_Oanh_Phu_Ly[[#This Row],[THÀNH TIỀN]] - Cty_Vinh_Oanh_Phu_Ly[[#This Row],[THANH TOÁN]]</f>
        <v>114644000</v>
      </c>
      <c r="K120" s="24"/>
    </row>
    <row r="121" spans="1:11" x14ac:dyDescent="0.25">
      <c r="A121" s="22"/>
      <c r="B121" s="29">
        <v>46141</v>
      </c>
      <c r="C121" s="23" t="s">
        <v>21</v>
      </c>
      <c r="D121" s="37" t="s">
        <v>22</v>
      </c>
      <c r="E121" s="23" t="s">
        <v>2067</v>
      </c>
      <c r="F121" s="31">
        <v>0</v>
      </c>
      <c r="G121" s="31"/>
      <c r="H121" s="31">
        <f>Cty_Vinh_Oanh_Phu_Ly[[#This Row],[SỐ LƯỢNG]]*Cty_Vinh_Oanh_Phu_Ly[[#This Row],[ĐƠN GIÁ]]</f>
        <v>0</v>
      </c>
      <c r="I121" s="31">
        <v>19870000</v>
      </c>
      <c r="J121" s="31">
        <f ca="1">N(INDIRECT("R[-1]C", FALSE)) + Cty_Vinh_Oanh_Phu_Ly[[#This Row],[THÀNH TIỀN]] - Cty_Vinh_Oanh_Phu_Ly[[#This Row],[THANH TOÁN]]</f>
        <v>94774000</v>
      </c>
      <c r="K121" s="24"/>
    </row>
    <row r="122" spans="1:11" x14ac:dyDescent="0.25">
      <c r="A122" s="22"/>
      <c r="B122" s="29">
        <v>46145</v>
      </c>
      <c r="C122" s="23" t="s">
        <v>21</v>
      </c>
      <c r="D122" s="37" t="s">
        <v>22</v>
      </c>
      <c r="E122" s="23" t="s">
        <v>2067</v>
      </c>
      <c r="F122" s="31">
        <v>0</v>
      </c>
      <c r="G122" s="31"/>
      <c r="H122" s="31">
        <f>Cty_Vinh_Oanh_Phu_Ly[[#This Row],[SỐ LƯỢNG]]*Cty_Vinh_Oanh_Phu_Ly[[#This Row],[ĐƠN GIÁ]]</f>
        <v>0</v>
      </c>
      <c r="I122" s="31">
        <v>59900000</v>
      </c>
      <c r="J122" s="31">
        <f ca="1">N(INDIRECT("R[-1]C", FALSE)) + Cty_Vinh_Oanh_Phu_Ly[[#This Row],[THÀNH TIỀN]] - Cty_Vinh_Oanh_Phu_Ly[[#This Row],[THANH TOÁN]]</f>
        <v>34874000</v>
      </c>
      <c r="K122" s="24"/>
    </row>
    <row r="123" spans="1:11" x14ac:dyDescent="0.25">
      <c r="A123" s="22"/>
      <c r="B123" s="29">
        <v>46147</v>
      </c>
      <c r="C123" s="23" t="s">
        <v>21</v>
      </c>
      <c r="D123" s="37" t="s">
        <v>22</v>
      </c>
      <c r="E123" s="23" t="s">
        <v>2067</v>
      </c>
      <c r="F123" s="31">
        <v>0</v>
      </c>
      <c r="G123" s="31"/>
      <c r="H123" s="31">
        <f>Cty_Vinh_Oanh_Phu_Ly[[#This Row],[SỐ LƯỢNG]]*Cty_Vinh_Oanh_Phu_Ly[[#This Row],[ĐƠN GIÁ]]</f>
        <v>0</v>
      </c>
      <c r="I123" s="31">
        <v>36000000</v>
      </c>
      <c r="J123" s="31">
        <f ca="1">N(INDIRECT("R[-1]C", FALSE)) + Cty_Vinh_Oanh_Phu_Ly[[#This Row],[THÀNH TIỀN]] - Cty_Vinh_Oanh_Phu_Ly[[#This Row],[THANH TOÁN]]</f>
        <v>-1126000</v>
      </c>
      <c r="K123" s="24"/>
    </row>
    <row r="124" spans="1:11" x14ac:dyDescent="0.25">
      <c r="A124" s="22"/>
      <c r="B124" s="29">
        <v>46147</v>
      </c>
      <c r="C124" s="23" t="s">
        <v>21</v>
      </c>
      <c r="D124" s="37" t="s">
        <v>22</v>
      </c>
      <c r="E124" s="23" t="s">
        <v>2067</v>
      </c>
      <c r="F124" s="31">
        <v>0</v>
      </c>
      <c r="G124" s="31"/>
      <c r="H124" s="31">
        <f>Cty_Vinh_Oanh_Phu_Ly[[#This Row],[SỐ LƯỢNG]]*Cty_Vinh_Oanh_Phu_Ly[[#This Row],[ĐƠN GIÁ]]</f>
        <v>0</v>
      </c>
      <c r="I124" s="31">
        <v>12300000</v>
      </c>
      <c r="J124" s="31">
        <f ca="1">N(INDIRECT("R[-1]C", FALSE)) + Cty_Vinh_Oanh_Phu_Ly[[#This Row],[THÀNH TIỀN]] - Cty_Vinh_Oanh_Phu_Ly[[#This Row],[THANH TOÁN]]</f>
        <v>-13426000</v>
      </c>
      <c r="K124" s="24"/>
    </row>
    <row r="125" spans="1:11" x14ac:dyDescent="0.25">
      <c r="A125" s="22"/>
      <c r="B125" s="29">
        <v>46149</v>
      </c>
      <c r="C125" s="23" t="s">
        <v>21</v>
      </c>
      <c r="D125" s="37" t="s">
        <v>22</v>
      </c>
      <c r="E125" s="23" t="s">
        <v>2067</v>
      </c>
      <c r="F125" s="31">
        <v>0</v>
      </c>
      <c r="G125" s="31"/>
      <c r="H125" s="31">
        <f>Cty_Vinh_Oanh_Phu_Ly[[#This Row],[SỐ LƯỢNG]]*Cty_Vinh_Oanh_Phu_Ly[[#This Row],[ĐƠN GIÁ]]</f>
        <v>0</v>
      </c>
      <c r="I125" s="31"/>
      <c r="J125" s="31">
        <f ca="1">N(INDIRECT("R[-1]C", FALSE)) + Cty_Vinh_Oanh_Phu_Ly[[#This Row],[THÀNH TIỀN]] - Cty_Vinh_Oanh_Phu_Ly[[#This Row],[THANH TOÁN]]</f>
        <v>-13426000</v>
      </c>
      <c r="K125" s="24"/>
    </row>
    <row r="126" spans="1:11" x14ac:dyDescent="0.25">
      <c r="A126" s="22">
        <v>9277</v>
      </c>
      <c r="B126" s="29">
        <v>46151</v>
      </c>
      <c r="C126" s="23" t="s">
        <v>13</v>
      </c>
      <c r="D126" s="37" t="s">
        <v>26</v>
      </c>
      <c r="E126" s="23" t="s">
        <v>1761</v>
      </c>
      <c r="F126" s="31">
        <v>902</v>
      </c>
      <c r="G126" s="31">
        <v>33000</v>
      </c>
      <c r="H126" s="31">
        <f>Cty_Vinh_Oanh_Phu_Ly[[#This Row],[SỐ LƯỢNG]]*Cty_Vinh_Oanh_Phu_Ly[[#This Row],[ĐƠN GIÁ]]</f>
        <v>29766000</v>
      </c>
      <c r="I126" s="31"/>
      <c r="J126" s="31">
        <f ca="1">N(INDIRECT("R[-1]C", FALSE)) + Cty_Vinh_Oanh_Phu_Ly[[#This Row],[THÀNH TIỀN]] - Cty_Vinh_Oanh_Phu_Ly[[#This Row],[THANH TOÁN]]</f>
        <v>16340000</v>
      </c>
      <c r="K126" s="24" t="s">
        <v>42</v>
      </c>
    </row>
    <row r="127" spans="1:11" x14ac:dyDescent="0.25">
      <c r="A127" s="22">
        <v>9277</v>
      </c>
      <c r="B127" s="29">
        <v>46151</v>
      </c>
      <c r="C127" s="23" t="s">
        <v>13</v>
      </c>
      <c r="D127" s="37" t="s">
        <v>43</v>
      </c>
      <c r="E127" s="23" t="s">
        <v>283</v>
      </c>
      <c r="F127" s="31">
        <v>1140</v>
      </c>
      <c r="G127" s="31">
        <v>56000</v>
      </c>
      <c r="H127" s="31">
        <f>Cty_Vinh_Oanh_Phu_Ly[[#This Row],[SỐ LƯỢNG]]*Cty_Vinh_Oanh_Phu_Ly[[#This Row],[ĐƠN GIÁ]]</f>
        <v>63840000</v>
      </c>
      <c r="I127" s="31"/>
      <c r="J127" s="31">
        <f ca="1">N(INDIRECT("R[-1]C", FALSE)) + Cty_Vinh_Oanh_Phu_Ly[[#This Row],[THÀNH TIỀN]] - Cty_Vinh_Oanh_Phu_Ly[[#This Row],[THANH TOÁN]]</f>
        <v>80180000</v>
      </c>
      <c r="K127" s="24" t="s">
        <v>42</v>
      </c>
    </row>
    <row r="128" spans="1:11" x14ac:dyDescent="0.25">
      <c r="A128" s="22"/>
      <c r="B128" s="29">
        <v>46154</v>
      </c>
      <c r="C128" s="23" t="s">
        <v>21</v>
      </c>
      <c r="D128" s="37" t="s">
        <v>22</v>
      </c>
      <c r="E128" s="23" t="s">
        <v>2067</v>
      </c>
      <c r="F128" s="31">
        <v>0</v>
      </c>
      <c r="G128" s="31"/>
      <c r="H128" s="31">
        <f>Cty_Vinh_Oanh_Phu_Ly[[#This Row],[SỐ LƯỢNG]]*Cty_Vinh_Oanh_Phu_Ly[[#This Row],[ĐƠN GIÁ]]</f>
        <v>0</v>
      </c>
      <c r="I128" s="31">
        <v>1520000</v>
      </c>
      <c r="J128" s="31">
        <f ca="1">N(INDIRECT("R[-1]C", FALSE)) + Cty_Vinh_Oanh_Phu_Ly[[#This Row],[THÀNH TIỀN]] - Cty_Vinh_Oanh_Phu_Ly[[#This Row],[THANH TOÁN]]</f>
        <v>78660000</v>
      </c>
      <c r="K128" s="24"/>
    </row>
    <row r="129" spans="1:11" x14ac:dyDescent="0.25">
      <c r="A129" s="22"/>
      <c r="B129" s="29">
        <v>46156</v>
      </c>
      <c r="C129" s="23" t="s">
        <v>21</v>
      </c>
      <c r="D129" s="37" t="s">
        <v>22</v>
      </c>
      <c r="E129" s="23" t="s">
        <v>2067</v>
      </c>
      <c r="F129" s="31">
        <v>0</v>
      </c>
      <c r="G129" s="31"/>
      <c r="H129" s="31">
        <f>Cty_Vinh_Oanh_Phu_Ly[[#This Row],[SỐ LƯỢNG]]*Cty_Vinh_Oanh_Phu_Ly[[#This Row],[ĐƠN GIÁ]]</f>
        <v>0</v>
      </c>
      <c r="I129" s="31">
        <v>104106000</v>
      </c>
      <c r="J129" s="31">
        <f ca="1">N(INDIRECT("R[-1]C", FALSE)) + Cty_Vinh_Oanh_Phu_Ly[[#This Row],[THÀNH TIỀN]] - Cty_Vinh_Oanh_Phu_Ly[[#This Row],[THANH TOÁN]]</f>
        <v>-25446000</v>
      </c>
      <c r="K129" s="24"/>
    </row>
    <row r="130" spans="1:11" x14ac:dyDescent="0.25">
      <c r="A130" s="25"/>
      <c r="B130" s="30">
        <v>46157</v>
      </c>
      <c r="C130" s="26" t="s">
        <v>21</v>
      </c>
      <c r="D130" s="38" t="s">
        <v>22</v>
      </c>
      <c r="E130" s="26" t="s">
        <v>2067</v>
      </c>
      <c r="F130" s="28"/>
      <c r="G130" s="28"/>
      <c r="H130" s="28">
        <f>Cty_Vinh_Oanh_Phu_Ly[[#This Row],[SỐ LƯỢNG]]*Cty_Vinh_Oanh_Phu_Ly[[#This Row],[ĐƠN GIÁ]]</f>
        <v>0</v>
      </c>
      <c r="I130" s="28">
        <v>3330000</v>
      </c>
      <c r="J130" s="28">
        <f ca="1">N(INDIRECT("R[-1]C", FALSE)) + Cty_Vinh_Oanh_Phu_Ly[[#This Row],[THÀNH TIỀN]] - Cty_Vinh_Oanh_Phu_Ly[[#This Row],[THANH TOÁN]]</f>
        <v>-28776000</v>
      </c>
      <c r="K130" s="27"/>
    </row>
    <row r="131" spans="1:11" x14ac:dyDescent="0.25">
      <c r="A131" s="22"/>
      <c r="B131" s="29">
        <v>46157</v>
      </c>
      <c r="C131" s="23" t="s">
        <v>21</v>
      </c>
      <c r="D131" s="37" t="s">
        <v>22</v>
      </c>
      <c r="E131" s="23" t="s">
        <v>2067</v>
      </c>
      <c r="F131" s="31">
        <v>0</v>
      </c>
      <c r="G131" s="31"/>
      <c r="H131" s="31">
        <f>Cty_Vinh_Oanh_Phu_Ly[[#This Row],[SỐ LƯỢNG]]*Cty_Vinh_Oanh_Phu_Ly[[#This Row],[ĐƠN GIÁ]]</f>
        <v>0</v>
      </c>
      <c r="I131" s="31">
        <v>35000000</v>
      </c>
      <c r="J131" s="31">
        <f ca="1">N(INDIRECT("R[-1]C", FALSE)) + Cty_Vinh_Oanh_Phu_Ly[[#This Row],[THÀNH TIỀN]] - Cty_Vinh_Oanh_Phu_Ly[[#This Row],[THANH TOÁN]]</f>
        <v>-63776000</v>
      </c>
      <c r="K131" s="24"/>
    </row>
    <row r="132" spans="1:11" x14ac:dyDescent="0.25">
      <c r="A132" s="22"/>
      <c r="B132" s="29">
        <v>46157</v>
      </c>
      <c r="C132" s="23" t="s">
        <v>21</v>
      </c>
      <c r="D132" s="37" t="s">
        <v>22</v>
      </c>
      <c r="E132" s="23" t="s">
        <v>2067</v>
      </c>
      <c r="F132" s="31">
        <v>0</v>
      </c>
      <c r="G132" s="31"/>
      <c r="H132" s="31">
        <f>Cty_Vinh_Oanh_Phu_Ly[[#This Row],[SỐ LƯỢNG]]*Cty_Vinh_Oanh_Phu_Ly[[#This Row],[ĐƠN GIÁ]]</f>
        <v>0</v>
      </c>
      <c r="I132" s="31">
        <v>11533000</v>
      </c>
      <c r="J132" s="31">
        <f ca="1">N(INDIRECT("R[-1]C", FALSE)) + Cty_Vinh_Oanh_Phu_Ly[[#This Row],[THÀNH TIỀN]] - Cty_Vinh_Oanh_Phu_Ly[[#This Row],[THANH TOÁN]]</f>
        <v>-75309000</v>
      </c>
      <c r="K132" s="24"/>
    </row>
    <row r="133" spans="1:11" x14ac:dyDescent="0.25">
      <c r="A133" s="22"/>
      <c r="B133" s="29">
        <v>46157</v>
      </c>
      <c r="C133" s="23" t="s">
        <v>21</v>
      </c>
      <c r="D133" s="37" t="s">
        <v>22</v>
      </c>
      <c r="E133" s="23" t="s">
        <v>2067</v>
      </c>
      <c r="F133" s="31">
        <v>0</v>
      </c>
      <c r="G133" s="31"/>
      <c r="H133" s="31">
        <f>Cty_Vinh_Oanh_Phu_Ly[[#This Row],[SỐ LƯỢNG]]*Cty_Vinh_Oanh_Phu_Ly[[#This Row],[ĐƠN GIÁ]]</f>
        <v>0</v>
      </c>
      <c r="I133" s="31">
        <v>3592000</v>
      </c>
      <c r="J133" s="31">
        <f ca="1">N(INDIRECT("R[-1]C", FALSE)) + Cty_Vinh_Oanh_Phu_Ly[[#This Row],[THÀNH TIỀN]] - Cty_Vinh_Oanh_Phu_Ly[[#This Row],[THANH TOÁN]]</f>
        <v>-78901000</v>
      </c>
      <c r="K133" s="24"/>
    </row>
    <row r="134" spans="1:11" x14ac:dyDescent="0.25">
      <c r="A134" s="22"/>
      <c r="B134" s="29">
        <v>46158</v>
      </c>
      <c r="C134" s="23" t="s">
        <v>21</v>
      </c>
      <c r="D134" s="37" t="s">
        <v>22</v>
      </c>
      <c r="E134" s="23" t="s">
        <v>2067</v>
      </c>
      <c r="F134" s="31">
        <v>0</v>
      </c>
      <c r="G134" s="31"/>
      <c r="H134" s="31">
        <f>Cty_Vinh_Oanh_Phu_Ly[[#This Row],[SỐ LƯỢNG]]*Cty_Vinh_Oanh_Phu_Ly[[#This Row],[ĐƠN GIÁ]]</f>
        <v>0</v>
      </c>
      <c r="I134" s="31">
        <v>20000000</v>
      </c>
      <c r="J134" s="31">
        <f ca="1">N(INDIRECT("R[-1]C", FALSE)) + Cty_Vinh_Oanh_Phu_Ly[[#This Row],[THÀNH TIỀN]] - Cty_Vinh_Oanh_Phu_Ly[[#This Row],[THANH TOÁN]]</f>
        <v>-98901000</v>
      </c>
      <c r="K134" s="24"/>
    </row>
    <row r="135" spans="1:11" x14ac:dyDescent="0.25">
      <c r="A135" s="22"/>
      <c r="B135" s="29">
        <v>46158</v>
      </c>
      <c r="C135" s="23" t="s">
        <v>21</v>
      </c>
      <c r="D135" s="37" t="s">
        <v>22</v>
      </c>
      <c r="E135" s="23" t="s">
        <v>2067</v>
      </c>
      <c r="F135" s="31">
        <v>0</v>
      </c>
      <c r="G135" s="31"/>
      <c r="H135" s="31">
        <f>Cty_Vinh_Oanh_Phu_Ly[[#This Row],[SỐ LƯỢNG]]*Cty_Vinh_Oanh_Phu_Ly[[#This Row],[ĐƠN GIÁ]]</f>
        <v>0</v>
      </c>
      <c r="I135" s="31">
        <v>30000000</v>
      </c>
      <c r="J135" s="31">
        <f ca="1">N(INDIRECT("R[-1]C", FALSE)) + Cty_Vinh_Oanh_Phu_Ly[[#This Row],[THÀNH TIỀN]] - Cty_Vinh_Oanh_Phu_Ly[[#This Row],[THANH TOÁN]]</f>
        <v>-128901000</v>
      </c>
      <c r="K135" s="24"/>
    </row>
    <row r="136" spans="1:11" x14ac:dyDescent="0.25">
      <c r="A136" s="22"/>
      <c r="B136" s="29">
        <v>46158</v>
      </c>
      <c r="C136" s="23" t="s">
        <v>21</v>
      </c>
      <c r="D136" s="37" t="s">
        <v>22</v>
      </c>
      <c r="E136" s="23" t="s">
        <v>2067</v>
      </c>
      <c r="F136" s="31">
        <v>0</v>
      </c>
      <c r="G136" s="31"/>
      <c r="H136" s="31">
        <f>Cty_Vinh_Oanh_Phu_Ly[[#This Row],[SỐ LƯỢNG]]*Cty_Vinh_Oanh_Phu_Ly[[#This Row],[ĐƠN GIÁ]]</f>
        <v>0</v>
      </c>
      <c r="I136" s="31">
        <v>50000000</v>
      </c>
      <c r="J136" s="31">
        <f ca="1">N(INDIRECT("R[-1]C", FALSE)) + Cty_Vinh_Oanh_Phu_Ly[[#This Row],[THÀNH TIỀN]] - Cty_Vinh_Oanh_Phu_Ly[[#This Row],[THANH TOÁN]]</f>
        <v>-178901000</v>
      </c>
      <c r="K136" s="24"/>
    </row>
    <row r="137" spans="1:11" x14ac:dyDescent="0.25">
      <c r="A137" s="22"/>
      <c r="B137" s="29">
        <v>46160</v>
      </c>
      <c r="C137" s="23" t="s">
        <v>21</v>
      </c>
      <c r="D137" s="37" t="s">
        <v>22</v>
      </c>
      <c r="E137" s="23" t="s">
        <v>2067</v>
      </c>
      <c r="F137" s="31">
        <v>0</v>
      </c>
      <c r="G137" s="31"/>
      <c r="H137" s="31">
        <f>Cty_Vinh_Oanh_Phu_Ly[[#This Row],[SỐ LƯỢNG]]*Cty_Vinh_Oanh_Phu_Ly[[#This Row],[ĐƠN GIÁ]]</f>
        <v>0</v>
      </c>
      <c r="I137" s="31">
        <v>10000000</v>
      </c>
      <c r="J137" s="31">
        <f ca="1">N(INDIRECT("R[-1]C", FALSE)) + Cty_Vinh_Oanh_Phu_Ly[[#This Row],[THÀNH TIỀN]] - Cty_Vinh_Oanh_Phu_Ly[[#This Row],[THANH TOÁN]]</f>
        <v>-188901000</v>
      </c>
      <c r="K137" s="24"/>
    </row>
    <row r="138" spans="1:11" x14ac:dyDescent="0.25">
      <c r="A138" s="22"/>
      <c r="B138" s="29">
        <v>46160</v>
      </c>
      <c r="C138" s="23" t="s">
        <v>21</v>
      </c>
      <c r="D138" s="37" t="s">
        <v>22</v>
      </c>
      <c r="E138" s="23" t="s">
        <v>2067</v>
      </c>
      <c r="F138" s="31">
        <v>0</v>
      </c>
      <c r="G138" s="31"/>
      <c r="H138" s="31">
        <f>Cty_Vinh_Oanh_Phu_Ly[[#This Row],[SỐ LƯỢNG]]*Cty_Vinh_Oanh_Phu_Ly[[#This Row],[ĐƠN GIÁ]]</f>
        <v>0</v>
      </c>
      <c r="I138" s="31">
        <v>7560000</v>
      </c>
      <c r="J138" s="31">
        <f ca="1">N(INDIRECT("R[-1]C", FALSE)) + Cty_Vinh_Oanh_Phu_Ly[[#This Row],[THÀNH TIỀN]] - Cty_Vinh_Oanh_Phu_Ly[[#This Row],[THANH TOÁN]]</f>
        <v>-196461000</v>
      </c>
      <c r="K138" s="24"/>
    </row>
    <row r="139" spans="1:11" x14ac:dyDescent="0.25">
      <c r="A139" s="22">
        <v>9457</v>
      </c>
      <c r="B139" s="29">
        <v>46160</v>
      </c>
      <c r="C139" s="23" t="s">
        <v>13</v>
      </c>
      <c r="D139" s="37" t="s">
        <v>841</v>
      </c>
      <c r="E139" s="23" t="s">
        <v>2204</v>
      </c>
      <c r="F139" s="31">
        <v>1338</v>
      </c>
      <c r="G139" s="31">
        <v>33000</v>
      </c>
      <c r="H139" s="31">
        <f>Cty_Vinh_Oanh_Phu_Ly[[#This Row],[SỐ LƯỢNG]]*Cty_Vinh_Oanh_Phu_Ly[[#This Row],[ĐƠN GIÁ]]</f>
        <v>44154000</v>
      </c>
      <c r="I139" s="31"/>
      <c r="J139" s="31">
        <f ca="1">N(INDIRECT("R[-1]C", FALSE)) + Cty_Vinh_Oanh_Phu_Ly[[#This Row],[THÀNH TIỀN]] - Cty_Vinh_Oanh_Phu_Ly[[#This Row],[THANH TOÁN]]</f>
        <v>-152307000</v>
      </c>
      <c r="K139" s="24"/>
    </row>
    <row r="140" spans="1:11" x14ac:dyDescent="0.25">
      <c r="A140" s="22">
        <v>9457</v>
      </c>
      <c r="B140" s="29">
        <v>46160</v>
      </c>
      <c r="C140" s="23" t="s">
        <v>13</v>
      </c>
      <c r="D140" s="37" t="s">
        <v>17</v>
      </c>
      <c r="E140" s="23" t="s">
        <v>38</v>
      </c>
      <c r="F140" s="31">
        <v>5268</v>
      </c>
      <c r="G140" s="31">
        <v>61800</v>
      </c>
      <c r="H140" s="31">
        <f>Cty_Vinh_Oanh_Phu_Ly[[#This Row],[SỐ LƯỢNG]]*Cty_Vinh_Oanh_Phu_Ly[[#This Row],[ĐƠN GIÁ]]</f>
        <v>325562400</v>
      </c>
      <c r="I140" s="31"/>
      <c r="J140" s="31">
        <f ca="1">N(INDIRECT("R[-1]C", FALSE)) + Cty_Vinh_Oanh_Phu_Ly[[#This Row],[THÀNH TIỀN]] - Cty_Vinh_Oanh_Phu_Ly[[#This Row],[THANH TOÁN]]</f>
        <v>173255400</v>
      </c>
      <c r="K140" s="24"/>
    </row>
    <row r="141" spans="1:11" x14ac:dyDescent="0.25">
      <c r="A141" s="22">
        <v>9457</v>
      </c>
      <c r="B141" s="29">
        <v>46160</v>
      </c>
      <c r="C141" s="23" t="s">
        <v>13</v>
      </c>
      <c r="D141" s="37" t="s">
        <v>17</v>
      </c>
      <c r="E141" s="23" t="s">
        <v>46</v>
      </c>
      <c r="F141" s="31">
        <v>1968</v>
      </c>
      <c r="G141" s="31">
        <v>61800</v>
      </c>
      <c r="H141" s="31">
        <f>Cty_Vinh_Oanh_Phu_Ly[[#This Row],[SỐ LƯỢNG]]*Cty_Vinh_Oanh_Phu_Ly[[#This Row],[ĐƠN GIÁ]]</f>
        <v>121622400</v>
      </c>
      <c r="I141" s="31"/>
      <c r="J141" s="31">
        <f ca="1">N(INDIRECT("R[-1]C", FALSE)) + Cty_Vinh_Oanh_Phu_Ly[[#This Row],[THÀNH TIỀN]] - Cty_Vinh_Oanh_Phu_Ly[[#This Row],[THANH TOÁN]]</f>
        <v>294877800</v>
      </c>
      <c r="K141" s="24"/>
    </row>
    <row r="142" spans="1:11" x14ac:dyDescent="0.25">
      <c r="A142" s="22">
        <v>9511</v>
      </c>
      <c r="B142" s="29">
        <v>46162</v>
      </c>
      <c r="C142" s="23" t="s">
        <v>13</v>
      </c>
      <c r="D142" s="37" t="s">
        <v>17</v>
      </c>
      <c r="E142" s="23" t="s">
        <v>25</v>
      </c>
      <c r="F142" s="31">
        <v>1444</v>
      </c>
      <c r="G142" s="31">
        <v>61800</v>
      </c>
      <c r="H142" s="31">
        <f>Cty_Vinh_Oanh_Phu_Ly[[#This Row],[SỐ LƯỢNG]]*Cty_Vinh_Oanh_Phu_Ly[[#This Row],[ĐƠN GIÁ]]</f>
        <v>89239200</v>
      </c>
      <c r="I142" s="31"/>
      <c r="J142" s="31">
        <f ca="1">N(INDIRECT("R[-1]C", FALSE)) + Cty_Vinh_Oanh_Phu_Ly[[#This Row],[THÀNH TIỀN]] - Cty_Vinh_Oanh_Phu_Ly[[#This Row],[THANH TOÁN]]</f>
        <v>384117000</v>
      </c>
      <c r="K142" s="24" t="s">
        <v>42</v>
      </c>
    </row>
    <row r="143" spans="1:11" x14ac:dyDescent="0.25">
      <c r="A143" s="22"/>
      <c r="B143" s="29">
        <v>46162</v>
      </c>
      <c r="C143" s="23" t="s">
        <v>21</v>
      </c>
      <c r="D143" s="37" t="s">
        <v>22</v>
      </c>
      <c r="E143" s="23" t="s">
        <v>2067</v>
      </c>
      <c r="F143" s="31">
        <v>0</v>
      </c>
      <c r="G143" s="31"/>
      <c r="H143" s="31">
        <f>Cty_Vinh_Oanh_Phu_Ly[[#This Row],[SỐ LƯỢNG]]*Cty_Vinh_Oanh_Phu_Ly[[#This Row],[ĐƠN GIÁ]]</f>
        <v>0</v>
      </c>
      <c r="I143" s="31">
        <v>26738000</v>
      </c>
      <c r="J143" s="31">
        <f ca="1">N(INDIRECT("R[-1]C", FALSE)) + Cty_Vinh_Oanh_Phu_Ly[[#This Row],[THÀNH TIỀN]] - Cty_Vinh_Oanh_Phu_Ly[[#This Row],[THANH TOÁN]]</f>
        <v>357379000</v>
      </c>
      <c r="K143" s="24"/>
    </row>
    <row r="144" spans="1:11" x14ac:dyDescent="0.25">
      <c r="A144" s="22"/>
      <c r="B144" s="29">
        <v>46162</v>
      </c>
      <c r="C144" s="23" t="s">
        <v>21</v>
      </c>
      <c r="D144" s="37" t="s">
        <v>22</v>
      </c>
      <c r="E144" s="23" t="s">
        <v>2067</v>
      </c>
      <c r="F144" s="31">
        <v>0</v>
      </c>
      <c r="G144" s="31"/>
      <c r="H144" s="31">
        <f>Cty_Vinh_Oanh_Phu_Ly[[#This Row],[SỐ LƯỢNG]]*Cty_Vinh_Oanh_Phu_Ly[[#This Row],[ĐƠN GIÁ]]</f>
        <v>0</v>
      </c>
      <c r="I144" s="31">
        <v>5384000</v>
      </c>
      <c r="J144" s="31">
        <f ca="1">N(INDIRECT("R[-1]C", FALSE)) + Cty_Vinh_Oanh_Phu_Ly[[#This Row],[THÀNH TIỀN]] - Cty_Vinh_Oanh_Phu_Ly[[#This Row],[THANH TOÁN]]</f>
        <v>351995000</v>
      </c>
      <c r="K144" s="24"/>
    </row>
    <row r="145" spans="1:11" x14ac:dyDescent="0.25">
      <c r="A145" s="22"/>
      <c r="B145" s="29">
        <v>46162</v>
      </c>
      <c r="C145" s="23" t="s">
        <v>21</v>
      </c>
      <c r="D145" s="37" t="s">
        <v>22</v>
      </c>
      <c r="E145" s="23" t="s">
        <v>2067</v>
      </c>
      <c r="F145" s="31">
        <v>0</v>
      </c>
      <c r="G145" s="31"/>
      <c r="H145" s="31">
        <f>Cty_Vinh_Oanh_Phu_Ly[[#This Row],[SỐ LƯỢNG]]*Cty_Vinh_Oanh_Phu_Ly[[#This Row],[ĐƠN GIÁ]]</f>
        <v>0</v>
      </c>
      <c r="I145" s="31">
        <v>26900000</v>
      </c>
      <c r="J145" s="31">
        <f ca="1">N(INDIRECT("R[-1]C", FALSE)) + Cty_Vinh_Oanh_Phu_Ly[[#This Row],[THÀNH TIỀN]] - Cty_Vinh_Oanh_Phu_Ly[[#This Row],[THANH TOÁN]]</f>
        <v>325095000</v>
      </c>
      <c r="K145" s="24"/>
    </row>
    <row r="146" spans="1:11" x14ac:dyDescent="0.25">
      <c r="A146" s="22"/>
      <c r="B146" s="29">
        <v>46162</v>
      </c>
      <c r="C146" s="23" t="s">
        <v>21</v>
      </c>
      <c r="D146" s="37" t="s">
        <v>22</v>
      </c>
      <c r="E146" s="23" t="s">
        <v>2067</v>
      </c>
      <c r="F146" s="31">
        <v>0</v>
      </c>
      <c r="G146" s="31"/>
      <c r="H146" s="31">
        <f>Cty_Vinh_Oanh_Phu_Ly[[#This Row],[SỐ LƯỢNG]]*Cty_Vinh_Oanh_Phu_Ly[[#This Row],[ĐƠN GIÁ]]</f>
        <v>0</v>
      </c>
      <c r="I146" s="31">
        <v>11900000</v>
      </c>
      <c r="J146" s="31">
        <f ca="1">N(INDIRECT("R[-1]C", FALSE)) + Cty_Vinh_Oanh_Phu_Ly[[#This Row],[THÀNH TIỀN]] - Cty_Vinh_Oanh_Phu_Ly[[#This Row],[THANH TOÁN]]</f>
        <v>313195000</v>
      </c>
      <c r="K146" s="24"/>
    </row>
    <row r="147" spans="1:11" x14ac:dyDescent="0.25">
      <c r="A147" s="22"/>
      <c r="B147" s="29">
        <v>46162</v>
      </c>
      <c r="C147" s="23" t="s">
        <v>21</v>
      </c>
      <c r="D147" s="37" t="s">
        <v>22</v>
      </c>
      <c r="E147" s="23" t="s">
        <v>2067</v>
      </c>
      <c r="F147" s="31">
        <v>0</v>
      </c>
      <c r="G147" s="31"/>
      <c r="H147" s="31">
        <f>Cty_Vinh_Oanh_Phu_Ly[[#This Row],[SỐ LƯỢNG]]*Cty_Vinh_Oanh_Phu_Ly[[#This Row],[ĐƠN GIÁ]]</f>
        <v>0</v>
      </c>
      <c r="I147" s="31">
        <v>3550000</v>
      </c>
      <c r="J147" s="31">
        <f ca="1">N(INDIRECT("R[-1]C", FALSE)) + Cty_Vinh_Oanh_Phu_Ly[[#This Row],[THÀNH TIỀN]] - Cty_Vinh_Oanh_Phu_Ly[[#This Row],[THANH TOÁN]]</f>
        <v>309645000</v>
      </c>
      <c r="K147" s="24"/>
    </row>
    <row r="148" spans="1:11" x14ac:dyDescent="0.25">
      <c r="A148" s="22"/>
      <c r="B148" s="29">
        <v>46163</v>
      </c>
      <c r="C148" s="23" t="s">
        <v>21</v>
      </c>
      <c r="D148" s="37" t="s">
        <v>22</v>
      </c>
      <c r="E148" s="23" t="s">
        <v>2067</v>
      </c>
      <c r="F148" s="31">
        <v>0</v>
      </c>
      <c r="G148" s="31"/>
      <c r="H148" s="31">
        <f>Cty_Vinh_Oanh_Phu_Ly[[#This Row],[SỐ LƯỢNG]]*Cty_Vinh_Oanh_Phu_Ly[[#This Row],[ĐƠN GIÁ]]</f>
        <v>0</v>
      </c>
      <c r="I148" s="31">
        <v>16180000</v>
      </c>
      <c r="J148" s="31">
        <f ca="1">N(INDIRECT("R[-1]C", FALSE)) + Cty_Vinh_Oanh_Phu_Ly[[#This Row],[THÀNH TIỀN]] - Cty_Vinh_Oanh_Phu_Ly[[#This Row],[THANH TOÁN]]</f>
        <v>293465000</v>
      </c>
      <c r="K148" s="24"/>
    </row>
    <row r="149" spans="1:11" x14ac:dyDescent="0.25">
      <c r="A149" s="22"/>
      <c r="B149" s="29">
        <v>46163</v>
      </c>
      <c r="C149" s="23" t="s">
        <v>21</v>
      </c>
      <c r="D149" s="37" t="s">
        <v>22</v>
      </c>
      <c r="E149" s="23" t="s">
        <v>2067</v>
      </c>
      <c r="F149" s="31">
        <v>0</v>
      </c>
      <c r="G149" s="31"/>
      <c r="H149" s="31">
        <f>Cty_Vinh_Oanh_Phu_Ly[[#This Row],[SỐ LƯỢNG]]*Cty_Vinh_Oanh_Phu_Ly[[#This Row],[ĐƠN GIÁ]]</f>
        <v>0</v>
      </c>
      <c r="I149" s="31">
        <v>3728000</v>
      </c>
      <c r="J149" s="31">
        <f ca="1">N(INDIRECT("R[-1]C", FALSE)) + Cty_Vinh_Oanh_Phu_Ly[[#This Row],[THÀNH TIỀN]] - Cty_Vinh_Oanh_Phu_Ly[[#This Row],[THANH TOÁN]]</f>
        <v>289737000</v>
      </c>
      <c r="K149" s="24"/>
    </row>
    <row r="150" spans="1:11" x14ac:dyDescent="0.25">
      <c r="A150" s="22"/>
      <c r="B150" s="29">
        <v>46164</v>
      </c>
      <c r="C150" s="23" t="s">
        <v>21</v>
      </c>
      <c r="D150" s="37" t="s">
        <v>2157</v>
      </c>
      <c r="E150" s="23"/>
      <c r="F150" s="31">
        <v>0</v>
      </c>
      <c r="G150" s="31"/>
      <c r="H150" s="31">
        <f>Cty_Vinh_Oanh_Phu_Ly[[#This Row],[SỐ LƯỢNG]]*Cty_Vinh_Oanh_Phu_Ly[[#This Row],[ĐƠN GIÁ]]</f>
        <v>0</v>
      </c>
      <c r="I150" s="31">
        <v>100000000</v>
      </c>
      <c r="J150" s="31">
        <f ca="1">N(INDIRECT("R[-1]C", FALSE)) + Cty_Vinh_Oanh_Phu_Ly[[#This Row],[THÀNH TIỀN]] - Cty_Vinh_Oanh_Phu_Ly[[#This Row],[THANH TOÁN]]</f>
        <v>189737000</v>
      </c>
      <c r="K150" s="24"/>
    </row>
    <row r="151" spans="1:11" x14ac:dyDescent="0.25">
      <c r="A151" s="22"/>
      <c r="B151" s="29">
        <v>46164</v>
      </c>
      <c r="C151" s="23" t="s">
        <v>21</v>
      </c>
      <c r="D151" s="37" t="s">
        <v>22</v>
      </c>
      <c r="E151" s="23" t="s">
        <v>2067</v>
      </c>
      <c r="F151" s="31">
        <v>0</v>
      </c>
      <c r="G151" s="31"/>
      <c r="H151" s="31">
        <f>Cty_Vinh_Oanh_Phu_Ly[[#This Row],[SỐ LƯỢNG]]*Cty_Vinh_Oanh_Phu_Ly[[#This Row],[ĐƠN GIÁ]]</f>
        <v>0</v>
      </c>
      <c r="I151" s="31">
        <v>4600000</v>
      </c>
      <c r="J151" s="31">
        <f ca="1">N(INDIRECT("R[-1]C", FALSE)) + Cty_Vinh_Oanh_Phu_Ly[[#This Row],[THÀNH TIỀN]] - Cty_Vinh_Oanh_Phu_Ly[[#This Row],[THANH TOÁN]]</f>
        <v>185137000</v>
      </c>
      <c r="K151" s="24"/>
    </row>
    <row r="152" spans="1:11" x14ac:dyDescent="0.25">
      <c r="A152" s="22"/>
      <c r="B152" s="29">
        <v>46165</v>
      </c>
      <c r="C152" s="23" t="s">
        <v>21</v>
      </c>
      <c r="D152" s="37" t="s">
        <v>22</v>
      </c>
      <c r="E152" s="23" t="s">
        <v>2067</v>
      </c>
      <c r="F152" s="31">
        <v>0</v>
      </c>
      <c r="G152" s="31"/>
      <c r="H152" s="31">
        <f>Cty_Vinh_Oanh_Phu_Ly[[#This Row],[SỐ LƯỢNG]]*Cty_Vinh_Oanh_Phu_Ly[[#This Row],[ĐƠN GIÁ]]</f>
        <v>0</v>
      </c>
      <c r="I152" s="31">
        <v>3498000</v>
      </c>
      <c r="J152" s="31">
        <f ca="1">N(INDIRECT("R[-1]C", FALSE)) + Cty_Vinh_Oanh_Phu_Ly[[#This Row],[THÀNH TIỀN]] - Cty_Vinh_Oanh_Phu_Ly[[#This Row],[THANH TOÁN]]</f>
        <v>181639000</v>
      </c>
      <c r="K152" s="24"/>
    </row>
    <row r="153" spans="1:11" x14ac:dyDescent="0.25">
      <c r="A153" s="22"/>
      <c r="B153" s="29">
        <v>46166</v>
      </c>
      <c r="C153" s="23" t="s">
        <v>21</v>
      </c>
      <c r="D153" s="37" t="s">
        <v>22</v>
      </c>
      <c r="E153" s="23" t="s">
        <v>2067</v>
      </c>
      <c r="F153" s="31">
        <v>0</v>
      </c>
      <c r="G153" s="31"/>
      <c r="H153" s="31">
        <f>Cty_Vinh_Oanh_Phu_Ly[[#This Row],[SỐ LƯỢNG]]*Cty_Vinh_Oanh_Phu_Ly[[#This Row],[ĐƠN GIÁ]]</f>
        <v>0</v>
      </c>
      <c r="I153" s="31">
        <v>9000000</v>
      </c>
      <c r="J153" s="31">
        <f ca="1">N(INDIRECT("R[-1]C", FALSE)) + Cty_Vinh_Oanh_Phu_Ly[[#This Row],[THÀNH TIỀN]] - Cty_Vinh_Oanh_Phu_Ly[[#This Row],[THANH TOÁN]]</f>
        <v>172639000</v>
      </c>
      <c r="K153" s="24"/>
    </row>
    <row r="154" spans="1:11" x14ac:dyDescent="0.25">
      <c r="A154" s="22"/>
      <c r="B154" s="29">
        <v>46168</v>
      </c>
      <c r="C154" s="23" t="s">
        <v>21</v>
      </c>
      <c r="D154" s="37" t="s">
        <v>22</v>
      </c>
      <c r="E154" s="23" t="s">
        <v>2067</v>
      </c>
      <c r="F154" s="31">
        <v>0</v>
      </c>
      <c r="G154" s="31"/>
      <c r="H154" s="31">
        <f>Cty_Vinh_Oanh_Phu_Ly[[#This Row],[SỐ LƯỢNG]]*Cty_Vinh_Oanh_Phu_Ly[[#This Row],[ĐƠN GIÁ]]</f>
        <v>0</v>
      </c>
      <c r="I154" s="31">
        <v>13510000</v>
      </c>
      <c r="J154" s="31">
        <f ca="1">N(INDIRECT("R[-1]C", FALSE)) + Cty_Vinh_Oanh_Phu_Ly[[#This Row],[THÀNH TIỀN]] - Cty_Vinh_Oanh_Phu_Ly[[#This Row],[THANH TOÁN]]</f>
        <v>159129000</v>
      </c>
      <c r="K154" s="24"/>
    </row>
    <row r="155" spans="1:11" x14ac:dyDescent="0.25">
      <c r="A155" s="22"/>
      <c r="B155" s="29">
        <v>46168</v>
      </c>
      <c r="C155" s="23" t="s">
        <v>21</v>
      </c>
      <c r="D155" s="37" t="s">
        <v>22</v>
      </c>
      <c r="E155" s="23" t="s">
        <v>2067</v>
      </c>
      <c r="F155" s="31">
        <v>0</v>
      </c>
      <c r="G155" s="31"/>
      <c r="H155" s="31">
        <f>Cty_Vinh_Oanh_Phu_Ly[[#This Row],[SỐ LƯỢNG]]*Cty_Vinh_Oanh_Phu_Ly[[#This Row],[ĐƠN GIÁ]]</f>
        <v>0</v>
      </c>
      <c r="I155" s="31">
        <v>2000000</v>
      </c>
      <c r="J155" s="31">
        <f ca="1">N(INDIRECT("R[-1]C", FALSE)) + Cty_Vinh_Oanh_Phu_Ly[[#This Row],[THÀNH TIỀN]] - Cty_Vinh_Oanh_Phu_Ly[[#This Row],[THANH TOÁN]]</f>
        <v>157129000</v>
      </c>
      <c r="K155" s="24"/>
    </row>
    <row r="156" spans="1:11" x14ac:dyDescent="0.25">
      <c r="A156" s="22">
        <v>9628</v>
      </c>
      <c r="B156" s="29">
        <v>46168</v>
      </c>
      <c r="C156" s="23" t="s">
        <v>13</v>
      </c>
      <c r="D156" s="37" t="s">
        <v>17</v>
      </c>
      <c r="E156" s="23" t="s">
        <v>33</v>
      </c>
      <c r="F156" s="31">
        <v>1296</v>
      </c>
      <c r="G156" s="31">
        <v>61800</v>
      </c>
      <c r="H156" s="31">
        <f>Cty_Vinh_Oanh_Phu_Ly[[#This Row],[SỐ LƯỢNG]]*Cty_Vinh_Oanh_Phu_Ly[[#This Row],[ĐƠN GIÁ]]</f>
        <v>80092800</v>
      </c>
      <c r="I156" s="31"/>
      <c r="J156" s="31">
        <f ca="1">N(INDIRECT("R[-1]C", FALSE)) + Cty_Vinh_Oanh_Phu_Ly[[#This Row],[THÀNH TIỀN]] - Cty_Vinh_Oanh_Phu_Ly[[#This Row],[THANH TOÁN]]</f>
        <v>237221800</v>
      </c>
      <c r="K156" s="24" t="s">
        <v>42</v>
      </c>
    </row>
    <row r="157" spans="1:11" x14ac:dyDescent="0.25">
      <c r="A157" s="22">
        <v>9628</v>
      </c>
      <c r="B157" s="29">
        <v>46168</v>
      </c>
      <c r="C157" s="23" t="s">
        <v>13</v>
      </c>
      <c r="D157" s="37" t="s">
        <v>36</v>
      </c>
      <c r="E157" s="23" t="s">
        <v>177</v>
      </c>
      <c r="F157" s="31">
        <v>1344</v>
      </c>
      <c r="G157" s="31">
        <v>56200</v>
      </c>
      <c r="H157" s="31">
        <f>Cty_Vinh_Oanh_Phu_Ly[[#This Row],[SỐ LƯỢNG]]*Cty_Vinh_Oanh_Phu_Ly[[#This Row],[ĐƠN GIÁ]]</f>
        <v>75532800</v>
      </c>
      <c r="I157" s="31"/>
      <c r="J157" s="31">
        <f ca="1">N(INDIRECT("R[-1]C", FALSE)) + Cty_Vinh_Oanh_Phu_Ly[[#This Row],[THÀNH TIỀN]] - Cty_Vinh_Oanh_Phu_Ly[[#This Row],[THANH TOÁN]]</f>
        <v>312754600</v>
      </c>
      <c r="K157" s="24" t="s">
        <v>2474</v>
      </c>
    </row>
    <row r="158" spans="1:11" x14ac:dyDescent="0.25">
      <c r="A158" s="22"/>
      <c r="B158" s="29">
        <v>46169</v>
      </c>
      <c r="C158" s="23" t="s">
        <v>21</v>
      </c>
      <c r="D158" s="37" t="s">
        <v>2157</v>
      </c>
      <c r="E158" s="23"/>
      <c r="F158" s="31">
        <v>0</v>
      </c>
      <c r="G158" s="31"/>
      <c r="H158" s="31">
        <f>Cty_Vinh_Oanh_Phu_Ly[[#This Row],[SỐ LƯỢNG]]*Cty_Vinh_Oanh_Phu_Ly[[#This Row],[ĐƠN GIÁ]]</f>
        <v>0</v>
      </c>
      <c r="I158" s="31">
        <v>100000000</v>
      </c>
      <c r="J158" s="31">
        <f ca="1">N(INDIRECT("R[-1]C", FALSE)) + Cty_Vinh_Oanh_Phu_Ly[[#This Row],[THÀNH TIỀN]] - Cty_Vinh_Oanh_Phu_Ly[[#This Row],[THANH TOÁN]]</f>
        <v>212754600</v>
      </c>
      <c r="K158" s="24"/>
    </row>
    <row r="159" spans="1:11" x14ac:dyDescent="0.25">
      <c r="A159" s="22"/>
      <c r="B159" s="29">
        <v>46169</v>
      </c>
      <c r="C159" s="23" t="s">
        <v>21</v>
      </c>
      <c r="D159" s="37" t="s">
        <v>22</v>
      </c>
      <c r="E159" s="23" t="s">
        <v>2067</v>
      </c>
      <c r="F159" s="31">
        <v>0</v>
      </c>
      <c r="G159" s="31"/>
      <c r="H159" s="31">
        <f>Cty_Vinh_Oanh_Phu_Ly[[#This Row],[SỐ LƯỢNG]]*Cty_Vinh_Oanh_Phu_Ly[[#This Row],[ĐƠN GIÁ]]</f>
        <v>0</v>
      </c>
      <c r="I159" s="31">
        <v>50000000</v>
      </c>
      <c r="J159" s="31">
        <f ca="1">N(INDIRECT("R[-1]C", FALSE)) + Cty_Vinh_Oanh_Phu_Ly[[#This Row],[THÀNH TIỀN]] - Cty_Vinh_Oanh_Phu_Ly[[#This Row],[THANH TOÁN]]</f>
        <v>162754600</v>
      </c>
      <c r="K159" s="24"/>
    </row>
    <row r="160" spans="1:11" x14ac:dyDescent="0.25">
      <c r="A160" s="22">
        <v>9760</v>
      </c>
      <c r="B160" s="29">
        <v>46175</v>
      </c>
      <c r="C160" s="23" t="s">
        <v>13</v>
      </c>
      <c r="D160" s="37" t="s">
        <v>50</v>
      </c>
      <c r="E160" s="23" t="s">
        <v>73</v>
      </c>
      <c r="F160" s="31">
        <v>2106</v>
      </c>
      <c r="G160" s="31">
        <v>56000</v>
      </c>
      <c r="H160" s="31">
        <f>Cty_Vinh_Oanh_Phu_Ly[[#This Row],[SỐ LƯỢNG]]*Cty_Vinh_Oanh_Phu_Ly[[#This Row],[ĐƠN GIÁ]]</f>
        <v>117936000</v>
      </c>
      <c r="I160" s="31"/>
      <c r="J160" s="31">
        <f ca="1">N(INDIRECT("R[-1]C", FALSE)) + Cty_Vinh_Oanh_Phu_Ly[[#This Row],[THÀNH TIỀN]] - Cty_Vinh_Oanh_Phu_Ly[[#This Row],[THANH TOÁN]]</f>
        <v>280690600</v>
      </c>
      <c r="K160" s="24" t="s">
        <v>42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F2A8C-A991-4DB4-8198-9C6541CDEC41}">
  <sheetPr codeName="Sheet5"/>
  <dimension ref="A5:P84"/>
  <sheetViews>
    <sheetView topLeftCell="A50" workbookViewId="0"/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7109375" style="1" customWidth="1"/>
    <col min="5" max="5" width="20.5703125" style="1" bestFit="1" customWidth="1"/>
    <col min="6" max="6" width="18.5703125" style="1" bestFit="1" customWidth="1"/>
    <col min="7" max="7" width="15.140625" style="1" customWidth="1"/>
    <col min="8" max="8" width="23.28515625" style="1" bestFit="1" customWidth="1"/>
    <col min="9" max="9" width="24.42578125" style="1" bestFit="1" customWidth="1"/>
    <col min="10" max="11" width="15" style="1" bestFit="1" customWidth="1"/>
    <col min="12" max="14" width="9.140625" style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3578496680</v>
      </c>
    </row>
    <row r="6" spans="1:16" ht="22.5" x14ac:dyDescent="0.25">
      <c r="D6" s="34" t="s">
        <v>155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36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A_Hai_HP[[#This Row],[ĐƠN GIÁ]]*A_Hai_HP[[#This Row],[SỐ LƯỢNG]]</f>
        <v>0</v>
      </c>
      <c r="I10" s="31"/>
      <c r="J10" s="31">
        <v>2222834680</v>
      </c>
      <c r="K10" s="24"/>
    </row>
    <row r="11" spans="1:16" x14ac:dyDescent="0.25">
      <c r="A11" s="22">
        <v>7782</v>
      </c>
      <c r="B11" s="29">
        <v>46083</v>
      </c>
      <c r="C11" s="23" t="s">
        <v>13</v>
      </c>
      <c r="D11" s="37" t="s">
        <v>50</v>
      </c>
      <c r="E11" s="23" t="s">
        <v>156</v>
      </c>
      <c r="F11" s="31">
        <v>1718</v>
      </c>
      <c r="G11" s="31">
        <v>57500</v>
      </c>
      <c r="H11" s="31">
        <f>A_Hai_HP[[#This Row],[ĐƠN GIÁ]]*A_Hai_HP[[#This Row],[SỐ LƯỢNG]]</f>
        <v>98785000</v>
      </c>
      <c r="I11" s="31"/>
      <c r="J11" s="31">
        <f>J10+A_Hai_HP[[#This Row],[THÀNH TIỀN]]-A_Hai_HP[[#This Row],[THANH TOÁN]]</f>
        <v>2321619680</v>
      </c>
      <c r="K11" s="24"/>
    </row>
    <row r="12" spans="1:16" x14ac:dyDescent="0.25">
      <c r="A12" s="22">
        <v>7782</v>
      </c>
      <c r="B12" s="29">
        <v>46083</v>
      </c>
      <c r="C12" s="23" t="s">
        <v>13</v>
      </c>
      <c r="D12" s="37" t="s">
        <v>50</v>
      </c>
      <c r="E12" s="23" t="s">
        <v>157</v>
      </c>
      <c r="F12" s="31">
        <v>482</v>
      </c>
      <c r="G12" s="31">
        <v>57500</v>
      </c>
      <c r="H12" s="31">
        <f>A_Hai_HP[[#This Row],[ĐƠN GIÁ]]*A_Hai_HP[[#This Row],[SỐ LƯỢNG]]</f>
        <v>27715000</v>
      </c>
      <c r="I12" s="31"/>
      <c r="J12" s="31">
        <f>J11+A_Hai_HP[[#This Row],[THÀNH TIỀN]]-A_Hai_HP[[#This Row],[THANH TOÁN]]</f>
        <v>2349334680</v>
      </c>
      <c r="K12" s="24"/>
    </row>
    <row r="13" spans="1:16" x14ac:dyDescent="0.25">
      <c r="A13" s="22">
        <v>7782</v>
      </c>
      <c r="B13" s="29">
        <v>46083</v>
      </c>
      <c r="C13" s="23" t="s">
        <v>13</v>
      </c>
      <c r="D13" s="37" t="s">
        <v>50</v>
      </c>
      <c r="E13" s="23" t="s">
        <v>158</v>
      </c>
      <c r="F13" s="31">
        <v>212</v>
      </c>
      <c r="G13" s="31">
        <v>55000</v>
      </c>
      <c r="H13" s="31">
        <f>A_Hai_HP[[#This Row],[ĐƠN GIÁ]]*A_Hai_HP[[#This Row],[SỐ LƯỢNG]]</f>
        <v>11660000</v>
      </c>
      <c r="I13" s="31"/>
      <c r="J13" s="31">
        <f>J12+A_Hai_HP[[#This Row],[THÀNH TIỀN]]-A_Hai_HP[[#This Row],[THANH TOÁN]]</f>
        <v>2360994680</v>
      </c>
      <c r="K13" s="24"/>
    </row>
    <row r="14" spans="1:16" x14ac:dyDescent="0.25">
      <c r="A14" s="22">
        <v>7782</v>
      </c>
      <c r="B14" s="29">
        <v>46083</v>
      </c>
      <c r="C14" s="23" t="s">
        <v>13</v>
      </c>
      <c r="D14" s="37" t="s">
        <v>50</v>
      </c>
      <c r="E14" s="23" t="s">
        <v>159</v>
      </c>
      <c r="F14" s="31">
        <v>328</v>
      </c>
      <c r="G14" s="31">
        <v>55000</v>
      </c>
      <c r="H14" s="31">
        <f>A_Hai_HP[[#This Row],[ĐƠN GIÁ]]*A_Hai_HP[[#This Row],[SỐ LƯỢNG]]</f>
        <v>18040000</v>
      </c>
      <c r="I14" s="31"/>
      <c r="J14" s="31">
        <f>J13+A_Hai_HP[[#This Row],[THÀNH TIỀN]]-A_Hai_HP[[#This Row],[THANH TOÁN]]</f>
        <v>2379034680</v>
      </c>
      <c r="K14" s="24"/>
      <c r="P14" s="35"/>
    </row>
    <row r="15" spans="1:16" x14ac:dyDescent="0.25">
      <c r="A15" s="22">
        <v>7782</v>
      </c>
      <c r="B15" s="29">
        <v>46083</v>
      </c>
      <c r="C15" s="23" t="s">
        <v>13</v>
      </c>
      <c r="D15" s="37" t="s">
        <v>50</v>
      </c>
      <c r="E15" s="26" t="s">
        <v>160</v>
      </c>
      <c r="F15" s="28">
        <v>526</v>
      </c>
      <c r="G15" s="28">
        <v>55000</v>
      </c>
      <c r="H15" s="28">
        <f>A_Hai_HP[[#This Row],[ĐƠN GIÁ]]*A_Hai_HP[[#This Row],[SỐ LƯỢNG]]</f>
        <v>28930000</v>
      </c>
      <c r="I15" s="28"/>
      <c r="J15" s="31">
        <f>J14+A_Hai_HP[[#This Row],[THÀNH TIỀN]]-A_Hai_HP[[#This Row],[THANH TOÁN]]</f>
        <v>2407964680</v>
      </c>
      <c r="K15" s="27"/>
    </row>
    <row r="16" spans="1:16" x14ac:dyDescent="0.25">
      <c r="A16" s="22"/>
      <c r="B16" s="29">
        <v>46083</v>
      </c>
      <c r="C16" s="23" t="s">
        <v>21</v>
      </c>
      <c r="D16" s="37" t="s">
        <v>22</v>
      </c>
      <c r="E16" s="23" t="s">
        <v>147</v>
      </c>
      <c r="F16" s="31"/>
      <c r="G16" s="31"/>
      <c r="H16" s="31">
        <f>A_Hai_HP[[#This Row],[ĐƠN GIÁ]]*A_Hai_HP[[#This Row],[SỐ LƯỢNG]]</f>
        <v>0</v>
      </c>
      <c r="I16" s="31">
        <v>200000000</v>
      </c>
      <c r="J16" s="31">
        <f>J15+A_Hai_HP[[#This Row],[THÀNH TIỀN]]-A_Hai_HP[[#This Row],[THANH TOÁN]]</f>
        <v>2207964680</v>
      </c>
      <c r="K16" s="24"/>
    </row>
    <row r="17" spans="1:11" x14ac:dyDescent="0.25">
      <c r="A17" s="25"/>
      <c r="B17" s="30">
        <v>46087</v>
      </c>
      <c r="C17" s="26" t="s">
        <v>21</v>
      </c>
      <c r="D17" s="38" t="s">
        <v>22</v>
      </c>
      <c r="E17" s="26" t="s">
        <v>147</v>
      </c>
      <c r="F17" s="28">
        <v>0</v>
      </c>
      <c r="G17" s="28">
        <v>0</v>
      </c>
      <c r="H17" s="28">
        <f>A_Hai_HP[[#This Row],[ĐƠN GIÁ]]*A_Hai_HP[[#This Row],[SỐ LƯỢNG]]</f>
        <v>0</v>
      </c>
      <c r="I17" s="28">
        <v>200000000</v>
      </c>
      <c r="J17" s="28">
        <f>J16+A_Hai_HP[[#This Row],[THÀNH TIỀN]]-A_Hai_HP[[#This Row],[THANH TOÁN]]</f>
        <v>2007964680</v>
      </c>
      <c r="K17" s="27"/>
    </row>
    <row r="18" spans="1:11" x14ac:dyDescent="0.25">
      <c r="A18" s="25">
        <v>7921</v>
      </c>
      <c r="B18" s="30">
        <v>46088</v>
      </c>
      <c r="C18" s="26" t="s">
        <v>13</v>
      </c>
      <c r="D18" s="38" t="s">
        <v>43</v>
      </c>
      <c r="E18" s="26" t="s">
        <v>161</v>
      </c>
      <c r="F18" s="28">
        <v>2214</v>
      </c>
      <c r="G18" s="28">
        <v>58000</v>
      </c>
      <c r="H18" s="28">
        <f>A_Hai_HP[[#This Row],[ĐƠN GIÁ]]*A_Hai_HP[[#This Row],[SỐ LƯỢNG]]</f>
        <v>128412000</v>
      </c>
      <c r="I18" s="28"/>
      <c r="J18" s="28">
        <f>J17+A_Hai_HP[[#This Row],[THÀNH TIỀN]]-A_Hai_HP[[#This Row],[THANH TOÁN]]</f>
        <v>2136376680</v>
      </c>
      <c r="K18" s="27"/>
    </row>
    <row r="19" spans="1:11" x14ac:dyDescent="0.25">
      <c r="A19" s="25">
        <v>8008</v>
      </c>
      <c r="B19" s="30">
        <v>46092</v>
      </c>
      <c r="C19" s="26" t="s">
        <v>13</v>
      </c>
      <c r="D19" s="38" t="s">
        <v>43</v>
      </c>
      <c r="E19" s="26" t="s">
        <v>162</v>
      </c>
      <c r="F19" s="28">
        <v>2072</v>
      </c>
      <c r="G19" s="28">
        <v>58000</v>
      </c>
      <c r="H19" s="28">
        <f>A_Hai_HP[[#This Row],[ĐƠN GIÁ]]*A_Hai_HP[[#This Row],[SỐ LƯỢNG]]</f>
        <v>120176000</v>
      </c>
      <c r="I19" s="28"/>
      <c r="J19" s="28">
        <f>J18+A_Hai_HP[[#This Row],[THÀNH TIỀN]]-A_Hai_HP[[#This Row],[THANH TOÁN]]</f>
        <v>2256552680</v>
      </c>
      <c r="K19" s="27"/>
    </row>
    <row r="20" spans="1:11" x14ac:dyDescent="0.25">
      <c r="A20" s="25">
        <v>8035</v>
      </c>
      <c r="B20" s="30">
        <v>46093</v>
      </c>
      <c r="C20" s="26" t="s">
        <v>13</v>
      </c>
      <c r="D20" s="38" t="s">
        <v>43</v>
      </c>
      <c r="E20" s="23" t="s">
        <v>163</v>
      </c>
      <c r="F20" s="31">
        <v>2040</v>
      </c>
      <c r="G20" s="31">
        <v>59000</v>
      </c>
      <c r="H20" s="31">
        <f>A_Hai_HP[[#This Row],[ĐƠN GIÁ]]*A_Hai_HP[[#This Row],[SỐ LƯỢNG]]</f>
        <v>120360000</v>
      </c>
      <c r="I20" s="31"/>
      <c r="J20" s="31">
        <f>J19+A_Hai_HP[[#This Row],[THÀNH TIỀN]]-A_Hai_HP[[#This Row],[THANH TOÁN]]</f>
        <v>2376912680</v>
      </c>
      <c r="K20" s="24"/>
    </row>
    <row r="21" spans="1:11" x14ac:dyDescent="0.25">
      <c r="A21" s="25">
        <v>8035</v>
      </c>
      <c r="B21" s="30">
        <v>46093</v>
      </c>
      <c r="C21" s="26" t="s">
        <v>13</v>
      </c>
      <c r="D21" s="38" t="s">
        <v>43</v>
      </c>
      <c r="E21" s="26" t="s">
        <v>149</v>
      </c>
      <c r="F21" s="28">
        <v>2060</v>
      </c>
      <c r="G21" s="28">
        <v>58000</v>
      </c>
      <c r="H21" s="28">
        <f>A_Hai_HP[[#This Row],[ĐƠN GIÁ]]*A_Hai_HP[[#This Row],[SỐ LƯỢNG]]</f>
        <v>119480000</v>
      </c>
      <c r="I21" s="28"/>
      <c r="J21" s="28">
        <f>J20+A_Hai_HP[[#This Row],[THÀNH TIỀN]]-A_Hai_HP[[#This Row],[THANH TOÁN]]</f>
        <v>2496392680</v>
      </c>
      <c r="K21" s="27"/>
    </row>
    <row r="22" spans="1:11" x14ac:dyDescent="0.25">
      <c r="A22" s="25">
        <v>8059</v>
      </c>
      <c r="B22" s="30">
        <v>46094</v>
      </c>
      <c r="C22" s="26" t="s">
        <v>13</v>
      </c>
      <c r="D22" s="38" t="s">
        <v>68</v>
      </c>
      <c r="E22" s="26" t="s">
        <v>164</v>
      </c>
      <c r="F22" s="28">
        <v>1944</v>
      </c>
      <c r="G22" s="28">
        <v>41500</v>
      </c>
      <c r="H22" s="28">
        <f>A_Hai_HP[[#This Row],[ĐƠN GIÁ]]*A_Hai_HP[[#This Row],[SỐ LƯỢNG]]</f>
        <v>80676000</v>
      </c>
      <c r="I22" s="28"/>
      <c r="J22" s="28">
        <f>J21+A_Hai_HP[[#This Row],[THÀNH TIỀN]]-A_Hai_HP[[#This Row],[THANH TOÁN]]</f>
        <v>2577068680</v>
      </c>
      <c r="K22" s="27"/>
    </row>
    <row r="23" spans="1:11" x14ac:dyDescent="0.25">
      <c r="A23" s="25">
        <v>8059</v>
      </c>
      <c r="B23" s="30">
        <v>46094</v>
      </c>
      <c r="C23" s="26" t="s">
        <v>13</v>
      </c>
      <c r="D23" s="38" t="s">
        <v>50</v>
      </c>
      <c r="E23" s="26" t="s">
        <v>165</v>
      </c>
      <c r="F23" s="28">
        <v>646</v>
      </c>
      <c r="G23" s="28">
        <v>57000</v>
      </c>
      <c r="H23" s="28">
        <f>A_Hai_HP[[#This Row],[ĐƠN GIÁ]]*A_Hai_HP[[#This Row],[SỐ LƯỢNG]]</f>
        <v>36822000</v>
      </c>
      <c r="I23" s="28"/>
      <c r="J23" s="28">
        <f>J22+A_Hai_HP[[#This Row],[THÀNH TIỀN]]-A_Hai_HP[[#This Row],[THANH TOÁN]]</f>
        <v>2613890680</v>
      </c>
      <c r="K23" s="27"/>
    </row>
    <row r="24" spans="1:11" x14ac:dyDescent="0.25">
      <c r="A24" s="25">
        <v>8059</v>
      </c>
      <c r="B24" s="30">
        <v>46094</v>
      </c>
      <c r="C24" s="26" t="s">
        <v>13</v>
      </c>
      <c r="D24" s="38" t="s">
        <v>50</v>
      </c>
      <c r="E24" s="26" t="s">
        <v>165</v>
      </c>
      <c r="F24" s="28">
        <v>719</v>
      </c>
      <c r="G24" s="28">
        <v>59000</v>
      </c>
      <c r="H24" s="28">
        <f>A_Hai_HP[[#This Row],[ĐƠN GIÁ]]*A_Hai_HP[[#This Row],[SỐ LƯỢNG]]</f>
        <v>42421000</v>
      </c>
      <c r="I24" s="28"/>
      <c r="J24" s="28">
        <f>J23+A_Hai_HP[[#This Row],[THÀNH TIỀN]]-A_Hai_HP[[#This Row],[THANH TOÁN]]</f>
        <v>2656311680</v>
      </c>
      <c r="K24" s="27"/>
    </row>
    <row r="25" spans="1:11" x14ac:dyDescent="0.25">
      <c r="A25" s="25">
        <v>8059</v>
      </c>
      <c r="B25" s="30">
        <v>46094</v>
      </c>
      <c r="C25" s="26" t="s">
        <v>166</v>
      </c>
      <c r="D25" s="38" t="s">
        <v>77</v>
      </c>
      <c r="E25" s="26" t="s">
        <v>167</v>
      </c>
      <c r="F25" s="28">
        <v>-211</v>
      </c>
      <c r="G25" s="28">
        <v>35000</v>
      </c>
      <c r="H25" s="28">
        <f>A_Hai_HP[[#This Row],[ĐƠN GIÁ]]*A_Hai_HP[[#This Row],[SỐ LƯỢNG]]</f>
        <v>-7385000</v>
      </c>
      <c r="I25" s="28"/>
      <c r="J25" s="28">
        <f>J24+A_Hai_HP[[#This Row],[THÀNH TIỀN]]-A_Hai_HP[[#This Row],[THANH TOÁN]]</f>
        <v>2648926680</v>
      </c>
      <c r="K25" s="27"/>
    </row>
    <row r="26" spans="1:11" x14ac:dyDescent="0.25">
      <c r="A26" s="25"/>
      <c r="B26" s="30">
        <v>46094</v>
      </c>
      <c r="C26" s="26" t="s">
        <v>21</v>
      </c>
      <c r="D26" s="38" t="s">
        <v>22</v>
      </c>
      <c r="E26" s="26" t="s">
        <v>147</v>
      </c>
      <c r="F26" s="28">
        <v>0</v>
      </c>
      <c r="G26" s="28">
        <v>0</v>
      </c>
      <c r="H26" s="28">
        <f>A_Hai_HP[[#This Row],[ĐƠN GIÁ]]*A_Hai_HP[[#This Row],[SỐ LƯỢNG]]</f>
        <v>0</v>
      </c>
      <c r="I26" s="28">
        <v>300000000</v>
      </c>
      <c r="J26" s="28">
        <f>J25+A_Hai_HP[[#This Row],[THÀNH TIỀN]]-A_Hai_HP[[#This Row],[THANH TOÁN]]</f>
        <v>2348926680</v>
      </c>
      <c r="K26" s="27"/>
    </row>
    <row r="27" spans="1:11" x14ac:dyDescent="0.25">
      <c r="A27" s="25">
        <v>8082</v>
      </c>
      <c r="B27" s="30">
        <v>46095</v>
      </c>
      <c r="C27" s="26" t="s">
        <v>13</v>
      </c>
      <c r="D27" s="38" t="s">
        <v>168</v>
      </c>
      <c r="E27" s="26" t="s">
        <v>136</v>
      </c>
      <c r="F27" s="28">
        <v>2066</v>
      </c>
      <c r="G27" s="28">
        <v>41500</v>
      </c>
      <c r="H27" s="28">
        <f>A_Hai_HP[[#This Row],[ĐƠN GIÁ]]*A_Hai_HP[[#This Row],[SỐ LƯỢNG]]</f>
        <v>85739000</v>
      </c>
      <c r="I27" s="28"/>
      <c r="J27" s="28">
        <f>J26+A_Hai_HP[[#This Row],[THÀNH TIỀN]]-A_Hai_HP[[#This Row],[THANH TOÁN]]</f>
        <v>2434665680</v>
      </c>
      <c r="K27" s="27"/>
    </row>
    <row r="28" spans="1:11" x14ac:dyDescent="0.25">
      <c r="A28" s="25">
        <v>8082</v>
      </c>
      <c r="B28" s="30">
        <v>46095</v>
      </c>
      <c r="C28" s="26" t="s">
        <v>13</v>
      </c>
      <c r="D28" s="38" t="s">
        <v>169</v>
      </c>
      <c r="E28" s="26" t="s">
        <v>41</v>
      </c>
      <c r="F28" s="28">
        <f>1740-20-6</f>
        <v>1714</v>
      </c>
      <c r="G28" s="28">
        <v>38500</v>
      </c>
      <c r="H28" s="28">
        <f>A_Hai_HP[[#This Row],[ĐƠN GIÁ]]*A_Hai_HP[[#This Row],[SỐ LƯỢNG]]</f>
        <v>65989000</v>
      </c>
      <c r="I28" s="28"/>
      <c r="J28" s="28">
        <f>J27+A_Hai_HP[[#This Row],[THÀNH TIỀN]]-A_Hai_HP[[#This Row],[THANH TOÁN]]</f>
        <v>2500654680</v>
      </c>
      <c r="K28" s="27"/>
    </row>
    <row r="29" spans="1:11" x14ac:dyDescent="0.25">
      <c r="A29" s="25">
        <v>8082</v>
      </c>
      <c r="B29" s="30">
        <v>46095</v>
      </c>
      <c r="C29" s="26" t="s">
        <v>13</v>
      </c>
      <c r="D29" s="38" t="s">
        <v>43</v>
      </c>
      <c r="E29" s="26" t="s">
        <v>41</v>
      </c>
      <c r="F29" s="28">
        <f>2104-12</f>
        <v>2092</v>
      </c>
      <c r="G29" s="28">
        <v>60500</v>
      </c>
      <c r="H29" s="28">
        <f>A_Hai_HP[[#This Row],[ĐƠN GIÁ]]*A_Hai_HP[[#This Row],[SỐ LƯỢNG]]</f>
        <v>126566000</v>
      </c>
      <c r="I29" s="28"/>
      <c r="J29" s="28">
        <f>J28+A_Hai_HP[[#This Row],[THÀNH TIỀN]]-A_Hai_HP[[#This Row],[THANH TOÁN]]</f>
        <v>2627220680</v>
      </c>
      <c r="K29" s="27"/>
    </row>
    <row r="30" spans="1:11" x14ac:dyDescent="0.25">
      <c r="A30" s="25">
        <v>8177</v>
      </c>
      <c r="B30" s="30">
        <v>46099</v>
      </c>
      <c r="C30" s="26" t="s">
        <v>13</v>
      </c>
      <c r="D30" s="38" t="s">
        <v>170</v>
      </c>
      <c r="E30" s="26" t="s">
        <v>171</v>
      </c>
      <c r="F30" s="28">
        <v>2238</v>
      </c>
      <c r="G30" s="28">
        <v>62000</v>
      </c>
      <c r="H30" s="28">
        <f>A_Hai_HP[[#This Row],[ĐƠN GIÁ]]*A_Hai_HP[[#This Row],[SỐ LƯỢNG]]</f>
        <v>138756000</v>
      </c>
      <c r="I30" s="28"/>
      <c r="J30" s="28">
        <f>J29+A_Hai_HP[[#This Row],[THÀNH TIỀN]]-A_Hai_HP[[#This Row],[THANH TOÁN]]</f>
        <v>2765976680</v>
      </c>
      <c r="K30" s="27"/>
    </row>
    <row r="31" spans="1:11" x14ac:dyDescent="0.25">
      <c r="A31" s="25">
        <v>8256</v>
      </c>
      <c r="B31" s="30">
        <v>46100</v>
      </c>
      <c r="C31" s="26" t="s">
        <v>13</v>
      </c>
      <c r="D31" s="38" t="s">
        <v>50</v>
      </c>
      <c r="E31" s="26" t="s">
        <v>172</v>
      </c>
      <c r="F31" s="28">
        <v>910</v>
      </c>
      <c r="G31" s="28">
        <v>61000</v>
      </c>
      <c r="H31" s="28">
        <f>A_Hai_HP[[#This Row],[ĐƠN GIÁ]]*A_Hai_HP[[#This Row],[SỐ LƯỢNG]]</f>
        <v>55510000</v>
      </c>
      <c r="I31" s="28"/>
      <c r="J31" s="28">
        <f>J30+A_Hai_HP[[#This Row],[THÀNH TIỀN]]-A_Hai_HP[[#This Row],[THANH TOÁN]]</f>
        <v>2821486680</v>
      </c>
      <c r="K31" s="27"/>
    </row>
    <row r="32" spans="1:11" x14ac:dyDescent="0.25">
      <c r="A32" s="25">
        <v>8268</v>
      </c>
      <c r="B32" s="30">
        <v>46101</v>
      </c>
      <c r="C32" s="26" t="s">
        <v>13</v>
      </c>
      <c r="D32" s="38" t="s">
        <v>43</v>
      </c>
      <c r="E32" s="26" t="s">
        <v>41</v>
      </c>
      <c r="F32" s="28">
        <v>2318</v>
      </c>
      <c r="G32" s="28">
        <v>60500</v>
      </c>
      <c r="H32" s="28">
        <f>A_Hai_HP[[#This Row],[ĐƠN GIÁ]]*A_Hai_HP[[#This Row],[SỐ LƯỢNG]]</f>
        <v>140239000</v>
      </c>
      <c r="I32" s="28"/>
      <c r="J32" s="28">
        <f>J31+A_Hai_HP[[#This Row],[THÀNH TIỀN]]-A_Hai_HP[[#This Row],[THANH TOÁN]]</f>
        <v>2961725680</v>
      </c>
      <c r="K32" s="27"/>
    </row>
    <row r="33" spans="1:11" x14ac:dyDescent="0.25">
      <c r="A33" s="25"/>
      <c r="B33" s="30">
        <v>46101</v>
      </c>
      <c r="C33" s="26" t="s">
        <v>21</v>
      </c>
      <c r="D33" s="38" t="s">
        <v>22</v>
      </c>
      <c r="E33" s="26" t="s">
        <v>147</v>
      </c>
      <c r="F33" s="28">
        <v>0</v>
      </c>
      <c r="G33" s="28">
        <v>0</v>
      </c>
      <c r="H33" s="28">
        <f>A_Hai_HP[[#This Row],[ĐƠN GIÁ]]*A_Hai_HP[[#This Row],[SỐ LƯỢNG]]</f>
        <v>0</v>
      </c>
      <c r="I33" s="28">
        <v>300000000</v>
      </c>
      <c r="J33" s="28">
        <f>J32+A_Hai_HP[[#This Row],[THÀNH TIỀN]]-A_Hai_HP[[#This Row],[THANH TOÁN]]</f>
        <v>2661725680</v>
      </c>
      <c r="K33" s="27"/>
    </row>
    <row r="34" spans="1:11" x14ac:dyDescent="0.25">
      <c r="A34" s="25">
        <v>8212</v>
      </c>
      <c r="B34" s="30">
        <v>46104</v>
      </c>
      <c r="C34" s="26" t="s">
        <v>13</v>
      </c>
      <c r="D34" s="38" t="s">
        <v>173</v>
      </c>
      <c r="E34" s="26" t="s">
        <v>174</v>
      </c>
      <c r="F34" s="28">
        <v>886</v>
      </c>
      <c r="G34" s="28">
        <v>65000</v>
      </c>
      <c r="H34" s="28">
        <f>A_Hai_HP[[#This Row],[ĐƠN GIÁ]]*A_Hai_HP[[#This Row],[SỐ LƯỢNG]]</f>
        <v>57590000</v>
      </c>
      <c r="I34" s="28"/>
      <c r="J34" s="28">
        <f>J33+A_Hai_HP[[#This Row],[THÀNH TIỀN]]-A_Hai_HP[[#This Row],[THANH TOÁN]]</f>
        <v>2719315680</v>
      </c>
      <c r="K34" s="27"/>
    </row>
    <row r="35" spans="1:11" x14ac:dyDescent="0.25">
      <c r="A35" s="25">
        <v>8212</v>
      </c>
      <c r="B35" s="30">
        <v>46104</v>
      </c>
      <c r="C35" s="26" t="s">
        <v>13</v>
      </c>
      <c r="D35" s="38" t="s">
        <v>43</v>
      </c>
      <c r="E35" s="26" t="s">
        <v>136</v>
      </c>
      <c r="F35" s="28">
        <v>2690</v>
      </c>
      <c r="G35" s="28">
        <v>60000</v>
      </c>
      <c r="H35" s="28">
        <f>A_Hai_HP[[#This Row],[ĐƠN GIÁ]]*A_Hai_HP[[#This Row],[SỐ LƯỢNG]]</f>
        <v>161400000</v>
      </c>
      <c r="I35" s="28"/>
      <c r="J35" s="28">
        <f>J34+A_Hai_HP[[#This Row],[THÀNH TIỀN]]-A_Hai_HP[[#This Row],[THANH TOÁN]]</f>
        <v>2880715680</v>
      </c>
      <c r="K35" s="27"/>
    </row>
    <row r="36" spans="1:11" x14ac:dyDescent="0.25">
      <c r="A36" s="25"/>
      <c r="B36" s="30">
        <v>46108</v>
      </c>
      <c r="C36" s="26" t="s">
        <v>21</v>
      </c>
      <c r="D36" s="38" t="s">
        <v>22</v>
      </c>
      <c r="E36" s="26" t="s">
        <v>147</v>
      </c>
      <c r="F36" s="28">
        <v>0</v>
      </c>
      <c r="G36" s="28">
        <v>0</v>
      </c>
      <c r="H36" s="28">
        <f>A_Hai_HP[[#This Row],[ĐƠN GIÁ]]*A_Hai_HP[[#This Row],[SỐ LƯỢNG]]</f>
        <v>0</v>
      </c>
      <c r="I36" s="28">
        <v>300000000</v>
      </c>
      <c r="J36" s="28">
        <f>J35+A_Hai_HP[[#This Row],[THÀNH TIỀN]]-A_Hai_HP[[#This Row],[THANH TOÁN]]</f>
        <v>2580715680</v>
      </c>
      <c r="K36" s="27"/>
    </row>
    <row r="37" spans="1:11" x14ac:dyDescent="0.25">
      <c r="A37" s="25">
        <v>8390</v>
      </c>
      <c r="B37" s="30">
        <v>46109</v>
      </c>
      <c r="C37" s="26" t="s">
        <v>13</v>
      </c>
      <c r="D37" s="38" t="s">
        <v>43</v>
      </c>
      <c r="E37" s="26" t="s">
        <v>175</v>
      </c>
      <c r="F37" s="28">
        <v>1018</v>
      </c>
      <c r="G37" s="28">
        <v>57000</v>
      </c>
      <c r="H37" s="28">
        <f>A_Hai_HP[[#This Row],[ĐƠN GIÁ]]*A_Hai_HP[[#This Row],[SỐ LƯỢNG]]</f>
        <v>58026000</v>
      </c>
      <c r="I37" s="28"/>
      <c r="J37" s="28">
        <f>J36+A_Hai_HP[[#This Row],[THÀNH TIỀN]]-A_Hai_HP[[#This Row],[THANH TOÁN]]</f>
        <v>2638741680</v>
      </c>
      <c r="K37" s="27"/>
    </row>
    <row r="38" spans="1:11" x14ac:dyDescent="0.25">
      <c r="A38" s="22">
        <v>8479</v>
      </c>
      <c r="B38" s="29">
        <v>46113</v>
      </c>
      <c r="C38" s="23" t="s">
        <v>13</v>
      </c>
      <c r="D38" s="37" t="s">
        <v>14</v>
      </c>
      <c r="E38" s="23" t="s">
        <v>176</v>
      </c>
      <c r="F38" s="31">
        <v>1976</v>
      </c>
      <c r="G38" s="31">
        <v>43000</v>
      </c>
      <c r="H38" s="31">
        <f>A_Hai_HP[[#This Row],[ĐƠN GIÁ]]*A_Hai_HP[[#This Row],[SỐ LƯỢNG]]</f>
        <v>84968000</v>
      </c>
      <c r="I38" s="31"/>
      <c r="J38" s="31">
        <f>J37+A_Hai_HP[[#This Row],[THÀNH TIỀN]]-A_Hai_HP[[#This Row],[THANH TOÁN]]</f>
        <v>2723709680</v>
      </c>
      <c r="K38" s="24"/>
    </row>
    <row r="39" spans="1:11" x14ac:dyDescent="0.25">
      <c r="A39" s="22">
        <v>8479</v>
      </c>
      <c r="B39" s="29">
        <v>46113</v>
      </c>
      <c r="C39" s="23" t="s">
        <v>13</v>
      </c>
      <c r="D39" s="37" t="s">
        <v>26</v>
      </c>
      <c r="E39" s="23" t="s">
        <v>41</v>
      </c>
      <c r="F39" s="31">
        <v>724</v>
      </c>
      <c r="G39" s="31">
        <v>33500</v>
      </c>
      <c r="H39" s="31">
        <f>A_Hai_HP[[#This Row],[ĐƠN GIÁ]]*A_Hai_HP[[#This Row],[SỐ LƯỢNG]]</f>
        <v>24254000</v>
      </c>
      <c r="I39" s="31"/>
      <c r="J39" s="31">
        <f>J38+A_Hai_HP[[#This Row],[THÀNH TIỀN]]-A_Hai_HP[[#This Row],[THANH TOÁN]]</f>
        <v>2747963680</v>
      </c>
      <c r="K39" s="24"/>
    </row>
    <row r="40" spans="1:11" x14ac:dyDescent="0.25">
      <c r="A40" s="22">
        <v>8499</v>
      </c>
      <c r="B40" s="29">
        <v>46114</v>
      </c>
      <c r="C40" s="23" t="s">
        <v>13</v>
      </c>
      <c r="D40" s="37" t="s">
        <v>50</v>
      </c>
      <c r="E40" s="23" t="s">
        <v>177</v>
      </c>
      <c r="F40" s="31">
        <v>1080</v>
      </c>
      <c r="G40" s="31">
        <v>60000</v>
      </c>
      <c r="H40" s="31">
        <f>A_Hai_HP[[#This Row],[ĐƠN GIÁ]]*A_Hai_HP[[#This Row],[SỐ LƯỢNG]]</f>
        <v>64800000</v>
      </c>
      <c r="I40" s="31"/>
      <c r="J40" s="31">
        <f>J39+A_Hai_HP[[#This Row],[THÀNH TIỀN]]-A_Hai_HP[[#This Row],[THANH TOÁN]]</f>
        <v>2812763680</v>
      </c>
      <c r="K40" s="24"/>
    </row>
    <row r="41" spans="1:11" x14ac:dyDescent="0.25">
      <c r="A41" s="22">
        <v>8499</v>
      </c>
      <c r="B41" s="29">
        <v>46114</v>
      </c>
      <c r="C41" s="23" t="s">
        <v>13</v>
      </c>
      <c r="D41" s="37" t="s">
        <v>178</v>
      </c>
      <c r="E41" s="23" t="s">
        <v>41</v>
      </c>
      <c r="F41" s="31">
        <v>1048</v>
      </c>
      <c r="G41" s="31">
        <v>33500</v>
      </c>
      <c r="H41" s="31">
        <f>A_Hai_HP[[#This Row],[ĐƠN GIÁ]]*A_Hai_HP[[#This Row],[SỐ LƯỢNG]]</f>
        <v>35108000</v>
      </c>
      <c r="I41" s="31"/>
      <c r="J41" s="31">
        <f>J40+A_Hai_HP[[#This Row],[THÀNH TIỀN]]-A_Hai_HP[[#This Row],[THANH TOÁN]]</f>
        <v>2847871680</v>
      </c>
      <c r="K41" s="24"/>
    </row>
    <row r="42" spans="1:11" x14ac:dyDescent="0.25">
      <c r="A42" s="22">
        <v>8499</v>
      </c>
      <c r="B42" s="29">
        <v>46114</v>
      </c>
      <c r="C42" s="23" t="s">
        <v>13</v>
      </c>
      <c r="D42" s="37" t="s">
        <v>36</v>
      </c>
      <c r="E42" s="23" t="s">
        <v>179</v>
      </c>
      <c r="F42" s="31">
        <v>1757</v>
      </c>
      <c r="G42" s="31">
        <v>59000</v>
      </c>
      <c r="H42" s="31">
        <f>A_Hai_HP[[#This Row],[ĐƠN GIÁ]]*A_Hai_HP[[#This Row],[SỐ LƯỢNG]]</f>
        <v>103663000</v>
      </c>
      <c r="I42" s="31"/>
      <c r="J42" s="31">
        <f>J41+A_Hai_HP[[#This Row],[THÀNH TIỀN]]-A_Hai_HP[[#This Row],[THANH TOÁN]]</f>
        <v>2951534680</v>
      </c>
      <c r="K42" s="24"/>
    </row>
    <row r="43" spans="1:11" x14ac:dyDescent="0.25">
      <c r="A43" s="22">
        <v>8499</v>
      </c>
      <c r="B43" s="29">
        <v>46114</v>
      </c>
      <c r="C43" s="23" t="s">
        <v>13</v>
      </c>
      <c r="D43" s="37" t="s">
        <v>36</v>
      </c>
      <c r="E43" s="23" t="s">
        <v>116</v>
      </c>
      <c r="F43" s="31">
        <v>1063</v>
      </c>
      <c r="G43" s="31">
        <v>59500</v>
      </c>
      <c r="H43" s="31">
        <f>A_Hai_HP[[#This Row],[ĐƠN GIÁ]]*A_Hai_HP[[#This Row],[SỐ LƯỢNG]]</f>
        <v>63248500</v>
      </c>
      <c r="I43" s="31"/>
      <c r="J43" s="31">
        <f>J42+A_Hai_HP[[#This Row],[THÀNH TIỀN]]-A_Hai_HP[[#This Row],[THANH TOÁN]]</f>
        <v>3014783180</v>
      </c>
      <c r="K43" s="24"/>
    </row>
    <row r="44" spans="1:11" x14ac:dyDescent="0.25">
      <c r="A44" s="22">
        <v>8499</v>
      </c>
      <c r="B44" s="29">
        <v>46114</v>
      </c>
      <c r="C44" s="23" t="s">
        <v>13</v>
      </c>
      <c r="D44" s="37" t="s">
        <v>36</v>
      </c>
      <c r="E44" s="23" t="s">
        <v>110</v>
      </c>
      <c r="F44" s="31">
        <v>956</v>
      </c>
      <c r="G44" s="31">
        <v>60000</v>
      </c>
      <c r="H44" s="31">
        <f>A_Hai_HP[[#This Row],[ĐƠN GIÁ]]*A_Hai_HP[[#This Row],[SỐ LƯỢNG]]</f>
        <v>57360000</v>
      </c>
      <c r="I44" s="31"/>
      <c r="J44" s="31">
        <f>J43+A_Hai_HP[[#This Row],[THÀNH TIỀN]]-A_Hai_HP[[#This Row],[THANH TOÁN]]</f>
        <v>3072143180</v>
      </c>
      <c r="K44" s="24"/>
    </row>
    <row r="45" spans="1:11" x14ac:dyDescent="0.25">
      <c r="A45" s="22">
        <v>8499</v>
      </c>
      <c r="B45" s="29">
        <v>46114</v>
      </c>
      <c r="C45" s="23" t="s">
        <v>13</v>
      </c>
      <c r="D45" s="37" t="s">
        <v>180</v>
      </c>
      <c r="E45" s="23" t="s">
        <v>181</v>
      </c>
      <c r="F45" s="31">
        <v>204</v>
      </c>
      <c r="G45" s="31">
        <v>57000</v>
      </c>
      <c r="H45" s="31">
        <f>A_Hai_HP[[#This Row],[ĐƠN GIÁ]]*A_Hai_HP[[#This Row],[SỐ LƯỢNG]]</f>
        <v>11628000</v>
      </c>
      <c r="I45" s="31"/>
      <c r="J45" s="31">
        <f>J44+A_Hai_HP[[#This Row],[THÀNH TIỀN]]-A_Hai_HP[[#This Row],[THANH TOÁN]]</f>
        <v>3083771180</v>
      </c>
      <c r="K45" s="24"/>
    </row>
    <row r="46" spans="1:11" x14ac:dyDescent="0.25">
      <c r="A46" s="22">
        <v>8529</v>
      </c>
      <c r="B46" s="29">
        <v>46115</v>
      </c>
      <c r="C46" s="23" t="s">
        <v>13</v>
      </c>
      <c r="D46" s="37" t="s">
        <v>36</v>
      </c>
      <c r="E46" s="23" t="s">
        <v>182</v>
      </c>
      <c r="F46" s="31">
        <v>206</v>
      </c>
      <c r="G46" s="31">
        <v>60000</v>
      </c>
      <c r="H46" s="31">
        <f>A_Hai_HP[[#This Row],[ĐƠN GIÁ]]*A_Hai_HP[[#This Row],[SỐ LƯỢNG]]</f>
        <v>12360000</v>
      </c>
      <c r="I46" s="31"/>
      <c r="J46" s="31">
        <f>J45+A_Hai_HP[[#This Row],[THÀNH TIỀN]]-A_Hai_HP[[#This Row],[THANH TOÁN]]</f>
        <v>3096131180</v>
      </c>
      <c r="K46" s="24" t="s">
        <v>183</v>
      </c>
    </row>
    <row r="47" spans="1:11" x14ac:dyDescent="0.25">
      <c r="A47" s="22">
        <v>8529</v>
      </c>
      <c r="B47" s="29">
        <v>46115</v>
      </c>
      <c r="C47" s="23" t="s">
        <v>13</v>
      </c>
      <c r="D47" s="37" t="s">
        <v>43</v>
      </c>
      <c r="E47" s="23" t="s">
        <v>149</v>
      </c>
      <c r="F47" s="31">
        <v>1444</v>
      </c>
      <c r="G47" s="31">
        <v>60500</v>
      </c>
      <c r="H47" s="31">
        <f>A_Hai_HP[[#This Row],[ĐƠN GIÁ]]*A_Hai_HP[[#This Row],[SỐ LƯỢNG]]</f>
        <v>87362000</v>
      </c>
      <c r="I47" s="31"/>
      <c r="J47" s="31">
        <f>J46+A_Hai_HP[[#This Row],[THÀNH TIỀN]]-A_Hai_HP[[#This Row],[THANH TOÁN]]</f>
        <v>3183493180</v>
      </c>
      <c r="K47" s="24"/>
    </row>
    <row r="48" spans="1:11" x14ac:dyDescent="0.25">
      <c r="A48" s="22"/>
      <c r="B48" s="29">
        <v>46115</v>
      </c>
      <c r="C48" s="23" t="s">
        <v>21</v>
      </c>
      <c r="D48" s="37" t="s">
        <v>22</v>
      </c>
      <c r="E48" s="23" t="s">
        <v>147</v>
      </c>
      <c r="F48" s="31">
        <v>0</v>
      </c>
      <c r="G48" s="31"/>
      <c r="H48" s="31">
        <f>A_Hai_HP[[#This Row],[ĐƠN GIÁ]]*A_Hai_HP[[#This Row],[SỐ LƯỢNG]]</f>
        <v>0</v>
      </c>
      <c r="I48" s="31">
        <v>300000000</v>
      </c>
      <c r="J48" s="31">
        <f>J47+A_Hai_HP[[#This Row],[THÀNH TIỀN]]-A_Hai_HP[[#This Row],[THANH TOÁN]]</f>
        <v>2883493180</v>
      </c>
      <c r="K48" s="24"/>
    </row>
    <row r="49" spans="1:11" x14ac:dyDescent="0.25">
      <c r="A49" s="22">
        <v>8601</v>
      </c>
      <c r="B49" s="29">
        <v>46119</v>
      </c>
      <c r="C49" s="23" t="s">
        <v>13</v>
      </c>
      <c r="D49" s="37" t="s">
        <v>26</v>
      </c>
      <c r="E49" s="23" t="s">
        <v>146</v>
      </c>
      <c r="F49" s="31">
        <v>1448</v>
      </c>
      <c r="G49" s="31">
        <v>35000</v>
      </c>
      <c r="H49" s="31">
        <f>A_Hai_HP[[#This Row],[ĐƠN GIÁ]]*A_Hai_HP[[#This Row],[SỐ LƯỢNG]]</f>
        <v>50680000</v>
      </c>
      <c r="I49" s="31"/>
      <c r="J49" s="31">
        <f>J48+A_Hai_HP[[#This Row],[THÀNH TIỀN]]-A_Hai_HP[[#This Row],[THANH TOÁN]]</f>
        <v>2934173180</v>
      </c>
      <c r="K49" s="24"/>
    </row>
    <row r="50" spans="1:11" x14ac:dyDescent="0.25">
      <c r="A50" s="22">
        <v>8601</v>
      </c>
      <c r="B50" s="29">
        <v>46119</v>
      </c>
      <c r="C50" s="23" t="s">
        <v>13</v>
      </c>
      <c r="D50" s="37" t="s">
        <v>135</v>
      </c>
      <c r="E50" s="23" t="s">
        <v>148</v>
      </c>
      <c r="F50" s="31">
        <v>2035</v>
      </c>
      <c r="G50" s="31">
        <v>37500</v>
      </c>
      <c r="H50" s="31">
        <f>A_Hai_HP[[#This Row],[ĐƠN GIÁ]]*A_Hai_HP[[#This Row],[SỐ LƯỢNG]]</f>
        <v>76312500</v>
      </c>
      <c r="I50" s="31"/>
      <c r="J50" s="31">
        <f>J49+A_Hai_HP[[#This Row],[THÀNH TIỀN]]-A_Hai_HP[[#This Row],[THANH TOÁN]]</f>
        <v>3010485680</v>
      </c>
      <c r="K50" s="24" t="s">
        <v>184</v>
      </c>
    </row>
    <row r="51" spans="1:11" x14ac:dyDescent="0.25">
      <c r="A51" s="22">
        <v>8601</v>
      </c>
      <c r="B51" s="29">
        <v>46119</v>
      </c>
      <c r="C51" s="23" t="s">
        <v>13</v>
      </c>
      <c r="D51" s="37" t="s">
        <v>43</v>
      </c>
      <c r="E51" s="23" t="s">
        <v>148</v>
      </c>
      <c r="F51" s="31">
        <v>2070</v>
      </c>
      <c r="G51" s="31">
        <v>60000</v>
      </c>
      <c r="H51" s="31">
        <f>A_Hai_HP[[#This Row],[ĐƠN GIÁ]]*A_Hai_HP[[#This Row],[SỐ LƯỢNG]]</f>
        <v>124200000</v>
      </c>
      <c r="I51" s="31"/>
      <c r="J51" s="31">
        <f>J50+A_Hai_HP[[#This Row],[THÀNH TIỀN]]-A_Hai_HP[[#This Row],[THANH TOÁN]]</f>
        <v>3134685680</v>
      </c>
      <c r="K51" s="24"/>
    </row>
    <row r="52" spans="1:11" x14ac:dyDescent="0.25">
      <c r="A52" s="22">
        <v>8601</v>
      </c>
      <c r="B52" s="29">
        <v>46119</v>
      </c>
      <c r="C52" s="23" t="s">
        <v>13</v>
      </c>
      <c r="D52" s="37" t="s">
        <v>43</v>
      </c>
      <c r="E52" s="23" t="s">
        <v>185</v>
      </c>
      <c r="F52" s="31">
        <v>1452</v>
      </c>
      <c r="G52" s="31">
        <v>60500</v>
      </c>
      <c r="H52" s="31">
        <f>A_Hai_HP[[#This Row],[ĐƠN GIÁ]]*A_Hai_HP[[#This Row],[SỐ LƯỢNG]]</f>
        <v>87846000</v>
      </c>
      <c r="I52" s="31"/>
      <c r="J52" s="31">
        <f>J51+A_Hai_HP[[#This Row],[THÀNH TIỀN]]-A_Hai_HP[[#This Row],[THANH TOÁN]]</f>
        <v>3222531680</v>
      </c>
      <c r="K52" s="24" t="s">
        <v>186</v>
      </c>
    </row>
    <row r="53" spans="1:11" x14ac:dyDescent="0.25">
      <c r="A53" s="22"/>
      <c r="B53" s="29">
        <v>46122</v>
      </c>
      <c r="C53" s="23" t="s">
        <v>21</v>
      </c>
      <c r="D53" s="37" t="s">
        <v>22</v>
      </c>
      <c r="E53" s="23" t="s">
        <v>147</v>
      </c>
      <c r="F53" s="31">
        <v>0</v>
      </c>
      <c r="G53" s="31"/>
      <c r="H53" s="31">
        <f>A_Hai_HP[[#This Row],[ĐƠN GIÁ]]*A_Hai_HP[[#This Row],[SỐ LƯỢNG]]</f>
        <v>0</v>
      </c>
      <c r="I53" s="31">
        <v>300000000</v>
      </c>
      <c r="J53" s="31">
        <f>J52+A_Hai_HP[[#This Row],[THÀNH TIỀN]]-A_Hai_HP[[#This Row],[THANH TOÁN]]</f>
        <v>2922531680</v>
      </c>
      <c r="K53" s="24"/>
    </row>
    <row r="54" spans="1:11" x14ac:dyDescent="0.25">
      <c r="A54" s="22">
        <v>8698</v>
      </c>
      <c r="B54" s="29">
        <v>46123</v>
      </c>
      <c r="C54" s="23" t="s">
        <v>13</v>
      </c>
      <c r="D54" s="37" t="s">
        <v>14</v>
      </c>
      <c r="E54" s="23" t="s">
        <v>62</v>
      </c>
      <c r="F54" s="31">
        <v>2009</v>
      </c>
      <c r="G54" s="31">
        <v>43000</v>
      </c>
      <c r="H54" s="31">
        <f>A_Hai_HP[[#This Row],[ĐƠN GIÁ]]*A_Hai_HP[[#This Row],[SỐ LƯỢNG]]</f>
        <v>86387000</v>
      </c>
      <c r="I54" s="31"/>
      <c r="J54" s="31">
        <f>J53+A_Hai_HP[[#This Row],[THÀNH TIỀN]]-A_Hai_HP[[#This Row],[THANH TOÁN]]</f>
        <v>3008918680</v>
      </c>
      <c r="K54" s="24"/>
    </row>
    <row r="55" spans="1:11" x14ac:dyDescent="0.25">
      <c r="A55" s="22">
        <v>8698</v>
      </c>
      <c r="B55" s="29">
        <v>46123</v>
      </c>
      <c r="C55" s="23" t="s">
        <v>13</v>
      </c>
      <c r="D55" s="37" t="s">
        <v>14</v>
      </c>
      <c r="E55" s="23" t="s">
        <v>41</v>
      </c>
      <c r="F55" s="31">
        <v>2006</v>
      </c>
      <c r="G55" s="31">
        <v>41500</v>
      </c>
      <c r="H55" s="31">
        <f>A_Hai_HP[[#This Row],[ĐƠN GIÁ]]*A_Hai_HP[[#This Row],[SỐ LƯỢNG]]</f>
        <v>83249000</v>
      </c>
      <c r="I55" s="31"/>
      <c r="J55" s="31">
        <f>J54+A_Hai_HP[[#This Row],[THÀNH TIỀN]]-A_Hai_HP[[#This Row],[THANH TOÁN]]</f>
        <v>3092167680</v>
      </c>
      <c r="K55" s="24"/>
    </row>
    <row r="56" spans="1:11" x14ac:dyDescent="0.25">
      <c r="A56" s="22">
        <v>8698</v>
      </c>
      <c r="B56" s="29">
        <v>46123</v>
      </c>
      <c r="C56" s="23" t="s">
        <v>13</v>
      </c>
      <c r="D56" s="37" t="s">
        <v>14</v>
      </c>
      <c r="E56" s="23" t="s">
        <v>136</v>
      </c>
      <c r="F56" s="31">
        <v>2194</v>
      </c>
      <c r="G56" s="31">
        <v>41500</v>
      </c>
      <c r="H56" s="31">
        <f>A_Hai_HP[[#This Row],[ĐƠN GIÁ]]*A_Hai_HP[[#This Row],[SỐ LƯỢNG]]</f>
        <v>91051000</v>
      </c>
      <c r="I56" s="31"/>
      <c r="J56" s="31">
        <f>J55+A_Hai_HP[[#This Row],[THÀNH TIỀN]]-A_Hai_HP[[#This Row],[THANH TOÁN]]</f>
        <v>3183218680</v>
      </c>
      <c r="K56" s="24"/>
    </row>
    <row r="57" spans="1:11" x14ac:dyDescent="0.25">
      <c r="A57" s="22">
        <v>8737</v>
      </c>
      <c r="B57" s="29">
        <v>46125</v>
      </c>
      <c r="C57" s="23" t="s">
        <v>13</v>
      </c>
      <c r="D57" s="37" t="s">
        <v>14</v>
      </c>
      <c r="E57" s="23" t="s">
        <v>78</v>
      </c>
      <c r="F57" s="31">
        <v>2102</v>
      </c>
      <c r="G57" s="31">
        <v>45000</v>
      </c>
      <c r="H57" s="31">
        <f>A_Hai_HP[[#This Row],[ĐƠN GIÁ]]*A_Hai_HP[[#This Row],[SỐ LƯỢNG]]</f>
        <v>94590000</v>
      </c>
      <c r="I57" s="31"/>
      <c r="J57" s="31">
        <f>J56+A_Hai_HP[[#This Row],[THÀNH TIỀN]]-A_Hai_HP[[#This Row],[THANH TOÁN]]</f>
        <v>3277808680</v>
      </c>
      <c r="K57" s="24"/>
    </row>
    <row r="58" spans="1:11" x14ac:dyDescent="0.25">
      <c r="A58" s="22">
        <v>8737</v>
      </c>
      <c r="B58" s="29">
        <v>46125</v>
      </c>
      <c r="C58" s="23" t="s">
        <v>13</v>
      </c>
      <c r="D58" s="37" t="s">
        <v>14</v>
      </c>
      <c r="E58" s="23" t="s">
        <v>134</v>
      </c>
      <c r="F58" s="31">
        <v>2750</v>
      </c>
      <c r="G58" s="31">
        <v>41500</v>
      </c>
      <c r="H58" s="31">
        <f>A_Hai_HP[[#This Row],[ĐƠN GIÁ]]*A_Hai_HP[[#This Row],[SỐ LƯỢNG]]</f>
        <v>114125000</v>
      </c>
      <c r="I58" s="31"/>
      <c r="J58" s="31">
        <f>J57+A_Hai_HP[[#This Row],[THÀNH TIỀN]]-A_Hai_HP[[#This Row],[THANH TOÁN]]</f>
        <v>3391933680</v>
      </c>
      <c r="K58" s="24"/>
    </row>
    <row r="59" spans="1:11" x14ac:dyDescent="0.25">
      <c r="A59" s="22">
        <v>8768</v>
      </c>
      <c r="B59" s="29">
        <v>46126</v>
      </c>
      <c r="C59" s="23" t="s">
        <v>13</v>
      </c>
      <c r="D59" s="37" t="s">
        <v>14</v>
      </c>
      <c r="E59" s="23" t="s">
        <v>136</v>
      </c>
      <c r="F59" s="31">
        <v>2134</v>
      </c>
      <c r="G59" s="31">
        <v>41500</v>
      </c>
      <c r="H59" s="31">
        <f>A_Hai_HP[[#This Row],[ĐƠN GIÁ]]*A_Hai_HP[[#This Row],[SỐ LƯỢNG]]</f>
        <v>88561000</v>
      </c>
      <c r="I59" s="31"/>
      <c r="J59" s="31">
        <f>J58+A_Hai_HP[[#This Row],[THÀNH TIỀN]]-A_Hai_HP[[#This Row],[THANH TOÁN]]</f>
        <v>3480494680</v>
      </c>
      <c r="K59" s="24"/>
    </row>
    <row r="60" spans="1:11" x14ac:dyDescent="0.25">
      <c r="A60" s="22"/>
      <c r="B60" s="29">
        <v>46129</v>
      </c>
      <c r="C60" s="23" t="s">
        <v>21</v>
      </c>
      <c r="D60" s="37" t="s">
        <v>22</v>
      </c>
      <c r="E60" s="23" t="s">
        <v>147</v>
      </c>
      <c r="F60" s="31">
        <v>0</v>
      </c>
      <c r="G60" s="31"/>
      <c r="H60" s="31">
        <f>A_Hai_HP[[#This Row],[ĐƠN GIÁ]]*A_Hai_HP[[#This Row],[SỐ LƯỢNG]]</f>
        <v>0</v>
      </c>
      <c r="I60" s="31">
        <v>70000000</v>
      </c>
      <c r="J60" s="31">
        <f>J59+A_Hai_HP[[#This Row],[THÀNH TIỀN]]-A_Hai_HP[[#This Row],[THANH TOÁN]]</f>
        <v>3410494680</v>
      </c>
      <c r="K60" s="24"/>
    </row>
    <row r="61" spans="1:11" x14ac:dyDescent="0.25">
      <c r="A61" s="22"/>
      <c r="B61" s="29">
        <v>46129</v>
      </c>
      <c r="C61" s="23" t="s">
        <v>21</v>
      </c>
      <c r="D61" s="37" t="s">
        <v>22</v>
      </c>
      <c r="E61" s="23" t="s">
        <v>147</v>
      </c>
      <c r="F61" s="31">
        <v>0</v>
      </c>
      <c r="G61" s="31"/>
      <c r="H61" s="31">
        <f>A_Hai_HP[[#This Row],[ĐƠN GIÁ]]*A_Hai_HP[[#This Row],[SỐ LƯỢNG]]</f>
        <v>0</v>
      </c>
      <c r="I61" s="31">
        <v>230000000</v>
      </c>
      <c r="J61" s="31">
        <f>J60+A_Hai_HP[[#This Row],[THÀNH TIỀN]]-A_Hai_HP[[#This Row],[THANH TOÁN]]</f>
        <v>3180494680</v>
      </c>
      <c r="K61" s="24"/>
    </row>
    <row r="62" spans="1:11" x14ac:dyDescent="0.25">
      <c r="A62" s="22">
        <v>8936</v>
      </c>
      <c r="B62" s="29">
        <v>46134</v>
      </c>
      <c r="C62" s="23" t="s">
        <v>13</v>
      </c>
      <c r="D62" s="37" t="s">
        <v>50</v>
      </c>
      <c r="E62" s="23" t="s">
        <v>1094</v>
      </c>
      <c r="F62" s="31">
        <v>7668</v>
      </c>
      <c r="G62" s="31">
        <v>58000</v>
      </c>
      <c r="H62" s="31">
        <f>A_Hai_HP[[#This Row],[ĐƠN GIÁ]]*A_Hai_HP[[#This Row],[SỐ LƯỢNG]]</f>
        <v>444744000</v>
      </c>
      <c r="I62" s="31"/>
      <c r="J62" s="31">
        <f>J61+A_Hai_HP[[#This Row],[THÀNH TIỀN]]-A_Hai_HP[[#This Row],[THANH TOÁN]]</f>
        <v>3625238680</v>
      </c>
      <c r="K62" s="24"/>
    </row>
    <row r="63" spans="1:11" x14ac:dyDescent="0.25">
      <c r="A63" s="22">
        <v>8955</v>
      </c>
      <c r="B63" s="29">
        <v>46135</v>
      </c>
      <c r="C63" s="23" t="s">
        <v>13</v>
      </c>
      <c r="D63" s="37" t="s">
        <v>150</v>
      </c>
      <c r="E63" s="23" t="s">
        <v>990</v>
      </c>
      <c r="F63" s="31">
        <v>700</v>
      </c>
      <c r="G63" s="31">
        <v>37000</v>
      </c>
      <c r="H63" s="31">
        <f>A_Hai_HP[[#This Row],[ĐƠN GIÁ]]*A_Hai_HP[[#This Row],[SỐ LƯỢNG]]</f>
        <v>25900000</v>
      </c>
      <c r="I63" s="31"/>
      <c r="J63" s="31">
        <f>J62+A_Hai_HP[[#This Row],[THÀNH TIỀN]]-A_Hai_HP[[#This Row],[THANH TOÁN]]</f>
        <v>3651138680</v>
      </c>
      <c r="K63" s="24"/>
    </row>
    <row r="64" spans="1:11" x14ac:dyDescent="0.25">
      <c r="A64" s="22">
        <v>8955</v>
      </c>
      <c r="B64" s="29">
        <v>46135</v>
      </c>
      <c r="C64" s="23" t="s">
        <v>13</v>
      </c>
      <c r="D64" s="37" t="s">
        <v>50</v>
      </c>
      <c r="E64" s="23" t="s">
        <v>717</v>
      </c>
      <c r="F64" s="31">
        <v>2238</v>
      </c>
      <c r="G64" s="31">
        <v>61000</v>
      </c>
      <c r="H64" s="31">
        <f>A_Hai_HP[[#This Row],[ĐƠN GIÁ]]*A_Hai_HP[[#This Row],[SỐ LƯỢNG]]</f>
        <v>136518000</v>
      </c>
      <c r="I64" s="31"/>
      <c r="J64" s="31">
        <f>J63+A_Hai_HP[[#This Row],[THÀNH TIỀN]]-A_Hai_HP[[#This Row],[THANH TOÁN]]</f>
        <v>3787656680</v>
      </c>
      <c r="K64" s="24"/>
    </row>
    <row r="65" spans="1:11" x14ac:dyDescent="0.25">
      <c r="A65" s="22"/>
      <c r="B65" s="29">
        <v>46140</v>
      </c>
      <c r="C65" s="23" t="s">
        <v>21</v>
      </c>
      <c r="D65" s="37" t="s">
        <v>22</v>
      </c>
      <c r="E65" s="23" t="s">
        <v>147</v>
      </c>
      <c r="F65" s="31"/>
      <c r="G65" s="31"/>
      <c r="H65" s="31">
        <f>A_Hai_HP[[#This Row],[ĐƠN GIÁ]]*A_Hai_HP[[#This Row],[SỐ LƯỢNG]]</f>
        <v>0</v>
      </c>
      <c r="I65" s="31">
        <v>300000000</v>
      </c>
      <c r="J65" s="31">
        <f>J64+A_Hai_HP[[#This Row],[THÀNH TIỀN]]-A_Hai_HP[[#This Row],[THANH TOÁN]]</f>
        <v>3487656680</v>
      </c>
      <c r="K65" s="24"/>
    </row>
    <row r="66" spans="1:11" x14ac:dyDescent="0.25">
      <c r="A66" s="22">
        <v>9113</v>
      </c>
      <c r="B66" s="29">
        <v>46141</v>
      </c>
      <c r="C66" s="23" t="s">
        <v>13</v>
      </c>
      <c r="D66" s="37" t="s">
        <v>43</v>
      </c>
      <c r="E66" s="23" t="s">
        <v>188</v>
      </c>
      <c r="F66" s="31">
        <v>693</v>
      </c>
      <c r="G66" s="31">
        <v>59000</v>
      </c>
      <c r="H66" s="31">
        <f>A_Hai_HP[[#This Row],[ĐƠN GIÁ]]*A_Hai_HP[[#This Row],[SỐ LƯỢNG]]</f>
        <v>40887000</v>
      </c>
      <c r="I66" s="31"/>
      <c r="J66" s="31">
        <f>J65+A_Hai_HP[[#This Row],[THÀNH TIỀN]]-A_Hai_HP[[#This Row],[THANH TOÁN]]</f>
        <v>3528543680</v>
      </c>
      <c r="K66" s="24"/>
    </row>
    <row r="67" spans="1:11" x14ac:dyDescent="0.25">
      <c r="A67" s="22">
        <v>9148</v>
      </c>
      <c r="B67" s="29">
        <v>46146</v>
      </c>
      <c r="C67" s="23" t="s">
        <v>13</v>
      </c>
      <c r="D67" s="37" t="s">
        <v>50</v>
      </c>
      <c r="E67" s="23" t="s">
        <v>1818</v>
      </c>
      <c r="F67" s="31">
        <v>1290</v>
      </c>
      <c r="G67" s="31">
        <v>62000</v>
      </c>
      <c r="H67" s="31">
        <f>A_Hai_HP[[#This Row],[ĐƠN GIÁ]]*A_Hai_HP[[#This Row],[SỐ LƯỢNG]]</f>
        <v>79980000</v>
      </c>
      <c r="I67" s="31"/>
      <c r="J67" s="31">
        <f>J66+A_Hai_HP[[#This Row],[THÀNH TIỀN]]-A_Hai_HP[[#This Row],[THANH TOÁN]]</f>
        <v>3608523680</v>
      </c>
      <c r="K67" s="24"/>
    </row>
    <row r="68" spans="1:11" x14ac:dyDescent="0.25">
      <c r="A68" s="22">
        <v>9308</v>
      </c>
      <c r="B68" s="29">
        <v>46153</v>
      </c>
      <c r="C68" s="23" t="s">
        <v>13</v>
      </c>
      <c r="D68" s="37" t="s">
        <v>50</v>
      </c>
      <c r="E68" s="23" t="s">
        <v>378</v>
      </c>
      <c r="F68" s="31">
        <v>3213</v>
      </c>
      <c r="G68" s="31">
        <v>57000</v>
      </c>
      <c r="H68" s="31">
        <f>A_Hai_HP[[#This Row],[ĐƠN GIÁ]]*A_Hai_HP[[#This Row],[SỐ LƯỢNG]]</f>
        <v>183141000</v>
      </c>
      <c r="I68" s="31"/>
      <c r="J68" s="31">
        <f>J67+A_Hai_HP[[#This Row],[THÀNH TIỀN]]-A_Hai_HP[[#This Row],[THANH TOÁN]]</f>
        <v>3791664680</v>
      </c>
      <c r="K68" s="24"/>
    </row>
    <row r="69" spans="1:11" x14ac:dyDescent="0.25">
      <c r="A69" s="25">
        <v>9308</v>
      </c>
      <c r="B69" s="30">
        <v>46153</v>
      </c>
      <c r="C69" s="26" t="s">
        <v>13</v>
      </c>
      <c r="D69" s="38" t="s">
        <v>50</v>
      </c>
      <c r="E69" s="26" t="s">
        <v>1303</v>
      </c>
      <c r="F69" s="28">
        <v>406</v>
      </c>
      <c r="G69" s="28">
        <v>57000</v>
      </c>
      <c r="H69" s="28">
        <f>A_Hai_HP[[#This Row],[ĐƠN GIÁ]]*A_Hai_HP[[#This Row],[SỐ LƯỢNG]]</f>
        <v>23142000</v>
      </c>
      <c r="I69" s="28"/>
      <c r="J69" s="28">
        <f>J68+A_Hai_HP[[#This Row],[THÀNH TIỀN]]-A_Hai_HP[[#This Row],[THANH TOÁN]]</f>
        <v>3814806680</v>
      </c>
      <c r="K69" s="27"/>
    </row>
    <row r="70" spans="1:11" x14ac:dyDescent="0.25">
      <c r="A70" s="22"/>
      <c r="B70" s="29">
        <v>46148</v>
      </c>
      <c r="C70" s="23" t="s">
        <v>21</v>
      </c>
      <c r="D70" s="37" t="s">
        <v>22</v>
      </c>
      <c r="E70" s="23" t="s">
        <v>147</v>
      </c>
      <c r="F70" s="31">
        <v>0</v>
      </c>
      <c r="G70" s="31"/>
      <c r="H70" s="31">
        <f>A_Hai_HP[[#This Row],[ĐƠN GIÁ]]*A_Hai_HP[[#This Row],[SỐ LƯỢNG]]</f>
        <v>0</v>
      </c>
      <c r="I70" s="31">
        <v>300000000</v>
      </c>
      <c r="J70" s="31">
        <f>J69+A_Hai_HP[[#This Row],[THÀNH TIỀN]]-A_Hai_HP[[#This Row],[THANH TOÁN]]</f>
        <v>3514806680</v>
      </c>
      <c r="K70" s="24"/>
    </row>
    <row r="71" spans="1:11" x14ac:dyDescent="0.25">
      <c r="A71" s="22"/>
      <c r="B71" s="29">
        <v>46156</v>
      </c>
      <c r="C71" s="23" t="s">
        <v>21</v>
      </c>
      <c r="D71" s="37" t="s">
        <v>22</v>
      </c>
      <c r="E71" s="23" t="s">
        <v>147</v>
      </c>
      <c r="F71" s="31">
        <v>0</v>
      </c>
      <c r="G71" s="31"/>
      <c r="H71" s="31">
        <f>A_Hai_HP[[#This Row],[ĐƠN GIÁ]]*A_Hai_HP[[#This Row],[SỐ LƯỢNG]]</f>
        <v>0</v>
      </c>
      <c r="I71" s="31">
        <v>300000000</v>
      </c>
      <c r="J71" s="31">
        <f>J70+A_Hai_HP[[#This Row],[THÀNH TIỀN]]-A_Hai_HP[[#This Row],[THANH TOÁN]]</f>
        <v>3214806680</v>
      </c>
      <c r="K71" s="24"/>
    </row>
    <row r="72" spans="1:11" x14ac:dyDescent="0.25">
      <c r="A72" s="22">
        <v>9441</v>
      </c>
      <c r="B72" s="29">
        <v>46158</v>
      </c>
      <c r="C72" s="23" t="s">
        <v>13</v>
      </c>
      <c r="D72" s="37" t="s">
        <v>50</v>
      </c>
      <c r="E72" s="23" t="s">
        <v>73</v>
      </c>
      <c r="F72" s="31">
        <v>3826</v>
      </c>
      <c r="G72" s="31">
        <v>61000</v>
      </c>
      <c r="H72" s="31">
        <f>A_Hai_HP[[#This Row],[ĐƠN GIÁ]]*A_Hai_HP[[#This Row],[SỐ LƯỢNG]]</f>
        <v>233386000</v>
      </c>
      <c r="I72" s="31"/>
      <c r="J72" s="31">
        <f>J71+A_Hai_HP[[#This Row],[THÀNH TIỀN]]-A_Hai_HP[[#This Row],[THANH TOÁN]]</f>
        <v>3448192680</v>
      </c>
      <c r="K72" s="24"/>
    </row>
    <row r="73" spans="1:11" x14ac:dyDescent="0.25">
      <c r="A73" s="22">
        <v>9546</v>
      </c>
      <c r="B73" s="29">
        <v>46164</v>
      </c>
      <c r="C73" s="23" t="s">
        <v>13</v>
      </c>
      <c r="D73" s="37" t="s">
        <v>103</v>
      </c>
      <c r="E73" s="23" t="s">
        <v>1015</v>
      </c>
      <c r="F73" s="31">
        <v>3508</v>
      </c>
      <c r="G73" s="31">
        <v>37000</v>
      </c>
      <c r="H73" s="31">
        <f>A_Hai_HP[[#This Row],[ĐƠN GIÁ]]*A_Hai_HP[[#This Row],[SỐ LƯỢNG]]</f>
        <v>129796000</v>
      </c>
      <c r="I73" s="31"/>
      <c r="J73" s="31">
        <f>J72+A_Hai_HP[[#This Row],[THÀNH TIỀN]]-A_Hai_HP[[#This Row],[THANH TOÁN]]</f>
        <v>3577988680</v>
      </c>
      <c r="K73" s="24"/>
    </row>
    <row r="74" spans="1:11" x14ac:dyDescent="0.25">
      <c r="A74" s="22">
        <v>9546</v>
      </c>
      <c r="B74" s="29">
        <v>46164</v>
      </c>
      <c r="C74" s="23" t="s">
        <v>13</v>
      </c>
      <c r="D74" s="37" t="s">
        <v>17</v>
      </c>
      <c r="E74" s="23" t="s">
        <v>230</v>
      </c>
      <c r="F74" s="31">
        <v>1672</v>
      </c>
      <c r="G74" s="31">
        <v>71000</v>
      </c>
      <c r="H74" s="31">
        <f>A_Hai_HP[[#This Row],[ĐƠN GIÁ]]*A_Hai_HP[[#This Row],[SỐ LƯỢNG]]</f>
        <v>118712000</v>
      </c>
      <c r="I74" s="31"/>
      <c r="J74" s="31">
        <f>J73+A_Hai_HP[[#This Row],[THÀNH TIỀN]]-A_Hai_HP[[#This Row],[THANH TOÁN]]</f>
        <v>3696700680</v>
      </c>
      <c r="K74" s="24"/>
    </row>
    <row r="75" spans="1:11" x14ac:dyDescent="0.25">
      <c r="A75" s="22">
        <v>9546</v>
      </c>
      <c r="B75" s="29">
        <v>46164</v>
      </c>
      <c r="C75" s="23" t="s">
        <v>13</v>
      </c>
      <c r="D75" s="37" t="s">
        <v>17</v>
      </c>
      <c r="E75" s="23" t="s">
        <v>146</v>
      </c>
      <c r="F75" s="31">
        <v>2130</v>
      </c>
      <c r="G75" s="31">
        <v>62500</v>
      </c>
      <c r="H75" s="31">
        <f>A_Hai_HP[[#This Row],[ĐƠN GIÁ]]*A_Hai_HP[[#This Row],[SỐ LƯỢNG]]</f>
        <v>133125000</v>
      </c>
      <c r="I75" s="31"/>
      <c r="J75" s="31">
        <f>J74+A_Hai_HP[[#This Row],[THÀNH TIỀN]]-A_Hai_HP[[#This Row],[THANH TOÁN]]</f>
        <v>3829825680</v>
      </c>
      <c r="K75" s="24"/>
    </row>
    <row r="76" spans="1:11" x14ac:dyDescent="0.25">
      <c r="A76" s="22"/>
      <c r="B76" s="29">
        <v>46163</v>
      </c>
      <c r="C76" s="23" t="s">
        <v>21</v>
      </c>
      <c r="D76" s="37" t="s">
        <v>22</v>
      </c>
      <c r="E76" s="23" t="s">
        <v>147</v>
      </c>
      <c r="F76" s="31">
        <v>0</v>
      </c>
      <c r="G76" s="31"/>
      <c r="H76" s="31">
        <f>A_Hai_HP[[#This Row],[ĐƠN GIÁ]]*A_Hai_HP[[#This Row],[SỐ LƯỢNG]]</f>
        <v>0</v>
      </c>
      <c r="I76" s="31">
        <v>300000000</v>
      </c>
      <c r="J76" s="31">
        <f>J75+A_Hai_HP[[#This Row],[THÀNH TIỀN]]-A_Hai_HP[[#This Row],[THANH TOÁN]]</f>
        <v>3529825680</v>
      </c>
      <c r="K76" s="24"/>
    </row>
    <row r="77" spans="1:11" x14ac:dyDescent="0.25">
      <c r="A77" s="22">
        <v>9569</v>
      </c>
      <c r="B77" s="29">
        <v>46165</v>
      </c>
      <c r="C77" s="23" t="s">
        <v>13</v>
      </c>
      <c r="D77" s="37" t="s">
        <v>68</v>
      </c>
      <c r="E77" s="23" t="s">
        <v>1127</v>
      </c>
      <c r="F77" s="31">
        <v>412</v>
      </c>
      <c r="G77" s="31">
        <v>43000</v>
      </c>
      <c r="H77" s="31">
        <f>A_Hai_HP[[#This Row],[ĐƠN GIÁ]]*A_Hai_HP[[#This Row],[SỐ LƯỢNG]]</f>
        <v>17716000</v>
      </c>
      <c r="I77" s="31"/>
      <c r="J77" s="31">
        <f>J76+A_Hai_HP[[#This Row],[THÀNH TIỀN]]-A_Hai_HP[[#This Row],[THANH TOÁN]]</f>
        <v>3547541680</v>
      </c>
      <c r="K77" s="24"/>
    </row>
    <row r="78" spans="1:11" x14ac:dyDescent="0.25">
      <c r="A78" s="22">
        <v>9569</v>
      </c>
      <c r="B78" s="29">
        <v>46165</v>
      </c>
      <c r="C78" s="23" t="s">
        <v>13</v>
      </c>
      <c r="D78" s="37" t="s">
        <v>68</v>
      </c>
      <c r="E78" s="23" t="s">
        <v>1844</v>
      </c>
      <c r="F78" s="31">
        <v>184</v>
      </c>
      <c r="G78" s="31">
        <v>43000</v>
      </c>
      <c r="H78" s="31">
        <f>A_Hai_HP[[#This Row],[ĐƠN GIÁ]]*A_Hai_HP[[#This Row],[SỐ LƯỢNG]]</f>
        <v>7912000</v>
      </c>
      <c r="I78" s="31"/>
      <c r="J78" s="31">
        <f>J77+A_Hai_HP[[#This Row],[THÀNH TIỀN]]-A_Hai_HP[[#This Row],[THANH TOÁN]]</f>
        <v>3555453680</v>
      </c>
      <c r="K78" s="24"/>
    </row>
    <row r="79" spans="1:11" x14ac:dyDescent="0.25">
      <c r="A79" s="22">
        <v>9668</v>
      </c>
      <c r="B79" s="29">
        <v>46170</v>
      </c>
      <c r="C79" s="23" t="s">
        <v>13</v>
      </c>
      <c r="D79" s="37" t="s">
        <v>68</v>
      </c>
      <c r="E79" s="23" t="s">
        <v>2501</v>
      </c>
      <c r="F79" s="31">
        <v>310</v>
      </c>
      <c r="G79" s="31">
        <v>42000</v>
      </c>
      <c r="H79" s="31">
        <f>A_Hai_HP[[#This Row],[ĐƠN GIÁ]]*A_Hai_HP[[#This Row],[SỐ LƯỢNG]]</f>
        <v>13020000</v>
      </c>
      <c r="I79" s="31"/>
      <c r="J79" s="31">
        <f>J78+A_Hai_HP[[#This Row],[THÀNH TIỀN]]-A_Hai_HP[[#This Row],[THANH TOÁN]]</f>
        <v>3568473680</v>
      </c>
      <c r="K79" s="24"/>
    </row>
    <row r="80" spans="1:11" x14ac:dyDescent="0.25">
      <c r="A80" s="22">
        <v>9668</v>
      </c>
      <c r="B80" s="29">
        <v>46170</v>
      </c>
      <c r="C80" s="23" t="s">
        <v>13</v>
      </c>
      <c r="D80" s="37" t="s">
        <v>328</v>
      </c>
      <c r="E80" s="23" t="s">
        <v>73</v>
      </c>
      <c r="F80" s="31">
        <v>108</v>
      </c>
      <c r="G80" s="31">
        <v>39000</v>
      </c>
      <c r="H80" s="31">
        <f>A_Hai_HP[[#This Row],[ĐƠN GIÁ]]*A_Hai_HP[[#This Row],[SỐ LƯỢNG]]</f>
        <v>4212000</v>
      </c>
      <c r="I80" s="31"/>
      <c r="J80" s="31">
        <f>J79+A_Hai_HP[[#This Row],[THÀNH TIỀN]]-A_Hai_HP[[#This Row],[THANH TOÁN]]</f>
        <v>3572685680</v>
      </c>
      <c r="K80" s="24"/>
    </row>
    <row r="81" spans="1:11" x14ac:dyDescent="0.25">
      <c r="A81" s="22">
        <v>9668</v>
      </c>
      <c r="B81" s="29">
        <v>46170</v>
      </c>
      <c r="C81" s="23" t="s">
        <v>13</v>
      </c>
      <c r="D81" s="37" t="s">
        <v>43</v>
      </c>
      <c r="E81" s="23" t="s">
        <v>62</v>
      </c>
      <c r="F81" s="31">
        <v>1848</v>
      </c>
      <c r="G81" s="31">
        <v>62000</v>
      </c>
      <c r="H81" s="31">
        <f>A_Hai_HP[[#This Row],[ĐƠN GIÁ]]*A_Hai_HP[[#This Row],[SỐ LƯỢNG]]</f>
        <v>114576000</v>
      </c>
      <c r="I81" s="31"/>
      <c r="J81" s="31">
        <f>J80+A_Hai_HP[[#This Row],[THÀNH TIỀN]]-A_Hai_HP[[#This Row],[THANH TOÁN]]</f>
        <v>3687261680</v>
      </c>
      <c r="K81" s="24"/>
    </row>
    <row r="82" spans="1:11" x14ac:dyDescent="0.25">
      <c r="A82" s="22">
        <v>9668</v>
      </c>
      <c r="B82" s="29">
        <v>46170</v>
      </c>
      <c r="C82" s="23" t="s">
        <v>13</v>
      </c>
      <c r="D82" s="37" t="s">
        <v>43</v>
      </c>
      <c r="E82" s="23" t="s">
        <v>248</v>
      </c>
      <c r="F82" s="31">
        <v>3135</v>
      </c>
      <c r="G82" s="31">
        <v>61000</v>
      </c>
      <c r="H82" s="31">
        <f>A_Hai_HP[[#This Row],[ĐƠN GIÁ]]*A_Hai_HP[[#This Row],[SỐ LƯỢNG]]</f>
        <v>191235000</v>
      </c>
      <c r="I82" s="31"/>
      <c r="J82" s="31">
        <f>J81+A_Hai_HP[[#This Row],[THÀNH TIỀN]]-A_Hai_HP[[#This Row],[THANH TOÁN]]</f>
        <v>3878496680</v>
      </c>
      <c r="K82" s="24"/>
    </row>
    <row r="83" spans="1:11" x14ac:dyDescent="0.25">
      <c r="A83" s="22"/>
      <c r="B83" s="29">
        <v>46170</v>
      </c>
      <c r="C83" s="23" t="s">
        <v>21</v>
      </c>
      <c r="D83" s="37" t="s">
        <v>22</v>
      </c>
      <c r="E83" s="23" t="s">
        <v>147</v>
      </c>
      <c r="F83" s="31">
        <v>0</v>
      </c>
      <c r="G83" s="31"/>
      <c r="H83" s="31">
        <f>A_Hai_HP[[#This Row],[ĐƠN GIÁ]]*A_Hai_HP[[#This Row],[SỐ LƯỢNG]]</f>
        <v>0</v>
      </c>
      <c r="I83" s="31">
        <v>300000000</v>
      </c>
      <c r="J83" s="31">
        <f>J82+A_Hai_HP[[#This Row],[THÀNH TIỀN]]-A_Hai_HP[[#This Row],[THANH TOÁN]]</f>
        <v>3578496680</v>
      </c>
      <c r="K83" s="24"/>
    </row>
    <row r="84" spans="1:11" x14ac:dyDescent="0.25">
      <c r="A84" s="22"/>
      <c r="B84" s="29">
        <v>46177</v>
      </c>
      <c r="C84" s="23" t="s">
        <v>21</v>
      </c>
      <c r="D84" s="37" t="s">
        <v>22</v>
      </c>
      <c r="E84" s="23" t="s">
        <v>147</v>
      </c>
      <c r="F84" s="31">
        <v>0</v>
      </c>
      <c r="G84" s="31"/>
      <c r="H84" s="31">
        <f>A_Hai_HP[[#This Row],[ĐƠN GIÁ]]*A_Hai_HP[[#This Row],[SỐ LƯỢNG]]</f>
        <v>0</v>
      </c>
      <c r="I84" s="31">
        <v>300000000</v>
      </c>
      <c r="J84" s="31">
        <f>J83+A_Hai_HP[[#This Row],[THÀNH TIỀN]]-A_Hai_HP[[#This Row],[THANH TOÁN]]</f>
        <v>3278496680</v>
      </c>
      <c r="K84" s="24"/>
    </row>
  </sheetData>
  <pageMargins left="0.70866141732283461" right="0.70866141732283461" top="0.74803149606299213" bottom="0.74803149606299213" header="0.31496062992125984" footer="0.31496062992125984"/>
  <pageSetup orientation="landscape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5A6BD-FEDF-4D08-8B2B-2507A464E9ED}">
  <sheetPr codeName="Sheet6"/>
  <dimension ref="A5:P49"/>
  <sheetViews>
    <sheetView topLeftCell="A30" workbookViewId="0">
      <selection activeCell="K47" sqref="K47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5.8554687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1" width="15" style="1" bestFit="1" customWidth="1"/>
    <col min="12" max="14" width="9.140625" style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778855000</v>
      </c>
    </row>
    <row r="6" spans="1:16" ht="22.5" x14ac:dyDescent="0.25">
      <c r="D6" s="34" t="s">
        <v>187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36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C_Xep_HP[[#This Row],[ĐƠN GIÁ]]*C_Xep_HP[[#This Row],[SỐ LƯỢNG]]</f>
        <v>0</v>
      </c>
      <c r="I10" s="31"/>
      <c r="J10" s="31">
        <v>96228000</v>
      </c>
      <c r="K10" s="24"/>
    </row>
    <row r="11" spans="1:16" x14ac:dyDescent="0.25">
      <c r="A11" s="22">
        <v>7783</v>
      </c>
      <c r="B11" s="29">
        <v>46083</v>
      </c>
      <c r="C11" s="23" t="s">
        <v>13</v>
      </c>
      <c r="D11" s="37" t="s">
        <v>43</v>
      </c>
      <c r="E11" s="23" t="s">
        <v>188</v>
      </c>
      <c r="F11" s="31">
        <v>780</v>
      </c>
      <c r="G11" s="31">
        <v>54000</v>
      </c>
      <c r="H11" s="31">
        <f>C_Xep_HP[[#This Row],[ĐƠN GIÁ]]*C_Xep_HP[[#This Row],[SỐ LƯỢNG]]</f>
        <v>42120000</v>
      </c>
      <c r="I11" s="31"/>
      <c r="J11" s="31">
        <f>J10+C_Xep_HP[[#This Row],[THÀNH TIỀN]]-C_Xep_HP[[#This Row],[THANH TOÁN]]</f>
        <v>138348000</v>
      </c>
      <c r="K11" s="24"/>
    </row>
    <row r="12" spans="1:16" x14ac:dyDescent="0.25">
      <c r="A12" s="22">
        <v>7783</v>
      </c>
      <c r="B12" s="29">
        <v>46083</v>
      </c>
      <c r="C12" s="23" t="s">
        <v>13</v>
      </c>
      <c r="D12" s="37" t="s">
        <v>43</v>
      </c>
      <c r="E12" s="23" t="s">
        <v>148</v>
      </c>
      <c r="F12" s="31">
        <f>630+1030+1130+1090+770+536-9</f>
        <v>5177</v>
      </c>
      <c r="G12" s="31">
        <v>54000</v>
      </c>
      <c r="H12" s="31">
        <f>C_Xep_HP[[#This Row],[ĐƠN GIÁ]]*C_Xep_HP[[#This Row],[SỐ LƯỢNG]]</f>
        <v>279558000</v>
      </c>
      <c r="I12" s="31"/>
      <c r="J12" s="31">
        <f>J11+C_Xep_HP[[#This Row],[THÀNH TIỀN]]-C_Xep_HP[[#This Row],[THANH TOÁN]]</f>
        <v>417906000</v>
      </c>
      <c r="K12" s="24"/>
    </row>
    <row r="13" spans="1:16" x14ac:dyDescent="0.25">
      <c r="A13" s="22">
        <v>7790</v>
      </c>
      <c r="B13" s="29">
        <v>46083</v>
      </c>
      <c r="C13" s="23" t="s">
        <v>13</v>
      </c>
      <c r="D13" s="37" t="s">
        <v>43</v>
      </c>
      <c r="E13" s="23" t="s">
        <v>189</v>
      </c>
      <c r="F13" s="31">
        <f>774+410+500+556+478+530+496+572</f>
        <v>4316</v>
      </c>
      <c r="G13" s="31">
        <v>54000</v>
      </c>
      <c r="H13" s="31">
        <f>C_Xep_HP[[#This Row],[ĐƠN GIÁ]]*C_Xep_HP[[#This Row],[SỐ LƯỢNG]]</f>
        <v>233064000</v>
      </c>
      <c r="I13" s="31"/>
      <c r="J13" s="31">
        <f>J12+C_Xep_HP[[#This Row],[THÀNH TIỀN]]-C_Xep_HP[[#This Row],[THANH TOÁN]]</f>
        <v>650970000</v>
      </c>
      <c r="K13" s="24"/>
    </row>
    <row r="14" spans="1:16" x14ac:dyDescent="0.25">
      <c r="A14" s="22">
        <v>7790</v>
      </c>
      <c r="B14" s="29">
        <v>46083</v>
      </c>
      <c r="C14" s="23" t="s">
        <v>13</v>
      </c>
      <c r="D14" s="37" t="s">
        <v>43</v>
      </c>
      <c r="E14" s="23" t="s">
        <v>190</v>
      </c>
      <c r="F14" s="31">
        <v>328</v>
      </c>
      <c r="G14" s="31">
        <v>54000</v>
      </c>
      <c r="H14" s="31">
        <f>C_Xep_HP[[#This Row],[ĐƠN GIÁ]]*C_Xep_HP[[#This Row],[SỐ LƯỢNG]]</f>
        <v>17712000</v>
      </c>
      <c r="I14" s="31"/>
      <c r="J14" s="31">
        <f>J13+C_Xep_HP[[#This Row],[THÀNH TIỀN]]-C_Xep_HP[[#This Row],[THANH TOÁN]]</f>
        <v>668682000</v>
      </c>
      <c r="K14" s="24"/>
      <c r="P14" s="35"/>
    </row>
    <row r="15" spans="1:16" x14ac:dyDescent="0.25">
      <c r="A15" s="22">
        <v>7790</v>
      </c>
      <c r="B15" s="29">
        <v>46083</v>
      </c>
      <c r="C15" s="23" t="s">
        <v>13</v>
      </c>
      <c r="D15" s="37" t="s">
        <v>36</v>
      </c>
      <c r="E15" s="26" t="s">
        <v>191</v>
      </c>
      <c r="F15" s="28">
        <v>590</v>
      </c>
      <c r="G15" s="28">
        <v>56000</v>
      </c>
      <c r="H15" s="28">
        <f>C_Xep_HP[[#This Row],[ĐƠN GIÁ]]*C_Xep_HP[[#This Row],[SỐ LƯỢNG]]</f>
        <v>33040000</v>
      </c>
      <c r="I15" s="28"/>
      <c r="J15" s="31">
        <f>J14+C_Xep_HP[[#This Row],[THÀNH TIỀN]]-C_Xep_HP[[#This Row],[THANH TOÁN]]</f>
        <v>701722000</v>
      </c>
      <c r="K15" s="27"/>
    </row>
    <row r="16" spans="1:16" x14ac:dyDescent="0.25">
      <c r="A16" s="22">
        <v>7790</v>
      </c>
      <c r="B16" s="29">
        <v>46083</v>
      </c>
      <c r="C16" s="23" t="s">
        <v>13</v>
      </c>
      <c r="D16" s="38" t="s">
        <v>36</v>
      </c>
      <c r="E16" s="26" t="s">
        <v>191</v>
      </c>
      <c r="F16" s="28">
        <v>1026</v>
      </c>
      <c r="G16" s="28">
        <v>56000</v>
      </c>
      <c r="H16" s="28">
        <f>C_Xep_HP[[#This Row],[ĐƠN GIÁ]]*C_Xep_HP[[#This Row],[SỐ LƯỢNG]]</f>
        <v>57456000</v>
      </c>
      <c r="I16" s="28"/>
      <c r="J16" s="28">
        <f>J15+C_Xep_HP[[#This Row],[THÀNH TIỀN]]-C_Xep_HP[[#This Row],[THANH TOÁN]]</f>
        <v>759178000</v>
      </c>
      <c r="K16" s="27"/>
    </row>
    <row r="17" spans="1:11" x14ac:dyDescent="0.25">
      <c r="A17" s="25"/>
      <c r="B17" s="30">
        <v>46086</v>
      </c>
      <c r="C17" s="23" t="s">
        <v>21</v>
      </c>
      <c r="D17" s="38" t="s">
        <v>22</v>
      </c>
      <c r="E17" s="26" t="s">
        <v>147</v>
      </c>
      <c r="F17" s="28"/>
      <c r="G17" s="28"/>
      <c r="H17" s="28">
        <f>C_Xep_HP[[#This Row],[ĐƠN GIÁ]]*C_Xep_HP[[#This Row],[SỐ LƯỢNG]]</f>
        <v>0</v>
      </c>
      <c r="I17" s="28">
        <v>150000000</v>
      </c>
      <c r="J17" s="28">
        <f>J16+C_Xep_HP[[#This Row],[THÀNH TIỀN]]-C_Xep_HP[[#This Row],[THANH TOÁN]]</f>
        <v>609178000</v>
      </c>
      <c r="K17" s="27"/>
    </row>
    <row r="18" spans="1:11" x14ac:dyDescent="0.25">
      <c r="A18" s="25">
        <v>7979</v>
      </c>
      <c r="B18" s="30">
        <v>46091</v>
      </c>
      <c r="C18" s="23" t="s">
        <v>13</v>
      </c>
      <c r="D18" s="38" t="s">
        <v>192</v>
      </c>
      <c r="E18" s="26" t="s">
        <v>141</v>
      </c>
      <c r="F18" s="28">
        <v>830</v>
      </c>
      <c r="G18" s="28">
        <v>32000</v>
      </c>
      <c r="H18" s="28">
        <f>C_Xep_HP[[#This Row],[ĐƠN GIÁ]]*C_Xep_HP[[#This Row],[SỐ LƯỢNG]]</f>
        <v>26560000</v>
      </c>
      <c r="I18" s="28"/>
      <c r="J18" s="28">
        <f>J17+C_Xep_HP[[#This Row],[THÀNH TIỀN]]-C_Xep_HP[[#This Row],[THANH TOÁN]]</f>
        <v>635738000</v>
      </c>
      <c r="K18" s="27"/>
    </row>
    <row r="19" spans="1:11" x14ac:dyDescent="0.25">
      <c r="A19" s="25">
        <v>7979</v>
      </c>
      <c r="B19" s="30">
        <v>46091</v>
      </c>
      <c r="C19" s="23" t="s">
        <v>13</v>
      </c>
      <c r="D19" s="38" t="s">
        <v>36</v>
      </c>
      <c r="E19" s="23" t="s">
        <v>193</v>
      </c>
      <c r="F19" s="31">
        <v>180</v>
      </c>
      <c r="G19" s="31">
        <v>58000</v>
      </c>
      <c r="H19" s="31">
        <f>C_Xep_HP[[#This Row],[ĐƠN GIÁ]]*C_Xep_HP[[#This Row],[SỐ LƯỢNG]]</f>
        <v>10440000</v>
      </c>
      <c r="I19" s="31"/>
      <c r="J19" s="31">
        <f>J18+C_Xep_HP[[#This Row],[THÀNH TIỀN]]-C_Xep_HP[[#This Row],[THANH TOÁN]]</f>
        <v>646178000</v>
      </c>
      <c r="K19" s="24"/>
    </row>
    <row r="20" spans="1:11" x14ac:dyDescent="0.25">
      <c r="A20" s="25">
        <v>7979</v>
      </c>
      <c r="B20" s="30">
        <v>46091</v>
      </c>
      <c r="C20" s="23" t="s">
        <v>13</v>
      </c>
      <c r="D20" s="38" t="s">
        <v>36</v>
      </c>
      <c r="E20" s="26" t="s">
        <v>194</v>
      </c>
      <c r="F20" s="28">
        <v>338</v>
      </c>
      <c r="G20" s="28">
        <v>58000</v>
      </c>
      <c r="H20" s="28">
        <f>C_Xep_HP[[#This Row],[ĐƠN GIÁ]]*C_Xep_HP[[#This Row],[SỐ LƯỢNG]]</f>
        <v>19604000</v>
      </c>
      <c r="I20" s="28"/>
      <c r="J20" s="28">
        <f>J19+C_Xep_HP[[#This Row],[THÀNH TIỀN]]-C_Xep_HP[[#This Row],[THANH TOÁN]]</f>
        <v>665782000</v>
      </c>
      <c r="K20" s="27"/>
    </row>
    <row r="21" spans="1:11" x14ac:dyDescent="0.25">
      <c r="A21" s="25">
        <v>7979</v>
      </c>
      <c r="B21" s="30">
        <v>46091</v>
      </c>
      <c r="C21" s="26" t="s">
        <v>13</v>
      </c>
      <c r="D21" s="38" t="s">
        <v>195</v>
      </c>
      <c r="E21" s="26" t="s">
        <v>196</v>
      </c>
      <c r="F21" s="28">
        <v>5390</v>
      </c>
      <c r="G21" s="28">
        <v>24000</v>
      </c>
      <c r="H21" s="28">
        <f>C_Xep_HP[[#This Row],[ĐƠN GIÁ]]*C_Xep_HP[[#This Row],[SỐ LƯỢNG]]</f>
        <v>129360000</v>
      </c>
      <c r="I21" s="28"/>
      <c r="J21" s="28">
        <f>J20+C_Xep_HP[[#This Row],[THÀNH TIỀN]]-C_Xep_HP[[#This Row],[THANH TOÁN]]</f>
        <v>795142000</v>
      </c>
      <c r="K21" s="27"/>
    </row>
    <row r="22" spans="1:11" ht="31.5" x14ac:dyDescent="0.25">
      <c r="A22" s="25">
        <v>8007</v>
      </c>
      <c r="B22" s="30">
        <v>46092</v>
      </c>
      <c r="C22" s="65" t="s">
        <v>13</v>
      </c>
      <c r="D22" s="50" t="s">
        <v>150</v>
      </c>
      <c r="E22" s="51" t="s">
        <v>197</v>
      </c>
      <c r="F22" s="52">
        <v>4328</v>
      </c>
      <c r="G22" s="52">
        <v>33500</v>
      </c>
      <c r="H22" s="52">
        <f>C_Xep_HP[[#This Row],[ĐƠN GIÁ]]*C_Xep_HP[[#This Row],[SỐ LƯỢNG]]</f>
        <v>144988000</v>
      </c>
      <c r="I22" s="52"/>
      <c r="J22" s="52">
        <f>J21+C_Xep_HP[[#This Row],[THÀNH TIỀN]]-C_Xep_HP[[#This Row],[THANH TOÁN]]</f>
        <v>940130000</v>
      </c>
      <c r="K22" s="66"/>
    </row>
    <row r="23" spans="1:11" x14ac:dyDescent="0.25">
      <c r="A23" s="25"/>
      <c r="B23" s="30">
        <v>46093</v>
      </c>
      <c r="C23" s="26" t="s">
        <v>21</v>
      </c>
      <c r="D23" s="38" t="s">
        <v>22</v>
      </c>
      <c r="E23" s="26" t="s">
        <v>147</v>
      </c>
      <c r="F23" s="28">
        <v>0</v>
      </c>
      <c r="G23" s="28">
        <v>0</v>
      </c>
      <c r="H23" s="28">
        <f>C_Xep_HP[[#This Row],[ĐƠN GIÁ]]*C_Xep_HP[[#This Row],[SỐ LƯỢNG]]</f>
        <v>0</v>
      </c>
      <c r="I23" s="28">
        <v>200000000</v>
      </c>
      <c r="J23" s="28">
        <f>J22+C_Xep_HP[[#This Row],[THÀNH TIỀN]]-C_Xep_HP[[#This Row],[THANH TOÁN]]</f>
        <v>740130000</v>
      </c>
      <c r="K23" s="27"/>
    </row>
    <row r="24" spans="1:11" x14ac:dyDescent="0.25">
      <c r="A24" s="25">
        <v>8083</v>
      </c>
      <c r="B24" s="30">
        <v>46095</v>
      </c>
      <c r="C24" s="26" t="s">
        <v>13</v>
      </c>
      <c r="D24" s="38" t="s">
        <v>43</v>
      </c>
      <c r="E24" s="26" t="s">
        <v>198</v>
      </c>
      <c r="F24" s="28">
        <f>1306</f>
        <v>1306</v>
      </c>
      <c r="G24" s="28">
        <v>54000</v>
      </c>
      <c r="H24" s="28">
        <f>C_Xep_HP[[#This Row],[ĐƠN GIÁ]]*C_Xep_HP[[#This Row],[SỐ LƯỢNG]]</f>
        <v>70524000</v>
      </c>
      <c r="I24" s="28"/>
      <c r="J24" s="28">
        <f>J23+C_Xep_HP[[#This Row],[THÀNH TIỀN]]-C_Xep_HP[[#This Row],[THANH TOÁN]]</f>
        <v>810654000</v>
      </c>
      <c r="K24" s="27"/>
    </row>
    <row r="25" spans="1:11" x14ac:dyDescent="0.25">
      <c r="A25" s="25"/>
      <c r="B25" s="30">
        <v>46101</v>
      </c>
      <c r="C25" s="26" t="s">
        <v>21</v>
      </c>
      <c r="D25" s="38" t="s">
        <v>22</v>
      </c>
      <c r="E25" s="26" t="s">
        <v>147</v>
      </c>
      <c r="F25" s="28">
        <v>0</v>
      </c>
      <c r="G25" s="28">
        <v>0</v>
      </c>
      <c r="H25" s="28">
        <f>C_Xep_HP[[#This Row],[ĐƠN GIÁ]]*C_Xep_HP[[#This Row],[SỐ LƯỢNG]]</f>
        <v>0</v>
      </c>
      <c r="I25" s="28">
        <v>200000000</v>
      </c>
      <c r="J25" s="28">
        <f>J24+C_Xep_HP[[#This Row],[THÀNH TIỀN]]-C_Xep_HP[[#This Row],[THANH TOÁN]]</f>
        <v>610654000</v>
      </c>
      <c r="K25" s="27"/>
    </row>
    <row r="26" spans="1:11" x14ac:dyDescent="0.25">
      <c r="A26" s="25"/>
      <c r="B26" s="30">
        <v>46107</v>
      </c>
      <c r="C26" s="26" t="s">
        <v>21</v>
      </c>
      <c r="D26" s="38" t="s">
        <v>22</v>
      </c>
      <c r="E26" s="26" t="s">
        <v>147</v>
      </c>
      <c r="F26" s="28"/>
      <c r="G26" s="28"/>
      <c r="H26" s="28">
        <f>C_Xep_HP[[#This Row],[ĐƠN GIÁ]]*C_Xep_HP[[#This Row],[SỐ LƯỢNG]]</f>
        <v>0</v>
      </c>
      <c r="I26" s="28">
        <v>200000000</v>
      </c>
      <c r="J26" s="28">
        <f>J25+C_Xep_HP[[#This Row],[THÀNH TIỀN]]-C_Xep_HP[[#This Row],[THANH TOÁN]]</f>
        <v>410654000</v>
      </c>
      <c r="K26" s="27"/>
    </row>
    <row r="27" spans="1:11" x14ac:dyDescent="0.25">
      <c r="A27" s="25">
        <v>8391</v>
      </c>
      <c r="B27" s="30">
        <v>46109</v>
      </c>
      <c r="C27" s="26" t="s">
        <v>13</v>
      </c>
      <c r="D27" s="38" t="s">
        <v>26</v>
      </c>
      <c r="E27" s="26" t="s">
        <v>199</v>
      </c>
      <c r="F27" s="28">
        <v>478</v>
      </c>
      <c r="G27" s="28">
        <v>31000</v>
      </c>
      <c r="H27" s="28">
        <f>C_Xep_HP[[#This Row],[ĐƠN GIÁ]]*C_Xep_HP[[#This Row],[SỐ LƯỢNG]]</f>
        <v>14818000</v>
      </c>
      <c r="I27" s="28"/>
      <c r="J27" s="28">
        <f>J26+C_Xep_HP[[#This Row],[THÀNH TIỀN]]-C_Xep_HP[[#This Row],[THANH TOÁN]]</f>
        <v>425472000</v>
      </c>
      <c r="K27" s="27"/>
    </row>
    <row r="28" spans="1:11" x14ac:dyDescent="0.25">
      <c r="A28" s="22">
        <v>8391</v>
      </c>
      <c r="B28" s="29">
        <v>46109</v>
      </c>
      <c r="C28" s="23" t="s">
        <v>13</v>
      </c>
      <c r="D28" s="37" t="s">
        <v>26</v>
      </c>
      <c r="E28" s="23" t="s">
        <v>200</v>
      </c>
      <c r="F28" s="31">
        <v>1032</v>
      </c>
      <c r="G28" s="31">
        <v>31000</v>
      </c>
      <c r="H28" s="31">
        <f>C_Xep_HP[[#This Row],[ĐƠN GIÁ]]*C_Xep_HP[[#This Row],[SỐ LƯỢNG]]</f>
        <v>31992000</v>
      </c>
      <c r="I28" s="31"/>
      <c r="J28" s="31">
        <f>J27+C_Xep_HP[[#This Row],[THÀNH TIỀN]]-C_Xep_HP[[#This Row],[THANH TOÁN]]</f>
        <v>457464000</v>
      </c>
      <c r="K28" s="24"/>
    </row>
    <row r="29" spans="1:11" x14ac:dyDescent="0.25">
      <c r="A29" s="22">
        <v>8476</v>
      </c>
      <c r="B29" s="29">
        <v>46113</v>
      </c>
      <c r="C29" s="23" t="s">
        <v>13</v>
      </c>
      <c r="D29" s="37" t="s">
        <v>43</v>
      </c>
      <c r="E29" s="23" t="s">
        <v>201</v>
      </c>
      <c r="F29" s="31">
        <v>1990</v>
      </c>
      <c r="G29" s="31">
        <v>55000</v>
      </c>
      <c r="H29" s="31">
        <f>C_Xep_HP[[#This Row],[ĐƠN GIÁ]]*C_Xep_HP[[#This Row],[SỐ LƯỢNG]]</f>
        <v>109450000</v>
      </c>
      <c r="I29" s="31"/>
      <c r="J29" s="31">
        <f>J28+C_Xep_HP[[#This Row],[THÀNH TIỀN]]-C_Xep_HP[[#This Row],[THANH TOÁN]]</f>
        <v>566914000</v>
      </c>
      <c r="K29" s="24"/>
    </row>
    <row r="30" spans="1:11" x14ac:dyDescent="0.25">
      <c r="A30" s="22">
        <v>8630</v>
      </c>
      <c r="B30" s="29">
        <v>46120</v>
      </c>
      <c r="C30" s="23" t="s">
        <v>13</v>
      </c>
      <c r="D30" s="37" t="s">
        <v>109</v>
      </c>
      <c r="E30" s="23" t="s">
        <v>202</v>
      </c>
      <c r="F30" s="31">
        <v>2566</v>
      </c>
      <c r="G30" s="31">
        <v>58000</v>
      </c>
      <c r="H30" s="31">
        <f>C_Xep_HP[[#This Row],[ĐƠN GIÁ]]*C_Xep_HP[[#This Row],[SỐ LƯỢNG]]</f>
        <v>148828000</v>
      </c>
      <c r="I30" s="31"/>
      <c r="J30" s="31">
        <f>J29+C_Xep_HP[[#This Row],[THÀNH TIỀN]]-C_Xep_HP[[#This Row],[THANH TOÁN]]</f>
        <v>715742000</v>
      </c>
      <c r="K30" s="24"/>
    </row>
    <row r="31" spans="1:11" x14ac:dyDescent="0.25">
      <c r="A31" s="22">
        <v>8630</v>
      </c>
      <c r="B31" s="29">
        <v>46120</v>
      </c>
      <c r="C31" s="23" t="s">
        <v>13</v>
      </c>
      <c r="D31" s="37" t="s">
        <v>50</v>
      </c>
      <c r="E31" s="23" t="s">
        <v>203</v>
      </c>
      <c r="F31" s="31">
        <v>3524</v>
      </c>
      <c r="G31" s="31">
        <v>56000</v>
      </c>
      <c r="H31" s="31">
        <f>C_Xep_HP[[#This Row],[ĐƠN GIÁ]]*C_Xep_HP[[#This Row],[SỐ LƯỢNG]]</f>
        <v>197344000</v>
      </c>
      <c r="I31" s="31"/>
      <c r="J31" s="31">
        <f>J30+C_Xep_HP[[#This Row],[THÀNH TIỀN]]-C_Xep_HP[[#This Row],[THANH TOÁN]]</f>
        <v>913086000</v>
      </c>
      <c r="K31" s="24"/>
    </row>
    <row r="32" spans="1:11" x14ac:dyDescent="0.25">
      <c r="A32" s="22">
        <v>8699</v>
      </c>
      <c r="B32" s="29">
        <v>46123</v>
      </c>
      <c r="C32" s="23" t="s">
        <v>13</v>
      </c>
      <c r="D32" s="37" t="s">
        <v>43</v>
      </c>
      <c r="E32" s="23" t="s">
        <v>204</v>
      </c>
      <c r="F32" s="31">
        <v>659</v>
      </c>
      <c r="G32" s="31">
        <v>56000</v>
      </c>
      <c r="H32" s="31">
        <f>C_Xep_HP[[#This Row],[ĐƠN GIÁ]]*C_Xep_HP[[#This Row],[SỐ LƯỢNG]]</f>
        <v>36904000</v>
      </c>
      <c r="I32" s="31"/>
      <c r="J32" s="31">
        <f>J31+C_Xep_HP[[#This Row],[THÀNH TIỀN]]-C_Xep_HP[[#This Row],[THANH TOÁN]]</f>
        <v>949990000</v>
      </c>
      <c r="K32" s="24"/>
    </row>
    <row r="33" spans="1:11" x14ac:dyDescent="0.25">
      <c r="A33" s="22"/>
      <c r="B33" s="29">
        <v>46126</v>
      </c>
      <c r="C33" s="23" t="s">
        <v>21</v>
      </c>
      <c r="D33" s="37" t="s">
        <v>22</v>
      </c>
      <c r="E33" s="23" t="s">
        <v>147</v>
      </c>
      <c r="F33" s="31">
        <v>0</v>
      </c>
      <c r="G33" s="31"/>
      <c r="H33" s="31">
        <f>C_Xep_HP[[#This Row],[ĐƠN GIÁ]]*C_Xep_HP[[#This Row],[SỐ LƯỢNG]]</f>
        <v>0</v>
      </c>
      <c r="I33" s="31">
        <v>200000000</v>
      </c>
      <c r="J33" s="31">
        <f>J32+C_Xep_HP[[#This Row],[THÀNH TIỀN]]-C_Xep_HP[[#This Row],[THANH TOÁN]]</f>
        <v>749990000</v>
      </c>
      <c r="K33" s="24"/>
    </row>
    <row r="34" spans="1:11" x14ac:dyDescent="0.25">
      <c r="A34" s="22"/>
      <c r="B34" s="29">
        <v>46128</v>
      </c>
      <c r="C34" s="23" t="s">
        <v>21</v>
      </c>
      <c r="D34" s="37" t="s">
        <v>22</v>
      </c>
      <c r="E34" s="23" t="s">
        <v>147</v>
      </c>
      <c r="F34" s="31">
        <v>0</v>
      </c>
      <c r="G34" s="31"/>
      <c r="H34" s="31">
        <f>C_Xep_HP[[#This Row],[ĐƠN GIÁ]]*C_Xep_HP[[#This Row],[SỐ LƯỢNG]]</f>
        <v>0</v>
      </c>
      <c r="I34" s="31">
        <v>150000000</v>
      </c>
      <c r="J34" s="31">
        <f>J33+C_Xep_HP[[#This Row],[THÀNH TIỀN]]-C_Xep_HP[[#This Row],[THANH TOÁN]]</f>
        <v>599990000</v>
      </c>
      <c r="K34" s="24"/>
    </row>
    <row r="35" spans="1:11" x14ac:dyDescent="0.25">
      <c r="A35" s="22">
        <v>8956</v>
      </c>
      <c r="B35" s="29">
        <v>46135</v>
      </c>
      <c r="C35" s="23" t="s">
        <v>13</v>
      </c>
      <c r="D35" s="37" t="s">
        <v>192</v>
      </c>
      <c r="E35" s="23" t="s">
        <v>807</v>
      </c>
      <c r="F35" s="31">
        <v>228</v>
      </c>
      <c r="G35" s="31">
        <v>31000</v>
      </c>
      <c r="H35" s="31">
        <f>C_Xep_HP[[#This Row],[ĐƠN GIÁ]]*C_Xep_HP[[#This Row],[SỐ LƯỢNG]]</f>
        <v>7068000</v>
      </c>
      <c r="I35" s="31"/>
      <c r="J35" s="31">
        <f>J34+C_Xep_HP[[#This Row],[THÀNH TIỀN]]-C_Xep_HP[[#This Row],[THANH TOÁN]]</f>
        <v>607058000</v>
      </c>
      <c r="K35" s="24"/>
    </row>
    <row r="36" spans="1:11" x14ac:dyDescent="0.25">
      <c r="A36" s="22"/>
      <c r="B36" s="29">
        <v>46136</v>
      </c>
      <c r="C36" s="23" t="s">
        <v>21</v>
      </c>
      <c r="D36" s="37" t="s">
        <v>22</v>
      </c>
      <c r="E36" s="23" t="s">
        <v>147</v>
      </c>
      <c r="F36" s="31">
        <v>0</v>
      </c>
      <c r="G36" s="31"/>
      <c r="H36" s="31">
        <f>C_Xep_HP[[#This Row],[ĐƠN GIÁ]]*C_Xep_HP[[#This Row],[SỐ LƯỢNG]]</f>
        <v>0</v>
      </c>
      <c r="I36" s="31">
        <v>100000000</v>
      </c>
      <c r="J36" s="31">
        <f>J35+C_Xep_HP[[#This Row],[THÀNH TIỀN]]-C_Xep_HP[[#This Row],[THANH TOÁN]]</f>
        <v>507058000</v>
      </c>
      <c r="K36" s="24"/>
    </row>
    <row r="37" spans="1:11" x14ac:dyDescent="0.25">
      <c r="A37" s="22"/>
      <c r="B37" s="29">
        <v>46141</v>
      </c>
      <c r="C37" s="23" t="s">
        <v>21</v>
      </c>
      <c r="D37" s="37" t="s">
        <v>22</v>
      </c>
      <c r="E37" s="23" t="s">
        <v>147</v>
      </c>
      <c r="F37" s="31">
        <v>0</v>
      </c>
      <c r="G37" s="31"/>
      <c r="H37" s="31">
        <f>C_Xep_HP[[#This Row],[ĐƠN GIÁ]]*C_Xep_HP[[#This Row],[SỐ LƯỢNG]]</f>
        <v>0</v>
      </c>
      <c r="I37" s="31">
        <v>100000000</v>
      </c>
      <c r="J37" s="31">
        <f>J36+C_Xep_HP[[#This Row],[THÀNH TIỀN]]-C_Xep_HP[[#This Row],[THANH TOÁN]]</f>
        <v>407058000</v>
      </c>
      <c r="K37" s="24"/>
    </row>
    <row r="38" spans="1:11" x14ac:dyDescent="0.25">
      <c r="A38" s="22"/>
      <c r="B38" s="29">
        <v>46150</v>
      </c>
      <c r="C38" s="23" t="s">
        <v>21</v>
      </c>
      <c r="D38" s="37" t="s">
        <v>22</v>
      </c>
      <c r="E38" s="23" t="s">
        <v>147</v>
      </c>
      <c r="F38" s="31">
        <v>0</v>
      </c>
      <c r="G38" s="31"/>
      <c r="H38" s="31">
        <f>C_Xep_HP[[#This Row],[ĐƠN GIÁ]]*C_Xep_HP[[#This Row],[SỐ LƯỢNG]]</f>
        <v>0</v>
      </c>
      <c r="I38" s="31">
        <v>100000000</v>
      </c>
      <c r="J38" s="31">
        <f>J37+C_Xep_HP[[#This Row],[THÀNH TIỀN]]-C_Xep_HP[[#This Row],[THANH TOÁN]]</f>
        <v>307058000</v>
      </c>
      <c r="K38" s="24"/>
    </row>
    <row r="39" spans="1:11" x14ac:dyDescent="0.25">
      <c r="A39" s="22">
        <v>9272</v>
      </c>
      <c r="B39" s="29">
        <v>46151</v>
      </c>
      <c r="C39" s="23" t="s">
        <v>13</v>
      </c>
      <c r="D39" s="37" t="s">
        <v>43</v>
      </c>
      <c r="E39" s="23" t="s">
        <v>256</v>
      </c>
      <c r="F39" s="31">
        <v>491</v>
      </c>
      <c r="G39" s="31">
        <v>60000</v>
      </c>
      <c r="H39" s="31">
        <f>C_Xep_HP[[#This Row],[ĐƠN GIÁ]]*C_Xep_HP[[#This Row],[SỐ LƯỢNG]]</f>
        <v>29460000</v>
      </c>
      <c r="I39" s="31"/>
      <c r="J39" s="31">
        <f>J38+C_Xep_HP[[#This Row],[THÀNH TIỀN]]-C_Xep_HP[[#This Row],[THANH TOÁN]]</f>
        <v>336518000</v>
      </c>
      <c r="K39" s="24"/>
    </row>
    <row r="40" spans="1:11" x14ac:dyDescent="0.25">
      <c r="A40" s="22">
        <v>9272</v>
      </c>
      <c r="B40" s="29">
        <v>46151</v>
      </c>
      <c r="C40" s="23" t="s">
        <v>13</v>
      </c>
      <c r="D40" s="37" t="s">
        <v>26</v>
      </c>
      <c r="E40" s="23" t="s">
        <v>134</v>
      </c>
      <c r="F40" s="31">
        <v>2006</v>
      </c>
      <c r="G40" s="31">
        <v>35000</v>
      </c>
      <c r="H40" s="31">
        <f>C_Xep_HP[[#This Row],[ĐƠN GIÁ]]*C_Xep_HP[[#This Row],[SỐ LƯỢNG]]</f>
        <v>70210000</v>
      </c>
      <c r="I40" s="31"/>
      <c r="J40" s="31">
        <f>J39+C_Xep_HP[[#This Row],[THÀNH TIỀN]]-C_Xep_HP[[#This Row],[THANH TOÁN]]</f>
        <v>406728000</v>
      </c>
      <c r="K40" s="24"/>
    </row>
    <row r="41" spans="1:11" x14ac:dyDescent="0.25">
      <c r="A41" s="22">
        <v>9272</v>
      </c>
      <c r="B41" s="29">
        <v>46151</v>
      </c>
      <c r="C41" s="23" t="s">
        <v>13</v>
      </c>
      <c r="D41" s="37" t="s">
        <v>109</v>
      </c>
      <c r="E41" s="23" t="s">
        <v>946</v>
      </c>
      <c r="F41" s="31">
        <v>3486</v>
      </c>
      <c r="G41" s="31">
        <v>60500</v>
      </c>
      <c r="H41" s="31">
        <f>C_Xep_HP[[#This Row],[ĐƠN GIÁ]]*C_Xep_HP[[#This Row],[SỐ LƯỢNG]]</f>
        <v>210903000</v>
      </c>
      <c r="I41" s="31"/>
      <c r="J41" s="31">
        <f>J40+C_Xep_HP[[#This Row],[THÀNH TIỀN]]-C_Xep_HP[[#This Row],[THANH TOÁN]]</f>
        <v>617631000</v>
      </c>
      <c r="K41" s="24"/>
    </row>
    <row r="42" spans="1:11" x14ac:dyDescent="0.25">
      <c r="A42" s="22">
        <v>9309</v>
      </c>
      <c r="B42" s="29">
        <v>46153</v>
      </c>
      <c r="C42" s="23" t="s">
        <v>13</v>
      </c>
      <c r="D42" s="37" t="s">
        <v>43</v>
      </c>
      <c r="E42" s="23" t="s">
        <v>250</v>
      </c>
      <c r="F42" s="31">
        <v>2596</v>
      </c>
      <c r="G42" s="31">
        <v>60000</v>
      </c>
      <c r="H42" s="31">
        <f>C_Xep_HP[[#This Row],[ĐƠN GIÁ]]*C_Xep_HP[[#This Row],[SỐ LƯỢNG]]</f>
        <v>155760000</v>
      </c>
      <c r="I42" s="31"/>
      <c r="J42" s="31">
        <f>J41+C_Xep_HP[[#This Row],[THÀNH TIỀN]]-C_Xep_HP[[#This Row],[THANH TOÁN]]</f>
        <v>773391000</v>
      </c>
      <c r="K42" s="24"/>
    </row>
    <row r="43" spans="1:11" x14ac:dyDescent="0.25">
      <c r="A43" s="22">
        <v>9309</v>
      </c>
      <c r="B43" s="29">
        <v>46153</v>
      </c>
      <c r="C43" s="23" t="s">
        <v>13</v>
      </c>
      <c r="D43" s="37" t="s">
        <v>43</v>
      </c>
      <c r="E43" s="23" t="s">
        <v>446</v>
      </c>
      <c r="F43" s="31">
        <v>338</v>
      </c>
      <c r="G43" s="31">
        <v>64000</v>
      </c>
      <c r="H43" s="31">
        <f>C_Xep_HP[[#This Row],[ĐƠN GIÁ]]*C_Xep_HP[[#This Row],[SỐ LƯỢNG]]</f>
        <v>21632000</v>
      </c>
      <c r="I43" s="31"/>
      <c r="J43" s="31">
        <f>J42+C_Xep_HP[[#This Row],[THÀNH TIỀN]]-C_Xep_HP[[#This Row],[THANH TOÁN]]</f>
        <v>795023000</v>
      </c>
      <c r="K43" s="24"/>
    </row>
    <row r="44" spans="1:11" x14ac:dyDescent="0.25">
      <c r="A44" s="25"/>
      <c r="B44" s="30">
        <v>46157</v>
      </c>
      <c r="C44" s="26" t="s">
        <v>21</v>
      </c>
      <c r="D44" s="38" t="s">
        <v>22</v>
      </c>
      <c r="E44" s="26" t="s">
        <v>147</v>
      </c>
      <c r="F44" s="28">
        <v>0</v>
      </c>
      <c r="G44" s="28"/>
      <c r="H44" s="28">
        <f>C_Xep_HP[[#This Row],[ĐƠN GIÁ]]*C_Xep_HP[[#This Row],[SỐ LƯỢNG]]</f>
        <v>0</v>
      </c>
      <c r="I44" s="28">
        <v>150000000</v>
      </c>
      <c r="J44" s="28">
        <f>J43+C_Xep_HP[[#This Row],[THÀNH TIỀN]]-C_Xep_HP[[#This Row],[THANH TOÁN]]</f>
        <v>645023000</v>
      </c>
      <c r="K44" s="27"/>
    </row>
    <row r="45" spans="1:11" x14ac:dyDescent="0.25">
      <c r="A45" s="22"/>
      <c r="B45" s="29">
        <v>46163</v>
      </c>
      <c r="C45" s="23" t="s">
        <v>21</v>
      </c>
      <c r="D45" s="37" t="s">
        <v>22</v>
      </c>
      <c r="E45" s="23" t="s">
        <v>147</v>
      </c>
      <c r="F45" s="31">
        <v>0</v>
      </c>
      <c r="G45" s="31"/>
      <c r="H45" s="31">
        <f>C_Xep_HP[[#This Row],[ĐƠN GIÁ]]*C_Xep_HP[[#This Row],[SỐ LƯỢNG]]</f>
        <v>0</v>
      </c>
      <c r="I45" s="31">
        <v>150000000</v>
      </c>
      <c r="J45" s="31">
        <f>J44+C_Xep_HP[[#This Row],[THÀNH TIỀN]]-C_Xep_HP[[#This Row],[THANH TOÁN]]</f>
        <v>495023000</v>
      </c>
      <c r="K45" s="24"/>
    </row>
    <row r="46" spans="1:11" x14ac:dyDescent="0.25">
      <c r="A46" s="22">
        <v>9689</v>
      </c>
      <c r="B46" s="29">
        <v>46171</v>
      </c>
      <c r="C46" s="23" t="s">
        <v>13</v>
      </c>
      <c r="D46" s="37" t="s">
        <v>43</v>
      </c>
      <c r="E46" s="23" t="s">
        <v>2513</v>
      </c>
      <c r="F46" s="31">
        <v>1824</v>
      </c>
      <c r="G46" s="31">
        <v>55000</v>
      </c>
      <c r="H46" s="31">
        <f>C_Xep_HP[[#This Row],[ĐƠN GIÁ]]*C_Xep_HP[[#This Row],[SỐ LƯỢNG]]</f>
        <v>100320000</v>
      </c>
      <c r="I46" s="31"/>
      <c r="J46" s="31">
        <f>J45+C_Xep_HP[[#This Row],[THÀNH TIỀN]]-C_Xep_HP[[#This Row],[THANH TOÁN]]</f>
        <v>595343000</v>
      </c>
      <c r="K46" s="24"/>
    </row>
    <row r="47" spans="1:11" x14ac:dyDescent="0.25">
      <c r="A47" s="22">
        <v>9689</v>
      </c>
      <c r="B47" s="29">
        <v>46171</v>
      </c>
      <c r="C47" s="23" t="s">
        <v>13</v>
      </c>
      <c r="D47" s="37" t="s">
        <v>43</v>
      </c>
      <c r="E47" s="23" t="s">
        <v>250</v>
      </c>
      <c r="F47" s="31">
        <v>2778</v>
      </c>
      <c r="G47" s="31">
        <v>60000</v>
      </c>
      <c r="H47" s="31">
        <f>C_Xep_HP[[#This Row],[ĐƠN GIÁ]]*C_Xep_HP[[#This Row],[SỐ LƯỢNG]]</f>
        <v>166680000</v>
      </c>
      <c r="I47" s="31"/>
      <c r="J47" s="31">
        <f>J46+C_Xep_HP[[#This Row],[THÀNH TIỀN]]-C_Xep_HP[[#This Row],[THANH TOÁN]]</f>
        <v>762023000</v>
      </c>
      <c r="K47" s="24">
        <v>2780</v>
      </c>
    </row>
    <row r="48" spans="1:11" x14ac:dyDescent="0.25">
      <c r="A48" s="22">
        <v>9755</v>
      </c>
      <c r="B48" s="29">
        <v>46175</v>
      </c>
      <c r="C48" s="23" t="s">
        <v>13</v>
      </c>
      <c r="D48" s="37" t="s">
        <v>2553</v>
      </c>
      <c r="E48" s="23" t="s">
        <v>807</v>
      </c>
      <c r="F48" s="31">
        <v>526</v>
      </c>
      <c r="G48" s="31">
        <v>32000</v>
      </c>
      <c r="H48" s="31">
        <f>C_Xep_HP[[#This Row],[ĐƠN GIÁ]]*C_Xep_HP[[#This Row],[SỐ LƯỢNG]]</f>
        <v>16832000</v>
      </c>
      <c r="I48" s="31"/>
      <c r="J48" s="31">
        <f>J47+C_Xep_HP[[#This Row],[THÀNH TIỀN]]-C_Xep_HP[[#This Row],[THANH TOÁN]]</f>
        <v>778855000</v>
      </c>
      <c r="K48" s="24"/>
    </row>
    <row r="49" spans="1:11" x14ac:dyDescent="0.25">
      <c r="A49" s="22"/>
      <c r="B49" s="29">
        <v>46178</v>
      </c>
      <c r="C49" s="23" t="s">
        <v>21</v>
      </c>
      <c r="D49" s="37" t="s">
        <v>22</v>
      </c>
      <c r="E49" s="23" t="s">
        <v>147</v>
      </c>
      <c r="F49" s="31">
        <v>0</v>
      </c>
      <c r="G49" s="31"/>
      <c r="H49" s="31">
        <f>C_Xep_HP[[#This Row],[ĐƠN GIÁ]]*C_Xep_HP[[#This Row],[SỐ LƯỢNG]]</f>
        <v>0</v>
      </c>
      <c r="I49" s="31">
        <v>100000000</v>
      </c>
      <c r="J49" s="31">
        <f>J48+C_Xep_HP[[#This Row],[THÀNH TIỀN]]-C_Xep_HP[[#This Row],[THANH TOÁN]]</f>
        <v>678855000</v>
      </c>
      <c r="K49" s="24"/>
    </row>
  </sheetData>
  <pageMargins left="0.7" right="0.7" top="0.75" bottom="0.75" header="0.3" footer="0.3"/>
  <pageSetup paperSize="9" orientation="portrait" verticalDpi="0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65CC5-235D-4C9F-B963-EEF5EEBC57BA}">
  <sheetPr codeName="Sheet7"/>
  <dimension ref="A5:P43"/>
  <sheetViews>
    <sheetView topLeftCell="A13" workbookViewId="0"/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5.8554687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4" width="9.140625" style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737744000</v>
      </c>
    </row>
    <row r="6" spans="1:16" ht="22.5" x14ac:dyDescent="0.25">
      <c r="D6" s="34" t="s">
        <v>205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36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Cty_Kim_Thanh[[#This Row],[ĐƠN GIÁ]]*Cty_Kim_Thanh[[#This Row],[SỐ LƯỢNG]]</f>
        <v>0</v>
      </c>
      <c r="I10" s="31"/>
      <c r="J10" s="31">
        <v>0</v>
      </c>
      <c r="K10" s="24"/>
    </row>
    <row r="11" spans="1:16" x14ac:dyDescent="0.25">
      <c r="A11" s="22">
        <v>7784</v>
      </c>
      <c r="B11" s="29">
        <v>46083</v>
      </c>
      <c r="C11" s="23" t="s">
        <v>13</v>
      </c>
      <c r="D11" s="37" t="s">
        <v>43</v>
      </c>
      <c r="E11" s="23" t="s">
        <v>44</v>
      </c>
      <c r="F11" s="31">
        <v>2572</v>
      </c>
      <c r="G11" s="31">
        <v>57000</v>
      </c>
      <c r="H11" s="31">
        <f>Cty_Kim_Thanh[[#This Row],[ĐƠN GIÁ]]*Cty_Kim_Thanh[[#This Row],[SỐ LƯỢNG]]</f>
        <v>146604000</v>
      </c>
      <c r="I11" s="31"/>
      <c r="J11" s="31">
        <f>J10+Cty_Kim_Thanh[[#This Row],[THÀNH TIỀN]]-Cty_Kim_Thanh[[#This Row],[THANH TOÁN]]</f>
        <v>146604000</v>
      </c>
      <c r="K11" s="24"/>
    </row>
    <row r="12" spans="1:16" x14ac:dyDescent="0.25">
      <c r="A12" s="22">
        <v>7784</v>
      </c>
      <c r="B12" s="29">
        <v>46083</v>
      </c>
      <c r="C12" s="23" t="s">
        <v>13</v>
      </c>
      <c r="D12" s="37" t="s">
        <v>26</v>
      </c>
      <c r="E12" s="23" t="s">
        <v>40</v>
      </c>
      <c r="F12" s="31">
        <f>3358-16-6-26</f>
        <v>3310</v>
      </c>
      <c r="G12" s="31">
        <v>35500</v>
      </c>
      <c r="H12" s="31">
        <f>Cty_Kim_Thanh[[#This Row],[ĐƠN GIÁ]]*Cty_Kim_Thanh[[#This Row],[SỐ LƯỢNG]]</f>
        <v>117505000</v>
      </c>
      <c r="I12" s="31"/>
      <c r="J12" s="31">
        <f>J11+Cty_Kim_Thanh[[#This Row],[THÀNH TIỀN]]-Cty_Kim_Thanh[[#This Row],[THANH TOÁN]]</f>
        <v>264109000</v>
      </c>
      <c r="K12" s="24"/>
    </row>
    <row r="13" spans="1:16" x14ac:dyDescent="0.25">
      <c r="A13" s="22">
        <v>7836</v>
      </c>
      <c r="B13" s="29">
        <v>46085</v>
      </c>
      <c r="C13" s="23" t="s">
        <v>13</v>
      </c>
      <c r="D13" s="37" t="s">
        <v>26</v>
      </c>
      <c r="E13" s="23" t="s">
        <v>206</v>
      </c>
      <c r="F13" s="31">
        <f>1644-16-4+1068-28-4+1056-28-4-30</f>
        <v>3654</v>
      </c>
      <c r="G13" s="31">
        <v>35500</v>
      </c>
      <c r="H13" s="31">
        <f>Cty_Kim_Thanh[[#This Row],[ĐƠN GIÁ]]*Cty_Kim_Thanh[[#This Row],[SỐ LƯỢNG]]</f>
        <v>129717000</v>
      </c>
      <c r="I13" s="31"/>
      <c r="J13" s="31">
        <f>J12+Cty_Kim_Thanh[[#This Row],[THÀNH TIỀN]]-Cty_Kim_Thanh[[#This Row],[THANH TOÁN]]</f>
        <v>393826000</v>
      </c>
      <c r="K13" s="24"/>
    </row>
    <row r="14" spans="1:16" x14ac:dyDescent="0.25">
      <c r="A14" s="22">
        <v>7883</v>
      </c>
      <c r="B14" s="29">
        <v>46087</v>
      </c>
      <c r="C14" s="23" t="s">
        <v>13</v>
      </c>
      <c r="D14" s="37" t="s">
        <v>26</v>
      </c>
      <c r="E14" s="23" t="s">
        <v>65</v>
      </c>
      <c r="F14" s="31">
        <f>1652-8-10</f>
        <v>1634</v>
      </c>
      <c r="G14" s="31">
        <v>35000</v>
      </c>
      <c r="H14" s="31">
        <f>Cty_Kim_Thanh[[#This Row],[ĐƠN GIÁ]]*Cty_Kim_Thanh[[#This Row],[SỐ LƯỢNG]]</f>
        <v>57190000</v>
      </c>
      <c r="I14" s="31"/>
      <c r="J14" s="31">
        <f>J13+Cty_Kim_Thanh[[#This Row],[THÀNH TIỀN]]-Cty_Kim_Thanh[[#This Row],[THANH TOÁN]]</f>
        <v>451016000</v>
      </c>
      <c r="K14" s="24"/>
      <c r="P14" s="35"/>
    </row>
    <row r="15" spans="1:16" x14ac:dyDescent="0.25">
      <c r="A15" s="25">
        <v>7995</v>
      </c>
      <c r="B15" s="30">
        <v>46092</v>
      </c>
      <c r="C15" s="26" t="s">
        <v>13</v>
      </c>
      <c r="D15" s="37" t="s">
        <v>43</v>
      </c>
      <c r="E15" s="26" t="s">
        <v>44</v>
      </c>
      <c r="F15" s="28">
        <v>1878</v>
      </c>
      <c r="G15" s="28">
        <v>58000</v>
      </c>
      <c r="H15" s="28">
        <f>Cty_Kim_Thanh[[#This Row],[ĐƠN GIÁ]]*Cty_Kim_Thanh[[#This Row],[SỐ LƯỢNG]]</f>
        <v>108924000</v>
      </c>
      <c r="I15" s="28"/>
      <c r="J15" s="31">
        <f>J14+Cty_Kim_Thanh[[#This Row],[THÀNH TIỀN]]-Cty_Kim_Thanh[[#This Row],[THANH TOÁN]]</f>
        <v>559940000</v>
      </c>
      <c r="K15" s="27"/>
    </row>
    <row r="16" spans="1:16" x14ac:dyDescent="0.25">
      <c r="A16" s="25">
        <v>8309</v>
      </c>
      <c r="B16" s="30">
        <v>46105</v>
      </c>
      <c r="C16" s="26" t="s">
        <v>13</v>
      </c>
      <c r="D16" s="38" t="s">
        <v>43</v>
      </c>
      <c r="E16" s="26" t="s">
        <v>207</v>
      </c>
      <c r="F16" s="28">
        <v>624</v>
      </c>
      <c r="G16" s="28">
        <v>63000</v>
      </c>
      <c r="H16" s="28">
        <f>Cty_Kim_Thanh[[#This Row],[ĐƠN GIÁ]]*Cty_Kim_Thanh[[#This Row],[SỐ LƯỢNG]]</f>
        <v>39312000</v>
      </c>
      <c r="I16" s="28"/>
      <c r="J16" s="28">
        <f>J15+Cty_Kim_Thanh[[#This Row],[THÀNH TIỀN]]-Cty_Kim_Thanh[[#This Row],[THANH TOÁN]]</f>
        <v>599252000</v>
      </c>
      <c r="K16" s="27"/>
    </row>
    <row r="17" spans="1:11" x14ac:dyDescent="0.25">
      <c r="A17" s="25"/>
      <c r="B17" s="30">
        <v>46109</v>
      </c>
      <c r="C17" s="26" t="s">
        <v>21</v>
      </c>
      <c r="D17" s="38" t="s">
        <v>22</v>
      </c>
      <c r="E17" s="26" t="s">
        <v>147</v>
      </c>
      <c r="F17" s="28">
        <v>0</v>
      </c>
      <c r="G17" s="28">
        <v>0</v>
      </c>
      <c r="H17" s="28">
        <f>Cty_Kim_Thanh[[#This Row],[ĐƠN GIÁ]]*Cty_Kim_Thanh[[#This Row],[SỐ LƯỢNG]]</f>
        <v>0</v>
      </c>
      <c r="I17" s="28">
        <v>100000000</v>
      </c>
      <c r="J17" s="28">
        <f>J16+Cty_Kim_Thanh[[#This Row],[THÀNH TIỀN]]-Cty_Kim_Thanh[[#This Row],[THANH TOÁN]]</f>
        <v>499252000</v>
      </c>
      <c r="K17" s="27"/>
    </row>
    <row r="18" spans="1:11" x14ac:dyDescent="0.25">
      <c r="A18" s="25">
        <v>8437</v>
      </c>
      <c r="B18" s="30">
        <v>46112</v>
      </c>
      <c r="C18" s="26" t="s">
        <v>13</v>
      </c>
      <c r="D18" s="38" t="s">
        <v>17</v>
      </c>
      <c r="E18" s="26" t="s">
        <v>40</v>
      </c>
      <c r="F18" s="28">
        <v>10278</v>
      </c>
      <c r="G18" s="28">
        <v>66500</v>
      </c>
      <c r="H18" s="28">
        <f>Cty_Kim_Thanh[[#This Row],[ĐƠN GIÁ]]*Cty_Kim_Thanh[[#This Row],[SỐ LƯỢNG]]</f>
        <v>683487000</v>
      </c>
      <c r="I18" s="28"/>
      <c r="J18" s="28">
        <f>J17+Cty_Kim_Thanh[[#This Row],[THÀNH TIỀN]]-Cty_Kim_Thanh[[#This Row],[THANH TOÁN]]</f>
        <v>1182739000</v>
      </c>
      <c r="K18" s="27"/>
    </row>
    <row r="19" spans="1:11" x14ac:dyDescent="0.25">
      <c r="A19" s="22">
        <v>8505</v>
      </c>
      <c r="B19" s="29">
        <v>46114</v>
      </c>
      <c r="C19" s="23" t="s">
        <v>13</v>
      </c>
      <c r="D19" s="37" t="s">
        <v>26</v>
      </c>
      <c r="E19" s="23" t="s">
        <v>208</v>
      </c>
      <c r="F19" s="31">
        <v>964</v>
      </c>
      <c r="G19" s="31">
        <v>35000</v>
      </c>
      <c r="H19" s="31">
        <f>Cty_Kim_Thanh[[#This Row],[ĐƠN GIÁ]]*Cty_Kim_Thanh[[#This Row],[SỐ LƯỢNG]]</f>
        <v>33740000</v>
      </c>
      <c r="I19" s="31"/>
      <c r="J19" s="31">
        <f>J18+Cty_Kim_Thanh[[#This Row],[THÀNH TIỀN]]-Cty_Kim_Thanh[[#This Row],[THANH TOÁN]]</f>
        <v>1216479000</v>
      </c>
      <c r="K19" s="24"/>
    </row>
    <row r="20" spans="1:11" x14ac:dyDescent="0.25">
      <c r="A20" s="22">
        <v>8521</v>
      </c>
      <c r="B20" s="29">
        <v>46115</v>
      </c>
      <c r="C20" s="23" t="s">
        <v>13</v>
      </c>
      <c r="D20" s="37" t="s">
        <v>26</v>
      </c>
      <c r="E20" s="23" t="s">
        <v>148</v>
      </c>
      <c r="F20" s="31">
        <v>6281</v>
      </c>
      <c r="G20" s="31">
        <v>35000</v>
      </c>
      <c r="H20" s="31">
        <f>Cty_Kim_Thanh[[#This Row],[ĐƠN GIÁ]]*Cty_Kim_Thanh[[#This Row],[SỐ LƯỢNG]]</f>
        <v>219835000</v>
      </c>
      <c r="I20" s="31"/>
      <c r="J20" s="31">
        <f>J19+Cty_Kim_Thanh[[#This Row],[THÀNH TIỀN]]-Cty_Kim_Thanh[[#This Row],[THANH TOÁN]]</f>
        <v>1436314000</v>
      </c>
      <c r="K20" s="24"/>
    </row>
    <row r="21" spans="1:11" x14ac:dyDescent="0.25">
      <c r="A21" s="22"/>
      <c r="B21" s="29">
        <v>46115</v>
      </c>
      <c r="C21" s="23" t="s">
        <v>21</v>
      </c>
      <c r="D21" s="37" t="s">
        <v>22</v>
      </c>
      <c r="E21" s="23" t="s">
        <v>147</v>
      </c>
      <c r="F21" s="31">
        <v>0</v>
      </c>
      <c r="G21" s="31"/>
      <c r="H21" s="31">
        <f>Cty_Kim_Thanh[[#This Row],[ĐƠN GIÁ]]*Cty_Kim_Thanh[[#This Row],[SỐ LƯỢNG]]</f>
        <v>0</v>
      </c>
      <c r="I21" s="31">
        <v>100000000</v>
      </c>
      <c r="J21" s="31">
        <f>J20+Cty_Kim_Thanh[[#This Row],[THÀNH TIỀN]]-Cty_Kim_Thanh[[#This Row],[THANH TOÁN]]</f>
        <v>1336314000</v>
      </c>
      <c r="K21" s="24"/>
    </row>
    <row r="22" spans="1:11" x14ac:dyDescent="0.25">
      <c r="A22" s="22">
        <v>8594</v>
      </c>
      <c r="B22" s="29">
        <v>46118</v>
      </c>
      <c r="C22" s="23" t="s">
        <v>13</v>
      </c>
      <c r="D22" s="37" t="s">
        <v>103</v>
      </c>
      <c r="E22" s="23" t="s">
        <v>209</v>
      </c>
      <c r="F22" s="31">
        <v>256</v>
      </c>
      <c r="G22" s="31">
        <v>38000</v>
      </c>
      <c r="H22" s="31">
        <f>Cty_Kim_Thanh[[#This Row],[ĐƠN GIÁ]]*Cty_Kim_Thanh[[#This Row],[SỐ LƯỢNG]]</f>
        <v>9728000</v>
      </c>
      <c r="I22" s="31"/>
      <c r="J22" s="31">
        <f>J21+Cty_Kim_Thanh[[#This Row],[THÀNH TIỀN]]-Cty_Kim_Thanh[[#This Row],[THANH TOÁN]]</f>
        <v>1346042000</v>
      </c>
      <c r="K22" s="24"/>
    </row>
    <row r="23" spans="1:11" x14ac:dyDescent="0.25">
      <c r="A23" s="22"/>
      <c r="B23" s="29">
        <v>46123</v>
      </c>
      <c r="C23" s="23" t="s">
        <v>21</v>
      </c>
      <c r="D23" s="37" t="s">
        <v>22</v>
      </c>
      <c r="E23" s="23" t="s">
        <v>147</v>
      </c>
      <c r="F23" s="31">
        <v>0</v>
      </c>
      <c r="G23" s="31"/>
      <c r="H23" s="31">
        <f>Cty_Kim_Thanh[[#This Row],[ĐƠN GIÁ]]*Cty_Kim_Thanh[[#This Row],[SỐ LƯỢNG]]</f>
        <v>0</v>
      </c>
      <c r="I23" s="31">
        <v>80000000</v>
      </c>
      <c r="J23" s="31">
        <f>J22+Cty_Kim_Thanh[[#This Row],[THÀNH TIỀN]]-Cty_Kim_Thanh[[#This Row],[THANH TOÁN]]</f>
        <v>1266042000</v>
      </c>
      <c r="K23" s="24"/>
    </row>
    <row r="24" spans="1:11" x14ac:dyDescent="0.25">
      <c r="A24" s="22"/>
      <c r="B24" s="29">
        <v>46125</v>
      </c>
      <c r="C24" s="23" t="s">
        <v>21</v>
      </c>
      <c r="D24" s="37" t="s">
        <v>22</v>
      </c>
      <c r="E24" s="23" t="s">
        <v>147</v>
      </c>
      <c r="F24" s="31">
        <v>0</v>
      </c>
      <c r="G24" s="31"/>
      <c r="H24" s="31">
        <f>Cty_Kim_Thanh[[#This Row],[ĐƠN GIÁ]]*Cty_Kim_Thanh[[#This Row],[SỐ LƯỢNG]]</f>
        <v>0</v>
      </c>
      <c r="I24" s="31">
        <v>100000000</v>
      </c>
      <c r="J24" s="31">
        <f>J23+Cty_Kim_Thanh[[#This Row],[THÀNH TIỀN]]-Cty_Kim_Thanh[[#This Row],[THANH TOÁN]]</f>
        <v>1166042000</v>
      </c>
      <c r="K24" s="24"/>
    </row>
    <row r="25" spans="1:11" x14ac:dyDescent="0.25">
      <c r="A25" s="22"/>
      <c r="B25" s="29">
        <v>46132</v>
      </c>
      <c r="C25" s="23" t="s">
        <v>21</v>
      </c>
      <c r="D25" s="37" t="s">
        <v>22</v>
      </c>
      <c r="E25" s="23" t="s">
        <v>147</v>
      </c>
      <c r="F25" s="31">
        <v>0</v>
      </c>
      <c r="G25" s="31"/>
      <c r="H25" s="31">
        <f>Cty_Kim_Thanh[[#This Row],[ĐƠN GIÁ]]*Cty_Kim_Thanh[[#This Row],[SỐ LƯỢNG]]</f>
        <v>0</v>
      </c>
      <c r="I25" s="31">
        <v>100000000</v>
      </c>
      <c r="J25" s="31">
        <f>J24+Cty_Kim_Thanh[[#This Row],[THÀNH TIỀN]]-Cty_Kim_Thanh[[#This Row],[THANH TOÁN]]</f>
        <v>1066042000</v>
      </c>
      <c r="K25" s="24"/>
    </row>
    <row r="26" spans="1:11" x14ac:dyDescent="0.25">
      <c r="A26" s="22"/>
      <c r="B26" s="29">
        <v>46136</v>
      </c>
      <c r="C26" s="23" t="s">
        <v>21</v>
      </c>
      <c r="D26" s="37" t="s">
        <v>22</v>
      </c>
      <c r="E26" s="23" t="s">
        <v>147</v>
      </c>
      <c r="F26" s="31">
        <v>0</v>
      </c>
      <c r="G26" s="31"/>
      <c r="H26" s="31">
        <f>Cty_Kim_Thanh[[#This Row],[ĐƠN GIÁ]]*Cty_Kim_Thanh[[#This Row],[SỐ LƯỢNG]]</f>
        <v>0</v>
      </c>
      <c r="I26" s="31">
        <v>100000000</v>
      </c>
      <c r="J26" s="31">
        <f>J25+Cty_Kim_Thanh[[#This Row],[THÀNH TIỀN]]-Cty_Kim_Thanh[[#This Row],[THANH TOÁN]]</f>
        <v>966042000</v>
      </c>
      <c r="K26" s="24"/>
    </row>
    <row r="27" spans="1:11" x14ac:dyDescent="0.25">
      <c r="A27" s="22">
        <v>8983</v>
      </c>
      <c r="B27" s="29">
        <v>46136</v>
      </c>
      <c r="C27" s="23" t="s">
        <v>13</v>
      </c>
      <c r="D27" s="37" t="s">
        <v>43</v>
      </c>
      <c r="E27" s="23" t="s">
        <v>256</v>
      </c>
      <c r="F27" s="31">
        <v>552</v>
      </c>
      <c r="G27" s="31">
        <v>58000</v>
      </c>
      <c r="H27" s="31">
        <f>Cty_Kim_Thanh[[#This Row],[ĐƠN GIÁ]]*Cty_Kim_Thanh[[#This Row],[SỐ LƯỢNG]]</f>
        <v>32016000</v>
      </c>
      <c r="I27" s="31"/>
      <c r="J27" s="31">
        <f>J26+Cty_Kim_Thanh[[#This Row],[THÀNH TIỀN]]-Cty_Kim_Thanh[[#This Row],[THANH TOÁN]]</f>
        <v>998058000</v>
      </c>
      <c r="K27" s="24"/>
    </row>
    <row r="28" spans="1:11" x14ac:dyDescent="0.25">
      <c r="A28" s="22">
        <v>8983</v>
      </c>
      <c r="B28" s="29">
        <v>46136</v>
      </c>
      <c r="C28" s="23" t="s">
        <v>13</v>
      </c>
      <c r="D28" s="37" t="s">
        <v>43</v>
      </c>
      <c r="E28" s="23" t="s">
        <v>1812</v>
      </c>
      <c r="F28" s="31">
        <v>507</v>
      </c>
      <c r="G28" s="31">
        <v>58000</v>
      </c>
      <c r="H28" s="31">
        <f>Cty_Kim_Thanh[[#This Row],[ĐƠN GIÁ]]*Cty_Kim_Thanh[[#This Row],[SỐ LƯỢNG]]</f>
        <v>29406000</v>
      </c>
      <c r="I28" s="31"/>
      <c r="J28" s="31">
        <f>J27+Cty_Kim_Thanh[[#This Row],[THÀNH TIỀN]]-Cty_Kim_Thanh[[#This Row],[THANH TOÁN]]</f>
        <v>1027464000</v>
      </c>
      <c r="K28" s="24"/>
    </row>
    <row r="29" spans="1:11" x14ac:dyDescent="0.25">
      <c r="A29" s="22">
        <v>8983</v>
      </c>
      <c r="B29" s="29">
        <v>46136</v>
      </c>
      <c r="C29" s="23" t="s">
        <v>13</v>
      </c>
      <c r="D29" s="37" t="s">
        <v>43</v>
      </c>
      <c r="E29" s="23" t="s">
        <v>188</v>
      </c>
      <c r="F29" s="31">
        <v>2081</v>
      </c>
      <c r="G29" s="31">
        <v>58000</v>
      </c>
      <c r="H29" s="31">
        <f>Cty_Kim_Thanh[[#This Row],[ĐƠN GIÁ]]*Cty_Kim_Thanh[[#This Row],[SỐ LƯỢNG]]</f>
        <v>120698000</v>
      </c>
      <c r="I29" s="31"/>
      <c r="J29" s="31">
        <f>J28+Cty_Kim_Thanh[[#This Row],[THÀNH TIỀN]]-Cty_Kim_Thanh[[#This Row],[THANH TOÁN]]</f>
        <v>1148162000</v>
      </c>
      <c r="K29" s="24"/>
    </row>
    <row r="30" spans="1:11" x14ac:dyDescent="0.25">
      <c r="A30" s="22">
        <v>9069</v>
      </c>
      <c r="B30" s="29">
        <v>46140</v>
      </c>
      <c r="C30" s="23" t="s">
        <v>13</v>
      </c>
      <c r="D30" s="37" t="s">
        <v>32</v>
      </c>
      <c r="E30" s="23" t="s">
        <v>230</v>
      </c>
      <c r="F30" s="31">
        <v>2652</v>
      </c>
      <c r="G30" s="31">
        <v>44500</v>
      </c>
      <c r="H30" s="31">
        <f>Cty_Kim_Thanh[[#This Row],[ĐƠN GIÁ]]*Cty_Kim_Thanh[[#This Row],[SỐ LƯỢNG]]</f>
        <v>118014000</v>
      </c>
      <c r="I30" s="31"/>
      <c r="J30" s="31">
        <f>J29+Cty_Kim_Thanh[[#This Row],[THÀNH TIỀN]]-Cty_Kim_Thanh[[#This Row],[THANH TOÁN]]</f>
        <v>1266176000</v>
      </c>
      <c r="K30" s="24"/>
    </row>
    <row r="31" spans="1:11" x14ac:dyDescent="0.25">
      <c r="A31" s="22">
        <v>9069</v>
      </c>
      <c r="B31" s="29">
        <v>46140</v>
      </c>
      <c r="C31" s="23" t="s">
        <v>13</v>
      </c>
      <c r="D31" s="37" t="s">
        <v>43</v>
      </c>
      <c r="E31" s="23" t="s">
        <v>204</v>
      </c>
      <c r="F31" s="31">
        <v>2096</v>
      </c>
      <c r="G31" s="31">
        <v>58000</v>
      </c>
      <c r="H31" s="31">
        <f>Cty_Kim_Thanh[[#This Row],[ĐƠN GIÁ]]*Cty_Kim_Thanh[[#This Row],[SỐ LƯỢNG]]</f>
        <v>121568000</v>
      </c>
      <c r="I31" s="31"/>
      <c r="J31" s="31">
        <f>J30+Cty_Kim_Thanh[[#This Row],[THÀNH TIỀN]]-Cty_Kim_Thanh[[#This Row],[THANH TOÁN]]</f>
        <v>1387744000</v>
      </c>
      <c r="K31" s="24"/>
    </row>
    <row r="32" spans="1:11" x14ac:dyDescent="0.25">
      <c r="A32" s="22"/>
      <c r="B32" s="29">
        <v>46150</v>
      </c>
      <c r="C32" s="23" t="s">
        <v>21</v>
      </c>
      <c r="D32" s="37" t="s">
        <v>22</v>
      </c>
      <c r="E32" s="23" t="s">
        <v>147</v>
      </c>
      <c r="F32" s="31">
        <v>0</v>
      </c>
      <c r="G32" s="31"/>
      <c r="H32" s="31">
        <f>Cty_Kim_Thanh[[#This Row],[ĐƠN GIÁ]]*Cty_Kim_Thanh[[#This Row],[SỐ LƯỢNG]]</f>
        <v>0</v>
      </c>
      <c r="I32" s="31">
        <v>200000000</v>
      </c>
      <c r="J32" s="31">
        <f>J31+Cty_Kim_Thanh[[#This Row],[THÀNH TIỀN]]-Cty_Kim_Thanh[[#This Row],[THANH TOÁN]]</f>
        <v>1187744000</v>
      </c>
      <c r="K32" s="24"/>
    </row>
    <row r="33" spans="1:11" x14ac:dyDescent="0.25">
      <c r="A33" s="22"/>
      <c r="B33" s="29">
        <v>46157</v>
      </c>
      <c r="C33" s="23" t="s">
        <v>21</v>
      </c>
      <c r="D33" s="37" t="s">
        <v>22</v>
      </c>
      <c r="E33" s="23" t="s">
        <v>147</v>
      </c>
      <c r="F33" s="31">
        <v>0</v>
      </c>
      <c r="G33" s="31"/>
      <c r="H33" s="31">
        <f>Cty_Kim_Thanh[[#This Row],[ĐƠN GIÁ]]*Cty_Kim_Thanh[[#This Row],[SỐ LƯỢNG]]</f>
        <v>0</v>
      </c>
      <c r="I33" s="31">
        <v>200000000</v>
      </c>
      <c r="J33" s="31">
        <f>J32+Cty_Kim_Thanh[[#This Row],[THÀNH TIỀN]]-Cty_Kim_Thanh[[#This Row],[THANH TOÁN]]</f>
        <v>987744000</v>
      </c>
      <c r="K33" s="24"/>
    </row>
    <row r="34" spans="1:11" x14ac:dyDescent="0.25">
      <c r="A34" s="22"/>
      <c r="B34" s="29">
        <v>46164</v>
      </c>
      <c r="C34" s="23" t="s">
        <v>21</v>
      </c>
      <c r="D34" s="37" t="s">
        <v>22</v>
      </c>
      <c r="E34" s="23" t="s">
        <v>147</v>
      </c>
      <c r="F34" s="31">
        <v>0</v>
      </c>
      <c r="G34" s="31"/>
      <c r="H34" s="31">
        <f>Cty_Kim_Thanh[[#This Row],[ĐƠN GIÁ]]*Cty_Kim_Thanh[[#This Row],[SỐ LƯỢNG]]</f>
        <v>0</v>
      </c>
      <c r="I34" s="31">
        <v>150000000</v>
      </c>
      <c r="J34" s="31">
        <f>J33+Cty_Kim_Thanh[[#This Row],[THÀNH TIỀN]]-Cty_Kim_Thanh[[#This Row],[THANH TOÁN]]</f>
        <v>837744000</v>
      </c>
      <c r="K34" s="24"/>
    </row>
    <row r="35" spans="1:11" x14ac:dyDescent="0.25">
      <c r="A35" s="22"/>
      <c r="B35" s="29">
        <v>46171</v>
      </c>
      <c r="C35" s="23" t="s">
        <v>21</v>
      </c>
      <c r="D35" s="37" t="s">
        <v>22</v>
      </c>
      <c r="E35" s="23" t="s">
        <v>147</v>
      </c>
      <c r="F35" s="31">
        <v>0</v>
      </c>
      <c r="G35" s="31"/>
      <c r="H35" s="31">
        <f>Cty_Kim_Thanh[[#This Row],[ĐƠN GIÁ]]*Cty_Kim_Thanh[[#This Row],[SỐ LƯỢNG]]</f>
        <v>0</v>
      </c>
      <c r="I35" s="31">
        <v>100000000</v>
      </c>
      <c r="J35" s="31">
        <f>J34+Cty_Kim_Thanh[[#This Row],[THÀNH TIỀN]]-Cty_Kim_Thanh[[#This Row],[THANH TOÁN]]</f>
        <v>737744000</v>
      </c>
      <c r="K35" s="24"/>
    </row>
    <row r="36" spans="1:11" x14ac:dyDescent="0.25">
      <c r="A36" s="22"/>
      <c r="B36" s="29">
        <v>46178</v>
      </c>
      <c r="C36" s="23" t="s">
        <v>21</v>
      </c>
      <c r="D36" s="37" t="s">
        <v>22</v>
      </c>
      <c r="E36" s="23" t="s">
        <v>147</v>
      </c>
      <c r="F36" s="31">
        <v>0</v>
      </c>
      <c r="G36" s="31"/>
      <c r="H36" s="31">
        <f>Cty_Kim_Thanh[[#This Row],[ĐƠN GIÁ]]*Cty_Kim_Thanh[[#This Row],[SỐ LƯỢNG]]</f>
        <v>0</v>
      </c>
      <c r="I36" s="31">
        <v>150000000</v>
      </c>
      <c r="J36" s="31">
        <f>J35+Cty_Kim_Thanh[[#This Row],[THÀNH TIỀN]]-Cty_Kim_Thanh[[#This Row],[THANH TOÁN]]</f>
        <v>587744000</v>
      </c>
      <c r="K36" s="24"/>
    </row>
    <row r="43" spans="1:11" x14ac:dyDescent="0.25">
      <c r="I43" s="3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376549-6BA3-4477-9D8E-B8DC1D24C552}">
  <sheetPr codeName="Sheet8"/>
  <dimension ref="A5:P35"/>
  <sheetViews>
    <sheetView workbookViewId="0"/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5.8554687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1" width="15" style="1" bestFit="1" customWidth="1"/>
    <col min="12" max="14" width="9.140625" style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287413500</v>
      </c>
    </row>
    <row r="6" spans="1:16" ht="22.5" x14ac:dyDescent="0.25">
      <c r="D6" s="34" t="s">
        <v>210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36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A_Dong_Tan_Hong_Phat[[#This Row],[ĐƠN GIÁ]]*A_Dong_Tan_Hong_Phat[[#This Row],[SỐ LƯỢNG]]</f>
        <v>0</v>
      </c>
      <c r="I10" s="31"/>
      <c r="J10" s="31">
        <v>0</v>
      </c>
      <c r="K10" s="24"/>
    </row>
    <row r="11" spans="1:16" x14ac:dyDescent="0.25">
      <c r="A11" s="22">
        <v>7785</v>
      </c>
      <c r="B11" s="29">
        <v>46083</v>
      </c>
      <c r="C11" s="23" t="s">
        <v>13</v>
      </c>
      <c r="D11" s="37" t="s">
        <v>32</v>
      </c>
      <c r="E11" s="23" t="s">
        <v>40</v>
      </c>
      <c r="F11" s="31">
        <v>5267</v>
      </c>
      <c r="G11" s="31">
        <v>41000</v>
      </c>
      <c r="H11" s="31">
        <f>A_Dong_Tan_Hong_Phat[[#This Row],[ĐƠN GIÁ]]*A_Dong_Tan_Hong_Phat[[#This Row],[SỐ LƯỢNG]]</f>
        <v>215947000</v>
      </c>
      <c r="I11" s="31"/>
      <c r="J11" s="31">
        <f>J10+A_Dong_Tan_Hong_Phat[[#This Row],[THÀNH TIỀN]]-A_Dong_Tan_Hong_Phat[[#This Row],[THANH TOÁN]]</f>
        <v>215947000</v>
      </c>
      <c r="K11" s="24"/>
    </row>
    <row r="12" spans="1:16" x14ac:dyDescent="0.25">
      <c r="A12" s="22">
        <v>7831</v>
      </c>
      <c r="B12" s="29">
        <v>46085</v>
      </c>
      <c r="C12" s="23" t="s">
        <v>13</v>
      </c>
      <c r="D12" s="37" t="s">
        <v>17</v>
      </c>
      <c r="E12" s="23" t="s">
        <v>40</v>
      </c>
      <c r="F12" s="31">
        <f>346-8</f>
        <v>338</v>
      </c>
      <c r="G12" s="31">
        <v>63000</v>
      </c>
      <c r="H12" s="31">
        <f>A_Dong_Tan_Hong_Phat[[#This Row],[ĐƠN GIÁ]]*A_Dong_Tan_Hong_Phat[[#This Row],[SỐ LƯỢNG]]</f>
        <v>21294000</v>
      </c>
      <c r="I12" s="31"/>
      <c r="J12" s="31">
        <f>J11+A_Dong_Tan_Hong_Phat[[#This Row],[THÀNH TIỀN]]-A_Dong_Tan_Hong_Phat[[#This Row],[THANH TOÁN]]</f>
        <v>237241000</v>
      </c>
      <c r="K12" s="24"/>
    </row>
    <row r="13" spans="1:16" x14ac:dyDescent="0.25">
      <c r="A13" s="22">
        <v>7831</v>
      </c>
      <c r="B13" s="29">
        <v>46085</v>
      </c>
      <c r="C13" s="23" t="s">
        <v>13</v>
      </c>
      <c r="D13" s="37" t="s">
        <v>32</v>
      </c>
      <c r="E13" s="23" t="s">
        <v>211</v>
      </c>
      <c r="F13" s="31">
        <f>390-14-4</f>
        <v>372</v>
      </c>
      <c r="G13" s="31">
        <v>42000</v>
      </c>
      <c r="H13" s="31">
        <f>A_Dong_Tan_Hong_Phat[[#This Row],[ĐƠN GIÁ]]*A_Dong_Tan_Hong_Phat[[#This Row],[SỐ LƯỢNG]]</f>
        <v>15624000</v>
      </c>
      <c r="I13" s="31"/>
      <c r="J13" s="31">
        <f>J12+A_Dong_Tan_Hong_Phat[[#This Row],[THÀNH TIỀN]]-A_Dong_Tan_Hong_Phat[[#This Row],[THANH TOÁN]]</f>
        <v>252865000</v>
      </c>
      <c r="K13" s="24"/>
    </row>
    <row r="14" spans="1:16" x14ac:dyDescent="0.25">
      <c r="A14" s="22">
        <v>7950</v>
      </c>
      <c r="B14" s="29">
        <v>46090</v>
      </c>
      <c r="C14" s="23" t="s">
        <v>13</v>
      </c>
      <c r="D14" s="37" t="s">
        <v>135</v>
      </c>
      <c r="E14" s="23" t="s">
        <v>139</v>
      </c>
      <c r="F14" s="31">
        <v>3520</v>
      </c>
      <c r="G14" s="31">
        <v>36000</v>
      </c>
      <c r="H14" s="31">
        <f>A_Dong_Tan_Hong_Phat[[#This Row],[ĐƠN GIÁ]]*A_Dong_Tan_Hong_Phat[[#This Row],[SỐ LƯỢNG]]</f>
        <v>126720000</v>
      </c>
      <c r="I14" s="31"/>
      <c r="J14" s="31">
        <f>J13+A_Dong_Tan_Hong_Phat[[#This Row],[THÀNH TIỀN]]-A_Dong_Tan_Hong_Phat[[#This Row],[THANH TOÁN]]</f>
        <v>379585000</v>
      </c>
      <c r="K14" s="24"/>
      <c r="P14" s="35"/>
    </row>
    <row r="15" spans="1:16" x14ac:dyDescent="0.25">
      <c r="A15" s="22">
        <v>8489</v>
      </c>
      <c r="B15" s="29">
        <v>46114</v>
      </c>
      <c r="C15" s="23" t="s">
        <v>13</v>
      </c>
      <c r="D15" s="37" t="s">
        <v>77</v>
      </c>
      <c r="E15" s="23" t="s">
        <v>212</v>
      </c>
      <c r="F15" s="31">
        <v>1106</v>
      </c>
      <c r="G15" s="31">
        <v>28500</v>
      </c>
      <c r="H15" s="31">
        <f>A_Dong_Tan_Hong_Phat[[#This Row],[ĐƠN GIÁ]]*A_Dong_Tan_Hong_Phat[[#This Row],[SỐ LƯỢNG]]</f>
        <v>31521000</v>
      </c>
      <c r="I15" s="31"/>
      <c r="J15" s="31">
        <f>J14+A_Dong_Tan_Hong_Phat[[#This Row],[THÀNH TIỀN]]-A_Dong_Tan_Hong_Phat[[#This Row],[THANH TOÁN]]</f>
        <v>411106000</v>
      </c>
      <c r="K15" s="24"/>
    </row>
    <row r="16" spans="1:16" x14ac:dyDescent="0.25">
      <c r="A16" s="22">
        <v>8489</v>
      </c>
      <c r="B16" s="29">
        <v>46114</v>
      </c>
      <c r="C16" s="23" t="s">
        <v>13</v>
      </c>
      <c r="D16" s="37" t="s">
        <v>77</v>
      </c>
      <c r="E16" s="23" t="s">
        <v>213</v>
      </c>
      <c r="F16" s="31">
        <v>2890</v>
      </c>
      <c r="G16" s="31">
        <v>28000</v>
      </c>
      <c r="H16" s="31">
        <f>A_Dong_Tan_Hong_Phat[[#This Row],[ĐƠN GIÁ]]*A_Dong_Tan_Hong_Phat[[#This Row],[SỐ LƯỢNG]]</f>
        <v>80920000</v>
      </c>
      <c r="I16" s="31"/>
      <c r="J16" s="31">
        <f>J15+A_Dong_Tan_Hong_Phat[[#This Row],[THÀNH TIỀN]]-A_Dong_Tan_Hong_Phat[[#This Row],[THANH TOÁN]]</f>
        <v>492026000</v>
      </c>
      <c r="K16" s="24"/>
    </row>
    <row r="17" spans="1:11" x14ac:dyDescent="0.25">
      <c r="A17" s="22">
        <v>8533</v>
      </c>
      <c r="B17" s="29">
        <v>46115</v>
      </c>
      <c r="C17" s="23" t="s">
        <v>13</v>
      </c>
      <c r="D17" s="37" t="s">
        <v>43</v>
      </c>
      <c r="E17" s="23" t="s">
        <v>214</v>
      </c>
      <c r="F17" s="31">
        <v>1480</v>
      </c>
      <c r="G17" s="31">
        <v>57000</v>
      </c>
      <c r="H17" s="31">
        <f>A_Dong_Tan_Hong_Phat[[#This Row],[ĐƠN GIÁ]]*A_Dong_Tan_Hong_Phat[[#This Row],[SỐ LƯỢNG]]</f>
        <v>84360000</v>
      </c>
      <c r="I17" s="31"/>
      <c r="J17" s="31">
        <f>J16+A_Dong_Tan_Hong_Phat[[#This Row],[THÀNH TIỀN]]-A_Dong_Tan_Hong_Phat[[#This Row],[THANH TOÁN]]</f>
        <v>576386000</v>
      </c>
      <c r="K17" s="24"/>
    </row>
    <row r="18" spans="1:11" x14ac:dyDescent="0.25">
      <c r="A18" s="22">
        <v>8578</v>
      </c>
      <c r="B18" s="29">
        <v>46118</v>
      </c>
      <c r="C18" s="23" t="s">
        <v>13</v>
      </c>
      <c r="D18" s="37" t="s">
        <v>45</v>
      </c>
      <c r="E18" s="23" t="s">
        <v>215</v>
      </c>
      <c r="F18" s="31">
        <v>480</v>
      </c>
      <c r="G18" s="31">
        <v>34000</v>
      </c>
      <c r="H18" s="31">
        <f>A_Dong_Tan_Hong_Phat[[#This Row],[ĐƠN GIÁ]]*A_Dong_Tan_Hong_Phat[[#This Row],[SỐ LƯỢNG]]</f>
        <v>16320000</v>
      </c>
      <c r="I18" s="31"/>
      <c r="J18" s="31">
        <f>J17+A_Dong_Tan_Hong_Phat[[#This Row],[THÀNH TIỀN]]-A_Dong_Tan_Hong_Phat[[#This Row],[THANH TOÁN]]</f>
        <v>592706000</v>
      </c>
      <c r="K18" s="24"/>
    </row>
    <row r="19" spans="1:11" x14ac:dyDescent="0.25">
      <c r="A19" s="22"/>
      <c r="B19" s="29">
        <v>46119</v>
      </c>
      <c r="C19" s="23" t="s">
        <v>21</v>
      </c>
      <c r="D19" s="37" t="s">
        <v>22</v>
      </c>
      <c r="E19" s="23" t="s">
        <v>147</v>
      </c>
      <c r="F19" s="31">
        <v>0</v>
      </c>
      <c r="G19" s="31"/>
      <c r="H19" s="31">
        <f>A_Dong_Tan_Hong_Phat[[#This Row],[ĐƠN GIÁ]]*A_Dong_Tan_Hong_Phat[[#This Row],[SỐ LƯỢNG]]</f>
        <v>0</v>
      </c>
      <c r="I19" s="31">
        <v>150000000</v>
      </c>
      <c r="J19" s="31">
        <f>J18+A_Dong_Tan_Hong_Phat[[#This Row],[THÀNH TIỀN]]-A_Dong_Tan_Hong_Phat[[#This Row],[THANH TOÁN]]</f>
        <v>442706000</v>
      </c>
      <c r="K19" s="24"/>
    </row>
    <row r="20" spans="1:11" x14ac:dyDescent="0.25">
      <c r="A20" s="22"/>
      <c r="B20" s="29">
        <v>46136</v>
      </c>
      <c r="C20" s="23" t="s">
        <v>21</v>
      </c>
      <c r="D20" s="37" t="s">
        <v>22</v>
      </c>
      <c r="E20" s="23" t="s">
        <v>147</v>
      </c>
      <c r="F20" s="31">
        <v>0</v>
      </c>
      <c r="G20" s="31"/>
      <c r="H20" s="31">
        <f>A_Dong_Tan_Hong_Phat[[#This Row],[ĐƠN GIÁ]]*A_Dong_Tan_Hong_Phat[[#This Row],[SỐ LƯỢNG]]</f>
        <v>0</v>
      </c>
      <c r="I20" s="31">
        <v>150000000</v>
      </c>
      <c r="J20" s="31">
        <f>J19+A_Dong_Tan_Hong_Phat[[#This Row],[THÀNH TIỀN]]-A_Dong_Tan_Hong_Phat[[#This Row],[THANH TOÁN]]</f>
        <v>292706000</v>
      </c>
      <c r="K20" s="24"/>
    </row>
    <row r="21" spans="1:11" x14ac:dyDescent="0.25">
      <c r="A21" s="22"/>
      <c r="B21" s="29">
        <v>46153</v>
      </c>
      <c r="C21" s="23" t="s">
        <v>21</v>
      </c>
      <c r="D21" s="37" t="s">
        <v>22</v>
      </c>
      <c r="E21" s="23" t="s">
        <v>147</v>
      </c>
      <c r="F21" s="31">
        <v>0</v>
      </c>
      <c r="G21" s="31"/>
      <c r="H21" s="31">
        <f>A_Dong_Tan_Hong_Phat[[#This Row],[ĐƠN GIÁ]]*A_Dong_Tan_Hong_Phat[[#This Row],[SỐ LƯỢNG]]</f>
        <v>0</v>
      </c>
      <c r="I21" s="31">
        <v>100000000</v>
      </c>
      <c r="J21" s="31">
        <f>J20+A_Dong_Tan_Hong_Phat[[#This Row],[THÀNH TIỀN]]-A_Dong_Tan_Hong_Phat[[#This Row],[THANH TOÁN]]</f>
        <v>192706000</v>
      </c>
      <c r="K21" s="24"/>
    </row>
    <row r="22" spans="1:11" x14ac:dyDescent="0.25">
      <c r="A22" s="22">
        <v>9520</v>
      </c>
      <c r="B22" s="29">
        <v>46163</v>
      </c>
      <c r="C22" s="23" t="s">
        <v>13</v>
      </c>
      <c r="D22" s="37" t="s">
        <v>17</v>
      </c>
      <c r="E22" s="23" t="s">
        <v>416</v>
      </c>
      <c r="F22" s="31">
        <v>2697</v>
      </c>
      <c r="G22" s="31">
        <v>61500</v>
      </c>
      <c r="H22" s="31">
        <f>A_Dong_Tan_Hong_Phat[[#This Row],[ĐƠN GIÁ]]*A_Dong_Tan_Hong_Phat[[#This Row],[SỐ LƯỢNG]]</f>
        <v>165865500</v>
      </c>
      <c r="I22" s="31"/>
      <c r="J22" s="31">
        <f>J21+A_Dong_Tan_Hong_Phat[[#This Row],[THÀNH TIỀN]]-A_Dong_Tan_Hong_Phat[[#This Row],[THANH TOÁN]]</f>
        <v>358571500</v>
      </c>
      <c r="K22" s="24"/>
    </row>
    <row r="23" spans="1:11" x14ac:dyDescent="0.25">
      <c r="A23" s="22">
        <v>9640</v>
      </c>
      <c r="B23" s="29">
        <v>46169</v>
      </c>
      <c r="C23" s="23" t="s">
        <v>13</v>
      </c>
      <c r="D23" s="37" t="s">
        <v>301</v>
      </c>
      <c r="E23" s="23" t="s">
        <v>2478</v>
      </c>
      <c r="F23" s="31">
        <v>1254</v>
      </c>
      <c r="G23" s="31">
        <v>23000</v>
      </c>
      <c r="H23" s="31">
        <f>A_Dong_Tan_Hong_Phat[[#This Row],[ĐƠN GIÁ]]*A_Dong_Tan_Hong_Phat[[#This Row],[SỐ LƯỢNG]]</f>
        <v>28842000</v>
      </c>
      <c r="I23" s="31"/>
      <c r="J23" s="31">
        <f>J22+A_Dong_Tan_Hong_Phat[[#This Row],[THÀNH TIỀN]]-A_Dong_Tan_Hong_Phat[[#This Row],[THANH TOÁN]]</f>
        <v>387413500</v>
      </c>
      <c r="K23" s="24"/>
    </row>
    <row r="24" spans="1:11" x14ac:dyDescent="0.25">
      <c r="A24" s="22"/>
      <c r="B24" s="29">
        <v>46171</v>
      </c>
      <c r="C24" s="23" t="s">
        <v>21</v>
      </c>
      <c r="D24" s="37" t="s">
        <v>22</v>
      </c>
      <c r="E24" s="23" t="s">
        <v>147</v>
      </c>
      <c r="F24" s="31">
        <v>0</v>
      </c>
      <c r="G24" s="31"/>
      <c r="H24" s="31">
        <f>A_Dong_Tan_Hong_Phat[[#This Row],[ĐƠN GIÁ]]*A_Dong_Tan_Hong_Phat[[#This Row],[SỐ LƯỢNG]]</f>
        <v>0</v>
      </c>
      <c r="I24" s="31">
        <v>100000000</v>
      </c>
      <c r="J24" s="31">
        <f>J23+A_Dong_Tan_Hong_Phat[[#This Row],[THÀNH TIỀN]]-A_Dong_Tan_Hong_Phat[[#This Row],[THANH TOÁN]]</f>
        <v>287413500</v>
      </c>
      <c r="K24" s="24"/>
    </row>
    <row r="25" spans="1:11" x14ac:dyDescent="0.25">
      <c r="A25" s="22"/>
      <c r="B25" s="29">
        <v>46178</v>
      </c>
      <c r="C25" s="23" t="s">
        <v>21</v>
      </c>
      <c r="D25" s="37" t="s">
        <v>22</v>
      </c>
      <c r="E25" s="23" t="s">
        <v>147</v>
      </c>
      <c r="F25" s="31">
        <v>0</v>
      </c>
      <c r="G25" s="31"/>
      <c r="H25" s="31">
        <f>A_Dong_Tan_Hong_Phat[[#This Row],[ĐƠN GIÁ]]*A_Dong_Tan_Hong_Phat[[#This Row],[SỐ LƯỢNG]]</f>
        <v>0</v>
      </c>
      <c r="I25" s="31">
        <v>100000000</v>
      </c>
      <c r="J25" s="31">
        <f>J24+A_Dong_Tan_Hong_Phat[[#This Row],[THÀNH TIỀN]]-A_Dong_Tan_Hong_Phat[[#This Row],[THANH TOÁN]]</f>
        <v>187413500</v>
      </c>
      <c r="K25" s="24"/>
    </row>
    <row r="35" spans="9:9" x14ac:dyDescent="0.25">
      <c r="I35" s="3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4D2A0-FB34-4CA3-A132-6083C8D62ADE}">
  <sheetPr codeName="Sheet10"/>
  <dimension ref="A5:P47"/>
  <sheetViews>
    <sheetView topLeftCell="A28" workbookViewId="0"/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5.8554687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2" width="9.140625" style="1"/>
    <col min="13" max="14" width="11.28515625" style="1" bestFit="1" customWidth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244503000</v>
      </c>
    </row>
    <row r="6" spans="1:16" ht="22.5" x14ac:dyDescent="0.25">
      <c r="D6" s="34" t="s">
        <v>216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36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E_Thai_CMy[[#This Row],[SỐ LƯỢNG]]*E_Thai_CMy[[#This Row],[ĐƠN GIÁ]]</f>
        <v>0</v>
      </c>
      <c r="I10" s="31"/>
      <c r="J10" s="31">
        <v>0</v>
      </c>
      <c r="K10" s="24"/>
      <c r="M10" s="35"/>
    </row>
    <row r="11" spans="1:16" x14ac:dyDescent="0.25">
      <c r="A11" s="22">
        <v>7787</v>
      </c>
      <c r="B11" s="29">
        <v>46083</v>
      </c>
      <c r="C11" s="23" t="s">
        <v>13</v>
      </c>
      <c r="D11" s="37" t="s">
        <v>17</v>
      </c>
      <c r="E11" s="23" t="s">
        <v>41</v>
      </c>
      <c r="F11" s="31">
        <v>625</v>
      </c>
      <c r="G11" s="31">
        <v>58000</v>
      </c>
      <c r="H11" s="31">
        <f>E_Thai_CMy[[#This Row],[SỐ LƯỢNG]]*E_Thai_CMy[[#This Row],[ĐƠN GIÁ]]</f>
        <v>36250000</v>
      </c>
      <c r="I11" s="31"/>
      <c r="J11" s="31">
        <f>J10+E_Thai_CMy[[#This Row],[THÀNH TIỀN]]-E_Thai_CMy[[#This Row],[THANH TOÁN]]</f>
        <v>36250000</v>
      </c>
      <c r="K11" s="24" t="s">
        <v>128</v>
      </c>
    </row>
    <row r="12" spans="1:16" x14ac:dyDescent="0.25">
      <c r="A12" s="22">
        <v>7793</v>
      </c>
      <c r="B12" s="29">
        <v>46083</v>
      </c>
      <c r="C12" s="23" t="s">
        <v>13</v>
      </c>
      <c r="D12" s="37" t="s">
        <v>217</v>
      </c>
      <c r="E12" s="23" t="s">
        <v>218</v>
      </c>
      <c r="F12" s="31">
        <v>74</v>
      </c>
      <c r="G12" s="31">
        <v>62000</v>
      </c>
      <c r="H12" s="31">
        <f>E_Thai_CMy[[#This Row],[SỐ LƯỢNG]]*E_Thai_CMy[[#This Row],[ĐƠN GIÁ]]</f>
        <v>4588000</v>
      </c>
      <c r="I12" s="31"/>
      <c r="J12" s="31">
        <f>J11+E_Thai_CMy[[#This Row],[THÀNH TIỀN]]-E_Thai_CMy[[#This Row],[THANH TOÁN]]</f>
        <v>40838000</v>
      </c>
      <c r="K12" s="24" t="s">
        <v>128</v>
      </c>
    </row>
    <row r="13" spans="1:16" x14ac:dyDescent="0.25">
      <c r="A13" s="25">
        <v>7875</v>
      </c>
      <c r="B13" s="30">
        <v>46086</v>
      </c>
      <c r="C13" s="26" t="s">
        <v>13</v>
      </c>
      <c r="D13" s="38" t="s">
        <v>14</v>
      </c>
      <c r="E13" s="26" t="s">
        <v>185</v>
      </c>
      <c r="F13" s="28">
        <v>292</v>
      </c>
      <c r="G13" s="28">
        <v>41000</v>
      </c>
      <c r="H13" s="31">
        <f>E_Thai_CMy[[#This Row],[SỐ LƯỢNG]]*E_Thai_CMy[[#This Row],[ĐƠN GIÁ]]</f>
        <v>11972000</v>
      </c>
      <c r="I13" s="28"/>
      <c r="J13" s="31">
        <f>J12+E_Thai_CMy[[#This Row],[THÀNH TIỀN]]-E_Thai_CMy[[#This Row],[THANH TOÁN]]</f>
        <v>52810000</v>
      </c>
      <c r="K13" s="24" t="s">
        <v>128</v>
      </c>
    </row>
    <row r="14" spans="1:16" x14ac:dyDescent="0.25">
      <c r="A14" s="25">
        <v>7875</v>
      </c>
      <c r="B14" s="30">
        <v>46086</v>
      </c>
      <c r="C14" s="26" t="s">
        <v>13</v>
      </c>
      <c r="D14" s="38" t="s">
        <v>14</v>
      </c>
      <c r="E14" s="26" t="s">
        <v>62</v>
      </c>
      <c r="F14" s="28">
        <v>116</v>
      </c>
      <c r="G14" s="28">
        <v>41000</v>
      </c>
      <c r="H14" s="28">
        <f>E_Thai_CMy[[#This Row],[SỐ LƯỢNG]]*E_Thai_CMy[[#This Row],[ĐƠN GIÁ]]</f>
        <v>4756000</v>
      </c>
      <c r="I14" s="28"/>
      <c r="J14" s="31">
        <f>J13+E_Thai_CMy[[#This Row],[THÀNH TIỀN]]-E_Thai_CMy[[#This Row],[THANH TOÁN]]</f>
        <v>57566000</v>
      </c>
      <c r="K14" s="24" t="s">
        <v>128</v>
      </c>
      <c r="P14" s="35"/>
    </row>
    <row r="15" spans="1:16" x14ac:dyDescent="0.25">
      <c r="A15" s="25">
        <v>7875</v>
      </c>
      <c r="B15" s="30">
        <v>46086</v>
      </c>
      <c r="C15" s="26" t="s">
        <v>13</v>
      </c>
      <c r="D15" s="38" t="s">
        <v>14</v>
      </c>
      <c r="E15" s="26" t="s">
        <v>41</v>
      </c>
      <c r="F15" s="28">
        <v>158</v>
      </c>
      <c r="G15" s="28">
        <v>41000</v>
      </c>
      <c r="H15" s="28">
        <f>E_Thai_CMy[[#This Row],[SỐ LƯỢNG]]*E_Thai_CMy[[#This Row],[ĐƠN GIÁ]]</f>
        <v>6478000</v>
      </c>
      <c r="I15" s="28"/>
      <c r="J15" s="31">
        <f>J14+E_Thai_CMy[[#This Row],[THÀNH TIỀN]]-E_Thai_CMy[[#This Row],[THANH TOÁN]]</f>
        <v>64044000</v>
      </c>
      <c r="K15" s="24" t="s">
        <v>128</v>
      </c>
    </row>
    <row r="16" spans="1:16" x14ac:dyDescent="0.25">
      <c r="A16" s="25">
        <v>7916</v>
      </c>
      <c r="B16" s="30">
        <v>46088</v>
      </c>
      <c r="C16" s="26" t="s">
        <v>13</v>
      </c>
      <c r="D16" s="38" t="s">
        <v>219</v>
      </c>
      <c r="E16" s="26" t="s">
        <v>220</v>
      </c>
      <c r="F16" s="28">
        <v>56</v>
      </c>
      <c r="G16" s="28">
        <v>45000</v>
      </c>
      <c r="H16" s="28">
        <f>E_Thai_CMy[[#This Row],[SỐ LƯỢNG]]*E_Thai_CMy[[#This Row],[ĐƠN GIÁ]]</f>
        <v>2520000</v>
      </c>
      <c r="I16" s="28"/>
      <c r="J16" s="28">
        <f>J15+E_Thai_CMy[[#This Row],[THÀNH TIỀN]]-E_Thai_CMy[[#This Row],[THANH TOÁN]]</f>
        <v>66564000</v>
      </c>
      <c r="K16" s="27" t="s">
        <v>128</v>
      </c>
    </row>
    <row r="17" spans="1:11" x14ac:dyDescent="0.25">
      <c r="A17" s="25">
        <v>7983</v>
      </c>
      <c r="B17" s="30">
        <v>46091</v>
      </c>
      <c r="C17" s="26" t="s">
        <v>13</v>
      </c>
      <c r="D17" s="38" t="s">
        <v>14</v>
      </c>
      <c r="E17" s="26" t="s">
        <v>62</v>
      </c>
      <c r="F17" s="28">
        <v>146</v>
      </c>
      <c r="G17" s="28">
        <v>42000</v>
      </c>
      <c r="H17" s="28">
        <f>E_Thai_CMy[[#This Row],[SỐ LƯỢNG]]*E_Thai_CMy[[#This Row],[ĐƠN GIÁ]]</f>
        <v>6132000</v>
      </c>
      <c r="I17" s="28"/>
      <c r="J17" s="28">
        <f>J16+E_Thai_CMy[[#This Row],[THÀNH TIỀN]]-E_Thai_CMy[[#This Row],[THANH TOÁN]]</f>
        <v>72696000</v>
      </c>
      <c r="K17" s="27"/>
    </row>
    <row r="18" spans="1:11" x14ac:dyDescent="0.25">
      <c r="A18" s="25">
        <v>8005</v>
      </c>
      <c r="B18" s="30">
        <v>46092</v>
      </c>
      <c r="C18" s="26" t="s">
        <v>13</v>
      </c>
      <c r="D18" s="38" t="s">
        <v>68</v>
      </c>
      <c r="E18" s="26" t="s">
        <v>221</v>
      </c>
      <c r="F18" s="28">
        <v>24</v>
      </c>
      <c r="G18" s="28">
        <v>42000</v>
      </c>
      <c r="H18" s="28">
        <f>E_Thai_CMy[[#This Row],[SỐ LƯỢNG]]*E_Thai_CMy[[#This Row],[ĐƠN GIÁ]]</f>
        <v>1008000</v>
      </c>
      <c r="I18" s="28"/>
      <c r="J18" s="28">
        <f>J17+E_Thai_CMy[[#This Row],[THÀNH TIỀN]]-E_Thai_CMy[[#This Row],[THANH TOÁN]]</f>
        <v>73704000</v>
      </c>
      <c r="K18" s="27" t="s">
        <v>128</v>
      </c>
    </row>
    <row r="19" spans="1:11" x14ac:dyDescent="0.25">
      <c r="A19" s="25">
        <v>8188</v>
      </c>
      <c r="B19" s="30">
        <v>46099</v>
      </c>
      <c r="C19" s="26" t="s">
        <v>13</v>
      </c>
      <c r="D19" s="38" t="s">
        <v>17</v>
      </c>
      <c r="E19" s="26" t="s">
        <v>222</v>
      </c>
      <c r="F19" s="28">
        <v>178</v>
      </c>
      <c r="G19" s="28">
        <v>61000</v>
      </c>
      <c r="H19" s="28">
        <f>E_Thai_CMy[[#This Row],[SỐ LƯỢNG]]*E_Thai_CMy[[#This Row],[ĐƠN GIÁ]]</f>
        <v>10858000</v>
      </c>
      <c r="I19" s="28"/>
      <c r="J19" s="28">
        <f>J18+E_Thai_CMy[[#This Row],[THÀNH TIỀN]]-E_Thai_CMy[[#This Row],[THANH TOÁN]]</f>
        <v>84562000</v>
      </c>
      <c r="K19" s="27" t="s">
        <v>128</v>
      </c>
    </row>
    <row r="20" spans="1:11" x14ac:dyDescent="0.25">
      <c r="A20" s="25">
        <v>8188</v>
      </c>
      <c r="B20" s="30">
        <v>46099</v>
      </c>
      <c r="C20" s="26" t="s">
        <v>13</v>
      </c>
      <c r="D20" s="38" t="s">
        <v>17</v>
      </c>
      <c r="E20" s="23" t="s">
        <v>223</v>
      </c>
      <c r="F20" s="31">
        <v>234</v>
      </c>
      <c r="G20" s="31">
        <v>61000</v>
      </c>
      <c r="H20" s="31">
        <f>E_Thai_CMy[[#This Row],[SỐ LƯỢNG]]*E_Thai_CMy[[#This Row],[ĐƠN GIÁ]]</f>
        <v>14274000</v>
      </c>
      <c r="I20" s="31"/>
      <c r="J20" s="31">
        <f>J19+E_Thai_CMy[[#This Row],[THÀNH TIỀN]]-E_Thai_CMy[[#This Row],[THANH TOÁN]]</f>
        <v>98836000</v>
      </c>
      <c r="K20" s="27" t="s">
        <v>128</v>
      </c>
    </row>
    <row r="21" spans="1:11" x14ac:dyDescent="0.25">
      <c r="A21" s="25">
        <v>8188</v>
      </c>
      <c r="B21" s="30">
        <v>46099</v>
      </c>
      <c r="C21" s="26" t="s">
        <v>13</v>
      </c>
      <c r="D21" s="38" t="s">
        <v>17</v>
      </c>
      <c r="E21" s="23" t="s">
        <v>224</v>
      </c>
      <c r="F21" s="31">
        <v>74</v>
      </c>
      <c r="G21" s="31">
        <v>61000</v>
      </c>
      <c r="H21" s="31">
        <f>E_Thai_CMy[[#This Row],[SỐ LƯỢNG]]*E_Thai_CMy[[#This Row],[ĐƠN GIÁ]]</f>
        <v>4514000</v>
      </c>
      <c r="I21" s="31"/>
      <c r="J21" s="31">
        <f>J20+E_Thai_CMy[[#This Row],[THÀNH TIỀN]]-E_Thai_CMy[[#This Row],[THANH TOÁN]]</f>
        <v>103350000</v>
      </c>
      <c r="K21" s="27" t="s">
        <v>128</v>
      </c>
    </row>
    <row r="22" spans="1:11" x14ac:dyDescent="0.25">
      <c r="A22" s="25">
        <v>8188</v>
      </c>
      <c r="B22" s="30">
        <v>46099</v>
      </c>
      <c r="C22" s="26" t="s">
        <v>13</v>
      </c>
      <c r="D22" s="38" t="s">
        <v>17</v>
      </c>
      <c r="E22" s="23" t="s">
        <v>225</v>
      </c>
      <c r="F22" s="31">
        <v>146</v>
      </c>
      <c r="G22" s="31">
        <v>61000</v>
      </c>
      <c r="H22" s="31">
        <f>E_Thai_CMy[[#This Row],[SỐ LƯỢNG]]*E_Thai_CMy[[#This Row],[ĐƠN GIÁ]]</f>
        <v>8906000</v>
      </c>
      <c r="I22" s="31"/>
      <c r="J22" s="31">
        <f>J21+E_Thai_CMy[[#This Row],[THÀNH TIỀN]]-E_Thai_CMy[[#This Row],[THANH TOÁN]]</f>
        <v>112256000</v>
      </c>
      <c r="K22" s="27" t="s">
        <v>128</v>
      </c>
    </row>
    <row r="23" spans="1:11" x14ac:dyDescent="0.25">
      <c r="A23" s="25">
        <v>8188</v>
      </c>
      <c r="B23" s="30">
        <v>46099</v>
      </c>
      <c r="C23" s="26" t="s">
        <v>13</v>
      </c>
      <c r="D23" s="38" t="s">
        <v>226</v>
      </c>
      <c r="E23" s="26" t="s">
        <v>69</v>
      </c>
      <c r="F23" s="28">
        <v>74</v>
      </c>
      <c r="G23" s="28">
        <v>42000</v>
      </c>
      <c r="H23" s="28">
        <f>E_Thai_CMy[[#This Row],[SỐ LƯỢNG]]*E_Thai_CMy[[#This Row],[ĐƠN GIÁ]]</f>
        <v>3108000</v>
      </c>
      <c r="I23" s="28"/>
      <c r="J23" s="28">
        <f>J22+E_Thai_CMy[[#This Row],[THÀNH TIỀN]]-E_Thai_CMy[[#This Row],[THANH TOÁN]]</f>
        <v>115364000</v>
      </c>
      <c r="K23" s="27" t="s">
        <v>128</v>
      </c>
    </row>
    <row r="24" spans="1:11" x14ac:dyDescent="0.25">
      <c r="A24" s="25">
        <v>8228</v>
      </c>
      <c r="B24" s="30">
        <v>46104</v>
      </c>
      <c r="C24" s="26" t="s">
        <v>13</v>
      </c>
      <c r="D24" s="38" t="s">
        <v>75</v>
      </c>
      <c r="E24" s="26" t="s">
        <v>227</v>
      </c>
      <c r="F24" s="28">
        <v>30</v>
      </c>
      <c r="G24" s="28">
        <v>38500</v>
      </c>
      <c r="H24" s="28">
        <f>E_Thai_CMy[[#This Row],[SỐ LƯỢNG]]*E_Thai_CMy[[#This Row],[ĐƠN GIÁ]]</f>
        <v>1155000</v>
      </c>
      <c r="I24" s="28"/>
      <c r="J24" s="28">
        <f>J23+E_Thai_CMy[[#This Row],[THÀNH TIỀN]]-E_Thai_CMy[[#This Row],[THANH TOÁN]]</f>
        <v>116519000</v>
      </c>
      <c r="K24" s="27" t="s">
        <v>42</v>
      </c>
    </row>
    <row r="25" spans="1:11" x14ac:dyDescent="0.25">
      <c r="A25" s="25">
        <v>8228</v>
      </c>
      <c r="B25" s="30">
        <v>46104</v>
      </c>
      <c r="C25" s="26" t="s">
        <v>13</v>
      </c>
      <c r="D25" s="38" t="s">
        <v>75</v>
      </c>
      <c r="E25" s="23" t="s">
        <v>228</v>
      </c>
      <c r="F25" s="31">
        <v>256</v>
      </c>
      <c r="G25" s="31">
        <v>38500</v>
      </c>
      <c r="H25" s="31">
        <f>E_Thai_CMy[[#This Row],[SỐ LƯỢNG]]*E_Thai_CMy[[#This Row],[ĐƠN GIÁ]]</f>
        <v>9856000</v>
      </c>
      <c r="I25" s="31"/>
      <c r="J25" s="31">
        <f>J24+E_Thai_CMy[[#This Row],[THÀNH TIỀN]]-E_Thai_CMy[[#This Row],[THANH TOÁN]]</f>
        <v>126375000</v>
      </c>
      <c r="K25" s="24" t="s">
        <v>42</v>
      </c>
    </row>
    <row r="26" spans="1:11" x14ac:dyDescent="0.25">
      <c r="A26" s="22">
        <v>8464</v>
      </c>
      <c r="B26" s="29">
        <v>46113</v>
      </c>
      <c r="C26" s="23" t="s">
        <v>13</v>
      </c>
      <c r="D26" s="37" t="s">
        <v>229</v>
      </c>
      <c r="E26" s="23" t="s">
        <v>62</v>
      </c>
      <c r="F26" s="31">
        <v>48</v>
      </c>
      <c r="G26" s="31">
        <v>48000</v>
      </c>
      <c r="H26" s="31">
        <f>E_Thai_CMy[[#This Row],[SỐ LƯỢNG]]*E_Thai_CMy[[#This Row],[ĐƠN GIÁ]]</f>
        <v>2304000</v>
      </c>
      <c r="I26" s="31"/>
      <c r="J26" s="31">
        <f>J25+E_Thai_CMy[[#This Row],[THÀNH TIỀN]]-E_Thai_CMy[[#This Row],[THANH TOÁN]]</f>
        <v>128679000</v>
      </c>
      <c r="K26" s="24" t="s">
        <v>128</v>
      </c>
    </row>
    <row r="27" spans="1:11" x14ac:dyDescent="0.25">
      <c r="A27" s="22">
        <v>8526</v>
      </c>
      <c r="B27" s="29">
        <v>46115</v>
      </c>
      <c r="C27" s="23" t="s">
        <v>13</v>
      </c>
      <c r="D27" s="37" t="s">
        <v>103</v>
      </c>
      <c r="E27" s="23" t="s">
        <v>179</v>
      </c>
      <c r="F27" s="31">
        <v>44</v>
      </c>
      <c r="G27" s="31">
        <v>38000</v>
      </c>
      <c r="H27" s="31">
        <f>E_Thai_CMy[[#This Row],[SỐ LƯỢNG]]*E_Thai_CMy[[#This Row],[ĐƠN GIÁ]]</f>
        <v>1672000</v>
      </c>
      <c r="I27" s="31"/>
      <c r="J27" s="31">
        <f>J26+E_Thai_CMy[[#This Row],[THÀNH TIỀN]]-E_Thai_CMy[[#This Row],[THANH TOÁN]]</f>
        <v>130351000</v>
      </c>
      <c r="K27" s="24" t="s">
        <v>42</v>
      </c>
    </row>
    <row r="28" spans="1:11" x14ac:dyDescent="0.25">
      <c r="A28" s="22"/>
      <c r="B28" s="29">
        <v>46118</v>
      </c>
      <c r="C28" s="23" t="s">
        <v>21</v>
      </c>
      <c r="D28" s="37" t="s">
        <v>22</v>
      </c>
      <c r="E28" s="23" t="s">
        <v>2067</v>
      </c>
      <c r="F28" s="31">
        <v>0</v>
      </c>
      <c r="G28" s="31"/>
      <c r="H28" s="31">
        <f>E_Thai_CMy[[#This Row],[SỐ LƯỢNG]]*E_Thai_CMy[[#This Row],[ĐƠN GIÁ]]</f>
        <v>0</v>
      </c>
      <c r="I28" s="31">
        <v>60000000</v>
      </c>
      <c r="J28" s="31">
        <f>J27+E_Thai_CMy[[#This Row],[THÀNH TIỀN]]-E_Thai_CMy[[#This Row],[THANH TOÁN]]</f>
        <v>70351000</v>
      </c>
      <c r="K28" s="24"/>
    </row>
    <row r="29" spans="1:11" x14ac:dyDescent="0.25">
      <c r="A29" s="22">
        <v>8623</v>
      </c>
      <c r="B29" s="29">
        <v>46120</v>
      </c>
      <c r="C29" s="23" t="s">
        <v>13</v>
      </c>
      <c r="D29" s="37" t="s">
        <v>32</v>
      </c>
      <c r="E29" s="23" t="s">
        <v>230</v>
      </c>
      <c r="F29" s="31">
        <v>350</v>
      </c>
      <c r="G29" s="31">
        <v>42000</v>
      </c>
      <c r="H29" s="31">
        <f>E_Thai_CMy[[#This Row],[SỐ LƯỢNG]]*E_Thai_CMy[[#This Row],[ĐƠN GIÁ]]</f>
        <v>14700000</v>
      </c>
      <c r="I29" s="31"/>
      <c r="J29" s="31">
        <f>J28+E_Thai_CMy[[#This Row],[THÀNH TIỀN]]-E_Thai_CMy[[#This Row],[THANH TOÁN]]</f>
        <v>85051000</v>
      </c>
      <c r="K29" s="24" t="s">
        <v>231</v>
      </c>
    </row>
    <row r="30" spans="1:11" x14ac:dyDescent="0.25">
      <c r="A30" s="22">
        <v>8758</v>
      </c>
      <c r="B30" s="29">
        <v>46126</v>
      </c>
      <c r="C30" s="23" t="s">
        <v>13</v>
      </c>
      <c r="D30" s="37" t="s">
        <v>14</v>
      </c>
      <c r="E30" s="23" t="s">
        <v>146</v>
      </c>
      <c r="F30" s="31">
        <v>116</v>
      </c>
      <c r="G30" s="31">
        <v>42000</v>
      </c>
      <c r="H30" s="31">
        <f>E_Thai_CMy[[#This Row],[SỐ LƯỢNG]]*E_Thai_CMy[[#This Row],[ĐƠN GIÁ]]</f>
        <v>4872000</v>
      </c>
      <c r="I30" s="31"/>
      <c r="J30" s="31">
        <f>J29+E_Thai_CMy[[#This Row],[THÀNH TIỀN]]-E_Thai_CMy[[#This Row],[THANH TOÁN]]</f>
        <v>89923000</v>
      </c>
      <c r="K30" s="24" t="s">
        <v>42</v>
      </c>
    </row>
    <row r="31" spans="1:11" x14ac:dyDescent="0.25">
      <c r="A31" s="22">
        <v>8758</v>
      </c>
      <c r="B31" s="29">
        <v>46126</v>
      </c>
      <c r="C31" s="23" t="s">
        <v>13</v>
      </c>
      <c r="D31" s="37" t="s">
        <v>14</v>
      </c>
      <c r="E31" s="23" t="s">
        <v>41</v>
      </c>
      <c r="F31" s="31">
        <v>186</v>
      </c>
      <c r="G31" s="31">
        <v>42000</v>
      </c>
      <c r="H31" s="31">
        <f>E_Thai_CMy[[#This Row],[SỐ LƯỢNG]]*E_Thai_CMy[[#This Row],[ĐƠN GIÁ]]</f>
        <v>7812000</v>
      </c>
      <c r="I31" s="31"/>
      <c r="J31" s="31">
        <f>J30+E_Thai_CMy[[#This Row],[THÀNH TIỀN]]-E_Thai_CMy[[#This Row],[THANH TOÁN]]</f>
        <v>97735000</v>
      </c>
      <c r="K31" s="24" t="s">
        <v>42</v>
      </c>
    </row>
    <row r="32" spans="1:11" x14ac:dyDescent="0.25">
      <c r="A32" s="22">
        <v>8846</v>
      </c>
      <c r="B32" s="29">
        <v>46129</v>
      </c>
      <c r="C32" s="23" t="s">
        <v>13</v>
      </c>
      <c r="D32" s="37" t="s">
        <v>232</v>
      </c>
      <c r="E32" s="23" t="s">
        <v>62</v>
      </c>
      <c r="F32" s="31">
        <v>38</v>
      </c>
      <c r="G32" s="31">
        <v>48000</v>
      </c>
      <c r="H32" s="31">
        <f>E_Thai_CMy[[#This Row],[SỐ LƯỢNG]]*E_Thai_CMy[[#This Row],[ĐƠN GIÁ]]</f>
        <v>1824000</v>
      </c>
      <c r="I32" s="31"/>
      <c r="J32" s="31">
        <f>J31+E_Thai_CMy[[#This Row],[THÀNH TIỀN]]-E_Thai_CMy[[#This Row],[THANH TOÁN]]</f>
        <v>99559000</v>
      </c>
      <c r="K32" s="24"/>
    </row>
    <row r="33" spans="1:11" x14ac:dyDescent="0.25">
      <c r="A33" s="22">
        <v>8979</v>
      </c>
      <c r="B33" s="29">
        <v>46136</v>
      </c>
      <c r="C33" s="23" t="s">
        <v>13</v>
      </c>
      <c r="D33" s="37" t="s">
        <v>32</v>
      </c>
      <c r="E33" s="23" t="s">
        <v>40</v>
      </c>
      <c r="F33" s="31">
        <v>1173</v>
      </c>
      <c r="G33" s="31">
        <v>41000</v>
      </c>
      <c r="H33" s="31">
        <f>E_Thai_CMy[[#This Row],[SỐ LƯỢNG]]*E_Thai_CMy[[#This Row],[ĐƠN GIÁ]]</f>
        <v>48093000</v>
      </c>
      <c r="I33" s="31"/>
      <c r="J33" s="31">
        <f>J32+E_Thai_CMy[[#This Row],[THÀNH TIỀN]]-E_Thai_CMy[[#This Row],[THANH TOÁN]]</f>
        <v>147652000</v>
      </c>
      <c r="K33" s="24" t="s">
        <v>42</v>
      </c>
    </row>
    <row r="34" spans="1:11" x14ac:dyDescent="0.25">
      <c r="A34" s="22"/>
      <c r="B34" s="29">
        <v>46137</v>
      </c>
      <c r="C34" s="23" t="s">
        <v>21</v>
      </c>
      <c r="D34" s="37" t="s">
        <v>24</v>
      </c>
      <c r="E34" s="23"/>
      <c r="F34" s="31">
        <v>0</v>
      </c>
      <c r="G34" s="31"/>
      <c r="H34" s="31">
        <f>E_Thai_CMy[[#This Row],[SỐ LƯỢNG]]*E_Thai_CMy[[#This Row],[ĐƠN GIÁ]]</f>
        <v>0</v>
      </c>
      <c r="I34" s="31">
        <v>50000000</v>
      </c>
      <c r="J34" s="31">
        <f>J33+E_Thai_CMy[[#This Row],[THÀNH TIỀN]]-E_Thai_CMy[[#This Row],[THANH TOÁN]]</f>
        <v>97652000</v>
      </c>
      <c r="K34" s="24"/>
    </row>
    <row r="35" spans="1:11" x14ac:dyDescent="0.25">
      <c r="A35" s="22">
        <v>9107</v>
      </c>
      <c r="B35" s="29">
        <v>46141</v>
      </c>
      <c r="C35" s="23" t="s">
        <v>13</v>
      </c>
      <c r="D35" s="37" t="s">
        <v>317</v>
      </c>
      <c r="E35" s="23" t="s">
        <v>288</v>
      </c>
      <c r="F35" s="31">
        <v>100</v>
      </c>
      <c r="G35" s="31">
        <v>63000</v>
      </c>
      <c r="H35" s="31">
        <f>E_Thai_CMy[[#This Row],[SỐ LƯỢNG]]*E_Thai_CMy[[#This Row],[ĐƠN GIÁ]]</f>
        <v>6300000</v>
      </c>
      <c r="I35" s="31"/>
      <c r="J35" s="31">
        <f>J34+E_Thai_CMy[[#This Row],[THÀNH TIỀN]]-E_Thai_CMy[[#This Row],[THANH TOÁN]]</f>
        <v>103952000</v>
      </c>
      <c r="K35" s="24" t="s">
        <v>42</v>
      </c>
    </row>
    <row r="36" spans="1:11" x14ac:dyDescent="0.25">
      <c r="A36" s="22">
        <v>9107</v>
      </c>
      <c r="B36" s="29">
        <v>46141</v>
      </c>
      <c r="C36" s="23" t="s">
        <v>13</v>
      </c>
      <c r="D36" s="37" t="s">
        <v>226</v>
      </c>
      <c r="E36" s="23" t="s">
        <v>117</v>
      </c>
      <c r="F36" s="31">
        <v>44</v>
      </c>
      <c r="G36" s="31">
        <v>45000</v>
      </c>
      <c r="H36" s="31">
        <f>E_Thai_CMy[[#This Row],[SỐ LƯỢNG]]*E_Thai_CMy[[#This Row],[ĐƠN GIÁ]]</f>
        <v>1980000</v>
      </c>
      <c r="I36" s="31"/>
      <c r="J36" s="31">
        <f>J35+E_Thai_CMy[[#This Row],[THÀNH TIỀN]]-E_Thai_CMy[[#This Row],[THANH TOÁN]]</f>
        <v>105932000</v>
      </c>
      <c r="K36" s="24" t="s">
        <v>42</v>
      </c>
    </row>
    <row r="37" spans="1:11" x14ac:dyDescent="0.25">
      <c r="A37" s="22">
        <v>9169</v>
      </c>
      <c r="B37" s="29">
        <v>46147</v>
      </c>
      <c r="C37" s="23" t="s">
        <v>13</v>
      </c>
      <c r="D37" s="37" t="s">
        <v>32</v>
      </c>
      <c r="E37" s="23" t="s">
        <v>40</v>
      </c>
      <c r="F37" s="31">
        <v>627</v>
      </c>
      <c r="G37" s="31">
        <v>41000</v>
      </c>
      <c r="H37" s="31">
        <f>E_Thai_CMy[[#This Row],[SỐ LƯỢNG]]*E_Thai_CMy[[#This Row],[ĐƠN GIÁ]]</f>
        <v>25707000</v>
      </c>
      <c r="I37" s="31"/>
      <c r="J37" s="31">
        <f>J36+E_Thai_CMy[[#This Row],[THÀNH TIỀN]]-E_Thai_CMy[[#This Row],[THANH TOÁN]]</f>
        <v>131639000</v>
      </c>
      <c r="K37" s="24" t="s">
        <v>42</v>
      </c>
    </row>
    <row r="38" spans="1:11" x14ac:dyDescent="0.25">
      <c r="A38" s="22">
        <v>9169</v>
      </c>
      <c r="B38" s="29">
        <v>46147</v>
      </c>
      <c r="C38" s="23" t="s">
        <v>13</v>
      </c>
      <c r="D38" s="37" t="s">
        <v>14</v>
      </c>
      <c r="E38" s="23" t="s">
        <v>1938</v>
      </c>
      <c r="F38" s="31">
        <v>178</v>
      </c>
      <c r="G38" s="31">
        <v>42000</v>
      </c>
      <c r="H38" s="31">
        <f>E_Thai_CMy[[#This Row],[SỐ LƯỢNG]]*E_Thai_CMy[[#This Row],[ĐƠN GIÁ]]</f>
        <v>7476000</v>
      </c>
      <c r="I38" s="31"/>
      <c r="J38" s="31">
        <f>J37+E_Thai_CMy[[#This Row],[THÀNH TIỀN]]-E_Thai_CMy[[#This Row],[THANH TOÁN]]</f>
        <v>139115000</v>
      </c>
      <c r="K38" s="24" t="s">
        <v>42</v>
      </c>
    </row>
    <row r="39" spans="1:11" x14ac:dyDescent="0.25">
      <c r="A39" s="22">
        <v>9259</v>
      </c>
      <c r="B39" s="29">
        <v>46150</v>
      </c>
      <c r="C39" s="23" t="s">
        <v>13</v>
      </c>
      <c r="D39" s="37" t="s">
        <v>75</v>
      </c>
      <c r="E39" s="23" t="s">
        <v>1979</v>
      </c>
      <c r="F39" s="31">
        <v>102</v>
      </c>
      <c r="G39" s="31">
        <v>40000</v>
      </c>
      <c r="H39" s="31">
        <f>E_Thai_CMy[[#This Row],[SỐ LƯỢNG]]*E_Thai_CMy[[#This Row],[ĐƠN GIÁ]]</f>
        <v>4080000</v>
      </c>
      <c r="I39" s="31"/>
      <c r="J39" s="31">
        <f>J38+E_Thai_CMy[[#This Row],[THÀNH TIỀN]]-E_Thai_CMy[[#This Row],[THANH TOÁN]]</f>
        <v>143195000</v>
      </c>
      <c r="K39" s="24" t="s">
        <v>42</v>
      </c>
    </row>
    <row r="40" spans="1:11" x14ac:dyDescent="0.25">
      <c r="A40" s="22">
        <v>9364</v>
      </c>
      <c r="B40" s="29">
        <v>46155</v>
      </c>
      <c r="C40" s="23" t="s">
        <v>13</v>
      </c>
      <c r="D40" s="37" t="s">
        <v>135</v>
      </c>
      <c r="E40" s="23" t="s">
        <v>146</v>
      </c>
      <c r="F40" s="31">
        <v>514</v>
      </c>
      <c r="G40" s="31">
        <v>37000</v>
      </c>
      <c r="H40" s="31">
        <f>E_Thai_CMy[[#This Row],[SỐ LƯỢNG]]*E_Thai_CMy[[#This Row],[ĐƠN GIÁ]]</f>
        <v>19018000</v>
      </c>
      <c r="I40" s="31"/>
      <c r="J40" s="31">
        <f>J39+E_Thai_CMy[[#This Row],[THÀNH TIỀN]]-E_Thai_CMy[[#This Row],[THANH TOÁN]]</f>
        <v>162213000</v>
      </c>
      <c r="K40" s="24"/>
    </row>
    <row r="41" spans="1:11" x14ac:dyDescent="0.25">
      <c r="A41" s="22">
        <v>9401</v>
      </c>
      <c r="B41" s="29">
        <v>46157</v>
      </c>
      <c r="C41" s="23" t="s">
        <v>13</v>
      </c>
      <c r="D41" s="37" t="s">
        <v>103</v>
      </c>
      <c r="E41" s="23" t="s">
        <v>2122</v>
      </c>
      <c r="F41" s="31">
        <v>122</v>
      </c>
      <c r="G41" s="31">
        <v>37000</v>
      </c>
      <c r="H41" s="31">
        <f>E_Thai_CMy[[#This Row],[SỐ LƯỢNG]]*E_Thai_CMy[[#This Row],[ĐƠN GIÁ]]</f>
        <v>4514000</v>
      </c>
      <c r="I41" s="31"/>
      <c r="J41" s="31">
        <f>J40+E_Thai_CMy[[#This Row],[THÀNH TIỀN]]-E_Thai_CMy[[#This Row],[THANH TOÁN]]</f>
        <v>166727000</v>
      </c>
      <c r="K41" s="24" t="s">
        <v>42</v>
      </c>
    </row>
    <row r="42" spans="1:11" x14ac:dyDescent="0.25">
      <c r="A42" s="22">
        <v>9412</v>
      </c>
      <c r="B42" s="29">
        <v>46157</v>
      </c>
      <c r="C42" s="23" t="s">
        <v>13</v>
      </c>
      <c r="D42" s="37" t="s">
        <v>135</v>
      </c>
      <c r="E42" s="23" t="s">
        <v>41</v>
      </c>
      <c r="F42" s="31">
        <v>416</v>
      </c>
      <c r="G42" s="31">
        <v>37000</v>
      </c>
      <c r="H42" s="31">
        <f>E_Thai_CMy[[#This Row],[SỐ LƯỢNG]]*E_Thai_CMy[[#This Row],[ĐƠN GIÁ]]</f>
        <v>15392000</v>
      </c>
      <c r="I42" s="31"/>
      <c r="J42" s="31">
        <f>J41+E_Thai_CMy[[#This Row],[THÀNH TIỀN]]-E_Thai_CMy[[#This Row],[THANH TOÁN]]</f>
        <v>182119000</v>
      </c>
      <c r="K42" s="24" t="s">
        <v>42</v>
      </c>
    </row>
    <row r="43" spans="1:11" x14ac:dyDescent="0.25">
      <c r="A43" s="22">
        <v>9488</v>
      </c>
      <c r="B43" s="29">
        <v>46161</v>
      </c>
      <c r="C43" s="23" t="s">
        <v>13</v>
      </c>
      <c r="D43" s="37" t="s">
        <v>317</v>
      </c>
      <c r="E43" s="23" t="s">
        <v>221</v>
      </c>
      <c r="F43" s="31">
        <v>314</v>
      </c>
      <c r="G43" s="31">
        <v>59000</v>
      </c>
      <c r="H43" s="31">
        <f>E_Thai_CMy[[#This Row],[SỐ LƯỢNG]]*E_Thai_CMy[[#This Row],[ĐƠN GIÁ]]</f>
        <v>18526000</v>
      </c>
      <c r="I43" s="31"/>
      <c r="J43" s="31">
        <f>J42+E_Thai_CMy[[#This Row],[THÀNH TIỀN]]-E_Thai_CMy[[#This Row],[THANH TOÁN]]</f>
        <v>200645000</v>
      </c>
      <c r="K43" s="24"/>
    </row>
    <row r="44" spans="1:11" x14ac:dyDescent="0.25">
      <c r="A44" s="22">
        <v>9596</v>
      </c>
      <c r="B44" s="29">
        <v>46167</v>
      </c>
      <c r="C44" s="23" t="s">
        <v>13</v>
      </c>
      <c r="D44" s="37" t="s">
        <v>17</v>
      </c>
      <c r="E44" s="23" t="s">
        <v>41</v>
      </c>
      <c r="F44" s="31">
        <v>232</v>
      </c>
      <c r="G44" s="31">
        <v>63000</v>
      </c>
      <c r="H44" s="31">
        <f>E_Thai_CMy[[#This Row],[SỐ LƯỢNG]]*E_Thai_CMy[[#This Row],[ĐƠN GIÁ]]</f>
        <v>14616000</v>
      </c>
      <c r="I44" s="31"/>
      <c r="J44" s="31">
        <f>J43+E_Thai_CMy[[#This Row],[THÀNH TIỀN]]-E_Thai_CMy[[#This Row],[THANH TOÁN]]</f>
        <v>215261000</v>
      </c>
      <c r="K44" s="24" t="s">
        <v>42</v>
      </c>
    </row>
    <row r="45" spans="1:11" x14ac:dyDescent="0.25">
      <c r="A45" s="22">
        <v>9624</v>
      </c>
      <c r="B45" s="29">
        <v>46168</v>
      </c>
      <c r="C45" s="23" t="s">
        <v>13</v>
      </c>
      <c r="D45" s="37" t="s">
        <v>17</v>
      </c>
      <c r="E45" s="23" t="s">
        <v>136</v>
      </c>
      <c r="F45" s="31">
        <v>270</v>
      </c>
      <c r="G45" s="31">
        <v>60000</v>
      </c>
      <c r="H45" s="31">
        <f>E_Thai_CMy[[#This Row],[SỐ LƯỢNG]]*E_Thai_CMy[[#This Row],[ĐƠN GIÁ]]</f>
        <v>16200000</v>
      </c>
      <c r="I45" s="31"/>
      <c r="J45" s="31">
        <f>J44+E_Thai_CMy[[#This Row],[THÀNH TIỀN]]-E_Thai_CMy[[#This Row],[THANH TOÁN]]</f>
        <v>231461000</v>
      </c>
      <c r="K45" s="24" t="s">
        <v>42</v>
      </c>
    </row>
    <row r="46" spans="1:11" x14ac:dyDescent="0.25">
      <c r="A46" s="22">
        <v>9624</v>
      </c>
      <c r="B46" s="29">
        <v>46168</v>
      </c>
      <c r="C46" s="23" t="s">
        <v>13</v>
      </c>
      <c r="D46" s="37" t="s">
        <v>68</v>
      </c>
      <c r="E46" s="23" t="s">
        <v>148</v>
      </c>
      <c r="F46" s="31">
        <v>146</v>
      </c>
      <c r="G46" s="31">
        <v>41000</v>
      </c>
      <c r="H46" s="31">
        <f>E_Thai_CMy[[#This Row],[SỐ LƯỢNG]]*E_Thai_CMy[[#This Row],[ĐƠN GIÁ]]</f>
        <v>5986000</v>
      </c>
      <c r="I46" s="31"/>
      <c r="J46" s="31">
        <f>J45+E_Thai_CMy[[#This Row],[THÀNH TIỀN]]-E_Thai_CMy[[#This Row],[THANH TOÁN]]</f>
        <v>237447000</v>
      </c>
      <c r="K46" s="24" t="s">
        <v>42</v>
      </c>
    </row>
    <row r="47" spans="1:11" x14ac:dyDescent="0.25">
      <c r="A47" s="22">
        <v>9730</v>
      </c>
      <c r="B47" s="29">
        <v>46174</v>
      </c>
      <c r="C47" s="23" t="s">
        <v>13</v>
      </c>
      <c r="D47" s="37" t="s">
        <v>1842</v>
      </c>
      <c r="E47" s="23" t="s">
        <v>2538</v>
      </c>
      <c r="F47" s="31">
        <v>98</v>
      </c>
      <c r="G47" s="31">
        <v>72000</v>
      </c>
      <c r="H47" s="31">
        <f>E_Thai_CMy[[#This Row],[SỐ LƯỢNG]]*E_Thai_CMy[[#This Row],[ĐƠN GIÁ]]</f>
        <v>7056000</v>
      </c>
      <c r="I47" s="31"/>
      <c r="J47" s="31">
        <f>J46+E_Thai_CMy[[#This Row],[THÀNH TIỀN]]-E_Thai_CMy[[#This Row],[THANH TOÁN]]</f>
        <v>244503000</v>
      </c>
      <c r="K47" s="24" t="s">
        <v>42</v>
      </c>
    </row>
  </sheetData>
  <phoneticPr fontId="9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1C87DA-CC5B-441C-AF71-D89707A86507}">
  <sheetPr codeName="Sheet11"/>
  <dimension ref="A5:P62"/>
  <sheetViews>
    <sheetView topLeftCell="A31" workbookViewId="0">
      <selection activeCell="I64" sqref="I64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5.8554687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1" width="15" style="1" bestFit="1" customWidth="1"/>
    <col min="12" max="14" width="9.140625" style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842160151</v>
      </c>
    </row>
    <row r="6" spans="1:16" ht="22.5" x14ac:dyDescent="0.25">
      <c r="D6" s="34" t="s">
        <v>233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36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E_Giao_Cty_Bach_Kim[[#This Row],[ĐƠN GIÁ]]*E_Giao_Cty_Bach_Kim[[#This Row],[SỐ LƯỢNG]]</f>
        <v>0</v>
      </c>
      <c r="I10" s="31"/>
      <c r="J10" s="31">
        <v>101246317</v>
      </c>
      <c r="K10" s="24"/>
    </row>
    <row r="11" spans="1:16" x14ac:dyDescent="0.25">
      <c r="A11" s="22">
        <v>7788</v>
      </c>
      <c r="B11" s="29">
        <v>46083</v>
      </c>
      <c r="C11" s="23" t="s">
        <v>13</v>
      </c>
      <c r="D11" s="37" t="s">
        <v>17</v>
      </c>
      <c r="E11" s="23" t="s">
        <v>25</v>
      </c>
      <c r="F11" s="31">
        <v>582</v>
      </c>
      <c r="G11" s="31">
        <v>59000</v>
      </c>
      <c r="H11" s="31">
        <f>E_Giao_Cty_Bach_Kim[[#This Row],[ĐƠN GIÁ]]*E_Giao_Cty_Bach_Kim[[#This Row],[SỐ LƯỢNG]]</f>
        <v>34338000</v>
      </c>
      <c r="I11" s="31"/>
      <c r="J11" s="31">
        <f>J10+E_Giao_Cty_Bach_Kim[[#This Row],[THÀNH TIỀN]]-E_Giao_Cty_Bach_Kim[[#This Row],[THANH TOÁN]]</f>
        <v>135584317</v>
      </c>
      <c r="K11" s="24"/>
    </row>
    <row r="12" spans="1:16" x14ac:dyDescent="0.25">
      <c r="A12" s="22">
        <v>7825</v>
      </c>
      <c r="B12" s="29">
        <v>46084</v>
      </c>
      <c r="C12" s="23" t="s">
        <v>13</v>
      </c>
      <c r="D12" s="37" t="s">
        <v>17</v>
      </c>
      <c r="E12" s="23" t="s">
        <v>234</v>
      </c>
      <c r="F12" s="31">
        <v>438</v>
      </c>
      <c r="G12" s="31">
        <v>59000</v>
      </c>
      <c r="H12" s="31">
        <f>E_Giao_Cty_Bach_Kim[[#This Row],[ĐƠN GIÁ]]*E_Giao_Cty_Bach_Kim[[#This Row],[SỐ LƯỢNG]]</f>
        <v>25842000</v>
      </c>
      <c r="I12" s="31"/>
      <c r="J12" s="31">
        <f>J11+E_Giao_Cty_Bach_Kim[[#This Row],[THÀNH TIỀN]]-E_Giao_Cty_Bach_Kim[[#This Row],[THANH TOÁN]]</f>
        <v>161426317</v>
      </c>
      <c r="K12" s="24"/>
    </row>
    <row r="13" spans="1:16" x14ac:dyDescent="0.25">
      <c r="A13" s="22">
        <v>7825</v>
      </c>
      <c r="B13" s="29">
        <v>46084</v>
      </c>
      <c r="C13" s="23" t="s">
        <v>13</v>
      </c>
      <c r="D13" s="37" t="s">
        <v>17</v>
      </c>
      <c r="E13" s="23" t="s">
        <v>234</v>
      </c>
      <c r="F13" s="31">
        <v>668</v>
      </c>
      <c r="G13" s="31">
        <v>59000</v>
      </c>
      <c r="H13" s="31">
        <f>E_Giao_Cty_Bach_Kim[[#This Row],[ĐƠN GIÁ]]*E_Giao_Cty_Bach_Kim[[#This Row],[SỐ LƯỢNG]]</f>
        <v>39412000</v>
      </c>
      <c r="I13" s="31"/>
      <c r="J13" s="31">
        <f>J12+E_Giao_Cty_Bach_Kim[[#This Row],[THÀNH TIỀN]]-E_Giao_Cty_Bach_Kim[[#This Row],[THANH TOÁN]]</f>
        <v>200838317</v>
      </c>
      <c r="K13" s="24"/>
    </row>
    <row r="14" spans="1:16" x14ac:dyDescent="0.25">
      <c r="A14" s="22">
        <v>7825</v>
      </c>
      <c r="B14" s="29">
        <v>46084</v>
      </c>
      <c r="C14" s="23" t="s">
        <v>13</v>
      </c>
      <c r="D14" s="37" t="s">
        <v>17</v>
      </c>
      <c r="E14" s="23" t="s">
        <v>136</v>
      </c>
      <c r="F14" s="31">
        <v>704</v>
      </c>
      <c r="G14" s="31">
        <v>57500</v>
      </c>
      <c r="H14" s="31">
        <f>E_Giao_Cty_Bach_Kim[[#This Row],[ĐƠN GIÁ]]*E_Giao_Cty_Bach_Kim[[#This Row],[SỐ LƯỢNG]]</f>
        <v>40480000</v>
      </c>
      <c r="I14" s="31"/>
      <c r="J14" s="31">
        <f>J13+E_Giao_Cty_Bach_Kim[[#This Row],[THÀNH TIỀN]]-E_Giao_Cty_Bach_Kim[[#This Row],[THANH TOÁN]]</f>
        <v>241318317</v>
      </c>
      <c r="K14" s="24"/>
      <c r="P14" s="35"/>
    </row>
    <row r="15" spans="1:16" x14ac:dyDescent="0.25">
      <c r="A15" s="25">
        <v>7845</v>
      </c>
      <c r="B15" s="30">
        <v>46085</v>
      </c>
      <c r="C15" s="23" t="s">
        <v>13</v>
      </c>
      <c r="D15" s="37" t="s">
        <v>26</v>
      </c>
      <c r="E15" s="26" t="s">
        <v>25</v>
      </c>
      <c r="F15" s="28">
        <v>462</v>
      </c>
      <c r="G15" s="28">
        <v>32000</v>
      </c>
      <c r="H15" s="28">
        <f>E_Giao_Cty_Bach_Kim[[#This Row],[ĐƠN GIÁ]]*E_Giao_Cty_Bach_Kim[[#This Row],[SỐ LƯỢNG]]</f>
        <v>14784000</v>
      </c>
      <c r="I15" s="28"/>
      <c r="J15" s="31">
        <f>J14+E_Giao_Cty_Bach_Kim[[#This Row],[THÀNH TIỀN]]-E_Giao_Cty_Bach_Kim[[#This Row],[THANH TOÁN]]</f>
        <v>256102317</v>
      </c>
      <c r="K15" s="27" t="s">
        <v>128</v>
      </c>
    </row>
    <row r="16" spans="1:16" x14ac:dyDescent="0.25">
      <c r="A16" s="25">
        <v>7895</v>
      </c>
      <c r="B16" s="30">
        <v>46087</v>
      </c>
      <c r="C16" s="23" t="s">
        <v>13</v>
      </c>
      <c r="D16" s="38" t="s">
        <v>26</v>
      </c>
      <c r="E16" s="26" t="s">
        <v>235</v>
      </c>
      <c r="F16" s="28">
        <v>1600</v>
      </c>
      <c r="G16" s="28">
        <v>32000</v>
      </c>
      <c r="H16" s="28">
        <f>E_Giao_Cty_Bach_Kim[[#This Row],[ĐƠN GIÁ]]*E_Giao_Cty_Bach_Kim[[#This Row],[SỐ LƯỢNG]]</f>
        <v>51200000</v>
      </c>
      <c r="I16" s="28"/>
      <c r="J16" s="31">
        <f>J15+E_Giao_Cty_Bach_Kim[[#This Row],[THÀNH TIỀN]]-E_Giao_Cty_Bach_Kim[[#This Row],[THANH TOÁN]]</f>
        <v>307302317</v>
      </c>
      <c r="K16" s="27" t="s">
        <v>128</v>
      </c>
    </row>
    <row r="17" spans="1:11" x14ac:dyDescent="0.25">
      <c r="A17" s="25">
        <v>7944</v>
      </c>
      <c r="B17" s="30">
        <v>46090</v>
      </c>
      <c r="C17" s="23" t="s">
        <v>13</v>
      </c>
      <c r="D17" s="38" t="s">
        <v>17</v>
      </c>
      <c r="E17" s="26" t="s">
        <v>65</v>
      </c>
      <c r="F17" s="28">
        <f>316-8</f>
        <v>308</v>
      </c>
      <c r="G17" s="28">
        <v>58000</v>
      </c>
      <c r="H17" s="28">
        <f>E_Giao_Cty_Bach_Kim[[#This Row],[ĐƠN GIÁ]]*E_Giao_Cty_Bach_Kim[[#This Row],[SỐ LƯỢNG]]</f>
        <v>17864000</v>
      </c>
      <c r="I17" s="28"/>
      <c r="J17" s="28">
        <f>J16+E_Giao_Cty_Bach_Kim[[#This Row],[THÀNH TIỀN]]-E_Giao_Cty_Bach_Kim[[#This Row],[THANH TOÁN]]</f>
        <v>325166317</v>
      </c>
      <c r="K17" s="27" t="s">
        <v>128</v>
      </c>
    </row>
    <row r="18" spans="1:11" x14ac:dyDescent="0.25">
      <c r="A18" s="25">
        <v>7944</v>
      </c>
      <c r="B18" s="30">
        <v>46090</v>
      </c>
      <c r="C18" s="23" t="s">
        <v>13</v>
      </c>
      <c r="D18" s="38" t="s">
        <v>17</v>
      </c>
      <c r="E18" s="26" t="s">
        <v>220</v>
      </c>
      <c r="F18" s="28">
        <f>328-12-4</f>
        <v>312</v>
      </c>
      <c r="G18" s="28">
        <v>58000</v>
      </c>
      <c r="H18" s="28">
        <f>E_Giao_Cty_Bach_Kim[[#This Row],[ĐƠN GIÁ]]*E_Giao_Cty_Bach_Kim[[#This Row],[SỐ LƯỢNG]]</f>
        <v>18096000</v>
      </c>
      <c r="I18" s="28"/>
      <c r="J18" s="28">
        <f>J17+E_Giao_Cty_Bach_Kim[[#This Row],[THÀNH TIỀN]]-E_Giao_Cty_Bach_Kim[[#This Row],[THANH TOÁN]]</f>
        <v>343262317</v>
      </c>
      <c r="K18" s="27"/>
    </row>
    <row r="19" spans="1:11" x14ac:dyDescent="0.25">
      <c r="A19" s="25">
        <v>7969</v>
      </c>
      <c r="B19" s="30">
        <v>46091</v>
      </c>
      <c r="C19" s="23" t="s">
        <v>13</v>
      </c>
      <c r="D19" s="38" t="s">
        <v>17</v>
      </c>
      <c r="E19" s="26" t="s">
        <v>25</v>
      </c>
      <c r="F19" s="28">
        <v>1190</v>
      </c>
      <c r="G19" s="28">
        <v>59000</v>
      </c>
      <c r="H19" s="28">
        <f>E_Giao_Cty_Bach_Kim[[#This Row],[ĐƠN GIÁ]]*E_Giao_Cty_Bach_Kim[[#This Row],[SỐ LƯỢNG]]</f>
        <v>70210000</v>
      </c>
      <c r="I19" s="28"/>
      <c r="J19" s="28">
        <f>J18+E_Giao_Cty_Bach_Kim[[#This Row],[THÀNH TIỀN]]-E_Giao_Cty_Bach_Kim[[#This Row],[THANH TOÁN]]</f>
        <v>413472317</v>
      </c>
      <c r="K19" s="27"/>
    </row>
    <row r="20" spans="1:11" x14ac:dyDescent="0.25">
      <c r="A20" s="25">
        <v>8017</v>
      </c>
      <c r="B20" s="30">
        <v>46092</v>
      </c>
      <c r="C20" s="23" t="s">
        <v>13</v>
      </c>
      <c r="D20" s="38" t="s">
        <v>17</v>
      </c>
      <c r="E20" s="26" t="s">
        <v>33</v>
      </c>
      <c r="F20" s="28">
        <v>1566</v>
      </c>
      <c r="G20" s="28">
        <v>59000</v>
      </c>
      <c r="H20" s="28">
        <f>E_Giao_Cty_Bach_Kim[[#This Row],[ĐƠN GIÁ]]*E_Giao_Cty_Bach_Kim[[#This Row],[SỐ LƯỢNG]]</f>
        <v>92394000</v>
      </c>
      <c r="I20" s="28"/>
      <c r="J20" s="28">
        <f>J19+E_Giao_Cty_Bach_Kim[[#This Row],[THÀNH TIỀN]]-E_Giao_Cty_Bach_Kim[[#This Row],[THANH TOÁN]]</f>
        <v>505866317</v>
      </c>
      <c r="K20" s="27"/>
    </row>
    <row r="21" spans="1:11" x14ac:dyDescent="0.25">
      <c r="A21" s="25">
        <v>8280</v>
      </c>
      <c r="B21" s="30">
        <v>46101</v>
      </c>
      <c r="C21" s="23" t="s">
        <v>13</v>
      </c>
      <c r="D21" s="38" t="s">
        <v>17</v>
      </c>
      <c r="E21" s="26" t="s">
        <v>230</v>
      </c>
      <c r="F21" s="28">
        <v>1222</v>
      </c>
      <c r="G21" s="28">
        <v>61000</v>
      </c>
      <c r="H21" s="28">
        <f>E_Giao_Cty_Bach_Kim[[#This Row],[ĐƠN GIÁ]]*E_Giao_Cty_Bach_Kim[[#This Row],[SỐ LƯỢNG]]</f>
        <v>74542000</v>
      </c>
      <c r="I21" s="28"/>
      <c r="J21" s="28">
        <f>J20+E_Giao_Cty_Bach_Kim[[#This Row],[THÀNH TIỀN]]-E_Giao_Cty_Bach_Kim[[#This Row],[THANH TOÁN]]</f>
        <v>580408317</v>
      </c>
      <c r="K21" s="27"/>
    </row>
    <row r="22" spans="1:11" x14ac:dyDescent="0.25">
      <c r="A22" s="25">
        <v>8280</v>
      </c>
      <c r="B22" s="30">
        <v>46101</v>
      </c>
      <c r="C22" s="23" t="s">
        <v>13</v>
      </c>
      <c r="D22" s="38" t="s">
        <v>17</v>
      </c>
      <c r="E22" s="23" t="s">
        <v>237</v>
      </c>
      <c r="F22" s="31">
        <v>1296</v>
      </c>
      <c r="G22" s="31">
        <v>61000</v>
      </c>
      <c r="H22" s="31">
        <f>E_Giao_Cty_Bach_Kim[[#This Row],[ĐƠN GIÁ]]*E_Giao_Cty_Bach_Kim[[#This Row],[SỐ LƯỢNG]]</f>
        <v>79056000</v>
      </c>
      <c r="I22" s="31"/>
      <c r="J22" s="31">
        <f>J21+E_Giao_Cty_Bach_Kim[[#This Row],[THÀNH TIỀN]]-E_Giao_Cty_Bach_Kim[[#This Row],[THANH TOÁN]]</f>
        <v>659464317</v>
      </c>
      <c r="K22" s="24"/>
    </row>
    <row r="23" spans="1:11" x14ac:dyDescent="0.25">
      <c r="A23" s="25">
        <v>8280</v>
      </c>
      <c r="B23" s="30">
        <v>46101</v>
      </c>
      <c r="C23" s="23" t="s">
        <v>13</v>
      </c>
      <c r="D23" s="38" t="s">
        <v>17</v>
      </c>
      <c r="E23" s="23" t="s">
        <v>46</v>
      </c>
      <c r="F23" s="31">
        <v>944</v>
      </c>
      <c r="G23" s="31">
        <v>60000</v>
      </c>
      <c r="H23" s="31">
        <f>E_Giao_Cty_Bach_Kim[[#This Row],[ĐƠN GIÁ]]*E_Giao_Cty_Bach_Kim[[#This Row],[SỐ LƯỢNG]]</f>
        <v>56640000</v>
      </c>
      <c r="I23" s="31"/>
      <c r="J23" s="31">
        <f>J22+E_Giao_Cty_Bach_Kim[[#This Row],[THÀNH TIỀN]]-E_Giao_Cty_Bach_Kim[[#This Row],[THANH TOÁN]]</f>
        <v>716104317</v>
      </c>
      <c r="K23" s="24"/>
    </row>
    <row r="24" spans="1:11" x14ac:dyDescent="0.25">
      <c r="A24" s="25"/>
      <c r="B24" s="30">
        <v>46105</v>
      </c>
      <c r="C24" s="23" t="s">
        <v>21</v>
      </c>
      <c r="D24" s="38" t="s">
        <v>22</v>
      </c>
      <c r="E24" s="26" t="s">
        <v>23</v>
      </c>
      <c r="F24" s="28">
        <v>0</v>
      </c>
      <c r="G24" s="28">
        <v>0</v>
      </c>
      <c r="H24" s="28">
        <f>E_Giao_Cty_Bach_Kim[[#This Row],[ĐƠN GIÁ]]*E_Giao_Cty_Bach_Kim[[#This Row],[SỐ LƯỢNG]]</f>
        <v>0</v>
      </c>
      <c r="I24" s="28">
        <v>150000000</v>
      </c>
      <c r="J24" s="28">
        <f>J23+E_Giao_Cty_Bach_Kim[[#This Row],[THÀNH TIỀN]]-E_Giao_Cty_Bach_Kim[[#This Row],[THANH TOÁN]]</f>
        <v>566104317</v>
      </c>
      <c r="K24" s="27"/>
    </row>
    <row r="25" spans="1:11" x14ac:dyDescent="0.25">
      <c r="A25" s="25">
        <v>8317</v>
      </c>
      <c r="B25" s="30">
        <v>46106</v>
      </c>
      <c r="C25" s="23" t="s">
        <v>13</v>
      </c>
      <c r="D25" s="38" t="s">
        <v>17</v>
      </c>
      <c r="E25" s="26" t="s">
        <v>238</v>
      </c>
      <c r="F25" s="28">
        <v>6522</v>
      </c>
      <c r="G25" s="28">
        <v>60500</v>
      </c>
      <c r="H25" s="28">
        <f>E_Giao_Cty_Bach_Kim[[#This Row],[ĐƠN GIÁ]]*E_Giao_Cty_Bach_Kim[[#This Row],[SỐ LƯỢNG]]</f>
        <v>394581000</v>
      </c>
      <c r="I25" s="28"/>
      <c r="J25" s="28">
        <f>J24+E_Giao_Cty_Bach_Kim[[#This Row],[THÀNH TIỀN]]-E_Giao_Cty_Bach_Kim[[#This Row],[THANH TOÁN]]</f>
        <v>960685317</v>
      </c>
      <c r="K25" s="27" t="s">
        <v>239</v>
      </c>
    </row>
    <row r="26" spans="1:11" x14ac:dyDescent="0.25">
      <c r="A26" s="25">
        <v>8332</v>
      </c>
      <c r="B26" s="30">
        <v>46106</v>
      </c>
      <c r="C26" s="23" t="s">
        <v>13</v>
      </c>
      <c r="D26" s="38" t="s">
        <v>17</v>
      </c>
      <c r="E26" s="26" t="s">
        <v>33</v>
      </c>
      <c r="F26" s="28">
        <v>698</v>
      </c>
      <c r="G26" s="28">
        <v>60000</v>
      </c>
      <c r="H26" s="28">
        <f>E_Giao_Cty_Bach_Kim[[#This Row],[ĐƠN GIÁ]]*E_Giao_Cty_Bach_Kim[[#This Row],[SỐ LƯỢNG]]</f>
        <v>41880000</v>
      </c>
      <c r="I26" s="28"/>
      <c r="J26" s="28">
        <f>J25+E_Giao_Cty_Bach_Kim[[#This Row],[THÀNH TIỀN]]-E_Giao_Cty_Bach_Kim[[#This Row],[THANH TOÁN]]</f>
        <v>1002565317</v>
      </c>
      <c r="K26" s="27"/>
    </row>
    <row r="27" spans="1:11" x14ac:dyDescent="0.25">
      <c r="A27" s="25">
        <v>8345</v>
      </c>
      <c r="B27" s="30">
        <v>46107</v>
      </c>
      <c r="C27" s="23" t="s">
        <v>13</v>
      </c>
      <c r="D27" s="38" t="s">
        <v>17</v>
      </c>
      <c r="E27" s="26" t="s">
        <v>33</v>
      </c>
      <c r="F27" s="28">
        <v>406</v>
      </c>
      <c r="G27" s="28">
        <v>60000</v>
      </c>
      <c r="H27" s="28">
        <f>E_Giao_Cty_Bach_Kim[[#This Row],[ĐƠN GIÁ]]*E_Giao_Cty_Bach_Kim[[#This Row],[SỐ LƯỢNG]]</f>
        <v>24360000</v>
      </c>
      <c r="I27" s="28"/>
      <c r="J27" s="28">
        <f>J26+E_Giao_Cty_Bach_Kim[[#This Row],[THÀNH TIỀN]]-E_Giao_Cty_Bach_Kim[[#This Row],[THANH TOÁN]]</f>
        <v>1026925317</v>
      </c>
      <c r="K27" s="27"/>
    </row>
    <row r="28" spans="1:11" x14ac:dyDescent="0.25">
      <c r="A28" s="25">
        <v>8358</v>
      </c>
      <c r="B28" s="30">
        <v>46107</v>
      </c>
      <c r="C28" s="26" t="s">
        <v>13</v>
      </c>
      <c r="D28" s="38" t="s">
        <v>17</v>
      </c>
      <c r="E28" s="26" t="s">
        <v>33</v>
      </c>
      <c r="F28" s="28">
        <v>554</v>
      </c>
      <c r="G28" s="28">
        <v>60000</v>
      </c>
      <c r="H28" s="28">
        <f>E_Giao_Cty_Bach_Kim[[#This Row],[ĐƠN GIÁ]]*E_Giao_Cty_Bach_Kim[[#This Row],[SỐ LƯỢNG]]</f>
        <v>33240000</v>
      </c>
      <c r="I28" s="28"/>
      <c r="J28" s="28">
        <f>J27+E_Giao_Cty_Bach_Kim[[#This Row],[THÀNH TIỀN]]-E_Giao_Cty_Bach_Kim[[#This Row],[THANH TOÁN]]</f>
        <v>1060165317</v>
      </c>
      <c r="K28" s="27"/>
    </row>
    <row r="29" spans="1:11" x14ac:dyDescent="0.25">
      <c r="A29" s="22"/>
      <c r="B29" s="29">
        <v>46111</v>
      </c>
      <c r="C29" s="23" t="s">
        <v>21</v>
      </c>
      <c r="D29" s="37" t="s">
        <v>24</v>
      </c>
      <c r="E29" s="23"/>
      <c r="F29" s="31">
        <v>0</v>
      </c>
      <c r="G29" s="31"/>
      <c r="H29" s="31">
        <f>E_Giao_Cty_Bach_Kim[[#This Row],[ĐƠN GIÁ]]*E_Giao_Cty_Bach_Kim[[#This Row],[SỐ LƯỢNG]]</f>
        <v>0</v>
      </c>
      <c r="I29" s="31">
        <v>150000000</v>
      </c>
      <c r="J29" s="31">
        <f>J28+E_Giao_Cty_Bach_Kim[[#This Row],[THÀNH TIỀN]]-E_Giao_Cty_Bach_Kim[[#This Row],[THANH TOÁN]]</f>
        <v>910165317</v>
      </c>
      <c r="K29" s="24"/>
    </row>
    <row r="30" spans="1:11" x14ac:dyDescent="0.25">
      <c r="A30" s="22">
        <v>8470</v>
      </c>
      <c r="B30" s="29">
        <v>46113</v>
      </c>
      <c r="C30" s="23" t="s">
        <v>13</v>
      </c>
      <c r="D30" s="37" t="s">
        <v>26</v>
      </c>
      <c r="E30" s="23" t="s">
        <v>25</v>
      </c>
      <c r="F30" s="31">
        <v>416</v>
      </c>
      <c r="G30" s="31">
        <v>34500</v>
      </c>
      <c r="H30" s="31">
        <f>E_Giao_Cty_Bach_Kim[[#This Row],[ĐƠN GIÁ]]*E_Giao_Cty_Bach_Kim[[#This Row],[SỐ LƯỢNG]]</f>
        <v>14352000</v>
      </c>
      <c r="I30" s="31"/>
      <c r="J30" s="31">
        <f>J29+E_Giao_Cty_Bach_Kim[[#This Row],[THÀNH TIỀN]]-E_Giao_Cty_Bach_Kim[[#This Row],[THANH TOÁN]]</f>
        <v>924517317</v>
      </c>
      <c r="K30" s="24"/>
    </row>
    <row r="31" spans="1:11" x14ac:dyDescent="0.25">
      <c r="A31" s="22">
        <v>8683</v>
      </c>
      <c r="B31" s="29">
        <v>46122</v>
      </c>
      <c r="C31" s="23" t="s">
        <v>13</v>
      </c>
      <c r="D31" s="37" t="s">
        <v>17</v>
      </c>
      <c r="E31" s="23" t="s">
        <v>38</v>
      </c>
      <c r="F31" s="31">
        <v>1114</v>
      </c>
      <c r="G31" s="31">
        <v>62000</v>
      </c>
      <c r="H31" s="31">
        <f>E_Giao_Cty_Bach_Kim[[#This Row],[ĐƠN GIÁ]]*E_Giao_Cty_Bach_Kim[[#This Row],[SỐ LƯỢNG]]</f>
        <v>69068000</v>
      </c>
      <c r="I31" s="31"/>
      <c r="J31" s="31">
        <f>J30+E_Giao_Cty_Bach_Kim[[#This Row],[THÀNH TIỀN]]-E_Giao_Cty_Bach_Kim[[#This Row],[THANH TOÁN]]</f>
        <v>993585317</v>
      </c>
      <c r="K31" s="24"/>
    </row>
    <row r="32" spans="1:11" x14ac:dyDescent="0.25">
      <c r="A32" s="22">
        <v>8683</v>
      </c>
      <c r="B32" s="29">
        <v>46122</v>
      </c>
      <c r="C32" s="23" t="s">
        <v>13</v>
      </c>
      <c r="D32" s="37" t="s">
        <v>17</v>
      </c>
      <c r="E32" s="23" t="s">
        <v>40</v>
      </c>
      <c r="F32" s="31">
        <v>297</v>
      </c>
      <c r="G32" s="31">
        <v>62000</v>
      </c>
      <c r="H32" s="31">
        <f>E_Giao_Cty_Bach_Kim[[#This Row],[ĐƠN GIÁ]]*E_Giao_Cty_Bach_Kim[[#This Row],[SỐ LƯỢNG]]</f>
        <v>18414000</v>
      </c>
      <c r="I32" s="31"/>
      <c r="J32" s="31">
        <f>J31+E_Giao_Cty_Bach_Kim[[#This Row],[THÀNH TIỀN]]-E_Giao_Cty_Bach_Kim[[#This Row],[THANH TOÁN]]</f>
        <v>1011999317</v>
      </c>
      <c r="K32" s="24"/>
    </row>
    <row r="33" spans="1:11" x14ac:dyDescent="0.25">
      <c r="A33" s="22"/>
      <c r="B33" s="29">
        <v>46123</v>
      </c>
      <c r="C33" s="23" t="s">
        <v>21</v>
      </c>
      <c r="D33" s="37" t="s">
        <v>22</v>
      </c>
      <c r="E33" s="23" t="s">
        <v>47</v>
      </c>
      <c r="F33" s="31">
        <v>0</v>
      </c>
      <c r="G33" s="31"/>
      <c r="H33" s="31">
        <f>E_Giao_Cty_Bach_Kim[[#This Row],[ĐƠN GIÁ]]*E_Giao_Cty_Bach_Kim[[#This Row],[SỐ LƯỢNG]]</f>
        <v>0</v>
      </c>
      <c r="I33" s="31">
        <v>140000000</v>
      </c>
      <c r="J33" s="31">
        <f>J32+E_Giao_Cty_Bach_Kim[[#This Row],[THÀNH TIỀN]]-E_Giao_Cty_Bach_Kim[[#This Row],[THANH TOÁN]]</f>
        <v>871999317</v>
      </c>
      <c r="K33" s="24"/>
    </row>
    <row r="34" spans="1:11" x14ac:dyDescent="0.25">
      <c r="A34" s="22">
        <v>8767</v>
      </c>
      <c r="B34" s="29">
        <v>46126</v>
      </c>
      <c r="C34" s="23" t="s">
        <v>13</v>
      </c>
      <c r="D34" s="37" t="s">
        <v>17</v>
      </c>
      <c r="E34" s="23" t="s">
        <v>25</v>
      </c>
      <c r="F34" s="31">
        <v>1248</v>
      </c>
      <c r="G34" s="31">
        <v>61000</v>
      </c>
      <c r="H34" s="31">
        <f>E_Giao_Cty_Bach_Kim[[#This Row],[ĐƠN GIÁ]]*E_Giao_Cty_Bach_Kim[[#This Row],[SỐ LƯỢNG]]</f>
        <v>76128000</v>
      </c>
      <c r="I34" s="31"/>
      <c r="J34" s="31">
        <f>J33+E_Giao_Cty_Bach_Kim[[#This Row],[THÀNH TIỀN]]-E_Giao_Cty_Bach_Kim[[#This Row],[THANH TOÁN]]</f>
        <v>948127317</v>
      </c>
      <c r="K34" s="24"/>
    </row>
    <row r="35" spans="1:11" x14ac:dyDescent="0.25">
      <c r="A35" s="22">
        <v>8794</v>
      </c>
      <c r="B35" s="29">
        <v>46127</v>
      </c>
      <c r="C35" s="23" t="s">
        <v>13</v>
      </c>
      <c r="D35" s="37" t="s">
        <v>17</v>
      </c>
      <c r="E35" s="23" t="s">
        <v>33</v>
      </c>
      <c r="F35" s="31">
        <v>600</v>
      </c>
      <c r="G35" s="31">
        <v>61000</v>
      </c>
      <c r="H35" s="31">
        <f>E_Giao_Cty_Bach_Kim[[#This Row],[ĐƠN GIÁ]]*E_Giao_Cty_Bach_Kim[[#This Row],[SỐ LƯỢNG]]</f>
        <v>36600000</v>
      </c>
      <c r="I35" s="31"/>
      <c r="J35" s="31">
        <f>J34+E_Giao_Cty_Bach_Kim[[#This Row],[THÀNH TIỀN]]-E_Giao_Cty_Bach_Kim[[#This Row],[THANH TOÁN]]</f>
        <v>984727317</v>
      </c>
      <c r="K35" s="24"/>
    </row>
    <row r="36" spans="1:11" x14ac:dyDescent="0.25">
      <c r="A36" s="22">
        <v>8795</v>
      </c>
      <c r="B36" s="29">
        <v>46127</v>
      </c>
      <c r="C36" s="23" t="s">
        <v>13</v>
      </c>
      <c r="D36" s="37" t="s">
        <v>17</v>
      </c>
      <c r="E36" s="23" t="s">
        <v>46</v>
      </c>
      <c r="F36" s="31">
        <v>320</v>
      </c>
      <c r="G36" s="31">
        <v>61000</v>
      </c>
      <c r="H36" s="31">
        <f>E_Giao_Cty_Bach_Kim[[#This Row],[ĐƠN GIÁ]]*E_Giao_Cty_Bach_Kim[[#This Row],[SỐ LƯỢNG]]</f>
        <v>19520000</v>
      </c>
      <c r="I36" s="31"/>
      <c r="J36" s="31">
        <f>J35+E_Giao_Cty_Bach_Kim[[#This Row],[THÀNH TIỀN]]-E_Giao_Cty_Bach_Kim[[#This Row],[THANH TOÁN]]</f>
        <v>1004247317</v>
      </c>
      <c r="K36" s="24"/>
    </row>
    <row r="37" spans="1:11" x14ac:dyDescent="0.25">
      <c r="A37" s="22">
        <v>8802</v>
      </c>
      <c r="B37" s="29">
        <v>46127</v>
      </c>
      <c r="C37" s="23" t="s">
        <v>13</v>
      </c>
      <c r="D37" s="37" t="s">
        <v>17</v>
      </c>
      <c r="E37" s="23" t="s">
        <v>33</v>
      </c>
      <c r="F37" s="31">
        <v>592</v>
      </c>
      <c r="G37" s="31">
        <v>61000</v>
      </c>
      <c r="H37" s="31">
        <f>E_Giao_Cty_Bach_Kim[[#This Row],[ĐƠN GIÁ]]*E_Giao_Cty_Bach_Kim[[#This Row],[SỐ LƯỢNG]]</f>
        <v>36112000</v>
      </c>
      <c r="I37" s="31"/>
      <c r="J37" s="31">
        <f>J36+E_Giao_Cty_Bach_Kim[[#This Row],[THÀNH TIỀN]]-E_Giao_Cty_Bach_Kim[[#This Row],[THANH TOÁN]]</f>
        <v>1040359317</v>
      </c>
      <c r="K37" s="24"/>
    </row>
    <row r="38" spans="1:11" x14ac:dyDescent="0.25">
      <c r="A38" s="22"/>
      <c r="B38" s="29">
        <v>46127</v>
      </c>
      <c r="C38" s="23" t="s">
        <v>21</v>
      </c>
      <c r="D38" s="37" t="s">
        <v>22</v>
      </c>
      <c r="E38" s="23" t="s">
        <v>83</v>
      </c>
      <c r="F38" s="31">
        <v>0</v>
      </c>
      <c r="G38" s="31"/>
      <c r="H38" s="31">
        <f>E_Giao_Cty_Bach_Kim[[#This Row],[ĐƠN GIÁ]]*E_Giao_Cty_Bach_Kim[[#This Row],[SỐ LƯỢNG]]</f>
        <v>0</v>
      </c>
      <c r="I38" s="31">
        <v>14352166</v>
      </c>
      <c r="J38" s="31">
        <f>J37+E_Giao_Cty_Bach_Kim[[#This Row],[THÀNH TIỀN]]-E_Giao_Cty_Bach_Kim[[#This Row],[THANH TOÁN]]</f>
        <v>1026007151</v>
      </c>
      <c r="K38" s="24"/>
    </row>
    <row r="39" spans="1:11" x14ac:dyDescent="0.25">
      <c r="A39" s="22">
        <v>8851</v>
      </c>
      <c r="B39" s="29">
        <v>46129</v>
      </c>
      <c r="C39" s="23" t="s">
        <v>13</v>
      </c>
      <c r="D39" s="37" t="s">
        <v>17</v>
      </c>
      <c r="E39" s="23" t="s">
        <v>240</v>
      </c>
      <c r="F39" s="31">
        <v>498</v>
      </c>
      <c r="G39" s="31">
        <v>60000</v>
      </c>
      <c r="H39" s="31">
        <f>E_Giao_Cty_Bach_Kim[[#This Row],[ĐƠN GIÁ]]*E_Giao_Cty_Bach_Kim[[#This Row],[SỐ LƯỢNG]]</f>
        <v>29880000</v>
      </c>
      <c r="I39" s="31"/>
      <c r="J39" s="31">
        <f>J38+E_Giao_Cty_Bach_Kim[[#This Row],[THÀNH TIỀN]]-E_Giao_Cty_Bach_Kim[[#This Row],[THANH TOÁN]]</f>
        <v>1055887151</v>
      </c>
      <c r="K39" s="24"/>
    </row>
    <row r="40" spans="1:11" x14ac:dyDescent="0.25">
      <c r="A40" s="22">
        <v>8856</v>
      </c>
      <c r="B40" s="29">
        <v>46129</v>
      </c>
      <c r="C40" s="23" t="s">
        <v>13</v>
      </c>
      <c r="D40" s="37" t="s">
        <v>14</v>
      </c>
      <c r="E40" s="23" t="s">
        <v>146</v>
      </c>
      <c r="F40" s="31">
        <v>150</v>
      </c>
      <c r="G40" s="31">
        <v>40500</v>
      </c>
      <c r="H40" s="31">
        <f>E_Giao_Cty_Bach_Kim[[#This Row],[ĐƠN GIÁ]]*E_Giao_Cty_Bach_Kim[[#This Row],[SỐ LƯỢNG]]</f>
        <v>6075000</v>
      </c>
      <c r="I40" s="31"/>
      <c r="J40" s="31">
        <f>J39+E_Giao_Cty_Bach_Kim[[#This Row],[THÀNH TIỀN]]-E_Giao_Cty_Bach_Kim[[#This Row],[THANH TOÁN]]</f>
        <v>1061962151</v>
      </c>
      <c r="K40" s="24"/>
    </row>
    <row r="41" spans="1:11" x14ac:dyDescent="0.25">
      <c r="A41" s="22">
        <v>8856</v>
      </c>
      <c r="B41" s="29">
        <v>46129</v>
      </c>
      <c r="C41" s="23" t="s">
        <v>13</v>
      </c>
      <c r="D41" s="37" t="s">
        <v>14</v>
      </c>
      <c r="E41" s="23" t="s">
        <v>136</v>
      </c>
      <c r="F41" s="31">
        <v>158</v>
      </c>
      <c r="G41" s="31">
        <v>40500</v>
      </c>
      <c r="H41" s="31">
        <f>E_Giao_Cty_Bach_Kim[[#This Row],[ĐƠN GIÁ]]*E_Giao_Cty_Bach_Kim[[#This Row],[SỐ LƯỢNG]]</f>
        <v>6399000</v>
      </c>
      <c r="I41" s="31"/>
      <c r="J41" s="31">
        <f>J40+E_Giao_Cty_Bach_Kim[[#This Row],[THÀNH TIỀN]]-E_Giao_Cty_Bach_Kim[[#This Row],[THANH TOÁN]]</f>
        <v>1068361151</v>
      </c>
      <c r="K41" s="24"/>
    </row>
    <row r="42" spans="1:11" x14ac:dyDescent="0.25">
      <c r="A42" s="22"/>
      <c r="B42" s="29">
        <v>46132</v>
      </c>
      <c r="C42" s="23" t="s">
        <v>21</v>
      </c>
      <c r="D42" s="37" t="s">
        <v>22</v>
      </c>
      <c r="E42" s="23" t="s">
        <v>47</v>
      </c>
      <c r="F42" s="31">
        <v>0</v>
      </c>
      <c r="G42" s="31"/>
      <c r="H42" s="31">
        <f>E_Giao_Cty_Bach_Kim[[#This Row],[ĐƠN GIÁ]]*E_Giao_Cty_Bach_Kim[[#This Row],[SỐ LƯỢNG]]</f>
        <v>0</v>
      </c>
      <c r="I42" s="31">
        <v>138439000</v>
      </c>
      <c r="J42" s="31">
        <f>J41+E_Giao_Cty_Bach_Kim[[#This Row],[THÀNH TIỀN]]-E_Giao_Cty_Bach_Kim[[#This Row],[THANH TOÁN]]</f>
        <v>929922151</v>
      </c>
      <c r="K42" s="24"/>
    </row>
    <row r="43" spans="1:11" x14ac:dyDescent="0.25">
      <c r="A43" s="22">
        <v>8904</v>
      </c>
      <c r="B43" s="29">
        <v>46132</v>
      </c>
      <c r="C43" s="23" t="s">
        <v>13</v>
      </c>
      <c r="D43" s="37" t="s">
        <v>17</v>
      </c>
      <c r="E43" s="23" t="s">
        <v>25</v>
      </c>
      <c r="F43" s="31">
        <v>404</v>
      </c>
      <c r="G43" s="31">
        <v>61000</v>
      </c>
      <c r="H43" s="31">
        <f>E_Giao_Cty_Bach_Kim[[#This Row],[ĐƠN GIÁ]]*E_Giao_Cty_Bach_Kim[[#This Row],[SỐ LƯỢNG]]</f>
        <v>24644000</v>
      </c>
      <c r="I43" s="31"/>
      <c r="J43" s="31">
        <f>J42+E_Giao_Cty_Bach_Kim[[#This Row],[THÀNH TIỀN]]-E_Giao_Cty_Bach_Kim[[#This Row],[THANH TOÁN]]</f>
        <v>954566151</v>
      </c>
      <c r="K43" s="24"/>
    </row>
    <row r="44" spans="1:11" x14ac:dyDescent="0.25">
      <c r="A44" s="22">
        <v>8920</v>
      </c>
      <c r="B44" s="29">
        <v>46133</v>
      </c>
      <c r="C44" s="23" t="s">
        <v>13</v>
      </c>
      <c r="D44" s="37" t="s">
        <v>17</v>
      </c>
      <c r="E44" s="23" t="s">
        <v>25</v>
      </c>
      <c r="F44" s="31">
        <v>398</v>
      </c>
      <c r="G44" s="31">
        <v>61000</v>
      </c>
      <c r="H44" s="31">
        <f>E_Giao_Cty_Bach_Kim[[#This Row],[ĐƠN GIÁ]]*E_Giao_Cty_Bach_Kim[[#This Row],[SỐ LƯỢNG]]</f>
        <v>24278000</v>
      </c>
      <c r="I44" s="31"/>
      <c r="J44" s="31">
        <f>J43+E_Giao_Cty_Bach_Kim[[#This Row],[THÀNH TIỀN]]-E_Giao_Cty_Bach_Kim[[#This Row],[THANH TOÁN]]</f>
        <v>978844151</v>
      </c>
      <c r="K44" s="24"/>
    </row>
    <row r="45" spans="1:11" x14ac:dyDescent="0.25">
      <c r="A45" s="22">
        <v>8920</v>
      </c>
      <c r="B45" s="29">
        <v>46133</v>
      </c>
      <c r="C45" s="23" t="s">
        <v>166</v>
      </c>
      <c r="D45" s="37" t="s">
        <v>17</v>
      </c>
      <c r="E45" s="23" t="s">
        <v>25</v>
      </c>
      <c r="F45" s="31">
        <v>194</v>
      </c>
      <c r="G45" s="31">
        <v>-61000</v>
      </c>
      <c r="H45" s="31">
        <f>E_Giao_Cty_Bach_Kim[[#This Row],[ĐƠN GIÁ]]*E_Giao_Cty_Bach_Kim[[#This Row],[SỐ LƯỢNG]]</f>
        <v>-11834000</v>
      </c>
      <c r="I45" s="31"/>
      <c r="J45" s="31">
        <f>J44+E_Giao_Cty_Bach_Kim[[#This Row],[THÀNH TIỀN]]-E_Giao_Cty_Bach_Kim[[#This Row],[THANH TOÁN]]</f>
        <v>967010151</v>
      </c>
      <c r="K45" s="24"/>
    </row>
    <row r="46" spans="1:11" x14ac:dyDescent="0.25">
      <c r="A46" s="22"/>
      <c r="B46" s="29">
        <v>46136</v>
      </c>
      <c r="C46" s="23" t="s">
        <v>21</v>
      </c>
      <c r="D46" s="37" t="s">
        <v>22</v>
      </c>
      <c r="E46" s="23" t="s">
        <v>47</v>
      </c>
      <c r="F46" s="31">
        <v>0</v>
      </c>
      <c r="G46" s="31"/>
      <c r="H46" s="31">
        <f>E_Giao_Cty_Bach_Kim[[#This Row],[ĐƠN GIÁ]]*E_Giao_Cty_Bach_Kim[[#This Row],[SỐ LƯỢNG]]</f>
        <v>0</v>
      </c>
      <c r="I46" s="31">
        <v>122070000</v>
      </c>
      <c r="J46" s="31">
        <f>J45+E_Giao_Cty_Bach_Kim[[#This Row],[THÀNH TIỀN]]-E_Giao_Cty_Bach_Kim[[#This Row],[THANH TOÁN]]</f>
        <v>844940151</v>
      </c>
      <c r="K46" s="24"/>
    </row>
    <row r="47" spans="1:11" x14ac:dyDescent="0.25">
      <c r="A47" s="22">
        <v>8998</v>
      </c>
      <c r="B47" s="29">
        <v>46136</v>
      </c>
      <c r="C47" s="23" t="s">
        <v>13</v>
      </c>
      <c r="D47" s="37" t="s">
        <v>17</v>
      </c>
      <c r="E47" s="23" t="s">
        <v>78</v>
      </c>
      <c r="F47" s="31">
        <v>684</v>
      </c>
      <c r="G47" s="31">
        <v>65000</v>
      </c>
      <c r="H47" s="31">
        <f>E_Giao_Cty_Bach_Kim[[#This Row],[ĐƠN GIÁ]]*E_Giao_Cty_Bach_Kim[[#This Row],[SỐ LƯỢNG]]</f>
        <v>44460000</v>
      </c>
      <c r="I47" s="31"/>
      <c r="J47" s="31">
        <f>J46+E_Giao_Cty_Bach_Kim[[#This Row],[THÀNH TIỀN]]-E_Giao_Cty_Bach_Kim[[#This Row],[THANH TOÁN]]</f>
        <v>889400151</v>
      </c>
      <c r="K47" s="24"/>
    </row>
    <row r="48" spans="1:11" x14ac:dyDescent="0.25">
      <c r="A48" s="22">
        <v>9003</v>
      </c>
      <c r="B48" s="29">
        <v>46136</v>
      </c>
      <c r="C48" s="23" t="s">
        <v>13</v>
      </c>
      <c r="D48" s="37" t="s">
        <v>17</v>
      </c>
      <c r="E48" s="23" t="s">
        <v>1820</v>
      </c>
      <c r="F48" s="31">
        <v>356</v>
      </c>
      <c r="G48" s="31">
        <v>63000</v>
      </c>
      <c r="H48" s="31">
        <f>E_Giao_Cty_Bach_Kim[[#This Row],[ĐƠN GIÁ]]*E_Giao_Cty_Bach_Kim[[#This Row],[SỐ LƯỢNG]]</f>
        <v>22428000</v>
      </c>
      <c r="I48" s="31"/>
      <c r="J48" s="31">
        <f>J47+E_Giao_Cty_Bach_Kim[[#This Row],[THÀNH TIỀN]]-E_Giao_Cty_Bach_Kim[[#This Row],[THANH TOÁN]]</f>
        <v>911828151</v>
      </c>
      <c r="K48" s="24"/>
    </row>
    <row r="49" spans="1:11" x14ac:dyDescent="0.25">
      <c r="A49" s="22">
        <v>9003</v>
      </c>
      <c r="B49" s="29">
        <v>46136</v>
      </c>
      <c r="C49" s="23" t="s">
        <v>13</v>
      </c>
      <c r="D49" s="37" t="s">
        <v>17</v>
      </c>
      <c r="E49" s="23" t="s">
        <v>46</v>
      </c>
      <c r="F49" s="31">
        <v>416</v>
      </c>
      <c r="G49" s="31">
        <v>60000</v>
      </c>
      <c r="H49" s="31">
        <f>E_Giao_Cty_Bach_Kim[[#This Row],[ĐƠN GIÁ]]*E_Giao_Cty_Bach_Kim[[#This Row],[SỐ LƯỢNG]]</f>
        <v>24960000</v>
      </c>
      <c r="I49" s="31"/>
      <c r="J49" s="31">
        <f>J48+E_Giao_Cty_Bach_Kim[[#This Row],[THÀNH TIỀN]]-E_Giao_Cty_Bach_Kim[[#This Row],[THANH TOÁN]]</f>
        <v>936788151</v>
      </c>
      <c r="K49" s="24"/>
    </row>
    <row r="50" spans="1:11" x14ac:dyDescent="0.25">
      <c r="A50" s="22">
        <v>9231</v>
      </c>
      <c r="B50" s="29">
        <v>46149</v>
      </c>
      <c r="C50" s="23" t="s">
        <v>13</v>
      </c>
      <c r="D50" s="37" t="s">
        <v>17</v>
      </c>
      <c r="E50" s="23" t="s">
        <v>25</v>
      </c>
      <c r="F50" s="31">
        <v>1244</v>
      </c>
      <c r="G50" s="31">
        <v>63500</v>
      </c>
      <c r="H50" s="31">
        <f>E_Giao_Cty_Bach_Kim[[#This Row],[ĐƠN GIÁ]]*E_Giao_Cty_Bach_Kim[[#This Row],[SỐ LƯỢNG]]</f>
        <v>78994000</v>
      </c>
      <c r="I50" s="31"/>
      <c r="J50" s="31">
        <f>J49+E_Giao_Cty_Bach_Kim[[#This Row],[THÀNH TIỀN]]-E_Giao_Cty_Bach_Kim[[#This Row],[THANH TOÁN]]</f>
        <v>1015782151</v>
      </c>
      <c r="K50" s="24" t="s">
        <v>42</v>
      </c>
    </row>
    <row r="51" spans="1:11" x14ac:dyDescent="0.25">
      <c r="A51" s="22">
        <v>9236</v>
      </c>
      <c r="B51" s="29">
        <v>46149</v>
      </c>
      <c r="C51" s="23" t="s">
        <v>13</v>
      </c>
      <c r="D51" s="37" t="s">
        <v>17</v>
      </c>
      <c r="E51" s="23" t="s">
        <v>25</v>
      </c>
      <c r="F51" s="31">
        <v>534</v>
      </c>
      <c r="G51" s="31">
        <v>63500</v>
      </c>
      <c r="H51" s="31">
        <f>E_Giao_Cty_Bach_Kim[[#This Row],[ĐƠN GIÁ]]*E_Giao_Cty_Bach_Kim[[#This Row],[SỐ LƯỢNG]]</f>
        <v>33909000</v>
      </c>
      <c r="I51" s="31"/>
      <c r="J51" s="31">
        <f>J50+E_Giao_Cty_Bach_Kim[[#This Row],[THÀNH TIỀN]]-E_Giao_Cty_Bach_Kim[[#This Row],[THANH TOÁN]]</f>
        <v>1049691151</v>
      </c>
      <c r="K51" s="24"/>
    </row>
    <row r="52" spans="1:11" x14ac:dyDescent="0.25">
      <c r="A52" s="22">
        <v>9236</v>
      </c>
      <c r="B52" s="29">
        <v>46149</v>
      </c>
      <c r="C52" s="23" t="s">
        <v>13</v>
      </c>
      <c r="D52" s="37" t="s">
        <v>17</v>
      </c>
      <c r="E52" s="23" t="s">
        <v>33</v>
      </c>
      <c r="F52" s="31">
        <v>108</v>
      </c>
      <c r="G52" s="31">
        <v>63500</v>
      </c>
      <c r="H52" s="31">
        <f>E_Giao_Cty_Bach_Kim[[#This Row],[ĐƠN GIÁ]]*E_Giao_Cty_Bach_Kim[[#This Row],[SỐ LƯỢNG]]</f>
        <v>6858000</v>
      </c>
      <c r="I52" s="31"/>
      <c r="J52" s="31">
        <f>J51+E_Giao_Cty_Bach_Kim[[#This Row],[THÀNH TIỀN]]-E_Giao_Cty_Bach_Kim[[#This Row],[THANH TOÁN]]</f>
        <v>1056549151</v>
      </c>
      <c r="K52" s="24"/>
    </row>
    <row r="53" spans="1:11" x14ac:dyDescent="0.25">
      <c r="A53" s="22">
        <v>9262</v>
      </c>
      <c r="B53" s="29">
        <v>46150</v>
      </c>
      <c r="C53" s="23" t="s">
        <v>13</v>
      </c>
      <c r="D53" s="37" t="s">
        <v>17</v>
      </c>
      <c r="E53" s="23" t="s">
        <v>33</v>
      </c>
      <c r="F53" s="31">
        <v>504</v>
      </c>
      <c r="G53" s="31">
        <v>63500</v>
      </c>
      <c r="H53" s="31">
        <f>E_Giao_Cty_Bach_Kim[[#This Row],[ĐƠN GIÁ]]*E_Giao_Cty_Bach_Kim[[#This Row],[SỐ LƯỢNG]]</f>
        <v>32004000</v>
      </c>
      <c r="I53" s="31"/>
      <c r="J53" s="31">
        <f>J52+E_Giao_Cty_Bach_Kim[[#This Row],[THÀNH TIỀN]]-E_Giao_Cty_Bach_Kim[[#This Row],[THANH TOÁN]]</f>
        <v>1088553151</v>
      </c>
      <c r="K53" s="24" t="s">
        <v>128</v>
      </c>
    </row>
    <row r="54" spans="1:11" x14ac:dyDescent="0.25">
      <c r="A54" s="25">
        <v>9262</v>
      </c>
      <c r="B54" s="30">
        <v>46150</v>
      </c>
      <c r="C54" s="26" t="s">
        <v>13</v>
      </c>
      <c r="D54" s="38" t="s">
        <v>26</v>
      </c>
      <c r="E54" s="26" t="s">
        <v>33</v>
      </c>
      <c r="F54" s="28">
        <v>552</v>
      </c>
      <c r="G54" s="28">
        <v>32500</v>
      </c>
      <c r="H54" s="28">
        <f>E_Giao_Cty_Bach_Kim[[#This Row],[ĐƠN GIÁ]]*E_Giao_Cty_Bach_Kim[[#This Row],[SỐ LƯỢNG]]</f>
        <v>17940000</v>
      </c>
      <c r="I54" s="28"/>
      <c r="J54" s="28">
        <f>J53+E_Giao_Cty_Bach_Kim[[#This Row],[THÀNH TIỀN]]-E_Giao_Cty_Bach_Kim[[#This Row],[THANH TOÁN]]</f>
        <v>1106493151</v>
      </c>
      <c r="K54" s="27" t="s">
        <v>128</v>
      </c>
    </row>
    <row r="55" spans="1:11" x14ac:dyDescent="0.25">
      <c r="A55" s="22">
        <v>9263</v>
      </c>
      <c r="B55" s="29">
        <v>46150</v>
      </c>
      <c r="C55" s="23" t="s">
        <v>13</v>
      </c>
      <c r="D55" s="37" t="s">
        <v>17</v>
      </c>
      <c r="E55" s="23" t="s">
        <v>33</v>
      </c>
      <c r="F55" s="31">
        <v>392</v>
      </c>
      <c r="G55" s="31">
        <v>63500</v>
      </c>
      <c r="H55" s="31">
        <f>E_Giao_Cty_Bach_Kim[[#This Row],[ĐƠN GIÁ]]*E_Giao_Cty_Bach_Kim[[#This Row],[SỐ LƯỢNG]]</f>
        <v>24892000</v>
      </c>
      <c r="I55" s="31"/>
      <c r="J55" s="31">
        <f>J54+E_Giao_Cty_Bach_Kim[[#This Row],[THÀNH TIỀN]]-E_Giao_Cty_Bach_Kim[[#This Row],[THANH TOÁN]]</f>
        <v>1131385151</v>
      </c>
      <c r="K55" s="24"/>
    </row>
    <row r="56" spans="1:11" x14ac:dyDescent="0.25">
      <c r="A56" s="25"/>
      <c r="B56" s="30">
        <v>46150</v>
      </c>
      <c r="C56" s="26" t="s">
        <v>21</v>
      </c>
      <c r="D56" s="38" t="s">
        <v>22</v>
      </c>
      <c r="E56" s="26" t="s">
        <v>261</v>
      </c>
      <c r="F56" s="28">
        <v>0</v>
      </c>
      <c r="G56" s="28"/>
      <c r="H56" s="28">
        <f>E_Giao_Cty_Bach_Kim[[#This Row],[ĐƠN GIÁ]]*E_Giao_Cty_Bach_Kim[[#This Row],[SỐ LƯỢNG]]</f>
        <v>0</v>
      </c>
      <c r="I56" s="28">
        <v>150000000</v>
      </c>
      <c r="J56" s="28">
        <f>J55+E_Giao_Cty_Bach_Kim[[#This Row],[THÀNH TIỀN]]-E_Giao_Cty_Bach_Kim[[#This Row],[THANH TOÁN]]</f>
        <v>981385151</v>
      </c>
      <c r="K56" s="27"/>
    </row>
    <row r="57" spans="1:11" x14ac:dyDescent="0.25">
      <c r="A57" s="25">
        <v>9321</v>
      </c>
      <c r="B57" s="30">
        <v>46153</v>
      </c>
      <c r="C57" s="26" t="s">
        <v>13</v>
      </c>
      <c r="D57" s="38" t="s">
        <v>219</v>
      </c>
      <c r="E57" s="26" t="s">
        <v>2017</v>
      </c>
      <c r="F57" s="28">
        <v>100</v>
      </c>
      <c r="G57" s="28">
        <v>49000</v>
      </c>
      <c r="H57" s="28">
        <f>E_Giao_Cty_Bach_Kim[[#This Row],[ĐƠN GIÁ]]*E_Giao_Cty_Bach_Kim[[#This Row],[SỐ LƯỢNG]]</f>
        <v>4900000</v>
      </c>
      <c r="I57" s="28"/>
      <c r="J57" s="28">
        <f>J56+E_Giao_Cty_Bach_Kim[[#This Row],[THÀNH TIỀN]]-E_Giao_Cty_Bach_Kim[[#This Row],[THANH TOÁN]]</f>
        <v>986285151</v>
      </c>
      <c r="K57" s="27"/>
    </row>
    <row r="58" spans="1:11" x14ac:dyDescent="0.25">
      <c r="A58" s="22">
        <v>9416</v>
      </c>
      <c r="B58" s="29">
        <v>46157</v>
      </c>
      <c r="C58" s="23" t="s">
        <v>13</v>
      </c>
      <c r="D58" s="37" t="s">
        <v>17</v>
      </c>
      <c r="E58" s="23" t="s">
        <v>33</v>
      </c>
      <c r="F58" s="31">
        <v>1234</v>
      </c>
      <c r="G58" s="31">
        <v>62500</v>
      </c>
      <c r="H58" s="31">
        <f>E_Giao_Cty_Bach_Kim[[#This Row],[ĐƠN GIÁ]]*E_Giao_Cty_Bach_Kim[[#This Row],[SỐ LƯỢNG]]</f>
        <v>77125000</v>
      </c>
      <c r="I58" s="31"/>
      <c r="J58" s="31">
        <f>J57+E_Giao_Cty_Bach_Kim[[#This Row],[THÀNH TIỀN]]-E_Giao_Cty_Bach_Kim[[#This Row],[THANH TOÁN]]</f>
        <v>1063410151</v>
      </c>
      <c r="K58" s="24"/>
    </row>
    <row r="59" spans="1:11" x14ac:dyDescent="0.25">
      <c r="A59" s="22"/>
      <c r="B59" s="29">
        <v>46160</v>
      </c>
      <c r="C59" s="23" t="s">
        <v>21</v>
      </c>
      <c r="D59" s="37" t="s">
        <v>22</v>
      </c>
      <c r="E59" s="23" t="s">
        <v>47</v>
      </c>
      <c r="F59" s="31">
        <v>0</v>
      </c>
      <c r="G59" s="31"/>
      <c r="H59" s="31">
        <f>E_Giao_Cty_Bach_Kim[[#This Row],[ĐƠN GIÁ]]*E_Giao_Cty_Bach_Kim[[#This Row],[SỐ LƯỢNG]]</f>
        <v>0</v>
      </c>
      <c r="I59" s="31">
        <v>50000000</v>
      </c>
      <c r="J59" s="31">
        <f>J58+E_Giao_Cty_Bach_Kim[[#This Row],[THÀNH TIỀN]]-E_Giao_Cty_Bach_Kim[[#This Row],[THANH TOÁN]]</f>
        <v>1013410151</v>
      </c>
      <c r="K59" s="24"/>
    </row>
    <row r="60" spans="1:11" x14ac:dyDescent="0.25">
      <c r="A60" s="22">
        <v>9459</v>
      </c>
      <c r="B60" s="29">
        <v>46160</v>
      </c>
      <c r="C60" s="23" t="s">
        <v>13</v>
      </c>
      <c r="D60" s="37" t="s">
        <v>17</v>
      </c>
      <c r="E60" s="23" t="s">
        <v>38</v>
      </c>
      <c r="F60" s="31">
        <v>460</v>
      </c>
      <c r="G60" s="31">
        <v>62500</v>
      </c>
      <c r="H60" s="31">
        <f>E_Giao_Cty_Bach_Kim[[#This Row],[ĐƠN GIÁ]]*E_Giao_Cty_Bach_Kim[[#This Row],[SỐ LƯỢNG]]</f>
        <v>28750000</v>
      </c>
      <c r="I60" s="31"/>
      <c r="J60" s="31">
        <f>J59+E_Giao_Cty_Bach_Kim[[#This Row],[THÀNH TIỀN]]-E_Giao_Cty_Bach_Kim[[#This Row],[THANH TOÁN]]</f>
        <v>1042160151</v>
      </c>
      <c r="K60" s="24"/>
    </row>
    <row r="61" spans="1:11" x14ac:dyDescent="0.25">
      <c r="A61" s="22"/>
      <c r="B61" s="29">
        <v>46167</v>
      </c>
      <c r="C61" s="23" t="s">
        <v>21</v>
      </c>
      <c r="D61" s="37" t="s">
        <v>22</v>
      </c>
      <c r="E61" s="23" t="s">
        <v>47</v>
      </c>
      <c r="F61" s="31">
        <v>0</v>
      </c>
      <c r="G61" s="31"/>
      <c r="H61" s="31">
        <f>E_Giao_Cty_Bach_Kim[[#This Row],[ĐƠN GIÁ]]*E_Giao_Cty_Bach_Kim[[#This Row],[SỐ LƯỢNG]]</f>
        <v>0</v>
      </c>
      <c r="I61" s="31">
        <v>200000000</v>
      </c>
      <c r="J61" s="31">
        <f>J60+E_Giao_Cty_Bach_Kim[[#This Row],[THÀNH TIỀN]]-E_Giao_Cty_Bach_Kim[[#This Row],[THANH TOÁN]]</f>
        <v>842160151</v>
      </c>
      <c r="K61" s="24"/>
    </row>
    <row r="62" spans="1:11" x14ac:dyDescent="0.25">
      <c r="A62" s="22"/>
      <c r="B62" s="29">
        <v>46171</v>
      </c>
      <c r="C62" s="23" t="s">
        <v>21</v>
      </c>
      <c r="D62" s="37" t="s">
        <v>22</v>
      </c>
      <c r="E62" s="23" t="s">
        <v>47</v>
      </c>
      <c r="F62" s="31">
        <v>0</v>
      </c>
      <c r="G62" s="31"/>
      <c r="H62" s="31">
        <f>E_Giao_Cty_Bach_Kim[[#This Row],[ĐƠN GIÁ]]*E_Giao_Cty_Bach_Kim[[#This Row],[SỐ LƯỢNG]]</f>
        <v>0</v>
      </c>
      <c r="I62" s="31">
        <v>90000000</v>
      </c>
      <c r="J62" s="31">
        <f>J61+E_Giao_Cty_Bach_Kim[[#This Row],[THÀNH TIỀN]]-E_Giao_Cty_Bach_Kim[[#This Row],[THANH TOÁN]]</f>
        <v>752160151</v>
      </c>
      <c r="K62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13327D-CFDF-4EA7-964A-718957B0D2B8}">
  <sheetPr codeName="Sheet12"/>
  <dimension ref="A5:P101"/>
  <sheetViews>
    <sheetView topLeftCell="A79" workbookViewId="0">
      <selection activeCell="J11" sqref="J11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140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1" width="15" style="1" bestFit="1" customWidth="1"/>
    <col min="12" max="13" width="9.140625" style="1"/>
    <col min="14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1237144554</v>
      </c>
    </row>
    <row r="6" spans="1:16" ht="22.5" x14ac:dyDescent="0.25">
      <c r="D6" s="34" t="s">
        <v>241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36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C_Thuy_HP[[#This Row],[ĐƠN GIÁ]]*C_Thuy_HP[[#This Row],[SỐ LƯỢNG]]</f>
        <v>0</v>
      </c>
      <c r="I10" s="31"/>
      <c r="J10" s="31">
        <v>249654000</v>
      </c>
      <c r="K10" s="24"/>
    </row>
    <row r="11" spans="1:16" x14ac:dyDescent="0.25">
      <c r="A11" s="22">
        <v>7791</v>
      </c>
      <c r="B11" s="29">
        <v>46083</v>
      </c>
      <c r="C11" s="23" t="s">
        <v>13</v>
      </c>
      <c r="D11" s="37" t="s">
        <v>43</v>
      </c>
      <c r="E11" s="23" t="s">
        <v>136</v>
      </c>
      <c r="F11" s="31">
        <v>795</v>
      </c>
      <c r="G11" s="31">
        <v>56000</v>
      </c>
      <c r="H11" s="31">
        <f>C_Thuy_HP[[#This Row],[ĐƠN GIÁ]]*C_Thuy_HP[[#This Row],[SỐ LƯỢNG]]</f>
        <v>44520000</v>
      </c>
      <c r="I11" s="31"/>
      <c r="J11" s="31">
        <f>J10+C_Thuy_HP[[#This Row],[THÀNH TIỀN]]-C_Thuy_HP[[#This Row],[THANH TOÁN]]</f>
        <v>294174000</v>
      </c>
      <c r="K11" s="24"/>
    </row>
    <row r="12" spans="1:16" x14ac:dyDescent="0.25">
      <c r="A12" s="22">
        <v>7791</v>
      </c>
      <c r="B12" s="29">
        <v>46083</v>
      </c>
      <c r="C12" s="23" t="s">
        <v>13</v>
      </c>
      <c r="D12" s="37" t="s">
        <v>26</v>
      </c>
      <c r="E12" s="23" t="s">
        <v>469</v>
      </c>
      <c r="F12" s="31">
        <v>1237</v>
      </c>
      <c r="G12" s="31">
        <v>34000</v>
      </c>
      <c r="H12" s="31">
        <f>C_Thuy_HP[[#This Row],[ĐƠN GIÁ]]*C_Thuy_HP[[#This Row],[SỐ LƯỢNG]]</f>
        <v>42058000</v>
      </c>
      <c r="I12" s="31"/>
      <c r="J12" s="31">
        <f>J11+C_Thuy_HP[[#This Row],[THÀNH TIỀN]]-C_Thuy_HP[[#This Row],[THANH TOÁN]]</f>
        <v>336232000</v>
      </c>
      <c r="K12" s="24"/>
      <c r="N12" s="35"/>
    </row>
    <row r="13" spans="1:16" x14ac:dyDescent="0.25">
      <c r="A13" s="22"/>
      <c r="B13" s="29">
        <v>46084</v>
      </c>
      <c r="C13" s="23" t="s">
        <v>21</v>
      </c>
      <c r="D13" s="37" t="s">
        <v>22</v>
      </c>
      <c r="E13" s="23" t="s">
        <v>147</v>
      </c>
      <c r="F13" s="31">
        <v>0</v>
      </c>
      <c r="G13" s="31">
        <v>0</v>
      </c>
      <c r="H13" s="31">
        <f>C_Thuy_HP[[#This Row],[ĐƠN GIÁ]]*C_Thuy_HP[[#This Row],[SỐ LƯỢNG]]</f>
        <v>0</v>
      </c>
      <c r="I13" s="31">
        <v>200000000</v>
      </c>
      <c r="J13" s="31">
        <f>J12+C_Thuy_HP[[#This Row],[THÀNH TIỀN]]-C_Thuy_HP[[#This Row],[THANH TOÁN]]</f>
        <v>136232000</v>
      </c>
      <c r="K13" s="24"/>
    </row>
    <row r="14" spans="1:16" x14ac:dyDescent="0.25">
      <c r="A14" s="22">
        <v>7833</v>
      </c>
      <c r="B14" s="29">
        <v>46085</v>
      </c>
      <c r="C14" s="23" t="s">
        <v>13</v>
      </c>
      <c r="D14" s="37" t="s">
        <v>109</v>
      </c>
      <c r="E14" s="23" t="s">
        <v>244</v>
      </c>
      <c r="F14" s="31">
        <v>430</v>
      </c>
      <c r="G14" s="31">
        <v>55000</v>
      </c>
      <c r="H14" s="31">
        <f>C_Thuy_HP[[#This Row],[ĐƠN GIÁ]]*C_Thuy_HP[[#This Row],[SỐ LƯỢNG]]</f>
        <v>23650000</v>
      </c>
      <c r="I14" s="31"/>
      <c r="J14" s="31">
        <f>J13+C_Thuy_HP[[#This Row],[THÀNH TIỀN]]-C_Thuy_HP[[#This Row],[THANH TOÁN]]</f>
        <v>159882000</v>
      </c>
      <c r="K14" s="24"/>
      <c r="P14" s="35"/>
    </row>
    <row r="15" spans="1:16" x14ac:dyDescent="0.25">
      <c r="A15" s="22">
        <v>7833</v>
      </c>
      <c r="B15" s="29">
        <v>46085</v>
      </c>
      <c r="C15" s="23" t="s">
        <v>13</v>
      </c>
      <c r="D15" s="37" t="s">
        <v>109</v>
      </c>
      <c r="E15" s="26" t="s">
        <v>245</v>
      </c>
      <c r="F15" s="28">
        <v>540</v>
      </c>
      <c r="G15" s="28">
        <v>55000</v>
      </c>
      <c r="H15" s="31">
        <f>C_Thuy_HP[[#This Row],[ĐƠN GIÁ]]*C_Thuy_HP[[#This Row],[SỐ LƯỢNG]]</f>
        <v>29700000</v>
      </c>
      <c r="I15" s="28"/>
      <c r="J15" s="31">
        <f>J14+C_Thuy_HP[[#This Row],[THÀNH TIỀN]]-C_Thuy_HP[[#This Row],[THANH TOÁN]]</f>
        <v>189582000</v>
      </c>
      <c r="K15" s="27"/>
      <c r="N15" s="35"/>
    </row>
    <row r="16" spans="1:16" x14ac:dyDescent="0.25">
      <c r="A16" s="25">
        <v>7833</v>
      </c>
      <c r="B16" s="30">
        <v>46085</v>
      </c>
      <c r="C16" s="23" t="s">
        <v>13</v>
      </c>
      <c r="D16" s="38" t="s">
        <v>17</v>
      </c>
      <c r="E16" s="26" t="s">
        <v>41</v>
      </c>
      <c r="F16" s="28">
        <f>635+692</f>
        <v>1327</v>
      </c>
      <c r="G16" s="28">
        <v>58500</v>
      </c>
      <c r="H16" s="28">
        <f>C_Thuy_HP[[#This Row],[ĐƠN GIÁ]]*C_Thuy_HP[[#This Row],[SỐ LƯỢNG]]</f>
        <v>77629500</v>
      </c>
      <c r="I16" s="28"/>
      <c r="J16" s="31">
        <f>J15+C_Thuy_HP[[#This Row],[THÀNH TIỀN]]-C_Thuy_HP[[#This Row],[THANH TOÁN]]</f>
        <v>267211500</v>
      </c>
      <c r="K16" s="27"/>
    </row>
    <row r="17" spans="1:11" x14ac:dyDescent="0.25">
      <c r="A17" s="25">
        <v>7922</v>
      </c>
      <c r="B17" s="30">
        <v>46088</v>
      </c>
      <c r="C17" s="23" t="s">
        <v>13</v>
      </c>
      <c r="D17" s="38" t="s">
        <v>43</v>
      </c>
      <c r="E17" s="23" t="s">
        <v>246</v>
      </c>
      <c r="F17" s="28">
        <v>1760</v>
      </c>
      <c r="G17" s="31">
        <v>57500</v>
      </c>
      <c r="H17" s="31">
        <f>C_Thuy_HP[[#This Row],[ĐƠN GIÁ]]*C_Thuy_HP[[#This Row],[SỐ LƯỢNG]]</f>
        <v>101200000</v>
      </c>
      <c r="I17" s="31"/>
      <c r="J17" s="31">
        <f>J16+C_Thuy_HP[[#This Row],[THÀNH TIỀN]]-C_Thuy_HP[[#This Row],[THANH TOÁN]]</f>
        <v>368411500</v>
      </c>
      <c r="K17" s="24"/>
    </row>
    <row r="18" spans="1:11" x14ac:dyDescent="0.25">
      <c r="A18" s="25">
        <v>7922</v>
      </c>
      <c r="B18" s="30">
        <v>46088</v>
      </c>
      <c r="C18" s="23" t="s">
        <v>13</v>
      </c>
      <c r="D18" s="38" t="s">
        <v>43</v>
      </c>
      <c r="E18" s="23" t="s">
        <v>141</v>
      </c>
      <c r="F18" s="28">
        <v>1244</v>
      </c>
      <c r="G18" s="31">
        <v>56500</v>
      </c>
      <c r="H18" s="31">
        <f>C_Thuy_HP[[#This Row],[ĐƠN GIÁ]]*C_Thuy_HP[[#This Row],[SỐ LƯỢNG]]</f>
        <v>70286000</v>
      </c>
      <c r="I18" s="31"/>
      <c r="J18" s="31">
        <f>J17+C_Thuy_HP[[#This Row],[THÀNH TIỀN]]-C_Thuy_HP[[#This Row],[THANH TOÁN]]</f>
        <v>438697500</v>
      </c>
      <c r="K18" s="24"/>
    </row>
    <row r="19" spans="1:11" x14ac:dyDescent="0.25">
      <c r="A19" s="25">
        <v>7922</v>
      </c>
      <c r="B19" s="30">
        <v>46088</v>
      </c>
      <c r="C19" s="23" t="s">
        <v>13</v>
      </c>
      <c r="D19" s="38" t="s">
        <v>43</v>
      </c>
      <c r="E19" s="23" t="s">
        <v>44</v>
      </c>
      <c r="F19" s="28">
        <v>1466</v>
      </c>
      <c r="G19" s="31">
        <v>56500</v>
      </c>
      <c r="H19" s="31">
        <f>C_Thuy_HP[[#This Row],[ĐƠN GIÁ]]*C_Thuy_HP[[#This Row],[SỐ LƯỢNG]]</f>
        <v>82829000</v>
      </c>
      <c r="I19" s="31"/>
      <c r="J19" s="31">
        <f>J18+C_Thuy_HP[[#This Row],[THÀNH TIỀN]]-C_Thuy_HP[[#This Row],[THANH TOÁN]]</f>
        <v>521526500</v>
      </c>
      <c r="K19" s="24"/>
    </row>
    <row r="20" spans="1:11" x14ac:dyDescent="0.25">
      <c r="A20" s="25">
        <v>7922</v>
      </c>
      <c r="B20" s="30">
        <v>46088</v>
      </c>
      <c r="C20" s="23" t="s">
        <v>13</v>
      </c>
      <c r="D20" s="38" t="s">
        <v>17</v>
      </c>
      <c r="E20" s="23" t="s">
        <v>146</v>
      </c>
      <c r="F20" s="31">
        <v>1338</v>
      </c>
      <c r="G20" s="31">
        <v>57000</v>
      </c>
      <c r="H20" s="31">
        <f>C_Thuy_HP[[#This Row],[ĐƠN GIÁ]]*C_Thuy_HP[[#This Row],[SỐ LƯỢNG]]</f>
        <v>76266000</v>
      </c>
      <c r="I20" s="31"/>
      <c r="J20" s="31">
        <f>J19+C_Thuy_HP[[#This Row],[THÀNH TIỀN]]-C_Thuy_HP[[#This Row],[THANH TOÁN]]</f>
        <v>597792500</v>
      </c>
      <c r="K20" s="24"/>
    </row>
    <row r="21" spans="1:11" x14ac:dyDescent="0.25">
      <c r="A21" s="25">
        <v>7922</v>
      </c>
      <c r="B21" s="30">
        <v>46088</v>
      </c>
      <c r="C21" s="23" t="s">
        <v>13</v>
      </c>
      <c r="D21" s="38" t="s">
        <v>17</v>
      </c>
      <c r="E21" s="26" t="s">
        <v>136</v>
      </c>
      <c r="F21" s="28">
        <v>1292</v>
      </c>
      <c r="G21" s="28">
        <v>59500</v>
      </c>
      <c r="H21" s="28">
        <f>C_Thuy_HP[[#This Row],[ĐƠN GIÁ]]*C_Thuy_HP[[#This Row],[SỐ LƯỢNG]]</f>
        <v>76874000</v>
      </c>
      <c r="I21" s="28"/>
      <c r="J21" s="28">
        <f>J20+C_Thuy_HP[[#This Row],[THÀNH TIỀN]]-C_Thuy_HP[[#This Row],[THANH TOÁN]]</f>
        <v>674666500</v>
      </c>
      <c r="K21" s="27"/>
    </row>
    <row r="22" spans="1:11" x14ac:dyDescent="0.25">
      <c r="A22" s="25">
        <v>7922</v>
      </c>
      <c r="B22" s="30">
        <v>46088</v>
      </c>
      <c r="C22" s="23" t="s">
        <v>13</v>
      </c>
      <c r="D22" s="38" t="s">
        <v>36</v>
      </c>
      <c r="E22" s="26" t="s">
        <v>60</v>
      </c>
      <c r="F22" s="28">
        <v>220</v>
      </c>
      <c r="G22" s="28">
        <v>60000</v>
      </c>
      <c r="H22" s="28">
        <f>C_Thuy_HP[[#This Row],[ĐƠN GIÁ]]*C_Thuy_HP[[#This Row],[SỐ LƯỢNG]]</f>
        <v>13200000</v>
      </c>
      <c r="I22" s="28"/>
      <c r="J22" s="28">
        <f>J21+C_Thuy_HP[[#This Row],[THÀNH TIỀN]]-C_Thuy_HP[[#This Row],[THANH TOÁN]]</f>
        <v>687866500</v>
      </c>
      <c r="K22" s="27"/>
    </row>
    <row r="23" spans="1:11" x14ac:dyDescent="0.25">
      <c r="A23" s="25">
        <v>7922</v>
      </c>
      <c r="B23" s="30">
        <v>46088</v>
      </c>
      <c r="C23" s="23" t="s">
        <v>13</v>
      </c>
      <c r="D23" s="38" t="s">
        <v>36</v>
      </c>
      <c r="E23" s="26" t="s">
        <v>247</v>
      </c>
      <c r="F23" s="28">
        <v>54</v>
      </c>
      <c r="G23" s="28">
        <v>60000</v>
      </c>
      <c r="H23" s="28">
        <f>C_Thuy_HP[[#This Row],[ĐƠN GIÁ]]*C_Thuy_HP[[#This Row],[SỐ LƯỢNG]]</f>
        <v>3240000</v>
      </c>
      <c r="I23" s="28"/>
      <c r="J23" s="28">
        <f>J22+C_Thuy_HP[[#This Row],[THÀNH TIỀN]]-C_Thuy_HP[[#This Row],[THANH TOÁN]]</f>
        <v>691106500</v>
      </c>
      <c r="K23" s="27"/>
    </row>
    <row r="24" spans="1:11" x14ac:dyDescent="0.25">
      <c r="A24" s="25">
        <v>7974</v>
      </c>
      <c r="B24" s="30">
        <v>46091</v>
      </c>
      <c r="C24" s="23" t="s">
        <v>13</v>
      </c>
      <c r="D24" s="38" t="s">
        <v>43</v>
      </c>
      <c r="E24" s="26" t="s">
        <v>154</v>
      </c>
      <c r="F24" s="28">
        <v>1222</v>
      </c>
      <c r="G24" s="28">
        <v>56500</v>
      </c>
      <c r="H24" s="28">
        <f>C_Thuy_HP[[#This Row],[ĐƠN GIÁ]]*C_Thuy_HP[[#This Row],[SỐ LƯỢNG]]</f>
        <v>69043000</v>
      </c>
      <c r="I24" s="28"/>
      <c r="J24" s="28">
        <f>J23+C_Thuy_HP[[#This Row],[THÀNH TIỀN]]-C_Thuy_HP[[#This Row],[THANH TOÁN]]</f>
        <v>760149500</v>
      </c>
      <c r="K24" s="27"/>
    </row>
    <row r="25" spans="1:11" x14ac:dyDescent="0.25">
      <c r="A25" s="25">
        <v>7974</v>
      </c>
      <c r="B25" s="30">
        <v>46091</v>
      </c>
      <c r="C25" s="23" t="s">
        <v>13</v>
      </c>
      <c r="D25" s="38" t="s">
        <v>43</v>
      </c>
      <c r="E25" s="26" t="s">
        <v>248</v>
      </c>
      <c r="F25" s="28">
        <v>1440</v>
      </c>
      <c r="G25" s="28">
        <v>56500</v>
      </c>
      <c r="H25" s="28">
        <f>C_Thuy_HP[[#This Row],[ĐƠN GIÁ]]*C_Thuy_HP[[#This Row],[SỐ LƯỢNG]]</f>
        <v>81360000</v>
      </c>
      <c r="I25" s="28"/>
      <c r="J25" s="28">
        <f>J24+C_Thuy_HP[[#This Row],[THÀNH TIỀN]]-C_Thuy_HP[[#This Row],[THANH TOÁN]]</f>
        <v>841509500</v>
      </c>
      <c r="K25" s="27"/>
    </row>
    <row r="26" spans="1:11" x14ac:dyDescent="0.25">
      <c r="A26" s="25">
        <v>7974</v>
      </c>
      <c r="B26" s="30">
        <v>46091</v>
      </c>
      <c r="C26" s="23" t="s">
        <v>13</v>
      </c>
      <c r="D26" s="38" t="s">
        <v>17</v>
      </c>
      <c r="E26" s="26" t="s">
        <v>146</v>
      </c>
      <c r="F26" s="28">
        <v>1220</v>
      </c>
      <c r="G26" s="28">
        <v>57000</v>
      </c>
      <c r="H26" s="28">
        <f>C_Thuy_HP[[#This Row],[ĐƠN GIÁ]]*C_Thuy_HP[[#This Row],[SỐ LƯỢNG]]</f>
        <v>69540000</v>
      </c>
      <c r="I26" s="28"/>
      <c r="J26" s="28">
        <f>J25+C_Thuy_HP[[#This Row],[THÀNH TIỀN]]-C_Thuy_HP[[#This Row],[THANH TOÁN]]</f>
        <v>911049500</v>
      </c>
      <c r="K26" s="27"/>
    </row>
    <row r="27" spans="1:11" x14ac:dyDescent="0.25">
      <c r="A27" s="25">
        <v>7974</v>
      </c>
      <c r="B27" s="30">
        <v>46091</v>
      </c>
      <c r="C27" s="23" t="s">
        <v>13</v>
      </c>
      <c r="D27" s="38" t="s">
        <v>26</v>
      </c>
      <c r="E27" s="26" t="s">
        <v>249</v>
      </c>
      <c r="F27" s="28">
        <v>751</v>
      </c>
      <c r="G27" s="28">
        <v>36000</v>
      </c>
      <c r="H27" s="28">
        <f>C_Thuy_HP[[#This Row],[ĐƠN GIÁ]]*C_Thuy_HP[[#This Row],[SỐ LƯỢNG]]</f>
        <v>27036000</v>
      </c>
      <c r="I27" s="28"/>
      <c r="J27" s="28">
        <f>J26+C_Thuy_HP[[#This Row],[THÀNH TIỀN]]-C_Thuy_HP[[#This Row],[THANH TOÁN]]</f>
        <v>938085500</v>
      </c>
      <c r="K27" s="27"/>
    </row>
    <row r="28" spans="1:11" x14ac:dyDescent="0.25">
      <c r="A28" s="25">
        <v>7978</v>
      </c>
      <c r="B28" s="30">
        <v>46091</v>
      </c>
      <c r="C28" s="23" t="s">
        <v>13</v>
      </c>
      <c r="D28" s="38" t="s">
        <v>43</v>
      </c>
      <c r="E28" s="26" t="s">
        <v>250</v>
      </c>
      <c r="F28" s="28">
        <v>1690</v>
      </c>
      <c r="G28" s="28">
        <v>56500</v>
      </c>
      <c r="H28" s="28">
        <f>C_Thuy_HP[[#This Row],[ĐƠN GIÁ]]*C_Thuy_HP[[#This Row],[SỐ LƯỢNG]]</f>
        <v>95485000</v>
      </c>
      <c r="I28" s="28"/>
      <c r="J28" s="28">
        <f>J27+C_Thuy_HP[[#This Row],[THÀNH TIỀN]]-C_Thuy_HP[[#This Row],[THANH TOÁN]]</f>
        <v>1033570500</v>
      </c>
      <c r="K28" s="27"/>
    </row>
    <row r="29" spans="1:11" x14ac:dyDescent="0.25">
      <c r="A29" s="25">
        <v>8037</v>
      </c>
      <c r="B29" s="30">
        <v>46093</v>
      </c>
      <c r="C29" s="23" t="s">
        <v>13</v>
      </c>
      <c r="D29" s="38" t="s">
        <v>17</v>
      </c>
      <c r="E29" s="23" t="s">
        <v>162</v>
      </c>
      <c r="F29" s="31">
        <v>1746</v>
      </c>
      <c r="G29" s="31">
        <v>59000</v>
      </c>
      <c r="H29" s="31">
        <f>C_Thuy_HP[[#This Row],[ĐƠN GIÁ]]*C_Thuy_HP[[#This Row],[SỐ LƯỢNG]]</f>
        <v>103014000</v>
      </c>
      <c r="I29" s="31"/>
      <c r="J29" s="31">
        <f>J28+C_Thuy_HP[[#This Row],[THÀNH TIỀN]]-C_Thuy_HP[[#This Row],[THANH TOÁN]]</f>
        <v>1136584500</v>
      </c>
      <c r="K29" s="24"/>
    </row>
    <row r="30" spans="1:11" x14ac:dyDescent="0.25">
      <c r="A30" s="25">
        <v>8037</v>
      </c>
      <c r="B30" s="30">
        <v>46093</v>
      </c>
      <c r="C30" s="23" t="s">
        <v>13</v>
      </c>
      <c r="D30" s="38" t="s">
        <v>17</v>
      </c>
      <c r="E30" s="26" t="s">
        <v>251</v>
      </c>
      <c r="F30" s="28">
        <v>1534</v>
      </c>
      <c r="G30" s="28">
        <v>62000</v>
      </c>
      <c r="H30" s="28">
        <f>C_Thuy_HP[[#This Row],[ĐƠN GIÁ]]*C_Thuy_HP[[#This Row],[SỐ LƯỢNG]]</f>
        <v>95108000</v>
      </c>
      <c r="I30" s="28"/>
      <c r="J30" s="28">
        <f>J29+C_Thuy_HP[[#This Row],[THÀNH TIỀN]]-C_Thuy_HP[[#This Row],[THANH TOÁN]]</f>
        <v>1231692500</v>
      </c>
      <c r="K30" s="27"/>
    </row>
    <row r="31" spans="1:11" x14ac:dyDescent="0.25">
      <c r="A31" s="25"/>
      <c r="B31" s="30">
        <v>46094</v>
      </c>
      <c r="C31" s="23" t="s">
        <v>21</v>
      </c>
      <c r="D31" s="38" t="s">
        <v>22</v>
      </c>
      <c r="E31" s="23" t="s">
        <v>147</v>
      </c>
      <c r="F31" s="31">
        <v>0</v>
      </c>
      <c r="G31" s="31">
        <v>0</v>
      </c>
      <c r="H31" s="31">
        <f>C_Thuy_HP[[#This Row],[ĐƠN GIÁ]]*C_Thuy_HP[[#This Row],[SỐ LƯỢNG]]</f>
        <v>0</v>
      </c>
      <c r="I31" s="31">
        <v>378000000</v>
      </c>
      <c r="J31" s="31">
        <f>J30+C_Thuy_HP[[#This Row],[THÀNH TIỀN]]-C_Thuy_HP[[#This Row],[THANH TOÁN]]</f>
        <v>853692500</v>
      </c>
      <c r="K31" s="24"/>
    </row>
    <row r="32" spans="1:11" x14ac:dyDescent="0.25">
      <c r="A32" s="25">
        <v>8114</v>
      </c>
      <c r="B32" s="30">
        <v>46097</v>
      </c>
      <c r="C32" s="23" t="s">
        <v>13</v>
      </c>
      <c r="D32" s="38" t="s">
        <v>252</v>
      </c>
      <c r="E32" s="26" t="s">
        <v>41</v>
      </c>
      <c r="F32" s="28">
        <v>1064</v>
      </c>
      <c r="G32" s="28">
        <v>38500</v>
      </c>
      <c r="H32" s="28">
        <f>C_Thuy_HP[[#This Row],[ĐƠN GIÁ]]*C_Thuy_HP[[#This Row],[SỐ LƯỢNG]]</f>
        <v>40964000</v>
      </c>
      <c r="I32" s="28"/>
      <c r="J32" s="28">
        <f>J31+C_Thuy_HP[[#This Row],[THÀNH TIỀN]]-C_Thuy_HP[[#This Row],[THANH TOÁN]]</f>
        <v>894656500</v>
      </c>
      <c r="K32" s="27"/>
    </row>
    <row r="33" spans="1:11" x14ac:dyDescent="0.25">
      <c r="A33" s="25">
        <v>8114</v>
      </c>
      <c r="B33" s="30">
        <v>46097</v>
      </c>
      <c r="C33" s="23" t="s">
        <v>13</v>
      </c>
      <c r="D33" s="38" t="s">
        <v>252</v>
      </c>
      <c r="E33" s="26" t="s">
        <v>136</v>
      </c>
      <c r="F33" s="28">
        <v>994</v>
      </c>
      <c r="G33" s="28">
        <v>38500</v>
      </c>
      <c r="H33" s="28">
        <f>C_Thuy_HP[[#This Row],[ĐƠN GIÁ]]*C_Thuy_HP[[#This Row],[SỐ LƯỢNG]]</f>
        <v>38269000</v>
      </c>
      <c r="I33" s="28"/>
      <c r="J33" s="28">
        <f>J32+C_Thuy_HP[[#This Row],[THÀNH TIỀN]]-C_Thuy_HP[[#This Row],[THANH TOÁN]]</f>
        <v>932925500</v>
      </c>
      <c r="K33" s="27"/>
    </row>
    <row r="34" spans="1:11" x14ac:dyDescent="0.25">
      <c r="A34" s="25">
        <v>8114</v>
      </c>
      <c r="B34" s="30">
        <v>46097</v>
      </c>
      <c r="C34" s="23" t="s">
        <v>13</v>
      </c>
      <c r="D34" s="38" t="s">
        <v>253</v>
      </c>
      <c r="E34" s="23" t="s">
        <v>254</v>
      </c>
      <c r="F34" s="31">
        <v>783</v>
      </c>
      <c r="G34" s="31">
        <v>56500</v>
      </c>
      <c r="H34" s="31">
        <f>C_Thuy_HP[[#This Row],[ĐƠN GIÁ]]*C_Thuy_HP[[#This Row],[SỐ LƯỢNG]]</f>
        <v>44239500</v>
      </c>
      <c r="I34" s="31"/>
      <c r="J34" s="31">
        <f>J33+C_Thuy_HP[[#This Row],[THÀNH TIỀN]]-C_Thuy_HP[[#This Row],[THANH TOÁN]]</f>
        <v>977165000</v>
      </c>
      <c r="K34" s="24"/>
    </row>
    <row r="35" spans="1:11" x14ac:dyDescent="0.25">
      <c r="A35" s="25">
        <v>8153</v>
      </c>
      <c r="B35" s="30">
        <v>46098</v>
      </c>
      <c r="C35" s="23" t="s">
        <v>13</v>
      </c>
      <c r="D35" s="38" t="s">
        <v>43</v>
      </c>
      <c r="E35" s="23" t="s">
        <v>134</v>
      </c>
      <c r="F35" s="31">
        <v>728</v>
      </c>
      <c r="G35" s="31">
        <v>56500</v>
      </c>
      <c r="H35" s="31">
        <f>C_Thuy_HP[[#This Row],[ĐƠN GIÁ]]*C_Thuy_HP[[#This Row],[SỐ LƯỢNG]]</f>
        <v>41132000</v>
      </c>
      <c r="I35" s="31"/>
      <c r="J35" s="31">
        <f>J34+C_Thuy_HP[[#This Row],[THÀNH TIỀN]]-C_Thuy_HP[[#This Row],[THANH TOÁN]]</f>
        <v>1018297000</v>
      </c>
      <c r="K35" s="24"/>
    </row>
    <row r="36" spans="1:11" x14ac:dyDescent="0.25">
      <c r="A36" s="25">
        <v>8153</v>
      </c>
      <c r="B36" s="30">
        <v>46098</v>
      </c>
      <c r="C36" s="23" t="s">
        <v>13</v>
      </c>
      <c r="D36" s="38" t="s">
        <v>17</v>
      </c>
      <c r="E36" s="23" t="s">
        <v>40</v>
      </c>
      <c r="F36" s="31">
        <v>1242</v>
      </c>
      <c r="G36" s="31">
        <v>64000</v>
      </c>
      <c r="H36" s="31">
        <f>C_Thuy_HP[[#This Row],[ĐƠN GIÁ]]*C_Thuy_HP[[#This Row],[SỐ LƯỢNG]]</f>
        <v>79488000</v>
      </c>
      <c r="I36" s="31"/>
      <c r="J36" s="31">
        <f>J35+C_Thuy_HP[[#This Row],[THÀNH TIỀN]]-C_Thuy_HP[[#This Row],[THANH TOÁN]]</f>
        <v>1097785000</v>
      </c>
      <c r="K36" s="24"/>
    </row>
    <row r="37" spans="1:11" x14ac:dyDescent="0.25">
      <c r="A37" s="25">
        <v>8153</v>
      </c>
      <c r="B37" s="30">
        <v>46098</v>
      </c>
      <c r="C37" s="23" t="s">
        <v>13</v>
      </c>
      <c r="D37" s="38" t="s">
        <v>17</v>
      </c>
      <c r="E37" s="23" t="s">
        <v>255</v>
      </c>
      <c r="F37" s="31">
        <v>961</v>
      </c>
      <c r="G37" s="31">
        <v>61500</v>
      </c>
      <c r="H37" s="31">
        <f>C_Thuy_HP[[#This Row],[ĐƠN GIÁ]]*C_Thuy_HP[[#This Row],[SỐ LƯỢNG]]</f>
        <v>59101500</v>
      </c>
      <c r="I37" s="31"/>
      <c r="J37" s="31">
        <f>J36+C_Thuy_HP[[#This Row],[THÀNH TIỀN]]-C_Thuy_HP[[#This Row],[THANH TOÁN]]</f>
        <v>1156886500</v>
      </c>
      <c r="K37" s="24"/>
    </row>
    <row r="38" spans="1:11" x14ac:dyDescent="0.25">
      <c r="A38" s="25">
        <v>8153</v>
      </c>
      <c r="B38" s="30">
        <v>46098</v>
      </c>
      <c r="C38" s="23" t="s">
        <v>13</v>
      </c>
      <c r="D38" s="38" t="s">
        <v>17</v>
      </c>
      <c r="E38" s="23" t="s">
        <v>204</v>
      </c>
      <c r="F38" s="31">
        <v>1393</v>
      </c>
      <c r="G38" s="31">
        <v>61500</v>
      </c>
      <c r="H38" s="31">
        <f>C_Thuy_HP[[#This Row],[ĐƠN GIÁ]]*C_Thuy_HP[[#This Row],[SỐ LƯỢNG]]</f>
        <v>85669500</v>
      </c>
      <c r="I38" s="31"/>
      <c r="J38" s="31">
        <f>J37+C_Thuy_HP[[#This Row],[THÀNH TIỀN]]-C_Thuy_HP[[#This Row],[THANH TOÁN]]</f>
        <v>1242556000</v>
      </c>
      <c r="K38" s="24"/>
    </row>
    <row r="39" spans="1:11" x14ac:dyDescent="0.25">
      <c r="A39" s="25">
        <v>8153</v>
      </c>
      <c r="B39" s="30">
        <v>46098</v>
      </c>
      <c r="C39" s="23" t="s">
        <v>13</v>
      </c>
      <c r="D39" s="38" t="s">
        <v>17</v>
      </c>
      <c r="E39" s="26" t="s">
        <v>256</v>
      </c>
      <c r="F39" s="28">
        <v>748</v>
      </c>
      <c r="G39" s="28">
        <v>61500</v>
      </c>
      <c r="H39" s="28">
        <f>C_Thuy_HP[[#This Row],[ĐƠN GIÁ]]*C_Thuy_HP[[#This Row],[SỐ LƯỢNG]]</f>
        <v>46002000</v>
      </c>
      <c r="I39" s="28"/>
      <c r="J39" s="28">
        <f>J38+C_Thuy_HP[[#This Row],[THÀNH TIỀN]]-C_Thuy_HP[[#This Row],[THANH TOÁN]]</f>
        <v>1288558000</v>
      </c>
      <c r="K39" s="27"/>
    </row>
    <row r="40" spans="1:11" x14ac:dyDescent="0.25">
      <c r="A40" s="25">
        <v>8153</v>
      </c>
      <c r="B40" s="30">
        <v>46098</v>
      </c>
      <c r="C40" s="23" t="s">
        <v>13</v>
      </c>
      <c r="D40" s="38" t="s">
        <v>17</v>
      </c>
      <c r="E40" s="26" t="s">
        <v>146</v>
      </c>
      <c r="F40" s="28">
        <v>1695</v>
      </c>
      <c r="G40" s="28">
        <v>58000</v>
      </c>
      <c r="H40" s="28">
        <f>C_Thuy_HP[[#This Row],[ĐƠN GIÁ]]*C_Thuy_HP[[#This Row],[SỐ LƯỢNG]]</f>
        <v>98310000</v>
      </c>
      <c r="I40" s="28"/>
      <c r="J40" s="28">
        <f>J39+C_Thuy_HP[[#This Row],[THÀNH TIỀN]]-C_Thuy_HP[[#This Row],[THANH TOÁN]]</f>
        <v>1386868000</v>
      </c>
      <c r="K40" s="27"/>
    </row>
    <row r="41" spans="1:11" x14ac:dyDescent="0.25">
      <c r="A41" s="25">
        <v>8178</v>
      </c>
      <c r="B41" s="30">
        <v>46099</v>
      </c>
      <c r="C41" s="23" t="s">
        <v>13</v>
      </c>
      <c r="D41" s="38" t="s">
        <v>43</v>
      </c>
      <c r="E41" s="26" t="s">
        <v>248</v>
      </c>
      <c r="F41" s="28">
        <v>1580</v>
      </c>
      <c r="G41" s="28">
        <v>56500</v>
      </c>
      <c r="H41" s="28">
        <f>C_Thuy_HP[[#This Row],[ĐƠN GIÁ]]*C_Thuy_HP[[#This Row],[SỐ LƯỢNG]]</f>
        <v>89270000</v>
      </c>
      <c r="I41" s="28"/>
      <c r="J41" s="28">
        <f>J40+C_Thuy_HP[[#This Row],[THÀNH TIỀN]]-C_Thuy_HP[[#This Row],[THANH TOÁN]]</f>
        <v>1476138000</v>
      </c>
      <c r="K41" s="27"/>
    </row>
    <row r="42" spans="1:11" x14ac:dyDescent="0.25">
      <c r="A42" s="25"/>
      <c r="B42" s="30">
        <v>46099</v>
      </c>
      <c r="C42" s="23" t="s">
        <v>21</v>
      </c>
      <c r="D42" s="38" t="s">
        <v>22</v>
      </c>
      <c r="E42" s="26" t="s">
        <v>147</v>
      </c>
      <c r="F42" s="28">
        <v>0</v>
      </c>
      <c r="G42" s="28">
        <v>0</v>
      </c>
      <c r="H42" s="28">
        <f>C_Thuy_HP[[#This Row],[ĐƠN GIÁ]]*C_Thuy_HP[[#This Row],[SỐ LƯỢNG]]</f>
        <v>0</v>
      </c>
      <c r="I42" s="28">
        <v>240000000</v>
      </c>
      <c r="J42" s="28">
        <f>J41+C_Thuy_HP[[#This Row],[THÀNH TIỀN]]-C_Thuy_HP[[#This Row],[THANH TOÁN]]</f>
        <v>1236138000</v>
      </c>
      <c r="K42" s="27"/>
    </row>
    <row r="43" spans="1:11" x14ac:dyDescent="0.25">
      <c r="A43" s="25"/>
      <c r="B43" s="30">
        <v>46100</v>
      </c>
      <c r="C43" s="23" t="s">
        <v>21</v>
      </c>
      <c r="D43" s="38" t="s">
        <v>22</v>
      </c>
      <c r="E43" s="26" t="s">
        <v>147</v>
      </c>
      <c r="F43" s="28">
        <v>0</v>
      </c>
      <c r="G43" s="28">
        <v>0</v>
      </c>
      <c r="H43" s="28">
        <f>C_Thuy_HP[[#This Row],[ĐƠN GIÁ]]*C_Thuy_HP[[#This Row],[SỐ LƯỢNG]]</f>
        <v>0</v>
      </c>
      <c r="I43" s="28">
        <v>300000000</v>
      </c>
      <c r="J43" s="28">
        <f>J42+C_Thuy_HP[[#This Row],[THÀNH TIỀN]]-C_Thuy_HP[[#This Row],[THANH TOÁN]]</f>
        <v>936138000</v>
      </c>
      <c r="K43" s="27"/>
    </row>
    <row r="44" spans="1:11" x14ac:dyDescent="0.25">
      <c r="A44" s="25"/>
      <c r="B44" s="30">
        <v>46100</v>
      </c>
      <c r="C44" s="23" t="s">
        <v>21</v>
      </c>
      <c r="D44" s="38" t="s">
        <v>260</v>
      </c>
      <c r="E44" s="26" t="s">
        <v>261</v>
      </c>
      <c r="F44" s="28">
        <v>0</v>
      </c>
      <c r="G44" s="28">
        <v>0</v>
      </c>
      <c r="H44" s="28">
        <f>C_Thuy_HP[[#This Row],[ĐƠN GIÁ]]*C_Thuy_HP[[#This Row],[SỐ LƯỢNG]]</f>
        <v>0</v>
      </c>
      <c r="I44" s="28">
        <v>104626448</v>
      </c>
      <c r="J44" s="28">
        <f>J43+C_Thuy_HP[[#This Row],[THÀNH TIỀN]]-C_Thuy_HP[[#This Row],[THANH TOÁN]]</f>
        <v>831511552</v>
      </c>
      <c r="K44" s="27"/>
    </row>
    <row r="45" spans="1:11" x14ac:dyDescent="0.25">
      <c r="A45" s="25">
        <v>8270</v>
      </c>
      <c r="B45" s="30">
        <v>46101</v>
      </c>
      <c r="C45" s="23" t="s">
        <v>13</v>
      </c>
      <c r="D45" s="38" t="s">
        <v>43</v>
      </c>
      <c r="E45" s="26" t="s">
        <v>257</v>
      </c>
      <c r="F45" s="28">
        <v>2874</v>
      </c>
      <c r="G45" s="28">
        <v>56000</v>
      </c>
      <c r="H45" s="28">
        <f>C_Thuy_HP[[#This Row],[ĐƠN GIÁ]]*C_Thuy_HP[[#This Row],[SỐ LƯỢNG]]</f>
        <v>160944000</v>
      </c>
      <c r="I45" s="28"/>
      <c r="J45" s="28">
        <f>J44+C_Thuy_HP[[#This Row],[THÀNH TIỀN]]-C_Thuy_HP[[#This Row],[THANH TOÁN]]</f>
        <v>992455552</v>
      </c>
      <c r="K45" s="27"/>
    </row>
    <row r="46" spans="1:11" x14ac:dyDescent="0.25">
      <c r="A46" s="25">
        <v>8270</v>
      </c>
      <c r="B46" s="30">
        <v>46101</v>
      </c>
      <c r="C46" s="23" t="s">
        <v>13</v>
      </c>
      <c r="D46" s="38" t="s">
        <v>169</v>
      </c>
      <c r="E46" s="26" t="s">
        <v>148</v>
      </c>
      <c r="F46" s="28">
        <v>1032</v>
      </c>
      <c r="G46" s="28">
        <v>42000</v>
      </c>
      <c r="H46" s="28">
        <f>C_Thuy_HP[[#This Row],[ĐƠN GIÁ]]*C_Thuy_HP[[#This Row],[SỐ LƯỢNG]]</f>
        <v>43344000</v>
      </c>
      <c r="I46" s="28"/>
      <c r="J46" s="28">
        <f>J45+C_Thuy_HP[[#This Row],[THÀNH TIỀN]]-C_Thuy_HP[[#This Row],[THANH TOÁN]]</f>
        <v>1035799552</v>
      </c>
      <c r="K46" s="27"/>
    </row>
    <row r="47" spans="1:11" x14ac:dyDescent="0.25">
      <c r="A47" s="25">
        <v>8270</v>
      </c>
      <c r="B47" s="30">
        <v>46101</v>
      </c>
      <c r="C47" s="26" t="s">
        <v>13</v>
      </c>
      <c r="D47" s="38" t="s">
        <v>17</v>
      </c>
      <c r="E47" s="26" t="s">
        <v>46</v>
      </c>
      <c r="F47" s="28">
        <v>944</v>
      </c>
      <c r="G47" s="28">
        <v>65000</v>
      </c>
      <c r="H47" s="28">
        <f>C_Thuy_HP[[#This Row],[ĐƠN GIÁ]]*C_Thuy_HP[[#This Row],[SỐ LƯỢNG]]</f>
        <v>61360000</v>
      </c>
      <c r="I47" s="28"/>
      <c r="J47" s="28">
        <f>J46+C_Thuy_HP[[#This Row],[THÀNH TIỀN]]-C_Thuy_HP[[#This Row],[THANH TOÁN]]</f>
        <v>1097159552</v>
      </c>
      <c r="K47" s="27"/>
    </row>
    <row r="48" spans="1:11" x14ac:dyDescent="0.25">
      <c r="A48" s="25">
        <v>8210</v>
      </c>
      <c r="B48" s="30">
        <v>46104</v>
      </c>
      <c r="C48" s="26" t="s">
        <v>13</v>
      </c>
      <c r="D48" s="38" t="s">
        <v>17</v>
      </c>
      <c r="E48" s="26" t="s">
        <v>146</v>
      </c>
      <c r="F48" s="28">
        <v>1284</v>
      </c>
      <c r="G48" s="28">
        <v>58000</v>
      </c>
      <c r="H48" s="28">
        <f>C_Thuy_HP[[#This Row],[ĐƠN GIÁ]]*C_Thuy_HP[[#This Row],[SỐ LƯỢNG]]</f>
        <v>74472000</v>
      </c>
      <c r="I48" s="28"/>
      <c r="J48" s="28">
        <f>J47+C_Thuy_HP[[#This Row],[THÀNH TIỀN]]-C_Thuy_HP[[#This Row],[THANH TOÁN]]</f>
        <v>1171631552</v>
      </c>
      <c r="K48" s="27"/>
    </row>
    <row r="49" spans="1:11" x14ac:dyDescent="0.25">
      <c r="A49" s="25">
        <v>8242</v>
      </c>
      <c r="B49" s="30">
        <v>46105</v>
      </c>
      <c r="C49" s="26" t="s">
        <v>13</v>
      </c>
      <c r="D49" s="38" t="s">
        <v>17</v>
      </c>
      <c r="E49" s="26" t="s">
        <v>251</v>
      </c>
      <c r="F49" s="28">
        <v>562</v>
      </c>
      <c r="G49" s="28">
        <v>60500</v>
      </c>
      <c r="H49" s="28">
        <f>C_Thuy_HP[[#This Row],[ĐƠN GIÁ]]*C_Thuy_HP[[#This Row],[SỐ LƯỢNG]]</f>
        <v>34001000</v>
      </c>
      <c r="I49" s="28"/>
      <c r="J49" s="28">
        <f>J48+C_Thuy_HP[[#This Row],[THÀNH TIỀN]]-C_Thuy_HP[[#This Row],[THANH TOÁN]]</f>
        <v>1205632552</v>
      </c>
      <c r="K49" s="27"/>
    </row>
    <row r="50" spans="1:11" x14ac:dyDescent="0.25">
      <c r="A50" s="25">
        <v>8242</v>
      </c>
      <c r="B50" s="30">
        <v>46105</v>
      </c>
      <c r="C50" s="26" t="s">
        <v>13</v>
      </c>
      <c r="D50" s="38" t="s">
        <v>17</v>
      </c>
      <c r="E50" s="26" t="s">
        <v>146</v>
      </c>
      <c r="F50" s="28">
        <v>1199</v>
      </c>
      <c r="G50" s="28">
        <v>59500</v>
      </c>
      <c r="H50" s="28">
        <f>C_Thuy_HP[[#This Row],[ĐƠN GIÁ]]*C_Thuy_HP[[#This Row],[SỐ LƯỢNG]]</f>
        <v>71340500</v>
      </c>
      <c r="I50" s="28"/>
      <c r="J50" s="28">
        <f>J49+C_Thuy_HP[[#This Row],[THÀNH TIỀN]]-C_Thuy_HP[[#This Row],[THANH TOÁN]]</f>
        <v>1276973052</v>
      </c>
      <c r="K50" s="27"/>
    </row>
    <row r="51" spans="1:11" x14ac:dyDescent="0.25">
      <c r="A51" s="25">
        <v>8242</v>
      </c>
      <c r="B51" s="30">
        <v>46105</v>
      </c>
      <c r="C51" s="26" t="s">
        <v>13</v>
      </c>
      <c r="D51" s="38" t="s">
        <v>17</v>
      </c>
      <c r="E51" s="26" t="s">
        <v>258</v>
      </c>
      <c r="F51" s="28">
        <v>1038</v>
      </c>
      <c r="G51" s="28">
        <v>64000</v>
      </c>
      <c r="H51" s="28">
        <f>C_Thuy_HP[[#This Row],[ĐƠN GIÁ]]*C_Thuy_HP[[#This Row],[SỐ LƯỢNG]]</f>
        <v>66432000</v>
      </c>
      <c r="I51" s="28"/>
      <c r="J51" s="28">
        <f>J50+C_Thuy_HP[[#This Row],[THÀNH TIỀN]]-C_Thuy_HP[[#This Row],[THANH TOÁN]]</f>
        <v>1343405052</v>
      </c>
      <c r="K51" s="27"/>
    </row>
    <row r="52" spans="1:11" x14ac:dyDescent="0.25">
      <c r="A52" s="25">
        <v>8242</v>
      </c>
      <c r="B52" s="30">
        <v>46105</v>
      </c>
      <c r="C52" s="26" t="s">
        <v>242</v>
      </c>
      <c r="D52" s="38" t="s">
        <v>17</v>
      </c>
      <c r="E52" s="26" t="s">
        <v>40</v>
      </c>
      <c r="F52" s="28">
        <v>-1242</v>
      </c>
      <c r="G52" s="28">
        <v>64000</v>
      </c>
      <c r="H52" s="28">
        <f>C_Thuy_HP[[#This Row],[ĐƠN GIÁ]]*C_Thuy_HP[[#This Row],[SỐ LƯỢNG]]</f>
        <v>-79488000</v>
      </c>
      <c r="I52" s="28"/>
      <c r="J52" s="28">
        <f>J51+C_Thuy_HP[[#This Row],[THÀNH TIỀN]]-C_Thuy_HP[[#This Row],[THANH TOÁN]]</f>
        <v>1263917052</v>
      </c>
      <c r="K52" s="27"/>
    </row>
    <row r="53" spans="1:11" x14ac:dyDescent="0.25">
      <c r="A53" s="25">
        <v>8329</v>
      </c>
      <c r="B53" s="30">
        <v>46106</v>
      </c>
      <c r="C53" s="26" t="s">
        <v>13</v>
      </c>
      <c r="D53" s="38" t="s">
        <v>17</v>
      </c>
      <c r="E53" s="26" t="s">
        <v>78</v>
      </c>
      <c r="F53" s="28">
        <v>1309</v>
      </c>
      <c r="G53" s="28">
        <v>63000</v>
      </c>
      <c r="H53" s="28">
        <f>C_Thuy_HP[[#This Row],[ĐƠN GIÁ]]*C_Thuy_HP[[#This Row],[SỐ LƯỢNG]]</f>
        <v>82467000</v>
      </c>
      <c r="I53" s="28"/>
      <c r="J53" s="28">
        <f>J52+C_Thuy_HP[[#This Row],[THÀNH TIỀN]]-C_Thuy_HP[[#This Row],[THANH TOÁN]]</f>
        <v>1346384052</v>
      </c>
      <c r="K53" s="27"/>
    </row>
    <row r="54" spans="1:11" x14ac:dyDescent="0.25">
      <c r="A54" s="25">
        <v>8329</v>
      </c>
      <c r="B54" s="30">
        <v>46106</v>
      </c>
      <c r="C54" s="26" t="s">
        <v>13</v>
      </c>
      <c r="D54" s="38" t="s">
        <v>17</v>
      </c>
      <c r="E54" s="26" t="s">
        <v>62</v>
      </c>
      <c r="F54" s="28">
        <v>1064</v>
      </c>
      <c r="G54" s="28">
        <v>62500</v>
      </c>
      <c r="H54" s="28">
        <f>C_Thuy_HP[[#This Row],[ĐƠN GIÁ]]*C_Thuy_HP[[#This Row],[SỐ LƯỢNG]]</f>
        <v>66500000</v>
      </c>
      <c r="I54" s="28"/>
      <c r="J54" s="28">
        <f>J53+C_Thuy_HP[[#This Row],[THÀNH TIỀN]]-C_Thuy_HP[[#This Row],[THANH TOÁN]]</f>
        <v>1412884052</v>
      </c>
      <c r="K54" s="27"/>
    </row>
    <row r="55" spans="1:11" x14ac:dyDescent="0.25">
      <c r="A55" s="25">
        <v>8329</v>
      </c>
      <c r="B55" s="30">
        <v>46106</v>
      </c>
      <c r="C55" s="26" t="s">
        <v>13</v>
      </c>
      <c r="D55" s="38" t="s">
        <v>17</v>
      </c>
      <c r="E55" s="26" t="s">
        <v>41</v>
      </c>
      <c r="F55" s="28">
        <v>828</v>
      </c>
      <c r="G55" s="28">
        <v>61000</v>
      </c>
      <c r="H55" s="28">
        <f>C_Thuy_HP[[#This Row],[ĐƠN GIÁ]]*C_Thuy_HP[[#This Row],[SỐ LƯỢNG]]</f>
        <v>50508000</v>
      </c>
      <c r="I55" s="28"/>
      <c r="J55" s="28">
        <f>J54+C_Thuy_HP[[#This Row],[THÀNH TIỀN]]-C_Thuy_HP[[#This Row],[THANH TOÁN]]</f>
        <v>1463392052</v>
      </c>
      <c r="K55" s="27"/>
    </row>
    <row r="56" spans="1:11" x14ac:dyDescent="0.25">
      <c r="A56" s="25">
        <v>8353</v>
      </c>
      <c r="B56" s="30">
        <v>46107</v>
      </c>
      <c r="C56" s="26" t="s">
        <v>13</v>
      </c>
      <c r="D56" s="38" t="s">
        <v>43</v>
      </c>
      <c r="E56" s="26" t="s">
        <v>259</v>
      </c>
      <c r="F56" s="28">
        <v>821</v>
      </c>
      <c r="G56" s="28">
        <v>60500</v>
      </c>
      <c r="H56" s="28">
        <f>C_Thuy_HP[[#This Row],[ĐƠN GIÁ]]*C_Thuy_HP[[#This Row],[SỐ LƯỢNG]]</f>
        <v>49670500</v>
      </c>
      <c r="I56" s="28"/>
      <c r="J56" s="28">
        <f>J55+C_Thuy_HP[[#This Row],[THÀNH TIỀN]]-C_Thuy_HP[[#This Row],[THANH TOÁN]]</f>
        <v>1513062552</v>
      </c>
      <c r="K56" s="27"/>
    </row>
    <row r="57" spans="1:11" x14ac:dyDescent="0.25">
      <c r="A57" s="25">
        <v>8353</v>
      </c>
      <c r="B57" s="30">
        <v>46107</v>
      </c>
      <c r="C57" s="26" t="s">
        <v>13</v>
      </c>
      <c r="D57" s="38" t="s">
        <v>17</v>
      </c>
      <c r="E57" s="26" t="s">
        <v>33</v>
      </c>
      <c r="F57" s="28">
        <v>1510</v>
      </c>
      <c r="G57" s="28">
        <v>65000</v>
      </c>
      <c r="H57" s="28">
        <f>C_Thuy_HP[[#This Row],[ĐƠN GIÁ]]*C_Thuy_HP[[#This Row],[SỐ LƯỢNG]]</f>
        <v>98150000</v>
      </c>
      <c r="I57" s="28"/>
      <c r="J57" s="28">
        <f>J56+C_Thuy_HP[[#This Row],[THÀNH TIỀN]]-C_Thuy_HP[[#This Row],[THANH TOÁN]]</f>
        <v>1611212552</v>
      </c>
      <c r="K57" s="27"/>
    </row>
    <row r="58" spans="1:11" x14ac:dyDescent="0.25">
      <c r="A58" s="25">
        <v>8392</v>
      </c>
      <c r="B58" s="30">
        <v>46109</v>
      </c>
      <c r="C58" s="26" t="s">
        <v>13</v>
      </c>
      <c r="D58" s="38" t="s">
        <v>17</v>
      </c>
      <c r="E58" s="26" t="s">
        <v>46</v>
      </c>
      <c r="F58" s="28">
        <v>820</v>
      </c>
      <c r="G58" s="28">
        <v>65000</v>
      </c>
      <c r="H58" s="28">
        <f>C_Thuy_HP[[#This Row],[ĐƠN GIÁ]]*C_Thuy_HP[[#This Row],[SỐ LƯỢNG]]</f>
        <v>53300000</v>
      </c>
      <c r="I58" s="28"/>
      <c r="J58" s="28">
        <f>J57+C_Thuy_HP[[#This Row],[THÀNH TIỀN]]-C_Thuy_HP[[#This Row],[THANH TOÁN]]</f>
        <v>1664512552</v>
      </c>
      <c r="K58" s="27"/>
    </row>
    <row r="59" spans="1:11" x14ac:dyDescent="0.25">
      <c r="A59" s="22"/>
      <c r="B59" s="29">
        <v>46113</v>
      </c>
      <c r="C59" s="23" t="s">
        <v>21</v>
      </c>
      <c r="D59" s="37" t="s">
        <v>22</v>
      </c>
      <c r="E59" s="23" t="s">
        <v>147</v>
      </c>
      <c r="F59" s="31">
        <v>0</v>
      </c>
      <c r="G59" s="31"/>
      <c r="H59" s="31">
        <f>C_Thuy_HP[[#This Row],[ĐƠN GIÁ]]*C_Thuy_HP[[#This Row],[SỐ LƯỢNG]]</f>
        <v>0</v>
      </c>
      <c r="I59" s="31">
        <v>499999999</v>
      </c>
      <c r="J59" s="31">
        <f>J58+C_Thuy_HP[[#This Row],[THÀNH TIỀN]]-C_Thuy_HP[[#This Row],[THANH TOÁN]]</f>
        <v>1164512553</v>
      </c>
      <c r="K59" s="24"/>
    </row>
    <row r="60" spans="1:11" x14ac:dyDescent="0.25">
      <c r="A60" s="22"/>
      <c r="B60" s="29">
        <v>46113</v>
      </c>
      <c r="C60" s="23" t="s">
        <v>21</v>
      </c>
      <c r="D60" s="37" t="s">
        <v>22</v>
      </c>
      <c r="E60" s="23" t="s">
        <v>147</v>
      </c>
      <c r="F60" s="31">
        <v>0</v>
      </c>
      <c r="G60" s="31"/>
      <c r="H60" s="31">
        <f>C_Thuy_HP[[#This Row],[ĐƠN GIÁ]]*C_Thuy_HP[[#This Row],[SỐ LƯỢNG]]</f>
        <v>0</v>
      </c>
      <c r="I60" s="31">
        <v>499999999</v>
      </c>
      <c r="J60" s="31">
        <f>J59+C_Thuy_HP[[#This Row],[THÀNH TIỀN]]-C_Thuy_HP[[#This Row],[THANH TOÁN]]</f>
        <v>664512554</v>
      </c>
      <c r="K60" s="24"/>
    </row>
    <row r="61" spans="1:11" x14ac:dyDescent="0.25">
      <c r="A61" s="22"/>
      <c r="B61" s="29">
        <v>46123</v>
      </c>
      <c r="C61" s="23" t="s">
        <v>21</v>
      </c>
      <c r="D61" s="37" t="s">
        <v>22</v>
      </c>
      <c r="E61" s="23" t="s">
        <v>147</v>
      </c>
      <c r="F61" s="31">
        <v>0</v>
      </c>
      <c r="G61" s="31"/>
      <c r="H61" s="31">
        <f>C_Thuy_HP[[#This Row],[ĐƠN GIÁ]]*C_Thuy_HP[[#This Row],[SỐ LƯỢNG]]</f>
        <v>0</v>
      </c>
      <c r="I61" s="31">
        <v>200000000</v>
      </c>
      <c r="J61" s="31">
        <f>J60+C_Thuy_HP[[#This Row],[THÀNH TIỀN]]-C_Thuy_HP[[#This Row],[THANH TOÁN]]</f>
        <v>464512554</v>
      </c>
      <c r="K61" s="24"/>
    </row>
    <row r="62" spans="1:11" x14ac:dyDescent="0.25">
      <c r="A62" s="22">
        <v>8736</v>
      </c>
      <c r="B62" s="29">
        <v>46125</v>
      </c>
      <c r="C62" s="23" t="s">
        <v>13</v>
      </c>
      <c r="D62" s="37" t="s">
        <v>26</v>
      </c>
      <c r="E62" s="23" t="s">
        <v>230</v>
      </c>
      <c r="F62" s="31">
        <v>1148</v>
      </c>
      <c r="G62" s="31">
        <v>38000</v>
      </c>
      <c r="H62" s="31">
        <f>C_Thuy_HP[[#This Row],[ĐƠN GIÁ]]*C_Thuy_HP[[#This Row],[SỐ LƯỢNG]]</f>
        <v>43624000</v>
      </c>
      <c r="I62" s="31"/>
      <c r="J62" s="31">
        <f>J61+C_Thuy_HP[[#This Row],[THÀNH TIỀN]]-C_Thuy_HP[[#This Row],[THANH TOÁN]]</f>
        <v>508136554</v>
      </c>
      <c r="K62" s="24"/>
    </row>
    <row r="63" spans="1:11" x14ac:dyDescent="0.25">
      <c r="A63" s="22">
        <v>8769</v>
      </c>
      <c r="B63" s="29">
        <v>46126</v>
      </c>
      <c r="C63" s="23" t="s">
        <v>13</v>
      </c>
      <c r="D63" s="37" t="s">
        <v>36</v>
      </c>
      <c r="E63" s="23" t="s">
        <v>73</v>
      </c>
      <c r="F63" s="31">
        <v>858</v>
      </c>
      <c r="G63" s="31">
        <v>61000</v>
      </c>
      <c r="H63" s="31">
        <f>C_Thuy_HP[[#This Row],[ĐƠN GIÁ]]*C_Thuy_HP[[#This Row],[SỐ LƯỢNG]]</f>
        <v>52338000</v>
      </c>
      <c r="I63" s="31"/>
      <c r="J63" s="31">
        <f>J62+C_Thuy_HP[[#This Row],[THÀNH TIỀN]]-C_Thuy_HP[[#This Row],[THANH TOÁN]]</f>
        <v>560474554</v>
      </c>
      <c r="K63" s="24"/>
    </row>
    <row r="64" spans="1:11" x14ac:dyDescent="0.25">
      <c r="A64" s="22">
        <v>8769</v>
      </c>
      <c r="B64" s="29">
        <v>46126</v>
      </c>
      <c r="C64" s="23" t="s">
        <v>13</v>
      </c>
      <c r="D64" s="37" t="s">
        <v>17</v>
      </c>
      <c r="E64" s="23" t="s">
        <v>40</v>
      </c>
      <c r="F64" s="31">
        <v>2254</v>
      </c>
      <c r="G64" s="31">
        <v>66500</v>
      </c>
      <c r="H64" s="31">
        <f>C_Thuy_HP[[#This Row],[ĐƠN GIÁ]]*C_Thuy_HP[[#This Row],[SỐ LƯỢNG]]</f>
        <v>149891000</v>
      </c>
      <c r="I64" s="31"/>
      <c r="J64" s="31">
        <f>J63+C_Thuy_HP[[#This Row],[THÀNH TIỀN]]-C_Thuy_HP[[#This Row],[THANH TOÁN]]</f>
        <v>710365554</v>
      </c>
      <c r="K64" s="24"/>
    </row>
    <row r="65" spans="1:11" x14ac:dyDescent="0.25">
      <c r="A65" s="22">
        <v>8769</v>
      </c>
      <c r="B65" s="29">
        <v>46126</v>
      </c>
      <c r="C65" s="23" t="s">
        <v>13</v>
      </c>
      <c r="D65" s="37" t="s">
        <v>43</v>
      </c>
      <c r="E65" s="23" t="s">
        <v>78</v>
      </c>
      <c r="F65" s="31">
        <v>1118</v>
      </c>
      <c r="G65" s="31">
        <v>63000</v>
      </c>
      <c r="H65" s="31">
        <f>C_Thuy_HP[[#This Row],[ĐƠN GIÁ]]*C_Thuy_HP[[#This Row],[SỐ LƯỢNG]]</f>
        <v>70434000</v>
      </c>
      <c r="I65" s="31"/>
      <c r="J65" s="31">
        <f>J64+C_Thuy_HP[[#This Row],[THÀNH TIỀN]]-C_Thuy_HP[[#This Row],[THANH TOÁN]]</f>
        <v>780799554</v>
      </c>
      <c r="K65" s="24"/>
    </row>
    <row r="66" spans="1:11" x14ac:dyDescent="0.25">
      <c r="A66" s="22">
        <v>8769</v>
      </c>
      <c r="B66" s="29">
        <v>46126</v>
      </c>
      <c r="C66" s="23" t="s">
        <v>13</v>
      </c>
      <c r="D66" s="37" t="s">
        <v>14</v>
      </c>
      <c r="E66" s="23" t="s">
        <v>136</v>
      </c>
      <c r="F66" s="31">
        <v>768</v>
      </c>
      <c r="G66" s="31">
        <v>41500</v>
      </c>
      <c r="H66" s="31">
        <f>C_Thuy_HP[[#This Row],[ĐƠN GIÁ]]*C_Thuy_HP[[#This Row],[SỐ LƯỢNG]]</f>
        <v>31872000</v>
      </c>
      <c r="I66" s="31"/>
      <c r="J66" s="31">
        <f>J65+C_Thuy_HP[[#This Row],[THÀNH TIỀN]]-C_Thuy_HP[[#This Row],[THANH TOÁN]]</f>
        <v>812671554</v>
      </c>
      <c r="K66" s="24"/>
    </row>
    <row r="67" spans="1:11" x14ac:dyDescent="0.25">
      <c r="A67" s="22">
        <v>8769</v>
      </c>
      <c r="B67" s="29">
        <v>46126</v>
      </c>
      <c r="C67" s="23" t="s">
        <v>13</v>
      </c>
      <c r="D67" s="37" t="s">
        <v>252</v>
      </c>
      <c r="E67" s="23" t="s">
        <v>146</v>
      </c>
      <c r="F67" s="31">
        <v>466</v>
      </c>
      <c r="G67" s="31">
        <v>38000</v>
      </c>
      <c r="H67" s="31">
        <f>C_Thuy_HP[[#This Row],[ĐƠN GIÁ]]*C_Thuy_HP[[#This Row],[SỐ LƯỢNG]]</f>
        <v>17708000</v>
      </c>
      <c r="I67" s="31"/>
      <c r="J67" s="31">
        <f>J66+C_Thuy_HP[[#This Row],[THÀNH TIỀN]]-C_Thuy_HP[[#This Row],[THANH TOÁN]]</f>
        <v>830379554</v>
      </c>
      <c r="K67" s="24" t="s">
        <v>262</v>
      </c>
    </row>
    <row r="68" spans="1:11" x14ac:dyDescent="0.25">
      <c r="A68" s="22">
        <v>8867</v>
      </c>
      <c r="B68" s="29">
        <v>46130</v>
      </c>
      <c r="C68" s="23" t="s">
        <v>13</v>
      </c>
      <c r="D68" s="37" t="s">
        <v>17</v>
      </c>
      <c r="E68" s="23" t="s">
        <v>263</v>
      </c>
      <c r="F68" s="31">
        <v>1978</v>
      </c>
      <c r="G68" s="31">
        <v>67000</v>
      </c>
      <c r="H68" s="31">
        <f>C_Thuy_HP[[#This Row],[ĐƠN GIÁ]]*C_Thuy_HP[[#This Row],[SỐ LƯỢNG]]</f>
        <v>132526000</v>
      </c>
      <c r="I68" s="31"/>
      <c r="J68" s="31">
        <f>J67+C_Thuy_HP[[#This Row],[THÀNH TIỀN]]-C_Thuy_HP[[#This Row],[THANH TOÁN]]</f>
        <v>962905554</v>
      </c>
      <c r="K68" s="24"/>
    </row>
    <row r="69" spans="1:11" x14ac:dyDescent="0.25">
      <c r="A69" s="22">
        <v>8867</v>
      </c>
      <c r="B69" s="29">
        <v>46130</v>
      </c>
      <c r="C69" s="23" t="s">
        <v>13</v>
      </c>
      <c r="D69" s="37" t="s">
        <v>43</v>
      </c>
      <c r="E69" s="23" t="s">
        <v>259</v>
      </c>
      <c r="F69" s="31">
        <v>864</v>
      </c>
      <c r="G69" s="31">
        <v>63000</v>
      </c>
      <c r="H69" s="31">
        <f>C_Thuy_HP[[#This Row],[ĐƠN GIÁ]]*C_Thuy_HP[[#This Row],[SỐ LƯỢNG]]</f>
        <v>54432000</v>
      </c>
      <c r="I69" s="31"/>
      <c r="J69" s="31">
        <f>J68+C_Thuy_HP[[#This Row],[THÀNH TIỀN]]-C_Thuy_HP[[#This Row],[THANH TOÁN]]</f>
        <v>1017337554</v>
      </c>
      <c r="K69" s="24"/>
    </row>
    <row r="70" spans="1:11" x14ac:dyDescent="0.25">
      <c r="A70" s="22">
        <v>8867</v>
      </c>
      <c r="B70" s="29">
        <v>46130</v>
      </c>
      <c r="C70" s="23" t="s">
        <v>166</v>
      </c>
      <c r="D70" s="37" t="s">
        <v>26</v>
      </c>
      <c r="E70" s="23" t="s">
        <v>230</v>
      </c>
      <c r="F70" s="31">
        <v>795</v>
      </c>
      <c r="G70" s="31">
        <v>-38000</v>
      </c>
      <c r="H70" s="31">
        <f>C_Thuy_HP[[#This Row],[ĐƠN GIÁ]]*C_Thuy_HP[[#This Row],[SỐ LƯỢNG]]</f>
        <v>-30210000</v>
      </c>
      <c r="I70" s="31"/>
      <c r="J70" s="31">
        <f>J69+C_Thuy_HP[[#This Row],[THÀNH TIỀN]]-C_Thuy_HP[[#This Row],[THANH TOÁN]]</f>
        <v>987127554</v>
      </c>
      <c r="K70" s="24"/>
    </row>
    <row r="71" spans="1:11" x14ac:dyDescent="0.25">
      <c r="A71" s="22"/>
      <c r="B71" s="29">
        <v>46134</v>
      </c>
      <c r="C71" s="23" t="s">
        <v>21</v>
      </c>
      <c r="D71" s="37" t="s">
        <v>22</v>
      </c>
      <c r="E71" s="23" t="s">
        <v>261</v>
      </c>
      <c r="F71" s="31">
        <v>0</v>
      </c>
      <c r="G71" s="31"/>
      <c r="H71" s="31">
        <f>C_Thuy_HP[[#This Row],[ĐƠN GIÁ]]*C_Thuy_HP[[#This Row],[SỐ LƯỢNG]]</f>
        <v>0</v>
      </c>
      <c r="I71" s="31">
        <v>300000000</v>
      </c>
      <c r="J71" s="31">
        <f>J70+C_Thuy_HP[[#This Row],[THÀNH TIỀN]]-C_Thuy_HP[[#This Row],[THANH TOÁN]]</f>
        <v>687127554</v>
      </c>
      <c r="K71" s="24"/>
    </row>
    <row r="72" spans="1:11" x14ac:dyDescent="0.25">
      <c r="A72" s="22">
        <v>8959</v>
      </c>
      <c r="B72" s="29">
        <v>46135</v>
      </c>
      <c r="C72" s="23" t="s">
        <v>13</v>
      </c>
      <c r="D72" s="37" t="s">
        <v>43</v>
      </c>
      <c r="E72" s="23" t="s">
        <v>148</v>
      </c>
      <c r="F72" s="31">
        <v>1399</v>
      </c>
      <c r="G72" s="31">
        <v>58000</v>
      </c>
      <c r="H72" s="31">
        <f>C_Thuy_HP[[#This Row],[ĐƠN GIÁ]]*C_Thuy_HP[[#This Row],[SỐ LƯỢNG]]</f>
        <v>81142000</v>
      </c>
      <c r="I72" s="31"/>
      <c r="J72" s="31">
        <f>J71+C_Thuy_HP[[#This Row],[THÀNH TIỀN]]-C_Thuy_HP[[#This Row],[THANH TOÁN]]</f>
        <v>768269554</v>
      </c>
      <c r="K72" s="24"/>
    </row>
    <row r="73" spans="1:11" x14ac:dyDescent="0.25">
      <c r="A73" s="22">
        <v>8959</v>
      </c>
      <c r="B73" s="29">
        <v>46135</v>
      </c>
      <c r="C73" s="23" t="s">
        <v>13</v>
      </c>
      <c r="D73" s="37" t="s">
        <v>43</v>
      </c>
      <c r="E73" s="23" t="s">
        <v>246</v>
      </c>
      <c r="F73" s="31">
        <v>1070</v>
      </c>
      <c r="G73" s="31">
        <v>61500</v>
      </c>
      <c r="H73" s="31">
        <f>C_Thuy_HP[[#This Row],[ĐƠN GIÁ]]*C_Thuy_HP[[#This Row],[SỐ LƯỢNG]]</f>
        <v>65805000</v>
      </c>
      <c r="I73" s="31"/>
      <c r="J73" s="31">
        <f>J72+C_Thuy_HP[[#This Row],[THÀNH TIỀN]]-C_Thuy_HP[[#This Row],[THANH TOÁN]]</f>
        <v>834074554</v>
      </c>
      <c r="K73" s="24"/>
    </row>
    <row r="74" spans="1:11" x14ac:dyDescent="0.25">
      <c r="A74" s="22">
        <v>8991</v>
      </c>
      <c r="B74" s="29">
        <v>46136</v>
      </c>
      <c r="C74" s="23" t="s">
        <v>13</v>
      </c>
      <c r="D74" s="37" t="s">
        <v>43</v>
      </c>
      <c r="E74" s="23" t="s">
        <v>154</v>
      </c>
      <c r="F74" s="31">
        <v>573</v>
      </c>
      <c r="G74" s="31">
        <v>59500</v>
      </c>
      <c r="H74" s="31">
        <f>C_Thuy_HP[[#This Row],[ĐƠN GIÁ]]*C_Thuy_HP[[#This Row],[SỐ LƯỢNG]]</f>
        <v>34093500</v>
      </c>
      <c r="I74" s="31"/>
      <c r="J74" s="31">
        <f>J73+C_Thuy_HP[[#This Row],[THÀNH TIỀN]]-C_Thuy_HP[[#This Row],[THANH TOÁN]]</f>
        <v>868168054</v>
      </c>
      <c r="K74" s="24"/>
    </row>
    <row r="75" spans="1:11" x14ac:dyDescent="0.25">
      <c r="A75" s="22">
        <v>8991</v>
      </c>
      <c r="B75" s="29">
        <v>46136</v>
      </c>
      <c r="C75" s="23" t="s">
        <v>13</v>
      </c>
      <c r="D75" s="37" t="s">
        <v>43</v>
      </c>
      <c r="E75" s="23" t="s">
        <v>62</v>
      </c>
      <c r="F75" s="31">
        <v>773</v>
      </c>
      <c r="G75" s="31">
        <v>61000</v>
      </c>
      <c r="H75" s="31">
        <f>C_Thuy_HP[[#This Row],[ĐƠN GIÁ]]*C_Thuy_HP[[#This Row],[SỐ LƯỢNG]]</f>
        <v>47153000</v>
      </c>
      <c r="I75" s="31"/>
      <c r="J75" s="31">
        <f>J74+C_Thuy_HP[[#This Row],[THÀNH TIỀN]]-C_Thuy_HP[[#This Row],[THANH TOÁN]]</f>
        <v>915321054</v>
      </c>
      <c r="K75" s="24"/>
    </row>
    <row r="76" spans="1:11" x14ac:dyDescent="0.25">
      <c r="A76" s="22"/>
      <c r="B76" s="29">
        <v>46136</v>
      </c>
      <c r="C76" s="23" t="s">
        <v>21</v>
      </c>
      <c r="D76" s="37" t="s">
        <v>22</v>
      </c>
      <c r="E76" s="23" t="s">
        <v>261</v>
      </c>
      <c r="F76" s="31">
        <v>0</v>
      </c>
      <c r="G76" s="31"/>
      <c r="H76" s="31">
        <f>C_Thuy_HP[[#This Row],[ĐƠN GIÁ]]*C_Thuy_HP[[#This Row],[SỐ LƯỢNG]]</f>
        <v>0</v>
      </c>
      <c r="I76" s="31">
        <v>200000000</v>
      </c>
      <c r="J76" s="31">
        <f>J75+C_Thuy_HP[[#This Row],[THÀNH TIỀN]]-C_Thuy_HP[[#This Row],[THANH TOÁN]]</f>
        <v>715321054</v>
      </c>
      <c r="K76" s="24"/>
    </row>
    <row r="77" spans="1:11" x14ac:dyDescent="0.25">
      <c r="A77" s="22">
        <v>9147</v>
      </c>
      <c r="B77" s="29">
        <v>46146</v>
      </c>
      <c r="C77" s="23" t="s">
        <v>13</v>
      </c>
      <c r="D77" s="37" t="s">
        <v>43</v>
      </c>
      <c r="E77" s="23" t="s">
        <v>148</v>
      </c>
      <c r="F77" s="31">
        <v>1317</v>
      </c>
      <c r="G77" s="31">
        <v>58500</v>
      </c>
      <c r="H77" s="31">
        <f>C_Thuy_HP[[#This Row],[ĐƠN GIÁ]]*C_Thuy_HP[[#This Row],[SỐ LƯỢNG]]</f>
        <v>77044500</v>
      </c>
      <c r="I77" s="31"/>
      <c r="J77" s="31">
        <f>J76+C_Thuy_HP[[#This Row],[THÀNH TIỀN]]-C_Thuy_HP[[#This Row],[THANH TOÁN]]</f>
        <v>792365554</v>
      </c>
      <c r="K77" s="24"/>
    </row>
    <row r="78" spans="1:11" x14ac:dyDescent="0.25">
      <c r="A78" s="22">
        <v>9147</v>
      </c>
      <c r="B78" s="29">
        <v>46146</v>
      </c>
      <c r="C78" s="23" t="s">
        <v>13</v>
      </c>
      <c r="D78" s="37" t="s">
        <v>17</v>
      </c>
      <c r="E78" s="23" t="s">
        <v>78</v>
      </c>
      <c r="F78" s="31">
        <v>826</v>
      </c>
      <c r="G78" s="31">
        <v>65000</v>
      </c>
      <c r="H78" s="31">
        <f>C_Thuy_HP[[#This Row],[ĐƠN GIÁ]]*C_Thuy_HP[[#This Row],[SỐ LƯỢNG]]</f>
        <v>53690000</v>
      </c>
      <c r="I78" s="31"/>
      <c r="J78" s="31">
        <f>J77+C_Thuy_HP[[#This Row],[THÀNH TIỀN]]-C_Thuy_HP[[#This Row],[THANH TOÁN]]</f>
        <v>846055554</v>
      </c>
      <c r="K78" s="24"/>
    </row>
    <row r="79" spans="1:11" x14ac:dyDescent="0.25">
      <c r="A79" s="22">
        <v>9147</v>
      </c>
      <c r="B79" s="29">
        <v>46146</v>
      </c>
      <c r="C79" s="23" t="s">
        <v>13</v>
      </c>
      <c r="D79" s="37" t="s">
        <v>17</v>
      </c>
      <c r="E79" s="23" t="s">
        <v>446</v>
      </c>
      <c r="F79" s="31">
        <v>518</v>
      </c>
      <c r="G79" s="31">
        <v>65000</v>
      </c>
      <c r="H79" s="31">
        <f>C_Thuy_HP[[#This Row],[ĐƠN GIÁ]]*C_Thuy_HP[[#This Row],[SỐ LƯỢNG]]</f>
        <v>33670000</v>
      </c>
      <c r="I79" s="31"/>
      <c r="J79" s="31">
        <f>J78+C_Thuy_HP[[#This Row],[THÀNH TIỀN]]-C_Thuy_HP[[#This Row],[THANH TOÁN]]</f>
        <v>879725554</v>
      </c>
      <c r="K79" s="24"/>
    </row>
    <row r="80" spans="1:11" x14ac:dyDescent="0.25">
      <c r="A80" s="22">
        <v>9147</v>
      </c>
      <c r="B80" s="29">
        <v>46146</v>
      </c>
      <c r="C80" s="23" t="s">
        <v>13</v>
      </c>
      <c r="D80" s="37" t="s">
        <v>50</v>
      </c>
      <c r="E80" s="23" t="s">
        <v>1255</v>
      </c>
      <c r="F80" s="31">
        <v>30</v>
      </c>
      <c r="G80" s="31">
        <v>59500</v>
      </c>
      <c r="H80" s="31">
        <f>C_Thuy_HP[[#This Row],[ĐƠN GIÁ]]*C_Thuy_HP[[#This Row],[SỐ LƯỢNG]]</f>
        <v>1785000</v>
      </c>
      <c r="I80" s="31"/>
      <c r="J80" s="31">
        <f>J79+C_Thuy_HP[[#This Row],[THÀNH TIỀN]]-C_Thuy_HP[[#This Row],[THANH TOÁN]]</f>
        <v>881510554</v>
      </c>
      <c r="K80" s="24"/>
    </row>
    <row r="81" spans="1:11" x14ac:dyDescent="0.25">
      <c r="A81" s="22">
        <v>9209</v>
      </c>
      <c r="B81" s="29">
        <v>46148</v>
      </c>
      <c r="C81" s="23" t="s">
        <v>13</v>
      </c>
      <c r="D81" s="37" t="s">
        <v>43</v>
      </c>
      <c r="E81" s="23" t="s">
        <v>251</v>
      </c>
      <c r="F81" s="31">
        <v>829</v>
      </c>
      <c r="G81" s="31">
        <v>62000</v>
      </c>
      <c r="H81" s="31">
        <f>C_Thuy_HP[[#This Row],[ĐƠN GIÁ]]*C_Thuy_HP[[#This Row],[SỐ LƯỢNG]]</f>
        <v>51398000</v>
      </c>
      <c r="I81" s="31"/>
      <c r="J81" s="31">
        <f>J80+C_Thuy_HP[[#This Row],[THÀNH TIỀN]]-C_Thuy_HP[[#This Row],[THANH TOÁN]]</f>
        <v>932908554</v>
      </c>
      <c r="K81" s="24"/>
    </row>
    <row r="82" spans="1:11" x14ac:dyDescent="0.25">
      <c r="A82" s="22">
        <v>9258</v>
      </c>
      <c r="B82" s="29">
        <v>46150</v>
      </c>
      <c r="C82" s="23" t="s">
        <v>13</v>
      </c>
      <c r="D82" s="37" t="s">
        <v>32</v>
      </c>
      <c r="E82" s="23" t="s">
        <v>230</v>
      </c>
      <c r="F82" s="31">
        <v>394</v>
      </c>
      <c r="G82" s="31">
        <v>45500</v>
      </c>
      <c r="H82" s="31">
        <f>C_Thuy_HP[[#This Row],[ĐƠN GIÁ]]*C_Thuy_HP[[#This Row],[SỐ LƯỢNG]]</f>
        <v>17927000</v>
      </c>
      <c r="I82" s="31"/>
      <c r="J82" s="31">
        <f>J81+C_Thuy_HP[[#This Row],[THÀNH TIỀN]]-C_Thuy_HP[[#This Row],[THANH TOÁN]]</f>
        <v>950835554</v>
      </c>
      <c r="K82" s="24"/>
    </row>
    <row r="83" spans="1:11" x14ac:dyDescent="0.25">
      <c r="A83" s="22"/>
      <c r="B83" s="29">
        <v>46151</v>
      </c>
      <c r="C83" s="23" t="s">
        <v>21</v>
      </c>
      <c r="D83" s="37" t="s">
        <v>22</v>
      </c>
      <c r="E83" s="23" t="s">
        <v>261</v>
      </c>
      <c r="F83" s="31">
        <v>0</v>
      </c>
      <c r="G83" s="31"/>
      <c r="H83" s="31">
        <f>C_Thuy_HP[[#This Row],[ĐƠN GIÁ]]*C_Thuy_HP[[#This Row],[SỐ LƯỢNG]]</f>
        <v>0</v>
      </c>
      <c r="I83" s="31">
        <v>200000000</v>
      </c>
      <c r="J83" s="31">
        <f>J82+C_Thuy_HP[[#This Row],[THÀNH TIỀN]]-C_Thuy_HP[[#This Row],[THANH TOÁN]]</f>
        <v>750835554</v>
      </c>
      <c r="K83" s="24"/>
    </row>
    <row r="84" spans="1:11" x14ac:dyDescent="0.25">
      <c r="A84" s="25">
        <v>9306</v>
      </c>
      <c r="B84" s="30">
        <v>46153</v>
      </c>
      <c r="C84" s="26" t="s">
        <v>13</v>
      </c>
      <c r="D84" s="38" t="s">
        <v>32</v>
      </c>
      <c r="E84" s="26" t="s">
        <v>78</v>
      </c>
      <c r="F84" s="28">
        <v>490</v>
      </c>
      <c r="G84" s="28">
        <v>41000</v>
      </c>
      <c r="H84" s="28">
        <f>C_Thuy_HP[[#This Row],[ĐƠN GIÁ]]*C_Thuy_HP[[#This Row],[SỐ LƯỢNG]]</f>
        <v>20090000</v>
      </c>
      <c r="I84" s="28"/>
      <c r="J84" s="28">
        <f>J83+C_Thuy_HP[[#This Row],[THÀNH TIỀN]]-C_Thuy_HP[[#This Row],[THANH TOÁN]]</f>
        <v>770925554</v>
      </c>
      <c r="K84" s="27"/>
    </row>
    <row r="85" spans="1:11" x14ac:dyDescent="0.25">
      <c r="A85" s="22">
        <v>9306</v>
      </c>
      <c r="B85" s="29">
        <v>46153</v>
      </c>
      <c r="C85" s="23" t="s">
        <v>426</v>
      </c>
      <c r="D85" s="37" t="s">
        <v>26</v>
      </c>
      <c r="E85" s="23" t="s">
        <v>249</v>
      </c>
      <c r="F85" s="31">
        <v>33</v>
      </c>
      <c r="G85" s="31">
        <v>-36000</v>
      </c>
      <c r="H85" s="31">
        <f>C_Thuy_HP[[#This Row],[ĐƠN GIÁ]]*C_Thuy_HP[[#This Row],[SỐ LƯỢNG]]</f>
        <v>-1188000</v>
      </c>
      <c r="I85" s="31"/>
      <c r="J85" s="31">
        <f>J84+C_Thuy_HP[[#This Row],[THÀNH TIỀN]]-C_Thuy_HP[[#This Row],[THANH TOÁN]]</f>
        <v>769737554</v>
      </c>
      <c r="K85" s="24"/>
    </row>
    <row r="86" spans="1:11" x14ac:dyDescent="0.25">
      <c r="A86" s="22">
        <v>9355</v>
      </c>
      <c r="B86" s="29">
        <v>46155</v>
      </c>
      <c r="C86" s="23" t="s">
        <v>13</v>
      </c>
      <c r="D86" s="37" t="s">
        <v>43</v>
      </c>
      <c r="E86" s="23" t="s">
        <v>134</v>
      </c>
      <c r="F86" s="31">
        <v>2021</v>
      </c>
      <c r="G86" s="31">
        <v>61000</v>
      </c>
      <c r="H86" s="31">
        <f>C_Thuy_HP[[#This Row],[ĐƠN GIÁ]]*C_Thuy_HP[[#This Row],[SỐ LƯỢNG]]</f>
        <v>123281000</v>
      </c>
      <c r="I86" s="31"/>
      <c r="J86" s="31">
        <f>J85+C_Thuy_HP[[#This Row],[THÀNH TIỀN]]-C_Thuy_HP[[#This Row],[THANH TOÁN]]</f>
        <v>893018554</v>
      </c>
      <c r="K86" s="24"/>
    </row>
    <row r="87" spans="1:11" x14ac:dyDescent="0.25">
      <c r="A87" s="22">
        <v>9355</v>
      </c>
      <c r="B87" s="29">
        <v>46155</v>
      </c>
      <c r="C87" s="23" t="s">
        <v>13</v>
      </c>
      <c r="D87" s="37" t="s">
        <v>36</v>
      </c>
      <c r="E87" s="23" t="s">
        <v>73</v>
      </c>
      <c r="F87" s="31">
        <v>1154</v>
      </c>
      <c r="G87" s="31">
        <v>64000</v>
      </c>
      <c r="H87" s="31">
        <f>C_Thuy_HP[[#This Row],[ĐƠN GIÁ]]*C_Thuy_HP[[#This Row],[SỐ LƯỢNG]]</f>
        <v>73856000</v>
      </c>
      <c r="I87" s="31"/>
      <c r="J87" s="31">
        <f>J86+C_Thuy_HP[[#This Row],[THÀNH TIỀN]]-C_Thuy_HP[[#This Row],[THANH TOÁN]]</f>
        <v>966874554</v>
      </c>
      <c r="K87" s="24"/>
    </row>
    <row r="88" spans="1:11" x14ac:dyDescent="0.25">
      <c r="A88" s="22">
        <v>9355</v>
      </c>
      <c r="B88" s="29">
        <v>46155</v>
      </c>
      <c r="C88" s="23" t="s">
        <v>13</v>
      </c>
      <c r="D88" s="37" t="s">
        <v>36</v>
      </c>
      <c r="E88" s="23" t="s">
        <v>717</v>
      </c>
      <c r="F88" s="31">
        <v>364</v>
      </c>
      <c r="G88" s="31">
        <v>65500</v>
      </c>
      <c r="H88" s="31">
        <f>C_Thuy_HP[[#This Row],[ĐƠN GIÁ]]*C_Thuy_HP[[#This Row],[SỐ LƯỢNG]]</f>
        <v>23842000</v>
      </c>
      <c r="I88" s="31"/>
      <c r="J88" s="31">
        <f>J87+C_Thuy_HP[[#This Row],[THÀNH TIỀN]]-C_Thuy_HP[[#This Row],[THANH TOÁN]]</f>
        <v>990716554</v>
      </c>
      <c r="K88" s="24"/>
    </row>
    <row r="89" spans="1:11" x14ac:dyDescent="0.25">
      <c r="A89" s="22"/>
      <c r="B89" s="29">
        <v>46156</v>
      </c>
      <c r="C89" s="23" t="s">
        <v>21</v>
      </c>
      <c r="D89" s="37" t="s">
        <v>22</v>
      </c>
      <c r="E89" s="23" t="s">
        <v>261</v>
      </c>
      <c r="F89" s="31">
        <v>0</v>
      </c>
      <c r="G89" s="31"/>
      <c r="H89" s="31">
        <f>C_Thuy_HP[[#This Row],[ĐƠN GIÁ]]*C_Thuy_HP[[#This Row],[SỐ LƯỢNG]]</f>
        <v>0</v>
      </c>
      <c r="I89" s="31">
        <v>200000000</v>
      </c>
      <c r="J89" s="31">
        <f>J88+C_Thuy_HP[[#This Row],[THÀNH TIỀN]]-C_Thuy_HP[[#This Row],[THANH TOÁN]]</f>
        <v>790716554</v>
      </c>
      <c r="K89" s="24"/>
    </row>
    <row r="90" spans="1:11" x14ac:dyDescent="0.25">
      <c r="A90" s="25">
        <v>9405</v>
      </c>
      <c r="B90" s="30">
        <v>46157</v>
      </c>
      <c r="C90" s="26" t="s">
        <v>13</v>
      </c>
      <c r="D90" s="38" t="s">
        <v>43</v>
      </c>
      <c r="E90" s="26" t="s">
        <v>243</v>
      </c>
      <c r="F90" s="28">
        <v>1068</v>
      </c>
      <c r="G90" s="28">
        <v>62000</v>
      </c>
      <c r="H90" s="28">
        <f>C_Thuy_HP[[#This Row],[ĐƠN GIÁ]]*C_Thuy_HP[[#This Row],[SỐ LƯỢNG]]</f>
        <v>66216000</v>
      </c>
      <c r="I90" s="28"/>
      <c r="J90" s="28">
        <f>J89+C_Thuy_HP[[#This Row],[THÀNH TIỀN]]-C_Thuy_HP[[#This Row],[THANH TOÁN]]</f>
        <v>856932554</v>
      </c>
      <c r="K90" s="27"/>
    </row>
    <row r="91" spans="1:11" x14ac:dyDescent="0.25">
      <c r="A91" s="22">
        <v>9405</v>
      </c>
      <c r="B91" s="29">
        <v>46157</v>
      </c>
      <c r="C91" s="23" t="s">
        <v>13</v>
      </c>
      <c r="D91" s="37" t="s">
        <v>17</v>
      </c>
      <c r="E91" s="23" t="s">
        <v>441</v>
      </c>
      <c r="F91" s="31">
        <v>2714</v>
      </c>
      <c r="G91" s="31">
        <v>62000</v>
      </c>
      <c r="H91" s="31">
        <f>C_Thuy_HP[[#This Row],[ĐƠN GIÁ]]*C_Thuy_HP[[#This Row],[SỐ LƯỢNG]]</f>
        <v>168268000</v>
      </c>
      <c r="I91" s="31"/>
      <c r="J91" s="31">
        <f>J90+C_Thuy_HP[[#This Row],[THÀNH TIỀN]]-C_Thuy_HP[[#This Row],[THANH TOÁN]]</f>
        <v>1025200554</v>
      </c>
      <c r="K91" s="24"/>
    </row>
    <row r="92" spans="1:11" x14ac:dyDescent="0.25">
      <c r="A92" s="22">
        <v>9405</v>
      </c>
      <c r="B92" s="29">
        <v>46157</v>
      </c>
      <c r="C92" s="23" t="s">
        <v>13</v>
      </c>
      <c r="D92" s="37" t="s">
        <v>43</v>
      </c>
      <c r="E92" s="23" t="s">
        <v>2124</v>
      </c>
      <c r="F92" s="31">
        <v>1322</v>
      </c>
      <c r="G92" s="31">
        <v>65000</v>
      </c>
      <c r="H92" s="31">
        <f>C_Thuy_HP[[#This Row],[ĐƠN GIÁ]]*C_Thuy_HP[[#This Row],[SỐ LƯỢNG]]</f>
        <v>85930000</v>
      </c>
      <c r="I92" s="31"/>
      <c r="J92" s="31">
        <f>J91+C_Thuy_HP[[#This Row],[THÀNH TIỀN]]-C_Thuy_HP[[#This Row],[THANH TOÁN]]</f>
        <v>1111130554</v>
      </c>
      <c r="K92" s="24"/>
    </row>
    <row r="93" spans="1:11" x14ac:dyDescent="0.25">
      <c r="A93" s="22">
        <v>9405</v>
      </c>
      <c r="B93" s="29">
        <v>46157</v>
      </c>
      <c r="C93" s="23" t="s">
        <v>13</v>
      </c>
      <c r="D93" s="37" t="s">
        <v>43</v>
      </c>
      <c r="E93" s="23" t="s">
        <v>2125</v>
      </c>
      <c r="F93" s="31">
        <v>168</v>
      </c>
      <c r="G93" s="31">
        <v>65000</v>
      </c>
      <c r="H93" s="31">
        <f>C_Thuy_HP[[#This Row],[ĐƠN GIÁ]]*C_Thuy_HP[[#This Row],[SỐ LƯỢNG]]</f>
        <v>10920000</v>
      </c>
      <c r="I93" s="31"/>
      <c r="J93" s="31">
        <f>J92+C_Thuy_HP[[#This Row],[THÀNH TIỀN]]-C_Thuy_HP[[#This Row],[THANH TOÁN]]</f>
        <v>1122050554</v>
      </c>
      <c r="K93" s="24" t="s">
        <v>2163</v>
      </c>
    </row>
    <row r="94" spans="1:11" x14ac:dyDescent="0.25">
      <c r="A94" s="22">
        <v>9473</v>
      </c>
      <c r="B94" s="29">
        <v>46160</v>
      </c>
      <c r="C94" s="23" t="s">
        <v>13</v>
      </c>
      <c r="D94" s="37" t="s">
        <v>270</v>
      </c>
      <c r="E94" s="23" t="s">
        <v>146</v>
      </c>
      <c r="F94" s="31">
        <v>562</v>
      </c>
      <c r="G94" s="31">
        <v>67000</v>
      </c>
      <c r="H94" s="31">
        <f>C_Thuy_HP[[#This Row],[ĐƠN GIÁ]]*C_Thuy_HP[[#This Row],[SỐ LƯỢNG]]</f>
        <v>37654000</v>
      </c>
      <c r="I94" s="31"/>
      <c r="J94" s="31">
        <f>J93+C_Thuy_HP[[#This Row],[THÀNH TIỀN]]-C_Thuy_HP[[#This Row],[THANH TOÁN]]</f>
        <v>1159704554</v>
      </c>
      <c r="K94" s="24"/>
    </row>
    <row r="95" spans="1:11" x14ac:dyDescent="0.25">
      <c r="A95" s="22">
        <v>9473</v>
      </c>
      <c r="B95" s="29">
        <v>46160</v>
      </c>
      <c r="C95" s="23" t="s">
        <v>13</v>
      </c>
      <c r="D95" s="37" t="s">
        <v>109</v>
      </c>
      <c r="E95" s="23" t="s">
        <v>1818</v>
      </c>
      <c r="F95" s="31">
        <v>856</v>
      </c>
      <c r="G95" s="31">
        <v>64000</v>
      </c>
      <c r="H95" s="31">
        <f>C_Thuy_HP[[#This Row],[ĐƠN GIÁ]]*C_Thuy_HP[[#This Row],[SỐ LƯỢNG]]</f>
        <v>54784000</v>
      </c>
      <c r="I95" s="31"/>
      <c r="J95" s="31">
        <f>J94+C_Thuy_HP[[#This Row],[THÀNH TIỀN]]-C_Thuy_HP[[#This Row],[THANH TOÁN]]</f>
        <v>1214488554</v>
      </c>
      <c r="K95" s="24"/>
    </row>
    <row r="96" spans="1:11" x14ac:dyDescent="0.25">
      <c r="A96" s="22"/>
      <c r="B96" s="29">
        <v>46164</v>
      </c>
      <c r="C96" s="23" t="s">
        <v>21</v>
      </c>
      <c r="D96" s="37" t="s">
        <v>22</v>
      </c>
      <c r="E96" s="23" t="s">
        <v>147</v>
      </c>
      <c r="F96" s="31">
        <v>0</v>
      </c>
      <c r="G96" s="31"/>
      <c r="H96" s="31">
        <f>C_Thuy_HP[[#This Row],[ĐƠN GIÁ]]*C_Thuy_HP[[#This Row],[SỐ LƯỢNG]]</f>
        <v>0</v>
      </c>
      <c r="I96" s="31">
        <v>200000000</v>
      </c>
      <c r="J96" s="31">
        <f>J95+C_Thuy_HP[[#This Row],[THÀNH TIỀN]]-C_Thuy_HP[[#This Row],[THANH TOÁN]]</f>
        <v>1014488554</v>
      </c>
      <c r="K96" s="24"/>
    </row>
    <row r="97" spans="1:11" x14ac:dyDescent="0.25">
      <c r="A97" s="22">
        <v>9597</v>
      </c>
      <c r="B97" s="29">
        <v>46167</v>
      </c>
      <c r="C97" s="23" t="s">
        <v>13</v>
      </c>
      <c r="D97" s="37" t="s">
        <v>26</v>
      </c>
      <c r="E97" s="23" t="s">
        <v>62</v>
      </c>
      <c r="F97" s="31">
        <v>584</v>
      </c>
      <c r="G97" s="31">
        <v>33000</v>
      </c>
      <c r="H97" s="31">
        <f>C_Thuy_HP[[#This Row],[ĐƠN GIÁ]]*C_Thuy_HP[[#This Row],[SỐ LƯỢNG]]</f>
        <v>19272000</v>
      </c>
      <c r="I97" s="31"/>
      <c r="J97" s="31">
        <f>J96+C_Thuy_HP[[#This Row],[THÀNH TIỀN]]-C_Thuy_HP[[#This Row],[THANH TOÁN]]</f>
        <v>1033760554</v>
      </c>
      <c r="K97" s="24"/>
    </row>
    <row r="98" spans="1:11" x14ac:dyDescent="0.25">
      <c r="A98" s="22">
        <v>9644</v>
      </c>
      <c r="B98" s="29">
        <v>46169</v>
      </c>
      <c r="C98" s="23" t="s">
        <v>13</v>
      </c>
      <c r="D98" s="37" t="s">
        <v>43</v>
      </c>
      <c r="E98" s="23" t="s">
        <v>259</v>
      </c>
      <c r="F98" s="31">
        <v>1283</v>
      </c>
      <c r="G98" s="31">
        <v>64000</v>
      </c>
      <c r="H98" s="31">
        <f>C_Thuy_HP[[#This Row],[ĐƠN GIÁ]]*C_Thuy_HP[[#This Row],[SỐ LƯỢNG]]</f>
        <v>82112000</v>
      </c>
      <c r="I98" s="31"/>
      <c r="J98" s="31">
        <f>J97+C_Thuy_HP[[#This Row],[THÀNH TIỀN]]-C_Thuy_HP[[#This Row],[THANH TOÁN]]</f>
        <v>1115872554</v>
      </c>
      <c r="K98" s="24"/>
    </row>
    <row r="99" spans="1:11" x14ac:dyDescent="0.25">
      <c r="A99" s="22">
        <v>9644</v>
      </c>
      <c r="B99" s="29">
        <v>46169</v>
      </c>
      <c r="C99" s="23" t="s">
        <v>13</v>
      </c>
      <c r="D99" s="37" t="s">
        <v>17</v>
      </c>
      <c r="E99" s="23" t="s">
        <v>431</v>
      </c>
      <c r="F99" s="31">
        <v>822</v>
      </c>
      <c r="G99" s="31">
        <v>66000</v>
      </c>
      <c r="H99" s="31">
        <f>C_Thuy_HP[[#This Row],[ĐƠN GIÁ]]*C_Thuy_HP[[#This Row],[SỐ LƯỢNG]]</f>
        <v>54252000</v>
      </c>
      <c r="I99" s="31"/>
      <c r="J99" s="31">
        <f>J98+C_Thuy_HP[[#This Row],[THÀNH TIỀN]]-C_Thuy_HP[[#This Row],[THANH TOÁN]]</f>
        <v>1170124554</v>
      </c>
      <c r="K99" s="24"/>
    </row>
    <row r="100" spans="1:11" x14ac:dyDescent="0.25">
      <c r="A100" s="22">
        <v>9691</v>
      </c>
      <c r="B100" s="29">
        <v>46171</v>
      </c>
      <c r="C100" s="23" t="s">
        <v>13</v>
      </c>
      <c r="D100" s="37" t="s">
        <v>26</v>
      </c>
      <c r="E100" s="23" t="s">
        <v>62</v>
      </c>
      <c r="F100" s="31">
        <v>746</v>
      </c>
      <c r="G100" s="31">
        <v>33000</v>
      </c>
      <c r="H100" s="31">
        <f>C_Thuy_HP[[#This Row],[ĐƠN GIÁ]]*C_Thuy_HP[[#This Row],[SỐ LƯỢNG]]</f>
        <v>24618000</v>
      </c>
      <c r="I100" s="31"/>
      <c r="J100" s="31">
        <f>J99+C_Thuy_HP[[#This Row],[THÀNH TIỀN]]-C_Thuy_HP[[#This Row],[THANH TOÁN]]</f>
        <v>1194742554</v>
      </c>
      <c r="K100" s="24"/>
    </row>
    <row r="101" spans="1:11" x14ac:dyDescent="0.25">
      <c r="A101" s="22">
        <v>9756</v>
      </c>
      <c r="B101" s="29">
        <v>46175</v>
      </c>
      <c r="C101" s="23" t="s">
        <v>13</v>
      </c>
      <c r="D101" s="37" t="s">
        <v>169</v>
      </c>
      <c r="E101" s="23" t="s">
        <v>134</v>
      </c>
      <c r="F101" s="31">
        <v>1146</v>
      </c>
      <c r="G101" s="31">
        <v>37000</v>
      </c>
      <c r="H101" s="31">
        <f>C_Thuy_HP[[#This Row],[ĐƠN GIÁ]]*C_Thuy_HP[[#This Row],[SỐ LƯỢNG]]</f>
        <v>42402000</v>
      </c>
      <c r="I101" s="31"/>
      <c r="J101" s="31">
        <f>J100+C_Thuy_HP[[#This Row],[THÀNH TIỀN]]-C_Thuy_HP[[#This Row],[THANH TOÁN]]</f>
        <v>1237144554</v>
      </c>
      <c r="K101" s="24"/>
    </row>
  </sheetData>
  <phoneticPr fontId="9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FBD5A-0F8F-4915-BDE7-4388A9911220}">
  <sheetPr codeName="Sheet13"/>
  <dimension ref="A5:P69"/>
  <sheetViews>
    <sheetView topLeftCell="B43" workbookViewId="0">
      <selection activeCell="O25" sqref="O25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4" width="9.140625" style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1633626600</v>
      </c>
    </row>
    <row r="6" spans="1:16" ht="22.5" x14ac:dyDescent="0.25">
      <c r="D6" s="34" t="s">
        <v>264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Cty_An_Phat_HP[[#This Row],[ĐƠN GIÁ]]*Cty_An_Phat_HP[[#This Row],[SỐ LƯỢNG]]</f>
        <v>0</v>
      </c>
      <c r="I10" s="31"/>
      <c r="J10" s="31">
        <v>1188815600</v>
      </c>
      <c r="K10" s="24"/>
    </row>
    <row r="11" spans="1:16" x14ac:dyDescent="0.25">
      <c r="A11" s="22">
        <v>7792</v>
      </c>
      <c r="B11" s="29">
        <v>46083</v>
      </c>
      <c r="C11" s="23" t="s">
        <v>13</v>
      </c>
      <c r="D11" s="37" t="s">
        <v>265</v>
      </c>
      <c r="E11" s="23" t="s">
        <v>266</v>
      </c>
      <c r="F11" s="31">
        <f>1218+1194</f>
        <v>2412</v>
      </c>
      <c r="G11" s="31">
        <v>61000</v>
      </c>
      <c r="H11" s="31">
        <f>Cty_An_Phat_HP[[#This Row],[ĐƠN GIÁ]]*Cty_An_Phat_HP[[#This Row],[SỐ LƯỢNG]]</f>
        <v>147132000</v>
      </c>
      <c r="I11" s="31"/>
      <c r="J11" s="31">
        <f>J10+Cty_An_Phat_HP[[#This Row],[THÀNH TIỀN]]-Cty_An_Phat_HP[[#This Row],[THANH TOÁN]]</f>
        <v>1335947600</v>
      </c>
      <c r="K11" s="24"/>
    </row>
    <row r="12" spans="1:16" x14ac:dyDescent="0.25">
      <c r="A12" s="22">
        <v>7792</v>
      </c>
      <c r="B12" s="29">
        <v>46083</v>
      </c>
      <c r="C12" s="23" t="s">
        <v>13</v>
      </c>
      <c r="D12" s="37" t="s">
        <v>265</v>
      </c>
      <c r="E12" s="23" t="s">
        <v>267</v>
      </c>
      <c r="F12" s="31">
        <v>1218</v>
      </c>
      <c r="G12" s="31">
        <v>60000</v>
      </c>
      <c r="H12" s="31">
        <f>Cty_An_Phat_HP[[#This Row],[ĐƠN GIÁ]]*Cty_An_Phat_HP[[#This Row],[SỐ LƯỢNG]]</f>
        <v>73080000</v>
      </c>
      <c r="I12" s="31"/>
      <c r="J12" s="31">
        <f>J11+Cty_An_Phat_HP[[#This Row],[THÀNH TIỀN]]-Cty_An_Phat_HP[[#This Row],[THANH TOÁN]]</f>
        <v>1409027600</v>
      </c>
      <c r="K12" s="24"/>
    </row>
    <row r="13" spans="1:16" x14ac:dyDescent="0.25">
      <c r="A13" s="22">
        <v>7792</v>
      </c>
      <c r="B13" s="29">
        <v>46083</v>
      </c>
      <c r="C13" s="23" t="s">
        <v>13</v>
      </c>
      <c r="D13" s="37" t="s">
        <v>43</v>
      </c>
      <c r="E13" s="23" t="s">
        <v>44</v>
      </c>
      <c r="F13" s="31">
        <v>654</v>
      </c>
      <c r="G13" s="31">
        <v>55000</v>
      </c>
      <c r="H13" s="31">
        <f>Cty_An_Phat_HP[[#This Row],[ĐƠN GIÁ]]*Cty_An_Phat_HP[[#This Row],[SỐ LƯỢNG]]</f>
        <v>35970000</v>
      </c>
      <c r="I13" s="31"/>
      <c r="J13" s="31">
        <f>J12+Cty_An_Phat_HP[[#This Row],[THÀNH TIỀN]]-Cty_An_Phat_HP[[#This Row],[THANH TOÁN]]</f>
        <v>1444997600</v>
      </c>
      <c r="K13" s="24"/>
    </row>
    <row r="14" spans="1:16" x14ac:dyDescent="0.25">
      <c r="A14" s="22">
        <v>7792</v>
      </c>
      <c r="B14" s="29">
        <v>46083</v>
      </c>
      <c r="C14" s="23" t="s">
        <v>13</v>
      </c>
      <c r="D14" s="37" t="s">
        <v>26</v>
      </c>
      <c r="E14" s="23" t="s">
        <v>62</v>
      </c>
      <c r="F14" s="31">
        <v>850</v>
      </c>
      <c r="G14" s="31">
        <v>33000</v>
      </c>
      <c r="H14" s="31">
        <f>Cty_An_Phat_HP[[#This Row],[ĐƠN GIÁ]]*Cty_An_Phat_HP[[#This Row],[SỐ LƯỢNG]]</f>
        <v>28050000</v>
      </c>
      <c r="I14" s="31"/>
      <c r="J14" s="31">
        <f>J13+Cty_An_Phat_HP[[#This Row],[THÀNH TIỀN]]-Cty_An_Phat_HP[[#This Row],[THANH TOÁN]]</f>
        <v>1473047600</v>
      </c>
      <c r="K14" s="24"/>
      <c r="P14" s="35"/>
    </row>
    <row r="15" spans="1:16" x14ac:dyDescent="0.25">
      <c r="A15" s="25">
        <v>7866</v>
      </c>
      <c r="B15" s="30">
        <v>46086</v>
      </c>
      <c r="C15" s="26" t="s">
        <v>13</v>
      </c>
      <c r="D15" s="37" t="s">
        <v>26</v>
      </c>
      <c r="E15" s="26" t="s">
        <v>136</v>
      </c>
      <c r="F15" s="28">
        <v>1025</v>
      </c>
      <c r="G15" s="28">
        <v>33500</v>
      </c>
      <c r="H15" s="28">
        <f>Cty_An_Phat_HP[[#This Row],[ĐƠN GIÁ]]*Cty_An_Phat_HP[[#This Row],[SỐ LƯỢNG]]</f>
        <v>34337500</v>
      </c>
      <c r="I15" s="28"/>
      <c r="J15" s="31">
        <f>J14+Cty_An_Phat_HP[[#This Row],[THÀNH TIỀN]]-Cty_An_Phat_HP[[#This Row],[THANH TOÁN]]</f>
        <v>1507385100</v>
      </c>
      <c r="K15" s="27"/>
    </row>
    <row r="16" spans="1:16" x14ac:dyDescent="0.25">
      <c r="A16" s="25">
        <v>7866</v>
      </c>
      <c r="B16" s="30">
        <v>46086</v>
      </c>
      <c r="C16" s="26" t="s">
        <v>13</v>
      </c>
      <c r="D16" s="37" t="s">
        <v>26</v>
      </c>
      <c r="E16" s="23" t="s">
        <v>134</v>
      </c>
      <c r="F16" s="31">
        <v>820</v>
      </c>
      <c r="G16" s="31">
        <v>35000</v>
      </c>
      <c r="H16" s="31">
        <f>Cty_An_Phat_HP[[#This Row],[ĐƠN GIÁ]]*Cty_An_Phat_HP[[#This Row],[SỐ LƯỢNG]]</f>
        <v>28700000</v>
      </c>
      <c r="I16" s="31"/>
      <c r="J16" s="31">
        <f>J15+Cty_An_Phat_HP[[#This Row],[THÀNH TIỀN]]-Cty_An_Phat_HP[[#This Row],[THANH TOÁN]]</f>
        <v>1536085100</v>
      </c>
      <c r="K16" s="24"/>
    </row>
    <row r="17" spans="1:11" x14ac:dyDescent="0.25">
      <c r="A17" s="25"/>
      <c r="B17" s="30">
        <v>46086</v>
      </c>
      <c r="C17" s="26" t="s">
        <v>21</v>
      </c>
      <c r="D17" s="38" t="s">
        <v>22</v>
      </c>
      <c r="E17" s="26" t="s">
        <v>261</v>
      </c>
      <c r="F17" s="28">
        <v>0</v>
      </c>
      <c r="G17" s="28">
        <v>0</v>
      </c>
      <c r="H17" s="28">
        <f>Cty_An_Phat_HP[[#This Row],[ĐƠN GIÁ]]*Cty_An_Phat_HP[[#This Row],[SỐ LƯỢNG]]</f>
        <v>0</v>
      </c>
      <c r="I17" s="28">
        <v>100000000</v>
      </c>
      <c r="J17" s="28">
        <f>J16+Cty_An_Phat_HP[[#This Row],[THÀNH TIỀN]]-Cty_An_Phat_HP[[#This Row],[THANH TOÁN]]</f>
        <v>1436085100</v>
      </c>
      <c r="K17" s="27"/>
    </row>
    <row r="18" spans="1:11" x14ac:dyDescent="0.25">
      <c r="A18" s="25">
        <v>7975</v>
      </c>
      <c r="B18" s="30">
        <v>46091</v>
      </c>
      <c r="C18" s="26" t="s">
        <v>13</v>
      </c>
      <c r="D18" s="38" t="s">
        <v>26</v>
      </c>
      <c r="E18" s="26" t="s">
        <v>161</v>
      </c>
      <c r="F18" s="28">
        <v>874</v>
      </c>
      <c r="G18" s="28">
        <v>33500</v>
      </c>
      <c r="H18" s="28">
        <f>Cty_An_Phat_HP[[#This Row],[ĐƠN GIÁ]]*Cty_An_Phat_HP[[#This Row],[SỐ LƯỢNG]]</f>
        <v>29279000</v>
      </c>
      <c r="I18" s="28"/>
      <c r="J18" s="28">
        <f>J17+Cty_An_Phat_HP[[#This Row],[THÀNH TIỀN]]-Cty_An_Phat_HP[[#This Row],[THANH TOÁN]]</f>
        <v>1465364100</v>
      </c>
      <c r="K18" s="27"/>
    </row>
    <row r="19" spans="1:11" x14ac:dyDescent="0.25">
      <c r="A19" s="25">
        <v>7975</v>
      </c>
      <c r="B19" s="30">
        <v>46091</v>
      </c>
      <c r="C19" s="26" t="s">
        <v>13</v>
      </c>
      <c r="D19" s="38" t="s">
        <v>43</v>
      </c>
      <c r="E19" s="26" t="s">
        <v>211</v>
      </c>
      <c r="F19" s="28">
        <v>620</v>
      </c>
      <c r="G19" s="28">
        <v>63000</v>
      </c>
      <c r="H19" s="28">
        <f>Cty_An_Phat_HP[[#This Row],[ĐƠN GIÁ]]*Cty_An_Phat_HP[[#This Row],[SỐ LƯỢNG]]</f>
        <v>39060000</v>
      </c>
      <c r="I19" s="28"/>
      <c r="J19" s="28">
        <f>J18+Cty_An_Phat_HP[[#This Row],[THÀNH TIỀN]]-Cty_An_Phat_HP[[#This Row],[THANH TOÁN]]</f>
        <v>1504424100</v>
      </c>
      <c r="K19" s="27"/>
    </row>
    <row r="20" spans="1:11" x14ac:dyDescent="0.25">
      <c r="A20" s="25">
        <v>7975</v>
      </c>
      <c r="B20" s="30">
        <v>46091</v>
      </c>
      <c r="C20" s="26" t="s">
        <v>13</v>
      </c>
      <c r="D20" s="38" t="s">
        <v>14</v>
      </c>
      <c r="E20" s="26" t="s">
        <v>161</v>
      </c>
      <c r="F20" s="28">
        <v>1040</v>
      </c>
      <c r="G20" s="28">
        <v>41500</v>
      </c>
      <c r="H20" s="28">
        <f>Cty_An_Phat_HP[[#This Row],[ĐƠN GIÁ]]*Cty_An_Phat_HP[[#This Row],[SỐ LƯỢNG]]</f>
        <v>43160000</v>
      </c>
      <c r="I20" s="28"/>
      <c r="J20" s="28">
        <f>J19+Cty_An_Phat_HP[[#This Row],[THÀNH TIỀN]]-Cty_An_Phat_HP[[#This Row],[THANH TOÁN]]</f>
        <v>1547584100</v>
      </c>
      <c r="K20" s="27"/>
    </row>
    <row r="21" spans="1:11" x14ac:dyDescent="0.25">
      <c r="A21" s="25">
        <v>8010</v>
      </c>
      <c r="B21" s="30">
        <v>46092</v>
      </c>
      <c r="C21" s="26" t="s">
        <v>13</v>
      </c>
      <c r="D21" s="38" t="s">
        <v>43</v>
      </c>
      <c r="E21" s="26" t="s">
        <v>246</v>
      </c>
      <c r="F21" s="28">
        <f>506-10</f>
        <v>496</v>
      </c>
      <c r="G21" s="28">
        <v>60000</v>
      </c>
      <c r="H21" s="28">
        <f>Cty_An_Phat_HP[[#This Row],[ĐƠN GIÁ]]*Cty_An_Phat_HP[[#This Row],[SỐ LƯỢNG]]</f>
        <v>29760000</v>
      </c>
      <c r="I21" s="28"/>
      <c r="J21" s="28">
        <f>J20+Cty_An_Phat_HP[[#This Row],[THÀNH TIỀN]]-Cty_An_Phat_HP[[#This Row],[THANH TOÁN]]</f>
        <v>1577344100</v>
      </c>
      <c r="K21" s="27"/>
    </row>
    <row r="22" spans="1:11" x14ac:dyDescent="0.25">
      <c r="A22" s="25">
        <v>8010</v>
      </c>
      <c r="B22" s="30">
        <v>46092</v>
      </c>
      <c r="C22" s="26" t="s">
        <v>13</v>
      </c>
      <c r="D22" s="38" t="s">
        <v>265</v>
      </c>
      <c r="E22" s="26" t="s">
        <v>220</v>
      </c>
      <c r="F22" s="28">
        <v>494</v>
      </c>
      <c r="G22" s="28">
        <v>64000</v>
      </c>
      <c r="H22" s="28">
        <f>Cty_An_Phat_HP[[#This Row],[ĐƠN GIÁ]]*Cty_An_Phat_HP[[#This Row],[SỐ LƯỢNG]]</f>
        <v>31616000</v>
      </c>
      <c r="I22" s="28"/>
      <c r="J22" s="28">
        <f>J21+Cty_An_Phat_HP[[#This Row],[THÀNH TIỀN]]-Cty_An_Phat_HP[[#This Row],[THANH TOÁN]]</f>
        <v>1608960100</v>
      </c>
      <c r="K22" s="27"/>
    </row>
    <row r="23" spans="1:11" x14ac:dyDescent="0.25">
      <c r="A23" s="25"/>
      <c r="B23" s="30">
        <v>46093</v>
      </c>
      <c r="C23" s="26" t="s">
        <v>21</v>
      </c>
      <c r="D23" s="38" t="s">
        <v>22</v>
      </c>
      <c r="E23" s="26" t="s">
        <v>261</v>
      </c>
      <c r="F23" s="28">
        <v>0</v>
      </c>
      <c r="G23" s="28">
        <v>0</v>
      </c>
      <c r="H23" s="28">
        <f>Cty_An_Phat_HP[[#This Row],[ĐƠN GIÁ]]*Cty_An_Phat_HP[[#This Row],[SỐ LƯỢNG]]</f>
        <v>0</v>
      </c>
      <c r="I23" s="28">
        <v>120000000</v>
      </c>
      <c r="J23" s="28">
        <f>J22+Cty_An_Phat_HP[[#This Row],[THÀNH TIỀN]]-Cty_An_Phat_HP[[#This Row],[THANH TOÁN]]</f>
        <v>1488960100</v>
      </c>
      <c r="K23" s="27"/>
    </row>
    <row r="24" spans="1:11" x14ac:dyDescent="0.25">
      <c r="A24" s="25">
        <v>8113</v>
      </c>
      <c r="B24" s="30">
        <v>46097</v>
      </c>
      <c r="C24" s="26" t="s">
        <v>13</v>
      </c>
      <c r="D24" s="38" t="s">
        <v>268</v>
      </c>
      <c r="E24" s="26" t="s">
        <v>269</v>
      </c>
      <c r="F24" s="28">
        <v>1132</v>
      </c>
      <c r="G24" s="28">
        <v>60000</v>
      </c>
      <c r="H24" s="28">
        <f>Cty_An_Phat_HP[[#This Row],[ĐƠN GIÁ]]*Cty_An_Phat_HP[[#This Row],[SỐ LƯỢNG]]</f>
        <v>67920000</v>
      </c>
      <c r="I24" s="28"/>
      <c r="J24" s="28">
        <f>J23+Cty_An_Phat_HP[[#This Row],[THÀNH TIỀN]]-Cty_An_Phat_HP[[#This Row],[THANH TOÁN]]</f>
        <v>1556880100</v>
      </c>
      <c r="K24" s="27"/>
    </row>
    <row r="25" spans="1:11" x14ac:dyDescent="0.25">
      <c r="A25" s="25">
        <v>8154</v>
      </c>
      <c r="B25" s="30">
        <v>46098</v>
      </c>
      <c r="C25" s="26" t="s">
        <v>13</v>
      </c>
      <c r="D25" s="38" t="s">
        <v>43</v>
      </c>
      <c r="E25" s="26" t="s">
        <v>146</v>
      </c>
      <c r="F25" s="28">
        <v>783</v>
      </c>
      <c r="G25" s="28">
        <v>58500</v>
      </c>
      <c r="H25" s="28">
        <f>Cty_An_Phat_HP[[#This Row],[ĐƠN GIÁ]]*Cty_An_Phat_HP[[#This Row],[SỐ LƯỢNG]]</f>
        <v>45805500</v>
      </c>
      <c r="I25" s="28"/>
      <c r="J25" s="28">
        <f>J24+Cty_An_Phat_HP[[#This Row],[THÀNH TIỀN]]-Cty_An_Phat_HP[[#This Row],[THANH TOÁN]]</f>
        <v>1602685600</v>
      </c>
      <c r="K25" s="27"/>
    </row>
    <row r="26" spans="1:11" x14ac:dyDescent="0.25">
      <c r="A26" s="25">
        <v>8257</v>
      </c>
      <c r="B26" s="30">
        <v>46100</v>
      </c>
      <c r="C26" s="26" t="s">
        <v>13</v>
      </c>
      <c r="D26" s="38" t="s">
        <v>270</v>
      </c>
      <c r="E26" s="23" t="s">
        <v>134</v>
      </c>
      <c r="F26" s="31">
        <v>1244</v>
      </c>
      <c r="G26" s="31">
        <v>63000</v>
      </c>
      <c r="H26" s="31">
        <f>Cty_An_Phat_HP[[#This Row],[ĐƠN GIÁ]]*Cty_An_Phat_HP[[#This Row],[SỐ LƯỢNG]]</f>
        <v>78372000</v>
      </c>
      <c r="I26" s="31"/>
      <c r="J26" s="31">
        <f>J25+Cty_An_Phat_HP[[#This Row],[THÀNH TIỀN]]-Cty_An_Phat_HP[[#This Row],[THANH TOÁN]]</f>
        <v>1681057600</v>
      </c>
      <c r="K26" s="24"/>
    </row>
    <row r="27" spans="1:11" x14ac:dyDescent="0.25">
      <c r="A27" s="25"/>
      <c r="B27" s="30">
        <v>46100</v>
      </c>
      <c r="C27" s="26" t="s">
        <v>21</v>
      </c>
      <c r="D27" s="38" t="s">
        <v>22</v>
      </c>
      <c r="E27" s="23" t="s">
        <v>261</v>
      </c>
      <c r="F27" s="31">
        <v>0</v>
      </c>
      <c r="G27" s="31">
        <v>0</v>
      </c>
      <c r="H27" s="31">
        <f>Cty_An_Phat_HP[[#This Row],[ĐƠN GIÁ]]*Cty_An_Phat_HP[[#This Row],[SỐ LƯỢNG]]</f>
        <v>0</v>
      </c>
      <c r="I27" s="31">
        <v>120000000</v>
      </c>
      <c r="J27" s="31">
        <f>J26+Cty_An_Phat_HP[[#This Row],[THÀNH TIỀN]]-Cty_An_Phat_HP[[#This Row],[THANH TOÁN]]</f>
        <v>1561057600</v>
      </c>
      <c r="K27" s="24"/>
    </row>
    <row r="28" spans="1:11" x14ac:dyDescent="0.25">
      <c r="A28" s="25">
        <v>8211</v>
      </c>
      <c r="B28" s="30">
        <v>46104</v>
      </c>
      <c r="C28" s="26" t="s">
        <v>13</v>
      </c>
      <c r="D28" s="38" t="s">
        <v>43</v>
      </c>
      <c r="E28" s="26" t="s">
        <v>204</v>
      </c>
      <c r="F28" s="28">
        <v>463</v>
      </c>
      <c r="G28" s="28">
        <v>57000</v>
      </c>
      <c r="H28" s="28">
        <f>Cty_An_Phat_HP[[#This Row],[ĐƠN GIÁ]]*Cty_An_Phat_HP[[#This Row],[SỐ LƯỢNG]]</f>
        <v>26391000</v>
      </c>
      <c r="I28" s="28"/>
      <c r="J28" s="28">
        <f>J27+Cty_An_Phat_HP[[#This Row],[THÀNH TIỀN]]-Cty_An_Phat_HP[[#This Row],[THANH TOÁN]]</f>
        <v>1587448600</v>
      </c>
      <c r="K28" s="27"/>
    </row>
    <row r="29" spans="1:11" x14ac:dyDescent="0.25">
      <c r="A29" s="25">
        <v>8211</v>
      </c>
      <c r="B29" s="30">
        <v>46104</v>
      </c>
      <c r="C29" s="26" t="s">
        <v>13</v>
      </c>
      <c r="D29" s="38" t="s">
        <v>43</v>
      </c>
      <c r="E29" s="26" t="s">
        <v>271</v>
      </c>
      <c r="F29" s="28">
        <v>916</v>
      </c>
      <c r="G29" s="28">
        <v>62000</v>
      </c>
      <c r="H29" s="28">
        <f>Cty_An_Phat_HP[[#This Row],[ĐƠN GIÁ]]*Cty_An_Phat_HP[[#This Row],[SỐ LƯỢNG]]</f>
        <v>56792000</v>
      </c>
      <c r="I29" s="28"/>
      <c r="J29" s="28">
        <f>J28+Cty_An_Phat_HP[[#This Row],[THÀNH TIỀN]]-Cty_An_Phat_HP[[#This Row],[THANH TOÁN]]</f>
        <v>1644240600</v>
      </c>
      <c r="K29" s="27"/>
    </row>
    <row r="30" spans="1:11" x14ac:dyDescent="0.25">
      <c r="A30" s="25">
        <v>8211</v>
      </c>
      <c r="B30" s="30">
        <v>46104</v>
      </c>
      <c r="C30" s="26" t="s">
        <v>13</v>
      </c>
      <c r="D30" s="38" t="s">
        <v>17</v>
      </c>
      <c r="E30" s="26" t="s">
        <v>272</v>
      </c>
      <c r="F30" s="28">
        <v>318</v>
      </c>
      <c r="G30" s="28">
        <v>60000</v>
      </c>
      <c r="H30" s="28">
        <f>Cty_An_Phat_HP[[#This Row],[ĐƠN GIÁ]]*Cty_An_Phat_HP[[#This Row],[SỐ LƯỢNG]]</f>
        <v>19080000</v>
      </c>
      <c r="I30" s="28"/>
      <c r="J30" s="28">
        <f>J29+Cty_An_Phat_HP[[#This Row],[THÀNH TIỀN]]-Cty_An_Phat_HP[[#This Row],[THANH TOÁN]]</f>
        <v>1663320600</v>
      </c>
      <c r="K30" s="27"/>
    </row>
    <row r="31" spans="1:11" x14ac:dyDescent="0.25">
      <c r="A31" s="25">
        <v>8331</v>
      </c>
      <c r="B31" s="30">
        <v>46106</v>
      </c>
      <c r="C31" s="26" t="s">
        <v>13</v>
      </c>
      <c r="D31" s="38" t="s">
        <v>265</v>
      </c>
      <c r="E31" s="26" t="s">
        <v>273</v>
      </c>
      <c r="F31" s="28">
        <v>2132</v>
      </c>
      <c r="G31" s="28">
        <v>63500</v>
      </c>
      <c r="H31" s="28">
        <f>Cty_An_Phat_HP[[#This Row],[ĐƠN GIÁ]]*Cty_An_Phat_HP[[#This Row],[SỐ LƯỢNG]]</f>
        <v>135382000</v>
      </c>
      <c r="I31" s="28"/>
      <c r="J31" s="28">
        <f>J30+Cty_An_Phat_HP[[#This Row],[THÀNH TIỀN]]-Cty_An_Phat_HP[[#This Row],[THANH TOÁN]]</f>
        <v>1798702600</v>
      </c>
      <c r="K31" s="27"/>
    </row>
    <row r="32" spans="1:11" x14ac:dyDescent="0.25">
      <c r="A32" s="25"/>
      <c r="B32" s="30">
        <v>46108</v>
      </c>
      <c r="C32" s="26" t="s">
        <v>21</v>
      </c>
      <c r="D32" s="38" t="s">
        <v>22</v>
      </c>
      <c r="E32" s="26" t="s">
        <v>261</v>
      </c>
      <c r="F32" s="28">
        <v>0</v>
      </c>
      <c r="G32" s="28">
        <v>0</v>
      </c>
      <c r="H32" s="28">
        <f>Cty_An_Phat_HP[[#This Row],[ĐƠN GIÁ]]*Cty_An_Phat_HP[[#This Row],[SỐ LƯỢNG]]</f>
        <v>0</v>
      </c>
      <c r="I32" s="28">
        <v>120000000</v>
      </c>
      <c r="J32" s="28">
        <f>J31+Cty_An_Phat_HP[[#This Row],[THÀNH TIỀN]]-Cty_An_Phat_HP[[#This Row],[THANH TOÁN]]</f>
        <v>1678702600</v>
      </c>
      <c r="K32" s="27"/>
    </row>
    <row r="33" spans="1:11" x14ac:dyDescent="0.25">
      <c r="A33" s="22">
        <v>8475</v>
      </c>
      <c r="B33" s="29">
        <v>46113</v>
      </c>
      <c r="C33" s="23" t="s">
        <v>13</v>
      </c>
      <c r="D33" s="37" t="s">
        <v>17</v>
      </c>
      <c r="E33" s="23" t="s">
        <v>274</v>
      </c>
      <c r="F33" s="31">
        <v>407</v>
      </c>
      <c r="G33" s="31">
        <v>63000</v>
      </c>
      <c r="H33" s="31">
        <f>Cty_An_Phat_HP[[#This Row],[ĐƠN GIÁ]]*Cty_An_Phat_HP[[#This Row],[SỐ LƯỢNG]]</f>
        <v>25641000</v>
      </c>
      <c r="I33" s="31"/>
      <c r="J33" s="31">
        <f>J32+Cty_An_Phat_HP[[#This Row],[THÀNH TIỀN]]-Cty_An_Phat_HP[[#This Row],[THANH TOÁN]]</f>
        <v>1704343600</v>
      </c>
      <c r="K33" s="24"/>
    </row>
    <row r="34" spans="1:11" x14ac:dyDescent="0.25">
      <c r="A34" s="22"/>
      <c r="B34" s="29">
        <v>46114</v>
      </c>
      <c r="C34" s="23" t="s">
        <v>21</v>
      </c>
      <c r="D34" s="37" t="s">
        <v>22</v>
      </c>
      <c r="E34" s="23" t="s">
        <v>261</v>
      </c>
      <c r="F34" s="31">
        <v>0</v>
      </c>
      <c r="G34" s="31"/>
      <c r="H34" s="31">
        <f>Cty_An_Phat_HP[[#This Row],[ĐƠN GIÁ]]*Cty_An_Phat_HP[[#This Row],[SỐ LƯỢNG]]</f>
        <v>0</v>
      </c>
      <c r="I34" s="31">
        <v>130000000</v>
      </c>
      <c r="J34" s="31">
        <f>J33+Cty_An_Phat_HP[[#This Row],[THÀNH TIỀN]]-Cty_An_Phat_HP[[#This Row],[THANH TOÁN]]</f>
        <v>1574343600</v>
      </c>
      <c r="K34" s="24"/>
    </row>
    <row r="35" spans="1:11" x14ac:dyDescent="0.25">
      <c r="A35" s="22">
        <v>8602</v>
      </c>
      <c r="B35" s="29">
        <v>46119</v>
      </c>
      <c r="C35" s="23" t="s">
        <v>13</v>
      </c>
      <c r="D35" s="37" t="s">
        <v>150</v>
      </c>
      <c r="E35" s="23" t="s">
        <v>275</v>
      </c>
      <c r="F35" s="31">
        <v>164</v>
      </c>
      <c r="G35" s="31">
        <v>35000</v>
      </c>
      <c r="H35" s="31">
        <f>Cty_An_Phat_HP[[#This Row],[ĐƠN GIÁ]]*Cty_An_Phat_HP[[#This Row],[SỐ LƯỢNG]]</f>
        <v>5740000</v>
      </c>
      <c r="I35" s="31"/>
      <c r="J35" s="31">
        <f>J34+Cty_An_Phat_HP[[#This Row],[THÀNH TIỀN]]-Cty_An_Phat_HP[[#This Row],[THANH TOÁN]]</f>
        <v>1580083600</v>
      </c>
      <c r="K35" s="24"/>
    </row>
    <row r="36" spans="1:11" x14ac:dyDescent="0.25">
      <c r="A36" s="22">
        <v>8602</v>
      </c>
      <c r="B36" s="29">
        <v>46119</v>
      </c>
      <c r="C36" s="23" t="s">
        <v>13</v>
      </c>
      <c r="D36" s="37" t="s">
        <v>75</v>
      </c>
      <c r="E36" s="23" t="s">
        <v>276</v>
      </c>
      <c r="F36" s="31">
        <v>946</v>
      </c>
      <c r="G36" s="31">
        <v>38000</v>
      </c>
      <c r="H36" s="31">
        <f>Cty_An_Phat_HP[[#This Row],[ĐƠN GIÁ]]*Cty_An_Phat_HP[[#This Row],[SỐ LƯỢNG]]</f>
        <v>35948000</v>
      </c>
      <c r="I36" s="31"/>
      <c r="J36" s="31">
        <f>J35+Cty_An_Phat_HP[[#This Row],[THÀNH TIỀN]]-Cty_An_Phat_HP[[#This Row],[THANH TOÁN]]</f>
        <v>1616031600</v>
      </c>
      <c r="K36" s="24"/>
    </row>
    <row r="37" spans="1:11" x14ac:dyDescent="0.25">
      <c r="A37" s="22">
        <v>8680</v>
      </c>
      <c r="B37" s="29">
        <v>46122</v>
      </c>
      <c r="C37" s="23" t="s">
        <v>13</v>
      </c>
      <c r="D37" s="37" t="s">
        <v>277</v>
      </c>
      <c r="E37" s="23" t="s">
        <v>230</v>
      </c>
      <c r="F37" s="31">
        <v>752</v>
      </c>
      <c r="G37" s="31">
        <v>63000</v>
      </c>
      <c r="H37" s="31">
        <f>Cty_An_Phat_HP[[#This Row],[ĐƠN GIÁ]]*Cty_An_Phat_HP[[#This Row],[SỐ LƯỢNG]]</f>
        <v>47376000</v>
      </c>
      <c r="I37" s="31"/>
      <c r="J37" s="31">
        <f>J36+Cty_An_Phat_HP[[#This Row],[THÀNH TIỀN]]-Cty_An_Phat_HP[[#This Row],[THANH TOÁN]]</f>
        <v>1663407600</v>
      </c>
      <c r="K37" s="24"/>
    </row>
    <row r="38" spans="1:11" x14ac:dyDescent="0.25">
      <c r="A38" s="22"/>
      <c r="B38" s="29">
        <v>46122</v>
      </c>
      <c r="C38" s="23" t="s">
        <v>21</v>
      </c>
      <c r="D38" s="37" t="s">
        <v>22</v>
      </c>
      <c r="E38" s="23" t="s">
        <v>261</v>
      </c>
      <c r="F38" s="31">
        <v>0</v>
      </c>
      <c r="G38" s="31"/>
      <c r="H38" s="31">
        <f>Cty_An_Phat_HP[[#This Row],[ĐƠN GIÁ]]*Cty_An_Phat_HP[[#This Row],[SỐ LƯỢNG]]</f>
        <v>0</v>
      </c>
      <c r="I38" s="31">
        <v>130000000</v>
      </c>
      <c r="J38" s="31">
        <f>J37+Cty_An_Phat_HP[[#This Row],[THÀNH TIỀN]]-Cty_An_Phat_HP[[#This Row],[THANH TOÁN]]</f>
        <v>1533407600</v>
      </c>
      <c r="K38" s="24"/>
    </row>
    <row r="39" spans="1:11" x14ac:dyDescent="0.25">
      <c r="A39" s="22">
        <v>8700</v>
      </c>
      <c r="B39" s="29">
        <v>46123</v>
      </c>
      <c r="C39" s="23" t="s">
        <v>13</v>
      </c>
      <c r="D39" s="37" t="s">
        <v>43</v>
      </c>
      <c r="E39" s="23" t="s">
        <v>148</v>
      </c>
      <c r="F39" s="31">
        <v>1010</v>
      </c>
      <c r="G39" s="31">
        <v>58000</v>
      </c>
      <c r="H39" s="31">
        <f>Cty_An_Phat_HP[[#This Row],[ĐƠN GIÁ]]*Cty_An_Phat_HP[[#This Row],[SỐ LƯỢNG]]</f>
        <v>58580000</v>
      </c>
      <c r="I39" s="31"/>
      <c r="J39" s="31">
        <f>J38+Cty_An_Phat_HP[[#This Row],[THÀNH TIỀN]]-Cty_An_Phat_HP[[#This Row],[THANH TOÁN]]</f>
        <v>1591987600</v>
      </c>
      <c r="K39" s="24"/>
    </row>
    <row r="40" spans="1:11" x14ac:dyDescent="0.25">
      <c r="A40" s="22">
        <v>8700</v>
      </c>
      <c r="B40" s="29">
        <v>46123</v>
      </c>
      <c r="C40" s="23" t="s">
        <v>13</v>
      </c>
      <c r="D40" s="37" t="s">
        <v>278</v>
      </c>
      <c r="E40" s="23" t="s">
        <v>41</v>
      </c>
      <c r="F40" s="31">
        <v>534</v>
      </c>
      <c r="G40" s="31">
        <v>67000</v>
      </c>
      <c r="H40" s="31">
        <f>Cty_An_Phat_HP[[#This Row],[ĐƠN GIÁ]]*Cty_An_Phat_HP[[#This Row],[SỐ LƯỢNG]]</f>
        <v>35778000</v>
      </c>
      <c r="I40" s="31"/>
      <c r="J40" s="31">
        <f>J39+Cty_An_Phat_HP[[#This Row],[THÀNH TIỀN]]-Cty_An_Phat_HP[[#This Row],[THANH TOÁN]]</f>
        <v>1627765600</v>
      </c>
      <c r="K40" s="24"/>
    </row>
    <row r="41" spans="1:11" x14ac:dyDescent="0.25">
      <c r="A41" s="22">
        <v>8792</v>
      </c>
      <c r="B41" s="29">
        <v>46127</v>
      </c>
      <c r="C41" s="23" t="s">
        <v>13</v>
      </c>
      <c r="D41" s="37" t="s">
        <v>14</v>
      </c>
      <c r="E41" s="23" t="s">
        <v>41</v>
      </c>
      <c r="F41" s="31">
        <v>1006</v>
      </c>
      <c r="G41" s="31">
        <v>41500</v>
      </c>
      <c r="H41" s="31">
        <f>Cty_An_Phat_HP[[#This Row],[ĐƠN GIÁ]]*Cty_An_Phat_HP[[#This Row],[SỐ LƯỢNG]]</f>
        <v>41749000</v>
      </c>
      <c r="I41" s="31"/>
      <c r="J41" s="31">
        <f>J40+Cty_An_Phat_HP[[#This Row],[THÀNH TIỀN]]-Cty_An_Phat_HP[[#This Row],[THANH TOÁN]]</f>
        <v>1669514600</v>
      </c>
      <c r="K41" s="24"/>
    </row>
    <row r="42" spans="1:11" x14ac:dyDescent="0.25">
      <c r="A42" s="22">
        <v>8792</v>
      </c>
      <c r="B42" s="29">
        <v>46127</v>
      </c>
      <c r="C42" s="23" t="s">
        <v>13</v>
      </c>
      <c r="D42" s="37" t="s">
        <v>14</v>
      </c>
      <c r="E42" s="23" t="s">
        <v>136</v>
      </c>
      <c r="F42" s="31">
        <v>802</v>
      </c>
      <c r="G42" s="31">
        <v>41500</v>
      </c>
      <c r="H42" s="31">
        <f>Cty_An_Phat_HP[[#This Row],[ĐƠN GIÁ]]*Cty_An_Phat_HP[[#This Row],[SỐ LƯỢNG]]</f>
        <v>33283000</v>
      </c>
      <c r="I42" s="31"/>
      <c r="J42" s="31">
        <f>J41+Cty_An_Phat_HP[[#This Row],[THÀNH TIỀN]]-Cty_An_Phat_HP[[#This Row],[THANH TOÁN]]</f>
        <v>1702797600</v>
      </c>
      <c r="K42" s="24"/>
    </row>
    <row r="43" spans="1:11" x14ac:dyDescent="0.25">
      <c r="A43" s="22">
        <v>8792</v>
      </c>
      <c r="B43" s="29">
        <v>46127</v>
      </c>
      <c r="C43" s="23" t="s">
        <v>13</v>
      </c>
      <c r="D43" s="37" t="s">
        <v>14</v>
      </c>
      <c r="E43" s="23" t="s">
        <v>134</v>
      </c>
      <c r="F43" s="31">
        <v>1010</v>
      </c>
      <c r="G43" s="31">
        <v>41500</v>
      </c>
      <c r="H43" s="31">
        <f>Cty_An_Phat_HP[[#This Row],[ĐƠN GIÁ]]*Cty_An_Phat_HP[[#This Row],[SỐ LƯỢNG]]</f>
        <v>41915000</v>
      </c>
      <c r="I43" s="31"/>
      <c r="J43" s="31">
        <f>J42+Cty_An_Phat_HP[[#This Row],[THÀNH TIỀN]]-Cty_An_Phat_HP[[#This Row],[THANH TOÁN]]</f>
        <v>1744712600</v>
      </c>
      <c r="K43" s="24"/>
    </row>
    <row r="44" spans="1:11" x14ac:dyDescent="0.25">
      <c r="A44" s="22"/>
      <c r="B44" s="29">
        <v>46128</v>
      </c>
      <c r="C44" s="23" t="s">
        <v>21</v>
      </c>
      <c r="D44" s="37" t="s">
        <v>22</v>
      </c>
      <c r="E44" s="23" t="s">
        <v>261</v>
      </c>
      <c r="F44" s="31">
        <v>0</v>
      </c>
      <c r="G44" s="31"/>
      <c r="H44" s="31">
        <f>Cty_An_Phat_HP[[#This Row],[ĐƠN GIÁ]]*Cty_An_Phat_HP[[#This Row],[SỐ LƯỢNG]]</f>
        <v>0</v>
      </c>
      <c r="I44" s="31">
        <v>130000000</v>
      </c>
      <c r="J44" s="31">
        <f>J43+Cty_An_Phat_HP[[#This Row],[THÀNH TIỀN]]-Cty_An_Phat_HP[[#This Row],[THANH TOÁN]]</f>
        <v>1614712600</v>
      </c>
      <c r="K44" s="24"/>
    </row>
    <row r="45" spans="1:11" x14ac:dyDescent="0.25">
      <c r="A45" s="22">
        <v>8866</v>
      </c>
      <c r="B45" s="29">
        <v>46130</v>
      </c>
      <c r="C45" s="23" t="s">
        <v>13</v>
      </c>
      <c r="D45" s="37" t="s">
        <v>17</v>
      </c>
      <c r="E45" s="23" t="s">
        <v>279</v>
      </c>
      <c r="F45" s="31">
        <v>1098</v>
      </c>
      <c r="G45" s="31">
        <v>60000</v>
      </c>
      <c r="H45" s="31">
        <f>Cty_An_Phat_HP[[#This Row],[ĐƠN GIÁ]]*Cty_An_Phat_HP[[#This Row],[SỐ LƯỢNG]]</f>
        <v>65880000</v>
      </c>
      <c r="I45" s="31"/>
      <c r="J45" s="31">
        <f>J44+Cty_An_Phat_HP[[#This Row],[THÀNH TIỀN]]-Cty_An_Phat_HP[[#This Row],[THANH TOÁN]]</f>
        <v>1680592600</v>
      </c>
      <c r="K45" s="24"/>
    </row>
    <row r="46" spans="1:11" x14ac:dyDescent="0.25">
      <c r="A46" s="22">
        <v>8866</v>
      </c>
      <c r="B46" s="29">
        <v>46130</v>
      </c>
      <c r="C46" s="23" t="s">
        <v>13</v>
      </c>
      <c r="D46" s="37" t="s">
        <v>265</v>
      </c>
      <c r="E46" s="23" t="s">
        <v>146</v>
      </c>
      <c r="F46" s="31">
        <v>1048</v>
      </c>
      <c r="G46" s="31">
        <v>64000</v>
      </c>
      <c r="H46" s="31">
        <f>Cty_An_Phat_HP[[#This Row],[ĐƠN GIÁ]]*Cty_An_Phat_HP[[#This Row],[SỐ LƯỢNG]]</f>
        <v>67072000</v>
      </c>
      <c r="I46" s="31"/>
      <c r="J46" s="31">
        <f>J45+Cty_An_Phat_HP[[#This Row],[THÀNH TIỀN]]-Cty_An_Phat_HP[[#This Row],[THANH TOÁN]]</f>
        <v>1747664600</v>
      </c>
      <c r="K46" s="24"/>
    </row>
    <row r="47" spans="1:11" x14ac:dyDescent="0.25">
      <c r="A47" s="22">
        <v>8866</v>
      </c>
      <c r="B47" s="29">
        <v>46130</v>
      </c>
      <c r="C47" s="23" t="s">
        <v>13</v>
      </c>
      <c r="D47" s="37" t="s">
        <v>68</v>
      </c>
      <c r="E47" s="23" t="s">
        <v>280</v>
      </c>
      <c r="F47" s="31">
        <v>494</v>
      </c>
      <c r="G47" s="31">
        <v>41500</v>
      </c>
      <c r="H47" s="31">
        <f>Cty_An_Phat_HP[[#This Row],[ĐƠN GIÁ]]*Cty_An_Phat_HP[[#This Row],[SỐ LƯỢNG]]</f>
        <v>20501000</v>
      </c>
      <c r="I47" s="31"/>
      <c r="J47" s="31">
        <f>J46+Cty_An_Phat_HP[[#This Row],[THÀNH TIỀN]]-Cty_An_Phat_HP[[#This Row],[THANH TOÁN]]</f>
        <v>1768165600</v>
      </c>
      <c r="K47" s="24"/>
    </row>
    <row r="48" spans="1:11" x14ac:dyDescent="0.25">
      <c r="A48" s="22">
        <v>8958</v>
      </c>
      <c r="B48" s="29">
        <v>46135</v>
      </c>
      <c r="C48" s="23" t="s">
        <v>13</v>
      </c>
      <c r="D48" s="37" t="s">
        <v>17</v>
      </c>
      <c r="E48" s="23" t="s">
        <v>146</v>
      </c>
      <c r="F48" s="31">
        <v>738</v>
      </c>
      <c r="G48" s="31">
        <v>61000</v>
      </c>
      <c r="H48" s="31">
        <f>Cty_An_Phat_HP[[#This Row],[ĐƠN GIÁ]]*Cty_An_Phat_HP[[#This Row],[SỐ LƯỢNG]]</f>
        <v>45018000</v>
      </c>
      <c r="I48" s="31"/>
      <c r="J48" s="31">
        <f>J47+Cty_An_Phat_HP[[#This Row],[THÀNH TIỀN]]-Cty_An_Phat_HP[[#This Row],[THANH TOÁN]]</f>
        <v>1813183600</v>
      </c>
      <c r="K48" s="24"/>
    </row>
    <row r="49" spans="1:11" x14ac:dyDescent="0.25">
      <c r="A49" s="22">
        <v>8958</v>
      </c>
      <c r="B49" s="29">
        <v>46135</v>
      </c>
      <c r="C49" s="23" t="s">
        <v>13</v>
      </c>
      <c r="D49" s="37" t="s">
        <v>17</v>
      </c>
      <c r="E49" s="23" t="s">
        <v>446</v>
      </c>
      <c r="F49" s="31">
        <v>1393</v>
      </c>
      <c r="G49" s="31">
        <v>63000</v>
      </c>
      <c r="H49" s="31">
        <f>Cty_An_Phat_HP[[#This Row],[ĐƠN GIÁ]]*Cty_An_Phat_HP[[#This Row],[SỐ LƯỢNG]]</f>
        <v>87759000</v>
      </c>
      <c r="I49" s="31"/>
      <c r="J49" s="31">
        <f>J48+Cty_An_Phat_HP[[#This Row],[THÀNH TIỀN]]-Cty_An_Phat_HP[[#This Row],[THANH TOÁN]]</f>
        <v>1900942600</v>
      </c>
      <c r="K49" s="24"/>
    </row>
    <row r="50" spans="1:11" x14ac:dyDescent="0.25">
      <c r="A50" s="22">
        <v>8992</v>
      </c>
      <c r="B50" s="29">
        <v>46136</v>
      </c>
      <c r="C50" s="23" t="s">
        <v>13</v>
      </c>
      <c r="D50" s="37" t="s">
        <v>43</v>
      </c>
      <c r="E50" s="23" t="s">
        <v>62</v>
      </c>
      <c r="F50" s="31">
        <v>392</v>
      </c>
      <c r="G50" s="31">
        <v>61000</v>
      </c>
      <c r="H50" s="31">
        <f>Cty_An_Phat_HP[[#This Row],[ĐƠN GIÁ]]*Cty_An_Phat_HP[[#This Row],[SỐ LƯỢNG]]</f>
        <v>23912000</v>
      </c>
      <c r="I50" s="31"/>
      <c r="J50" s="31">
        <f>J49+Cty_An_Phat_HP[[#This Row],[THÀNH TIỀN]]-Cty_An_Phat_HP[[#This Row],[THANH TOÁN]]</f>
        <v>1924854600</v>
      </c>
      <c r="K50" s="24"/>
    </row>
    <row r="51" spans="1:11" x14ac:dyDescent="0.25">
      <c r="A51" s="22">
        <v>8992</v>
      </c>
      <c r="B51" s="29">
        <v>46136</v>
      </c>
      <c r="C51" s="23" t="s">
        <v>13</v>
      </c>
      <c r="D51" s="37" t="s">
        <v>43</v>
      </c>
      <c r="E51" s="23" t="s">
        <v>1814</v>
      </c>
      <c r="F51" s="31">
        <v>660</v>
      </c>
      <c r="G51" s="31">
        <v>63500</v>
      </c>
      <c r="H51" s="31">
        <f>Cty_An_Phat_HP[[#This Row],[ĐƠN GIÁ]]*Cty_An_Phat_HP[[#This Row],[SỐ LƯỢNG]]</f>
        <v>41910000</v>
      </c>
      <c r="I51" s="31"/>
      <c r="J51" s="31">
        <f>J50+Cty_An_Phat_HP[[#This Row],[THÀNH TIỀN]]-Cty_An_Phat_HP[[#This Row],[THANH TOÁN]]</f>
        <v>1966764600</v>
      </c>
      <c r="K51" s="24" t="s">
        <v>1815</v>
      </c>
    </row>
    <row r="52" spans="1:11" x14ac:dyDescent="0.25">
      <c r="A52" s="22"/>
      <c r="B52" s="29">
        <v>46136</v>
      </c>
      <c r="C52" s="23" t="s">
        <v>21</v>
      </c>
      <c r="D52" s="37" t="s">
        <v>22</v>
      </c>
      <c r="E52" s="23" t="s">
        <v>261</v>
      </c>
      <c r="F52" s="31">
        <v>0</v>
      </c>
      <c r="G52" s="31"/>
      <c r="H52" s="31">
        <f>Cty_An_Phat_HP[[#This Row],[ĐƠN GIÁ]]*Cty_An_Phat_HP[[#This Row],[SỐ LƯỢNG]]</f>
        <v>0</v>
      </c>
      <c r="I52" s="31">
        <v>150000000</v>
      </c>
      <c r="J52" s="31">
        <f>J51+Cty_An_Phat_HP[[#This Row],[THÀNH TIỀN]]-Cty_An_Phat_HP[[#This Row],[THANH TOÁN]]</f>
        <v>1816764600</v>
      </c>
      <c r="K52" s="24"/>
    </row>
    <row r="53" spans="1:11" x14ac:dyDescent="0.25">
      <c r="A53" s="22">
        <v>9111</v>
      </c>
      <c r="B53" s="29">
        <v>46141</v>
      </c>
      <c r="C53" s="23" t="s">
        <v>13</v>
      </c>
      <c r="D53" s="37" t="s">
        <v>43</v>
      </c>
      <c r="E53" s="23" t="s">
        <v>40</v>
      </c>
      <c r="F53" s="31">
        <v>546</v>
      </c>
      <c r="G53" s="31">
        <v>64000</v>
      </c>
      <c r="H53" s="31">
        <f>Cty_An_Phat_HP[[#This Row],[ĐƠN GIÁ]]*Cty_An_Phat_HP[[#This Row],[SỐ LƯỢNG]]</f>
        <v>34944000</v>
      </c>
      <c r="I53" s="31"/>
      <c r="J53" s="31">
        <f>J52+Cty_An_Phat_HP[[#This Row],[THÀNH TIỀN]]-Cty_An_Phat_HP[[#This Row],[THANH TOÁN]]</f>
        <v>1851708600</v>
      </c>
      <c r="K53" s="24"/>
    </row>
    <row r="54" spans="1:11" x14ac:dyDescent="0.25">
      <c r="A54" s="22"/>
      <c r="B54" s="29">
        <v>46147</v>
      </c>
      <c r="C54" s="23" t="s">
        <v>21</v>
      </c>
      <c r="D54" s="37" t="s">
        <v>22</v>
      </c>
      <c r="E54" s="23" t="s">
        <v>261</v>
      </c>
      <c r="F54" s="31">
        <v>0</v>
      </c>
      <c r="G54" s="31"/>
      <c r="H54" s="31">
        <f>Cty_An_Phat_HP[[#This Row],[ĐƠN GIÁ]]*Cty_An_Phat_HP[[#This Row],[SỐ LƯỢNG]]</f>
        <v>0</v>
      </c>
      <c r="I54" s="31">
        <v>150000000</v>
      </c>
      <c r="J54" s="31">
        <f>J53+Cty_An_Phat_HP[[#This Row],[THÀNH TIỀN]]-Cty_An_Phat_HP[[#This Row],[THANH TOÁN]]</f>
        <v>1701708600</v>
      </c>
      <c r="K54" s="24"/>
    </row>
    <row r="55" spans="1:11" x14ac:dyDescent="0.25">
      <c r="A55" s="22">
        <v>9273</v>
      </c>
      <c r="B55" s="29">
        <v>46151</v>
      </c>
      <c r="C55" s="23" t="s">
        <v>13</v>
      </c>
      <c r="D55" s="37" t="s">
        <v>17</v>
      </c>
      <c r="E55" s="23" t="s">
        <v>1814</v>
      </c>
      <c r="F55" s="31">
        <v>1260</v>
      </c>
      <c r="G55" s="31">
        <v>63550</v>
      </c>
      <c r="H55" s="31">
        <f>Cty_An_Phat_HP[[#This Row],[ĐƠN GIÁ]]*Cty_An_Phat_HP[[#This Row],[SỐ LƯỢNG]]</f>
        <v>80073000</v>
      </c>
      <c r="I55" s="31"/>
      <c r="J55" s="31">
        <f>J54+Cty_An_Phat_HP[[#This Row],[THÀNH TIỀN]]-Cty_An_Phat_HP[[#This Row],[THANH TOÁN]]</f>
        <v>1781781600</v>
      </c>
      <c r="K55" s="24" t="s">
        <v>2025</v>
      </c>
    </row>
    <row r="56" spans="1:11" x14ac:dyDescent="0.25">
      <c r="A56" s="22">
        <v>9273</v>
      </c>
      <c r="B56" s="29">
        <v>46151</v>
      </c>
      <c r="C56" s="23" t="s">
        <v>13</v>
      </c>
      <c r="D56" s="37" t="s">
        <v>305</v>
      </c>
      <c r="E56" s="23" t="s">
        <v>116</v>
      </c>
      <c r="F56" s="31">
        <v>178</v>
      </c>
      <c r="G56" s="31">
        <v>40000</v>
      </c>
      <c r="H56" s="31">
        <f>Cty_An_Phat_HP[[#This Row],[ĐƠN GIÁ]]*Cty_An_Phat_HP[[#This Row],[SỐ LƯỢNG]]</f>
        <v>7120000</v>
      </c>
      <c r="I56" s="31"/>
      <c r="J56" s="31">
        <f>J55+Cty_An_Phat_HP[[#This Row],[THÀNH TIỀN]]-Cty_An_Phat_HP[[#This Row],[THANH TOÁN]]</f>
        <v>1788901600</v>
      </c>
      <c r="K56" s="24"/>
    </row>
    <row r="57" spans="1:11" x14ac:dyDescent="0.25">
      <c r="A57" s="22">
        <v>9356</v>
      </c>
      <c r="B57" s="29">
        <v>46155</v>
      </c>
      <c r="C57" s="23" t="s">
        <v>13</v>
      </c>
      <c r="D57" s="37" t="s">
        <v>43</v>
      </c>
      <c r="E57" s="23" t="s">
        <v>191</v>
      </c>
      <c r="F57" s="31">
        <v>1042</v>
      </c>
      <c r="G57" s="31">
        <v>60000</v>
      </c>
      <c r="H57" s="31">
        <f>Cty_An_Phat_HP[[#This Row],[ĐƠN GIÁ]]*Cty_An_Phat_HP[[#This Row],[SỐ LƯỢNG]]</f>
        <v>62520000</v>
      </c>
      <c r="I57" s="31"/>
      <c r="J57" s="31">
        <f>J56+Cty_An_Phat_HP[[#This Row],[THÀNH TIỀN]]-Cty_An_Phat_HP[[#This Row],[THANH TOÁN]]</f>
        <v>1851421600</v>
      </c>
      <c r="K57" s="24"/>
    </row>
    <row r="58" spans="1:11" x14ac:dyDescent="0.25">
      <c r="A58" s="22"/>
      <c r="B58" s="29">
        <v>46157</v>
      </c>
      <c r="C58" s="23" t="s">
        <v>21</v>
      </c>
      <c r="D58" s="37" t="s">
        <v>22</v>
      </c>
      <c r="E58" s="23" t="s">
        <v>2155</v>
      </c>
      <c r="F58" s="31">
        <v>0</v>
      </c>
      <c r="G58" s="31"/>
      <c r="H58" s="31">
        <f>Cty_An_Phat_HP[[#This Row],[ĐƠN GIÁ]]*Cty_An_Phat_HP[[#This Row],[SỐ LƯỢNG]]</f>
        <v>0</v>
      </c>
      <c r="I58" s="31">
        <v>150000000</v>
      </c>
      <c r="J58" s="31">
        <f>J57+Cty_An_Phat_HP[[#This Row],[THÀNH TIỀN]]-Cty_An_Phat_HP[[#This Row],[THANH TOÁN]]</f>
        <v>1701421600</v>
      </c>
      <c r="K58" s="24"/>
    </row>
    <row r="59" spans="1:11" x14ac:dyDescent="0.25">
      <c r="A59" s="22">
        <v>9471</v>
      </c>
      <c r="B59" s="29">
        <v>46161</v>
      </c>
      <c r="C59" s="23" t="s">
        <v>13</v>
      </c>
      <c r="D59" s="37" t="s">
        <v>17</v>
      </c>
      <c r="E59" s="23" t="s">
        <v>136</v>
      </c>
      <c r="F59" s="31">
        <v>779</v>
      </c>
      <c r="G59" s="31">
        <v>62000</v>
      </c>
      <c r="H59" s="31">
        <f>Cty_An_Phat_HP[[#This Row],[ĐƠN GIÁ]]*Cty_An_Phat_HP[[#This Row],[SỐ LƯỢNG]]</f>
        <v>48298000</v>
      </c>
      <c r="I59" s="31"/>
      <c r="J59" s="31">
        <f>J58+Cty_An_Phat_HP[[#This Row],[THÀNH TIỀN]]-Cty_An_Phat_HP[[#This Row],[THANH TOÁN]]</f>
        <v>1749719600</v>
      </c>
      <c r="K59" s="24"/>
    </row>
    <row r="60" spans="1:11" x14ac:dyDescent="0.25">
      <c r="A60" s="22">
        <v>9471</v>
      </c>
      <c r="B60" s="29">
        <v>46161</v>
      </c>
      <c r="C60" s="23" t="s">
        <v>13</v>
      </c>
      <c r="D60" s="37" t="s">
        <v>278</v>
      </c>
      <c r="E60" s="23" t="s">
        <v>913</v>
      </c>
      <c r="F60" s="31">
        <v>512</v>
      </c>
      <c r="G60" s="31">
        <v>68000</v>
      </c>
      <c r="H60" s="31">
        <f>Cty_An_Phat_HP[[#This Row],[ĐƠN GIÁ]]*Cty_An_Phat_HP[[#This Row],[SỐ LƯỢNG]]</f>
        <v>34816000</v>
      </c>
      <c r="I60" s="31"/>
      <c r="J60" s="31">
        <f>J59+Cty_An_Phat_HP[[#This Row],[THÀNH TIỀN]]-Cty_An_Phat_HP[[#This Row],[THANH TOÁN]]</f>
        <v>1784535600</v>
      </c>
      <c r="K60" s="24" t="s">
        <v>1144</v>
      </c>
    </row>
    <row r="61" spans="1:11" x14ac:dyDescent="0.25">
      <c r="A61" s="22">
        <v>9471</v>
      </c>
      <c r="B61" s="29">
        <v>46161</v>
      </c>
      <c r="C61" s="23" t="s">
        <v>13</v>
      </c>
      <c r="D61" s="37" t="s">
        <v>17</v>
      </c>
      <c r="E61" s="23" t="s">
        <v>469</v>
      </c>
      <c r="F61" s="31">
        <v>363</v>
      </c>
      <c r="G61" s="31">
        <v>67000</v>
      </c>
      <c r="H61" s="31">
        <f>Cty_An_Phat_HP[[#This Row],[ĐƠN GIÁ]]*Cty_An_Phat_HP[[#This Row],[SỐ LƯỢNG]]</f>
        <v>24321000</v>
      </c>
      <c r="I61" s="31"/>
      <c r="J61" s="31">
        <f>J60+Cty_An_Phat_HP[[#This Row],[THÀNH TIỀN]]-Cty_An_Phat_HP[[#This Row],[THANH TOÁN]]</f>
        <v>1808856600</v>
      </c>
      <c r="K61" s="24"/>
    </row>
    <row r="62" spans="1:11" x14ac:dyDescent="0.25">
      <c r="A62" s="22"/>
      <c r="B62" s="29">
        <v>46163</v>
      </c>
      <c r="C62" s="23" t="s">
        <v>21</v>
      </c>
      <c r="D62" s="37" t="s">
        <v>22</v>
      </c>
      <c r="E62" s="23" t="s">
        <v>261</v>
      </c>
      <c r="F62" s="31">
        <v>0</v>
      </c>
      <c r="G62" s="31"/>
      <c r="H62" s="31">
        <f>Cty_An_Phat_HP[[#This Row],[ĐƠN GIÁ]]*Cty_An_Phat_HP[[#This Row],[SỐ LƯỢNG]]</f>
        <v>0</v>
      </c>
      <c r="I62" s="31">
        <v>150000000</v>
      </c>
      <c r="J62" s="31">
        <f>J61+Cty_An_Phat_HP[[#This Row],[THÀNH TIỀN]]-Cty_An_Phat_HP[[#This Row],[THANH TOÁN]]</f>
        <v>1658856600</v>
      </c>
      <c r="K62" s="24"/>
    </row>
    <row r="63" spans="1:11" x14ac:dyDescent="0.25">
      <c r="A63" s="22">
        <v>9571</v>
      </c>
      <c r="B63" s="29">
        <v>46165</v>
      </c>
      <c r="C63" s="23" t="s">
        <v>13</v>
      </c>
      <c r="D63" s="37" t="s">
        <v>26</v>
      </c>
      <c r="E63" s="23" t="s">
        <v>146</v>
      </c>
      <c r="F63" s="31">
        <v>796</v>
      </c>
      <c r="G63" s="31">
        <v>35000</v>
      </c>
      <c r="H63" s="31">
        <f>Cty_An_Phat_HP[[#This Row],[ĐƠN GIÁ]]*Cty_An_Phat_HP[[#This Row],[SỐ LƯỢNG]]</f>
        <v>27860000</v>
      </c>
      <c r="I63" s="31"/>
      <c r="J63" s="31">
        <f>J62+Cty_An_Phat_HP[[#This Row],[THÀNH TIỀN]]-Cty_An_Phat_HP[[#This Row],[THANH TOÁN]]</f>
        <v>1686716600</v>
      </c>
      <c r="K63" s="24"/>
    </row>
    <row r="64" spans="1:11" x14ac:dyDescent="0.25">
      <c r="A64" s="22">
        <v>9571</v>
      </c>
      <c r="B64" s="29">
        <v>46165</v>
      </c>
      <c r="C64" s="23" t="s">
        <v>13</v>
      </c>
      <c r="D64" s="37" t="s">
        <v>26</v>
      </c>
      <c r="E64" s="23" t="s">
        <v>134</v>
      </c>
      <c r="F64" s="31">
        <v>714</v>
      </c>
      <c r="G64" s="31">
        <v>35000</v>
      </c>
      <c r="H64" s="31">
        <f>Cty_An_Phat_HP[[#This Row],[ĐƠN GIÁ]]*Cty_An_Phat_HP[[#This Row],[SỐ LƯỢNG]]</f>
        <v>24990000</v>
      </c>
      <c r="I64" s="31"/>
      <c r="J64" s="31">
        <f>J63+Cty_An_Phat_HP[[#This Row],[THÀNH TIỀN]]-Cty_An_Phat_HP[[#This Row],[THANH TOÁN]]</f>
        <v>1711706600</v>
      </c>
      <c r="K64" s="24"/>
    </row>
    <row r="65" spans="1:11" x14ac:dyDescent="0.25">
      <c r="A65" s="151">
        <v>9637</v>
      </c>
      <c r="B65" s="152">
        <v>46169</v>
      </c>
      <c r="C65" s="55" t="s">
        <v>13</v>
      </c>
      <c r="D65" s="149" t="s">
        <v>50</v>
      </c>
      <c r="E65" s="55" t="s">
        <v>122</v>
      </c>
      <c r="F65" s="57">
        <v>1726</v>
      </c>
      <c r="G65" s="57"/>
      <c r="H65" s="57">
        <f>Cty_An_Phat_HP[[#This Row],[ĐƠN GIÁ]]*Cty_An_Phat_HP[[#This Row],[SỐ LƯỢNG]]</f>
        <v>0</v>
      </c>
      <c r="I65" s="57"/>
      <c r="J65" s="57">
        <f>J64+Cty_An_Phat_HP[[#This Row],[THÀNH TIỀN]]-Cty_An_Phat_HP[[#This Row],[THANH TOÁN]]</f>
        <v>1711706600</v>
      </c>
      <c r="K65" s="58"/>
    </row>
    <row r="66" spans="1:11" x14ac:dyDescent="0.25">
      <c r="A66" s="151">
        <v>9637</v>
      </c>
      <c r="B66" s="152">
        <v>46169</v>
      </c>
      <c r="C66" s="55" t="s">
        <v>13</v>
      </c>
      <c r="D66" s="149" t="s">
        <v>50</v>
      </c>
      <c r="E66" s="55" t="s">
        <v>110</v>
      </c>
      <c r="F66" s="57">
        <v>2214</v>
      </c>
      <c r="G66" s="57"/>
      <c r="H66" s="57">
        <f>Cty_An_Phat_HP[[#This Row],[ĐƠN GIÁ]]*Cty_An_Phat_HP[[#This Row],[SỐ LƯỢNG]]</f>
        <v>0</v>
      </c>
      <c r="I66" s="57"/>
      <c r="J66" s="57">
        <f>J65+Cty_An_Phat_HP[[#This Row],[THÀNH TIỀN]]-Cty_An_Phat_HP[[#This Row],[THANH TOÁN]]</f>
        <v>1711706600</v>
      </c>
      <c r="K66" s="58"/>
    </row>
    <row r="67" spans="1:11" x14ac:dyDescent="0.25">
      <c r="A67" s="22">
        <v>9666</v>
      </c>
      <c r="B67" s="29">
        <v>46170</v>
      </c>
      <c r="C67" s="23" t="s">
        <v>13</v>
      </c>
      <c r="D67" s="37" t="s">
        <v>43</v>
      </c>
      <c r="E67" s="23" t="s">
        <v>136</v>
      </c>
      <c r="F67" s="31">
        <v>650</v>
      </c>
      <c r="G67" s="31">
        <v>58000</v>
      </c>
      <c r="H67" s="31">
        <f>Cty_An_Phat_HP[[#This Row],[ĐƠN GIÁ]]*Cty_An_Phat_HP[[#This Row],[SỐ LƯỢNG]]</f>
        <v>37700000</v>
      </c>
      <c r="I67" s="31"/>
      <c r="J67" s="31">
        <f>J66+Cty_An_Phat_HP[[#This Row],[THÀNH TIỀN]]-Cty_An_Phat_HP[[#This Row],[THANH TOÁN]]</f>
        <v>1749406600</v>
      </c>
      <c r="K67" s="24"/>
    </row>
    <row r="68" spans="1:11" x14ac:dyDescent="0.25">
      <c r="A68" s="22"/>
      <c r="B68" s="29">
        <v>46170</v>
      </c>
      <c r="C68" s="23" t="s">
        <v>21</v>
      </c>
      <c r="D68" s="37" t="s">
        <v>22</v>
      </c>
      <c r="E68" s="23" t="s">
        <v>147</v>
      </c>
      <c r="F68" s="31">
        <v>0</v>
      </c>
      <c r="G68" s="31"/>
      <c r="H68" s="31">
        <f>Cty_An_Phat_HP[[#This Row],[ĐƠN GIÁ]]*Cty_An_Phat_HP[[#This Row],[SỐ LƯỢNG]]</f>
        <v>0</v>
      </c>
      <c r="I68" s="31">
        <v>150000000</v>
      </c>
      <c r="J68" s="31">
        <f>J67+Cty_An_Phat_HP[[#This Row],[THÀNH TIỀN]]-Cty_An_Phat_HP[[#This Row],[THANH TOÁN]]</f>
        <v>1599406600</v>
      </c>
      <c r="K68" s="24"/>
    </row>
    <row r="69" spans="1:11" x14ac:dyDescent="0.25">
      <c r="A69" s="22">
        <v>9718</v>
      </c>
      <c r="B69" s="29">
        <v>46172</v>
      </c>
      <c r="C69" s="23" t="s">
        <v>13</v>
      </c>
      <c r="D69" s="37" t="s">
        <v>43</v>
      </c>
      <c r="E69" s="23" t="s">
        <v>44</v>
      </c>
      <c r="F69" s="31">
        <v>590</v>
      </c>
      <c r="G69" s="31">
        <v>58000</v>
      </c>
      <c r="H69" s="31">
        <f>Cty_An_Phat_HP[[#This Row],[ĐƠN GIÁ]]*Cty_An_Phat_HP[[#This Row],[SỐ LƯỢNG]]</f>
        <v>34220000</v>
      </c>
      <c r="I69" s="31"/>
      <c r="J69" s="31">
        <f>J68+Cty_An_Phat_HP[[#This Row],[THÀNH TIỀN]]-Cty_An_Phat_HP[[#This Row],[THANH TOÁN]]</f>
        <v>1633626600</v>
      </c>
      <c r="K69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813AC-FDCD-4330-9FBD-F118C3C95601}">
  <sheetPr codeName="Sheet14"/>
  <dimension ref="A5:P35"/>
  <sheetViews>
    <sheetView workbookViewId="0">
      <selection activeCell="J10" sqref="J10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4" width="9.140625" style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133713000</v>
      </c>
    </row>
    <row r="6" spans="1:16" ht="22.5" x14ac:dyDescent="0.25">
      <c r="D6" s="34" t="s">
        <v>281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E_Duy_Cty_Hai_Au[[#This Row],[ĐƠN GIÁ]]*E_Duy_Cty_Hai_Au[[#This Row],[SỐ LƯỢNG]]</f>
        <v>0</v>
      </c>
      <c r="I10" s="31"/>
      <c r="J10" s="31">
        <v>88284000</v>
      </c>
      <c r="K10" s="24"/>
    </row>
    <row r="11" spans="1:16" x14ac:dyDescent="0.25">
      <c r="A11" s="22">
        <v>7794</v>
      </c>
      <c r="B11" s="29">
        <v>46083</v>
      </c>
      <c r="C11" s="23" t="s">
        <v>13</v>
      </c>
      <c r="D11" s="37" t="s">
        <v>43</v>
      </c>
      <c r="E11" s="23" t="s">
        <v>282</v>
      </c>
      <c r="F11" s="31">
        <f>739+543</f>
        <v>1282</v>
      </c>
      <c r="G11" s="31">
        <v>55000</v>
      </c>
      <c r="H11" s="31">
        <f>E_Duy_Cty_Hai_Au[[#This Row],[ĐƠN GIÁ]]*E_Duy_Cty_Hai_Au[[#This Row],[SỐ LƯỢNG]]</f>
        <v>70510000</v>
      </c>
      <c r="I11" s="31"/>
      <c r="J11" s="31">
        <f>J10+E_Duy_Cty_Hai_Au[[#This Row],[THÀNH TIỀN]]-E_Duy_Cty_Hai_Au[[#This Row],[THANH TOÁN]]</f>
        <v>158794000</v>
      </c>
      <c r="K11" s="24"/>
    </row>
    <row r="12" spans="1:16" x14ac:dyDescent="0.25">
      <c r="A12" s="22">
        <v>7794</v>
      </c>
      <c r="B12" s="29">
        <v>46083</v>
      </c>
      <c r="C12" s="23" t="s">
        <v>13</v>
      </c>
      <c r="D12" s="37" t="s">
        <v>43</v>
      </c>
      <c r="E12" s="23" t="s">
        <v>283</v>
      </c>
      <c r="F12" s="31">
        <v>809</v>
      </c>
      <c r="G12" s="31">
        <v>54000</v>
      </c>
      <c r="H12" s="31">
        <f>E_Duy_Cty_Hai_Au[[#This Row],[ĐƠN GIÁ]]*E_Duy_Cty_Hai_Au[[#This Row],[SỐ LƯỢNG]]</f>
        <v>43686000</v>
      </c>
      <c r="I12" s="31"/>
      <c r="J12" s="31">
        <f>J11+E_Duy_Cty_Hai_Au[[#This Row],[THÀNH TIỀN]]-E_Duy_Cty_Hai_Au[[#This Row],[THANH TOÁN]]</f>
        <v>202480000</v>
      </c>
      <c r="K12" s="24"/>
    </row>
    <row r="13" spans="1:16" x14ac:dyDescent="0.25">
      <c r="A13" s="22"/>
      <c r="B13" s="29">
        <v>46094</v>
      </c>
      <c r="C13" s="23" t="s">
        <v>21</v>
      </c>
      <c r="D13" s="37" t="s">
        <v>22</v>
      </c>
      <c r="E13" s="23" t="s">
        <v>261</v>
      </c>
      <c r="F13" s="31">
        <v>0</v>
      </c>
      <c r="G13" s="31">
        <v>0</v>
      </c>
      <c r="H13" s="31">
        <f>E_Duy_Cty_Hai_Au[[#This Row],[ĐƠN GIÁ]]*E_Duy_Cty_Hai_Au[[#This Row],[SỐ LƯỢNG]]</f>
        <v>0</v>
      </c>
      <c r="I13" s="31">
        <v>50000000</v>
      </c>
      <c r="J13" s="31">
        <f>J12+E_Duy_Cty_Hai_Au[[#This Row],[THÀNH TIỀN]]-E_Duy_Cty_Hai_Au[[#This Row],[THANH TOÁN]]</f>
        <v>152480000</v>
      </c>
      <c r="K13" s="24"/>
    </row>
    <row r="14" spans="1:16" x14ac:dyDescent="0.25">
      <c r="A14" s="22">
        <v>8086</v>
      </c>
      <c r="B14" s="29">
        <v>46095</v>
      </c>
      <c r="C14" s="23" t="s">
        <v>13</v>
      </c>
      <c r="D14" s="37" t="s">
        <v>68</v>
      </c>
      <c r="E14" s="23" t="s">
        <v>284</v>
      </c>
      <c r="F14" s="31">
        <v>176</v>
      </c>
      <c r="G14" s="31">
        <v>41500</v>
      </c>
      <c r="H14" s="31">
        <f>E_Duy_Cty_Hai_Au[[#This Row],[ĐƠN GIÁ]]*E_Duy_Cty_Hai_Au[[#This Row],[SỐ LƯỢNG]]</f>
        <v>7304000</v>
      </c>
      <c r="I14" s="31"/>
      <c r="J14" s="31">
        <f>J13+E_Duy_Cty_Hai_Au[[#This Row],[THÀNH TIỀN]]-E_Duy_Cty_Hai_Au[[#This Row],[THANH TOÁN]]</f>
        <v>159784000</v>
      </c>
      <c r="K14" s="24"/>
      <c r="P14" s="35"/>
    </row>
    <row r="15" spans="1:16" x14ac:dyDescent="0.25">
      <c r="A15" s="25">
        <v>8086</v>
      </c>
      <c r="B15" s="30">
        <v>46095</v>
      </c>
      <c r="C15" s="26" t="s">
        <v>13</v>
      </c>
      <c r="D15" s="37" t="s">
        <v>68</v>
      </c>
      <c r="E15" s="26" t="s">
        <v>285</v>
      </c>
      <c r="F15" s="28">
        <v>582</v>
      </c>
      <c r="G15" s="28">
        <v>41500</v>
      </c>
      <c r="H15" s="28">
        <f>E_Duy_Cty_Hai_Au[[#This Row],[ĐƠN GIÁ]]*E_Duy_Cty_Hai_Au[[#This Row],[SỐ LƯỢNG]]</f>
        <v>24153000</v>
      </c>
      <c r="I15" s="28"/>
      <c r="J15" s="31">
        <f>J14+E_Duy_Cty_Hai_Au[[#This Row],[THÀNH TIỀN]]-E_Duy_Cty_Hai_Au[[#This Row],[THANH TOÁN]]</f>
        <v>183937000</v>
      </c>
      <c r="K15" s="27"/>
    </row>
    <row r="16" spans="1:16" x14ac:dyDescent="0.25">
      <c r="A16" s="25">
        <v>8118</v>
      </c>
      <c r="B16" s="30">
        <v>46097</v>
      </c>
      <c r="C16" s="26" t="s">
        <v>13</v>
      </c>
      <c r="D16" s="38" t="s">
        <v>43</v>
      </c>
      <c r="E16" s="26" t="s">
        <v>286</v>
      </c>
      <c r="F16" s="28">
        <v>2472</v>
      </c>
      <c r="G16" s="28">
        <v>56500</v>
      </c>
      <c r="H16" s="28">
        <f>E_Duy_Cty_Hai_Au[[#This Row],[ĐƠN GIÁ]]*E_Duy_Cty_Hai_Au[[#This Row],[SỐ LƯỢNG]]</f>
        <v>139668000</v>
      </c>
      <c r="I16" s="28"/>
      <c r="J16" s="28">
        <f>J15+E_Duy_Cty_Hai_Au[[#This Row],[THÀNH TIỀN]]-E_Duy_Cty_Hai_Au[[#This Row],[THANH TOÁN]]</f>
        <v>323605000</v>
      </c>
      <c r="K16" s="27"/>
    </row>
    <row r="17" spans="1:11" x14ac:dyDescent="0.25">
      <c r="A17" s="25"/>
      <c r="B17" s="30">
        <v>46101</v>
      </c>
      <c r="C17" s="26" t="s">
        <v>21</v>
      </c>
      <c r="D17" s="38" t="s">
        <v>22</v>
      </c>
      <c r="E17" s="26" t="s">
        <v>261</v>
      </c>
      <c r="F17" s="28">
        <v>0</v>
      </c>
      <c r="G17" s="28">
        <v>0</v>
      </c>
      <c r="H17" s="28">
        <f>E_Duy_Cty_Hai_Au[[#This Row],[ĐƠN GIÁ]]*E_Duy_Cty_Hai_Au[[#This Row],[SỐ LƯỢNG]]</f>
        <v>0</v>
      </c>
      <c r="I17" s="28">
        <v>50000000</v>
      </c>
      <c r="J17" s="28">
        <f>J16+E_Duy_Cty_Hai_Au[[#This Row],[THÀNH TIỀN]]-E_Duy_Cty_Hai_Au[[#This Row],[THANH TOÁN]]</f>
        <v>273605000</v>
      </c>
      <c r="K17" s="27"/>
    </row>
    <row r="18" spans="1:11" x14ac:dyDescent="0.25">
      <c r="A18" s="22">
        <v>8460</v>
      </c>
      <c r="B18" s="29">
        <v>46113</v>
      </c>
      <c r="C18" s="23" t="s">
        <v>13</v>
      </c>
      <c r="D18" s="37" t="s">
        <v>135</v>
      </c>
      <c r="E18" s="23" t="s">
        <v>148</v>
      </c>
      <c r="F18" s="31">
        <v>5278</v>
      </c>
      <c r="G18" s="31">
        <v>37000</v>
      </c>
      <c r="H18" s="31">
        <f>E_Duy_Cty_Hai_Au[[#This Row],[ĐƠN GIÁ]]*E_Duy_Cty_Hai_Au[[#This Row],[SỐ LƯỢNG]]</f>
        <v>195286000</v>
      </c>
      <c r="I18" s="31"/>
      <c r="J18" s="31">
        <f>J17+E_Duy_Cty_Hai_Au[[#This Row],[THÀNH TIỀN]]-E_Duy_Cty_Hai_Au[[#This Row],[THANH TOÁN]]</f>
        <v>468891000</v>
      </c>
      <c r="K18" s="24"/>
    </row>
    <row r="19" spans="1:11" x14ac:dyDescent="0.25">
      <c r="A19" s="22"/>
      <c r="B19" s="29">
        <v>46113</v>
      </c>
      <c r="C19" s="23" t="s">
        <v>21</v>
      </c>
      <c r="D19" s="37" t="s">
        <v>22</v>
      </c>
      <c r="E19" s="23" t="s">
        <v>83</v>
      </c>
      <c r="F19" s="31">
        <v>0</v>
      </c>
      <c r="G19" s="31"/>
      <c r="H19" s="31">
        <f>E_Duy_Cty_Hai_Au[[#This Row],[ĐƠN GIÁ]]*E_Duy_Cty_Hai_Au[[#This Row],[SỐ LƯỢNG]]</f>
        <v>0</v>
      </c>
      <c r="I19" s="31">
        <v>195286000</v>
      </c>
      <c r="J19" s="31">
        <f>J18+E_Duy_Cty_Hai_Au[[#This Row],[THÀNH TIỀN]]-E_Duy_Cty_Hai_Au[[#This Row],[THANH TOÁN]]</f>
        <v>273605000</v>
      </c>
      <c r="K19" s="24"/>
    </row>
    <row r="20" spans="1:11" x14ac:dyDescent="0.25">
      <c r="A20" s="22"/>
      <c r="B20" s="29">
        <v>46122</v>
      </c>
      <c r="C20" s="23" t="s">
        <v>21</v>
      </c>
      <c r="D20" s="37" t="s">
        <v>22</v>
      </c>
      <c r="E20" s="23" t="s">
        <v>261</v>
      </c>
      <c r="F20" s="31">
        <v>0</v>
      </c>
      <c r="G20" s="31"/>
      <c r="H20" s="31">
        <f>E_Duy_Cty_Hai_Au[[#This Row],[ĐƠN GIÁ]]*E_Duy_Cty_Hai_Au[[#This Row],[SỐ LƯỢNG]]</f>
        <v>0</v>
      </c>
      <c r="I20" s="31">
        <v>50000000</v>
      </c>
      <c r="J20" s="31">
        <f>J19+E_Duy_Cty_Hai_Au[[#This Row],[THÀNH TIỀN]]-E_Duy_Cty_Hai_Au[[#This Row],[THANH TOÁN]]</f>
        <v>223605000</v>
      </c>
      <c r="K20" s="24"/>
    </row>
    <row r="21" spans="1:11" x14ac:dyDescent="0.25">
      <c r="A21" s="22">
        <v>8726</v>
      </c>
      <c r="B21" s="29">
        <v>46125</v>
      </c>
      <c r="C21" s="23" t="s">
        <v>13</v>
      </c>
      <c r="D21" s="37" t="s">
        <v>43</v>
      </c>
      <c r="E21" s="23" t="s">
        <v>146</v>
      </c>
      <c r="F21" s="31">
        <v>718</v>
      </c>
      <c r="G21" s="31">
        <v>58500</v>
      </c>
      <c r="H21" s="31">
        <f>E_Duy_Cty_Hai_Au[[#This Row],[ĐƠN GIÁ]]*E_Duy_Cty_Hai_Au[[#This Row],[SỐ LƯỢNG]]</f>
        <v>42003000</v>
      </c>
      <c r="I21" s="31"/>
      <c r="J21" s="31">
        <f>J20+E_Duy_Cty_Hai_Au[[#This Row],[THÀNH TIỀN]]-E_Duy_Cty_Hai_Au[[#This Row],[THANH TOÁN]]</f>
        <v>265608000</v>
      </c>
      <c r="K21" s="24"/>
    </row>
    <row r="22" spans="1:11" x14ac:dyDescent="0.25">
      <c r="A22" s="22">
        <v>8731</v>
      </c>
      <c r="B22" s="29">
        <v>46125</v>
      </c>
      <c r="C22" s="23" t="s">
        <v>13</v>
      </c>
      <c r="D22" s="37" t="s">
        <v>14</v>
      </c>
      <c r="E22" s="23" t="s">
        <v>40</v>
      </c>
      <c r="F22" s="31">
        <v>251</v>
      </c>
      <c r="G22" s="31">
        <v>47000</v>
      </c>
      <c r="H22" s="31">
        <f>E_Duy_Cty_Hai_Au[[#This Row],[ĐƠN GIÁ]]*E_Duy_Cty_Hai_Au[[#This Row],[SỐ LƯỢNG]]</f>
        <v>11797000</v>
      </c>
      <c r="I22" s="31"/>
      <c r="J22" s="31">
        <f>J21+E_Duy_Cty_Hai_Au[[#This Row],[THÀNH TIỀN]]-E_Duy_Cty_Hai_Au[[#This Row],[THANH TOÁN]]</f>
        <v>277405000</v>
      </c>
      <c r="K22" s="24"/>
    </row>
    <row r="23" spans="1:11" x14ac:dyDescent="0.25">
      <c r="A23" s="22">
        <v>8780</v>
      </c>
      <c r="B23" s="29">
        <v>46126</v>
      </c>
      <c r="C23" s="23" t="s">
        <v>13</v>
      </c>
      <c r="D23" s="37" t="s">
        <v>68</v>
      </c>
      <c r="E23" s="23" t="s">
        <v>287</v>
      </c>
      <c r="F23" s="31">
        <v>18</v>
      </c>
      <c r="G23" s="31">
        <v>41500</v>
      </c>
      <c r="H23" s="31">
        <f>E_Duy_Cty_Hai_Au[[#This Row],[ĐƠN GIÁ]]*E_Duy_Cty_Hai_Au[[#This Row],[SỐ LƯỢNG]]</f>
        <v>747000</v>
      </c>
      <c r="I23" s="31"/>
      <c r="J23" s="31">
        <f>J22+E_Duy_Cty_Hai_Au[[#This Row],[THÀNH TIỀN]]-E_Duy_Cty_Hai_Au[[#This Row],[THANH TOÁN]]</f>
        <v>278152000</v>
      </c>
      <c r="K23" s="24"/>
    </row>
    <row r="24" spans="1:11" x14ac:dyDescent="0.25">
      <c r="A24" s="22">
        <v>8780</v>
      </c>
      <c r="B24" s="29">
        <v>46126</v>
      </c>
      <c r="C24" s="23" t="s">
        <v>13</v>
      </c>
      <c r="D24" s="37" t="s">
        <v>68</v>
      </c>
      <c r="E24" s="23" t="s">
        <v>288</v>
      </c>
      <c r="F24" s="31">
        <v>134</v>
      </c>
      <c r="G24" s="31">
        <v>41500</v>
      </c>
      <c r="H24" s="31">
        <f>E_Duy_Cty_Hai_Au[[#This Row],[ĐƠN GIÁ]]*E_Duy_Cty_Hai_Au[[#This Row],[SỐ LƯỢNG]]</f>
        <v>5561000</v>
      </c>
      <c r="I24" s="31"/>
      <c r="J24" s="31">
        <f>J23+E_Duy_Cty_Hai_Au[[#This Row],[THÀNH TIỀN]]-E_Duy_Cty_Hai_Au[[#This Row],[THANH TOÁN]]</f>
        <v>283713000</v>
      </c>
      <c r="K24" s="24"/>
    </row>
    <row r="25" spans="1:11" x14ac:dyDescent="0.25">
      <c r="A25" s="22"/>
      <c r="B25" s="29">
        <v>46140</v>
      </c>
      <c r="C25" s="23" t="s">
        <v>21</v>
      </c>
      <c r="D25" s="37" t="s">
        <v>22</v>
      </c>
      <c r="E25" s="23" t="s">
        <v>83</v>
      </c>
      <c r="F25" s="31">
        <v>0</v>
      </c>
      <c r="G25" s="31"/>
      <c r="H25" s="31">
        <f>E_Duy_Cty_Hai_Au[[#This Row],[ĐƠN GIÁ]]*E_Duy_Cty_Hai_Au[[#This Row],[SỐ LƯỢNG]]</f>
        <v>0</v>
      </c>
      <c r="I25" s="31">
        <v>50000000</v>
      </c>
      <c r="J25" s="31">
        <f>J24+E_Duy_Cty_Hai_Au[[#This Row],[THÀNH TIỀN]]-E_Duy_Cty_Hai_Au[[#This Row],[THANH TOÁN]]</f>
        <v>233713000</v>
      </c>
      <c r="K25" s="24"/>
    </row>
    <row r="26" spans="1:11" x14ac:dyDescent="0.25">
      <c r="A26" s="22"/>
      <c r="B26" s="29">
        <v>46150</v>
      </c>
      <c r="C26" s="23" t="s">
        <v>21</v>
      </c>
      <c r="D26" s="37" t="s">
        <v>22</v>
      </c>
      <c r="E26" s="23" t="s">
        <v>261</v>
      </c>
      <c r="F26" s="31">
        <v>0</v>
      </c>
      <c r="G26" s="31"/>
      <c r="H26" s="31">
        <f>E_Duy_Cty_Hai_Au[[#This Row],[ĐƠN GIÁ]]*E_Duy_Cty_Hai_Au[[#This Row],[SỐ LƯỢNG]]</f>
        <v>0</v>
      </c>
      <c r="I26" s="31">
        <v>50000000</v>
      </c>
      <c r="J26" s="31">
        <f>J25+E_Duy_Cty_Hai_Au[[#This Row],[THÀNH TIỀN]]-E_Duy_Cty_Hai_Au[[#This Row],[THANH TOÁN]]</f>
        <v>183713000</v>
      </c>
      <c r="K26" s="24"/>
    </row>
    <row r="27" spans="1:11" x14ac:dyDescent="0.25">
      <c r="A27" s="22"/>
      <c r="B27" s="29">
        <v>46157</v>
      </c>
      <c r="C27" s="23" t="s">
        <v>21</v>
      </c>
      <c r="D27" s="37" t="s">
        <v>22</v>
      </c>
      <c r="E27" s="23" t="s">
        <v>2155</v>
      </c>
      <c r="F27" s="31">
        <v>0</v>
      </c>
      <c r="G27" s="31"/>
      <c r="H27" s="31">
        <f>E_Duy_Cty_Hai_Au[[#This Row],[ĐƠN GIÁ]]*E_Duy_Cty_Hai_Au[[#This Row],[SỐ LƯỢNG]]</f>
        <v>0</v>
      </c>
      <c r="I27" s="31">
        <v>50000000</v>
      </c>
      <c r="J27" s="31">
        <f>J26+E_Duy_Cty_Hai_Au[[#This Row],[THÀNH TIỀN]]-E_Duy_Cty_Hai_Au[[#This Row],[THANH TOÁN]]</f>
        <v>133713000</v>
      </c>
      <c r="K27" s="24"/>
    </row>
    <row r="35" spans="9:9" x14ac:dyDescent="0.25">
      <c r="I35" s="3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C2128-8F62-4DB0-9E72-251AC48BA324}">
  <sheetPr codeName="Sheet15"/>
  <dimension ref="A5:K29"/>
  <sheetViews>
    <sheetView workbookViewId="0">
      <selection activeCell="K10" sqref="K10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706652946</v>
      </c>
    </row>
    <row r="6" spans="1:11" ht="22.5" x14ac:dyDescent="0.25">
      <c r="D6" s="34" t="s">
        <v>289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>
        <v>1</v>
      </c>
      <c r="G10" s="31">
        <v>33415946</v>
      </c>
      <c r="H10" s="31">
        <f>Cty_An_Phu[[#This Row],[ĐƠN GIÁ]]*Cty_An_Phu[[#This Row],[SỐ LƯỢNG]]</f>
        <v>33415946</v>
      </c>
      <c r="I10" s="31"/>
      <c r="J10" s="31">
        <f ca="1">N(INDIRECT("R[-1]C", FALSE)) + Cty_An_Phu[[#This Row],[THÀNH TIỀN]] - Cty_An_Phu[[#This Row],[THANH TOÁN]]</f>
        <v>33415946</v>
      </c>
      <c r="K10" s="24"/>
    </row>
    <row r="11" spans="1:11" x14ac:dyDescent="0.25">
      <c r="A11" s="22">
        <v>7795</v>
      </c>
      <c r="B11" s="29">
        <v>46083</v>
      </c>
      <c r="C11" s="23" t="s">
        <v>13</v>
      </c>
      <c r="D11" s="37" t="s">
        <v>17</v>
      </c>
      <c r="E11" s="23" t="s">
        <v>40</v>
      </c>
      <c r="F11" s="31">
        <f>474-12</f>
        <v>462</v>
      </c>
      <c r="G11" s="31">
        <v>62000</v>
      </c>
      <c r="H11" s="31">
        <f>Cty_An_Phu[[#This Row],[ĐƠN GIÁ]]*Cty_An_Phu[[#This Row],[SỐ LƯỢNG]]</f>
        <v>28644000</v>
      </c>
      <c r="I11" s="31"/>
      <c r="J11" s="31">
        <f ca="1">N(INDIRECT("R[-1]C", FALSE)) + Cty_An_Phu[[#This Row],[THÀNH TIỀN]] - Cty_An_Phu[[#This Row],[THANH TOÁN]]</f>
        <v>62059946</v>
      </c>
      <c r="K11" s="24"/>
    </row>
    <row r="12" spans="1:11" x14ac:dyDescent="0.25">
      <c r="A12" s="22">
        <v>7795</v>
      </c>
      <c r="B12" s="29">
        <v>46083</v>
      </c>
      <c r="C12" s="23" t="s">
        <v>13</v>
      </c>
      <c r="D12" s="37" t="s">
        <v>26</v>
      </c>
      <c r="E12" s="23" t="s">
        <v>25</v>
      </c>
      <c r="F12" s="31">
        <v>508</v>
      </c>
      <c r="G12" s="31">
        <v>34000</v>
      </c>
      <c r="H12" s="31">
        <f>Cty_An_Phu[[#This Row],[ĐƠN GIÁ]]*Cty_An_Phu[[#This Row],[SỐ LƯỢNG]]</f>
        <v>17272000</v>
      </c>
      <c r="I12" s="31"/>
      <c r="J12" s="31">
        <f ca="1">N(INDIRECT("R[-1]C", FALSE)) + Cty_An_Phu[[#This Row],[THÀNH TIỀN]] - Cty_An_Phu[[#This Row],[THANH TOÁN]]</f>
        <v>79331946</v>
      </c>
      <c r="K12" s="24"/>
    </row>
    <row r="13" spans="1:11" x14ac:dyDescent="0.25">
      <c r="A13" s="22">
        <v>7872</v>
      </c>
      <c r="B13" s="29">
        <v>46086</v>
      </c>
      <c r="C13" s="23" t="s">
        <v>13</v>
      </c>
      <c r="D13" s="37" t="s">
        <v>45</v>
      </c>
      <c r="E13" s="23" t="s">
        <v>25</v>
      </c>
      <c r="F13" s="31">
        <v>472</v>
      </c>
      <c r="G13" s="31">
        <v>34000</v>
      </c>
      <c r="H13" s="31">
        <f>Cty_An_Phu[[#This Row],[ĐƠN GIÁ]]*Cty_An_Phu[[#This Row],[SỐ LƯỢNG]]</f>
        <v>16048000</v>
      </c>
      <c r="I13" s="31"/>
      <c r="J13" s="31">
        <f ca="1">N(INDIRECT("R[-1]C", FALSE)) + Cty_An_Phu[[#This Row],[THÀNH TIỀN]] - Cty_An_Phu[[#This Row],[THANH TOÁN]]</f>
        <v>95379946</v>
      </c>
      <c r="K13" s="24"/>
    </row>
    <row r="14" spans="1:11" x14ac:dyDescent="0.25">
      <c r="A14" s="25">
        <v>7882</v>
      </c>
      <c r="B14" s="30">
        <v>46087</v>
      </c>
      <c r="C14" s="26" t="s">
        <v>13</v>
      </c>
      <c r="D14" s="38" t="s">
        <v>17</v>
      </c>
      <c r="E14" s="26" t="s">
        <v>40</v>
      </c>
      <c r="F14" s="28">
        <f>1462-30</f>
        <v>1432</v>
      </c>
      <c r="G14" s="28">
        <v>62000</v>
      </c>
      <c r="H14" s="28">
        <f>Cty_An_Phu[[#This Row],[ĐƠN GIÁ]]*Cty_An_Phu[[#This Row],[SỐ LƯỢNG]]</f>
        <v>88784000</v>
      </c>
      <c r="I14" s="28"/>
      <c r="J14" s="28">
        <f ca="1">N(INDIRECT("R[-1]C", FALSE)) + Cty_An_Phu[[#This Row],[THÀNH TIỀN]] - Cty_An_Phu[[#This Row],[THANH TOÁN]]</f>
        <v>184163946</v>
      </c>
      <c r="K14" s="27"/>
    </row>
    <row r="15" spans="1:11" x14ac:dyDescent="0.25">
      <c r="A15" s="25">
        <v>8343</v>
      </c>
      <c r="B15" s="30">
        <v>46107</v>
      </c>
      <c r="C15" s="26" t="s">
        <v>13</v>
      </c>
      <c r="D15" s="38" t="s">
        <v>26</v>
      </c>
      <c r="E15" s="26" t="s">
        <v>33</v>
      </c>
      <c r="F15" s="28">
        <v>398</v>
      </c>
      <c r="G15" s="28">
        <v>34500</v>
      </c>
      <c r="H15" s="28">
        <f>Cty_An_Phu[[#This Row],[ĐƠN GIÁ]]*Cty_An_Phu[[#This Row],[SỐ LƯỢNG]]</f>
        <v>13731000</v>
      </c>
      <c r="I15" s="28"/>
      <c r="J15" s="28">
        <f ca="1">N(INDIRECT("R[-1]C", FALSE)) + Cty_An_Phu[[#This Row],[THÀNH TIỀN]] - Cty_An_Phu[[#This Row],[THANH TOÁN]]</f>
        <v>197894946</v>
      </c>
      <c r="K15" s="27"/>
    </row>
    <row r="16" spans="1:11" x14ac:dyDescent="0.25">
      <c r="A16" s="22"/>
      <c r="B16" s="29">
        <v>46115</v>
      </c>
      <c r="C16" s="23" t="s">
        <v>21</v>
      </c>
      <c r="D16" s="37" t="s">
        <v>22</v>
      </c>
      <c r="E16" s="23" t="s">
        <v>147</v>
      </c>
      <c r="F16" s="31">
        <v>0</v>
      </c>
      <c r="G16" s="31"/>
      <c r="H16" s="31">
        <f>Cty_An_Phu[[#This Row],[ĐƠN GIÁ]]*Cty_An_Phu[[#This Row],[SỐ LƯỢNG]]</f>
        <v>0</v>
      </c>
      <c r="I16" s="31">
        <v>80000000</v>
      </c>
      <c r="J16" s="31">
        <f ca="1">N(INDIRECT("R[-1]C", FALSE)) + Cty_An_Phu[[#This Row],[THÀNH TIỀN]] - Cty_An_Phu[[#This Row],[THANH TOÁN]]</f>
        <v>117894946</v>
      </c>
      <c r="K16" s="24"/>
    </row>
    <row r="17" spans="1:11" x14ac:dyDescent="0.25">
      <c r="A17" s="22">
        <v>8756</v>
      </c>
      <c r="B17" s="29">
        <v>46126</v>
      </c>
      <c r="C17" s="23" t="s">
        <v>13</v>
      </c>
      <c r="D17" s="37" t="s">
        <v>290</v>
      </c>
      <c r="E17" s="23" t="s">
        <v>25</v>
      </c>
      <c r="F17" s="31">
        <v>542</v>
      </c>
      <c r="G17" s="31">
        <v>65000</v>
      </c>
      <c r="H17" s="31">
        <f>Cty_An_Phu[[#This Row],[ĐƠN GIÁ]]*Cty_An_Phu[[#This Row],[SỐ LƯỢNG]]</f>
        <v>35230000</v>
      </c>
      <c r="I17" s="31"/>
      <c r="J17" s="31">
        <f ca="1">N(INDIRECT("R[-1]C", FALSE)) + Cty_An_Phu[[#This Row],[THÀNH TIỀN]] - Cty_An_Phu[[#This Row],[THANH TOÁN]]</f>
        <v>153124946</v>
      </c>
      <c r="K17" s="24"/>
    </row>
    <row r="18" spans="1:11" x14ac:dyDescent="0.25">
      <c r="A18" s="22">
        <v>8756</v>
      </c>
      <c r="B18" s="29">
        <v>46126</v>
      </c>
      <c r="C18" s="23" t="s">
        <v>13</v>
      </c>
      <c r="D18" s="37" t="s">
        <v>290</v>
      </c>
      <c r="E18" s="23" t="s">
        <v>33</v>
      </c>
      <c r="F18" s="31">
        <v>3682</v>
      </c>
      <c r="G18" s="31">
        <v>65000</v>
      </c>
      <c r="H18" s="31">
        <f>Cty_An_Phu[[#This Row],[ĐƠN GIÁ]]*Cty_An_Phu[[#This Row],[SỐ LƯỢNG]]</f>
        <v>239330000</v>
      </c>
      <c r="I18" s="31"/>
      <c r="J18" s="31">
        <f ca="1">N(INDIRECT("R[-1]C", FALSE)) + Cty_An_Phu[[#This Row],[THÀNH TIỀN]] - Cty_An_Phu[[#This Row],[THANH TOÁN]]</f>
        <v>392454946</v>
      </c>
      <c r="K18" s="24"/>
    </row>
    <row r="19" spans="1:11" x14ac:dyDescent="0.25">
      <c r="A19" s="22">
        <v>8756</v>
      </c>
      <c r="B19" s="29">
        <v>46126</v>
      </c>
      <c r="C19" s="23" t="s">
        <v>13</v>
      </c>
      <c r="D19" s="37" t="s">
        <v>290</v>
      </c>
      <c r="E19" s="23" t="s">
        <v>46</v>
      </c>
      <c r="F19" s="31">
        <v>4104</v>
      </c>
      <c r="G19" s="31">
        <v>65000</v>
      </c>
      <c r="H19" s="31">
        <f>Cty_An_Phu[[#This Row],[ĐƠN GIÁ]]*Cty_An_Phu[[#This Row],[SỐ LƯỢNG]]</f>
        <v>266760000</v>
      </c>
      <c r="I19" s="31"/>
      <c r="J19" s="31">
        <f ca="1">N(INDIRECT("R[-1]C", FALSE)) + Cty_An_Phu[[#This Row],[THÀNH TIỀN]] - Cty_An_Phu[[#This Row],[THANH TOÁN]]</f>
        <v>659214946</v>
      </c>
      <c r="K19" s="24"/>
    </row>
    <row r="20" spans="1:11" x14ac:dyDescent="0.25">
      <c r="A20" s="22">
        <v>8757</v>
      </c>
      <c r="B20" s="29">
        <v>46126</v>
      </c>
      <c r="C20" s="23" t="s">
        <v>13</v>
      </c>
      <c r="D20" s="37" t="s">
        <v>17</v>
      </c>
      <c r="E20" s="23" t="s">
        <v>33</v>
      </c>
      <c r="F20" s="31">
        <v>722</v>
      </c>
      <c r="G20" s="31">
        <v>65000</v>
      </c>
      <c r="H20" s="31">
        <f>Cty_An_Phu[[#This Row],[ĐƠN GIÁ]]*Cty_An_Phu[[#This Row],[SỐ LƯỢNG]]</f>
        <v>46930000</v>
      </c>
      <c r="I20" s="31"/>
      <c r="J20" s="31">
        <f ca="1">N(INDIRECT("R[-1]C", FALSE)) + Cty_An_Phu[[#This Row],[THÀNH TIỀN]] - Cty_An_Phu[[#This Row],[THANH TOÁN]]</f>
        <v>706144946</v>
      </c>
      <c r="K20" s="24"/>
    </row>
    <row r="21" spans="1:11" x14ac:dyDescent="0.25">
      <c r="A21" s="22"/>
      <c r="B21" s="29">
        <v>46128</v>
      </c>
      <c r="C21" s="23" t="s">
        <v>21</v>
      </c>
      <c r="D21" s="37" t="s">
        <v>22</v>
      </c>
      <c r="E21" s="23" t="s">
        <v>147</v>
      </c>
      <c r="F21" s="31">
        <v>0</v>
      </c>
      <c r="G21" s="31"/>
      <c r="H21" s="31">
        <f>Cty_An_Phu[[#This Row],[ĐƠN GIÁ]]*Cty_An_Phu[[#This Row],[SỐ LƯỢNG]]</f>
        <v>0</v>
      </c>
      <c r="I21" s="31">
        <v>80000000</v>
      </c>
      <c r="J21" s="31">
        <f ca="1">N(INDIRECT("R[-1]C", FALSE)) + Cty_An_Phu[[#This Row],[THÀNH TIỀN]] - Cty_An_Phu[[#This Row],[THANH TOÁN]]</f>
        <v>626144946</v>
      </c>
      <c r="K21" s="24"/>
    </row>
    <row r="22" spans="1:11" x14ac:dyDescent="0.25">
      <c r="A22" s="22">
        <v>9041</v>
      </c>
      <c r="B22" s="29">
        <v>46139</v>
      </c>
      <c r="C22" s="23" t="s">
        <v>13</v>
      </c>
      <c r="D22" s="37" t="s">
        <v>45</v>
      </c>
      <c r="E22" s="23" t="s">
        <v>1846</v>
      </c>
      <c r="F22" s="31">
        <v>6406</v>
      </c>
      <c r="G22" s="31">
        <v>34000</v>
      </c>
      <c r="H22" s="31">
        <f>Cty_An_Phu[[#This Row],[ĐƠN GIÁ]]*Cty_An_Phu[[#This Row],[SỐ LƯỢNG]]</f>
        <v>217804000</v>
      </c>
      <c r="I22" s="31"/>
      <c r="J22" s="31">
        <f ca="1">N(INDIRECT("R[-1]C", FALSE)) + Cty_An_Phu[[#This Row],[THÀNH TIỀN]] - Cty_An_Phu[[#This Row],[THANH TOÁN]]</f>
        <v>843948946</v>
      </c>
      <c r="K22" s="24"/>
    </row>
    <row r="23" spans="1:11" x14ac:dyDescent="0.25">
      <c r="A23" s="25"/>
      <c r="B23" s="30">
        <v>46141</v>
      </c>
      <c r="C23" s="26" t="s">
        <v>21</v>
      </c>
      <c r="D23" s="38" t="s">
        <v>22</v>
      </c>
      <c r="E23" s="26" t="s">
        <v>147</v>
      </c>
      <c r="F23" s="28">
        <v>0</v>
      </c>
      <c r="G23" s="28"/>
      <c r="H23" s="28">
        <f>Cty_An_Phu[[#This Row],[ĐƠN GIÁ]]*Cty_An_Phu[[#This Row],[SỐ LƯỢNG]]</f>
        <v>0</v>
      </c>
      <c r="I23" s="28">
        <v>65000000</v>
      </c>
      <c r="J23" s="28">
        <f ca="1">N(INDIRECT("R[-1]C", FALSE)) + Cty_An_Phu[[#This Row],[THÀNH TIỀN]] - Cty_An_Phu[[#This Row],[THANH TOÁN]]</f>
        <v>778948946</v>
      </c>
      <c r="K23" s="27"/>
    </row>
    <row r="24" spans="1:11" x14ac:dyDescent="0.25">
      <c r="A24" s="22">
        <v>9330</v>
      </c>
      <c r="B24" s="29">
        <v>46154</v>
      </c>
      <c r="C24" s="23" t="s">
        <v>13</v>
      </c>
      <c r="D24" s="37" t="s">
        <v>17</v>
      </c>
      <c r="E24" s="23" t="s">
        <v>40</v>
      </c>
      <c r="F24" s="31">
        <v>579</v>
      </c>
      <c r="G24" s="31">
        <v>67000</v>
      </c>
      <c r="H24" s="31">
        <f>Cty_An_Phu[[#This Row],[ĐƠN GIÁ]]*Cty_An_Phu[[#This Row],[SỐ LƯỢNG]]</f>
        <v>38793000</v>
      </c>
      <c r="I24" s="31"/>
      <c r="J24" s="31">
        <f ca="1">N(INDIRECT("R[-1]C", FALSE)) + Cty_An_Phu[[#This Row],[THÀNH TIỀN]] - Cty_An_Phu[[#This Row],[THANH TOÁN]]</f>
        <v>817741946</v>
      </c>
      <c r="K24" s="24"/>
    </row>
    <row r="25" spans="1:11" x14ac:dyDescent="0.25">
      <c r="A25" s="22"/>
      <c r="B25" s="29">
        <v>46156</v>
      </c>
      <c r="C25" s="23" t="s">
        <v>21</v>
      </c>
      <c r="D25" s="37" t="s">
        <v>22</v>
      </c>
      <c r="E25" s="23" t="s">
        <v>147</v>
      </c>
      <c r="F25" s="31">
        <v>0</v>
      </c>
      <c r="G25" s="31"/>
      <c r="H25" s="31">
        <f>Cty_An_Phu[[#This Row],[ĐƠN GIÁ]]*Cty_An_Phu[[#This Row],[SỐ LƯỢNG]]</f>
        <v>0</v>
      </c>
      <c r="I25" s="31">
        <v>100000000</v>
      </c>
      <c r="J25" s="31">
        <f ca="1">N(INDIRECT("R[-1]C", FALSE)) + Cty_An_Phu[[#This Row],[THÀNH TIỀN]] - Cty_An_Phu[[#This Row],[THANH TOÁN]]</f>
        <v>717741946</v>
      </c>
      <c r="K25" s="24"/>
    </row>
    <row r="26" spans="1:11" x14ac:dyDescent="0.25">
      <c r="A26" s="22">
        <v>9438</v>
      </c>
      <c r="B26" s="29">
        <v>46158</v>
      </c>
      <c r="C26" s="23" t="s">
        <v>13</v>
      </c>
      <c r="D26" s="37" t="s">
        <v>1842</v>
      </c>
      <c r="E26" s="23" t="s">
        <v>2189</v>
      </c>
      <c r="F26" s="31">
        <v>914</v>
      </c>
      <c r="G26" s="31">
        <v>72500</v>
      </c>
      <c r="H26" s="31">
        <f>Cty_An_Phu[[#This Row],[ĐƠN GIÁ]]*Cty_An_Phu[[#This Row],[SỐ LƯỢNG]]</f>
        <v>66265000</v>
      </c>
      <c r="I26" s="31"/>
      <c r="J26" s="31">
        <f ca="1">N(INDIRECT("R[-1]C", FALSE)) + Cty_An_Phu[[#This Row],[THÀNH TIỀN]] - Cty_An_Phu[[#This Row],[THANH TOÁN]]</f>
        <v>784006946</v>
      </c>
      <c r="K26" s="24"/>
    </row>
    <row r="27" spans="1:11" x14ac:dyDescent="0.25">
      <c r="A27" s="22">
        <v>9438</v>
      </c>
      <c r="B27" s="29">
        <v>46158</v>
      </c>
      <c r="C27" s="23" t="s">
        <v>13</v>
      </c>
      <c r="D27" s="37" t="s">
        <v>1105</v>
      </c>
      <c r="E27" s="23" t="s">
        <v>2190</v>
      </c>
      <c r="F27" s="31">
        <v>338</v>
      </c>
      <c r="G27" s="31">
        <v>67000</v>
      </c>
      <c r="H27" s="31">
        <f>Cty_An_Phu[[#This Row],[ĐƠN GIÁ]]*Cty_An_Phu[[#This Row],[SỐ LƯỢNG]]</f>
        <v>22646000</v>
      </c>
      <c r="I27" s="31"/>
      <c r="J27" s="31">
        <f ca="1">N(INDIRECT("R[-1]C", FALSE)) + Cty_An_Phu[[#This Row],[THÀNH TIỀN]] - Cty_An_Phu[[#This Row],[THANH TOÁN]]</f>
        <v>806652946</v>
      </c>
      <c r="K27" s="24"/>
    </row>
    <row r="28" spans="1:11" x14ac:dyDescent="0.25">
      <c r="A28" s="22"/>
      <c r="B28" s="29">
        <v>46166</v>
      </c>
      <c r="C28" s="23" t="s">
        <v>21</v>
      </c>
      <c r="D28" s="37" t="s">
        <v>22</v>
      </c>
      <c r="E28" s="23" t="s">
        <v>147</v>
      </c>
      <c r="F28" s="31">
        <v>0</v>
      </c>
      <c r="G28" s="31"/>
      <c r="H28" s="31">
        <f>Cty_An_Phu[[#This Row],[ĐƠN GIÁ]]*Cty_An_Phu[[#This Row],[SỐ LƯỢNG]]</f>
        <v>0</v>
      </c>
      <c r="I28" s="31">
        <v>100000000</v>
      </c>
      <c r="J28" s="31">
        <f ca="1">N(INDIRECT("R[-1]C", FALSE)) + Cty_An_Phu[[#This Row],[THÀNH TIỀN]] - Cty_An_Phu[[#This Row],[THANH TOÁN]]</f>
        <v>706652946</v>
      </c>
      <c r="K28" s="24"/>
    </row>
    <row r="29" spans="1:11" x14ac:dyDescent="0.25">
      <c r="A29" s="22"/>
      <c r="B29" s="29">
        <v>46177</v>
      </c>
      <c r="C29" s="23" t="s">
        <v>21</v>
      </c>
      <c r="D29" s="37" t="s">
        <v>22</v>
      </c>
      <c r="E29" s="23" t="s">
        <v>147</v>
      </c>
      <c r="F29" s="31">
        <v>0</v>
      </c>
      <c r="G29" s="31"/>
      <c r="H29" s="31">
        <f>Cty_An_Phu[[#This Row],[ĐƠN GIÁ]]*Cty_An_Phu[[#This Row],[SỐ LƯỢNG]]</f>
        <v>0</v>
      </c>
      <c r="I29" s="31">
        <v>120000000</v>
      </c>
      <c r="J29" s="31">
        <f ca="1">N(INDIRECT("R[-1]C", FALSE)) + Cty_An_Phu[[#This Row],[THÀNH TIỀN]] - Cty_An_Phu[[#This Row],[THANH TOÁN]]</f>
        <v>586652946</v>
      </c>
      <c r="K29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4CC2B7-DDB8-4731-96B5-7CF39906253F}">
  <sheetPr codeName="Sheet16"/>
  <dimension ref="A5:P56"/>
  <sheetViews>
    <sheetView topLeftCell="A19" workbookViewId="0">
      <selection activeCell="H35" sqref="H35:H51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5703125" style="1" bestFit="1" customWidth="1"/>
    <col min="12" max="14" width="9.140625" style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1074933454</v>
      </c>
    </row>
    <row r="6" spans="1:16" ht="22.5" x14ac:dyDescent="0.25">
      <c r="D6" s="34" t="s">
        <v>291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Cty_Cuong_Thinh[[#This Row],[ĐƠN GIÁ]]*Cty_Cuong_Thinh[[#This Row],[SỐ LƯỢNG]]</f>
        <v>0</v>
      </c>
      <c r="I10" s="31"/>
      <c r="J10" s="31">
        <v>105878954</v>
      </c>
      <c r="K10" s="24"/>
    </row>
    <row r="11" spans="1:16" x14ac:dyDescent="0.25">
      <c r="A11" s="22">
        <v>7796</v>
      </c>
      <c r="B11" s="29">
        <v>46083</v>
      </c>
      <c r="C11" s="23" t="s">
        <v>13</v>
      </c>
      <c r="D11" s="37" t="s">
        <v>170</v>
      </c>
      <c r="E11" s="23" t="s">
        <v>292</v>
      </c>
      <c r="F11" s="31">
        <v>996</v>
      </c>
      <c r="G11" s="31">
        <v>60000</v>
      </c>
      <c r="H11" s="31">
        <f>Cty_Cuong_Thinh[[#This Row],[ĐƠN GIÁ]]*Cty_Cuong_Thinh[[#This Row],[SỐ LƯỢNG]]</f>
        <v>59760000</v>
      </c>
      <c r="I11" s="31"/>
      <c r="J11" s="31">
        <f>J10+Cty_Cuong_Thinh[[#This Row],[THÀNH TIỀN]]-Cty_Cuong_Thinh[[#This Row],[THANH TOÁN]]</f>
        <v>165638954</v>
      </c>
      <c r="K11" s="24"/>
    </row>
    <row r="12" spans="1:16" x14ac:dyDescent="0.25">
      <c r="A12" s="22"/>
      <c r="B12" s="29">
        <v>46087</v>
      </c>
      <c r="C12" s="23" t="s">
        <v>21</v>
      </c>
      <c r="D12" s="37" t="s">
        <v>22</v>
      </c>
      <c r="E12" s="23" t="s">
        <v>147</v>
      </c>
      <c r="F12" s="31">
        <v>0</v>
      </c>
      <c r="G12" s="31">
        <v>0</v>
      </c>
      <c r="H12" s="31">
        <f>Cty_Cuong_Thinh[[#This Row],[ĐƠN GIÁ]]*Cty_Cuong_Thinh[[#This Row],[SỐ LƯỢNG]]</f>
        <v>0</v>
      </c>
      <c r="I12" s="31">
        <v>60000000</v>
      </c>
      <c r="J12" s="31">
        <f>J11+Cty_Cuong_Thinh[[#This Row],[THÀNH TIỀN]]-Cty_Cuong_Thinh[[#This Row],[THANH TOÁN]]</f>
        <v>105638954</v>
      </c>
      <c r="K12" s="24"/>
    </row>
    <row r="13" spans="1:16" x14ac:dyDescent="0.25">
      <c r="A13" s="22">
        <v>7982</v>
      </c>
      <c r="B13" s="29">
        <v>46091</v>
      </c>
      <c r="C13" s="23" t="s">
        <v>13</v>
      </c>
      <c r="D13" s="37" t="s">
        <v>109</v>
      </c>
      <c r="E13" s="23" t="s">
        <v>151</v>
      </c>
      <c r="F13" s="31">
        <v>180</v>
      </c>
      <c r="G13" s="31">
        <v>57000</v>
      </c>
      <c r="H13" s="31">
        <f>Cty_Cuong_Thinh[[#This Row],[ĐƠN GIÁ]]*Cty_Cuong_Thinh[[#This Row],[SỐ LƯỢNG]]</f>
        <v>10260000</v>
      </c>
      <c r="I13" s="31"/>
      <c r="J13" s="31">
        <f>J12+Cty_Cuong_Thinh[[#This Row],[THÀNH TIỀN]]-Cty_Cuong_Thinh[[#This Row],[THANH TOÁN]]</f>
        <v>115898954</v>
      </c>
      <c r="K13" s="24"/>
    </row>
    <row r="14" spans="1:16" x14ac:dyDescent="0.25">
      <c r="A14" s="22">
        <v>8137</v>
      </c>
      <c r="B14" s="29">
        <v>46098</v>
      </c>
      <c r="C14" s="23" t="s">
        <v>13</v>
      </c>
      <c r="D14" s="37" t="s">
        <v>43</v>
      </c>
      <c r="E14" s="23" t="s">
        <v>230</v>
      </c>
      <c r="F14" s="31">
        <v>5776</v>
      </c>
      <c r="G14" s="31">
        <v>0</v>
      </c>
      <c r="H14" s="31">
        <f>Cty_Cuong_Thinh[[#This Row],[ĐƠN GIÁ]]*Cty_Cuong_Thinh[[#This Row],[SỐ LƯỢNG]]</f>
        <v>0</v>
      </c>
      <c r="I14" s="31"/>
      <c r="J14" s="31">
        <f>J13+Cty_Cuong_Thinh[[#This Row],[THÀNH TIỀN]]-Cty_Cuong_Thinh[[#This Row],[THANH TOÁN]]</f>
        <v>115898954</v>
      </c>
      <c r="K14" s="24"/>
      <c r="P14" s="35"/>
    </row>
    <row r="15" spans="1:16" x14ac:dyDescent="0.25">
      <c r="A15" s="25">
        <v>8137</v>
      </c>
      <c r="B15" s="30">
        <v>46098</v>
      </c>
      <c r="C15" s="23" t="s">
        <v>13</v>
      </c>
      <c r="D15" s="37" t="s">
        <v>43</v>
      </c>
      <c r="E15" s="26" t="s">
        <v>40</v>
      </c>
      <c r="F15" s="28">
        <v>2526</v>
      </c>
      <c r="G15" s="31">
        <v>0</v>
      </c>
      <c r="H15" s="28">
        <f>Cty_Cuong_Thinh[[#This Row],[ĐƠN GIÁ]]*Cty_Cuong_Thinh[[#This Row],[SỐ LƯỢNG]]</f>
        <v>0</v>
      </c>
      <c r="I15" s="28"/>
      <c r="J15" s="31">
        <f>J14+Cty_Cuong_Thinh[[#This Row],[THÀNH TIỀN]]-Cty_Cuong_Thinh[[#This Row],[THANH TOÁN]]</f>
        <v>115898954</v>
      </c>
      <c r="K15" s="27"/>
    </row>
    <row r="16" spans="1:16" x14ac:dyDescent="0.25">
      <c r="A16" s="25">
        <v>8152</v>
      </c>
      <c r="B16" s="30">
        <v>46098</v>
      </c>
      <c r="C16" s="23" t="s">
        <v>13</v>
      </c>
      <c r="D16" s="38" t="s">
        <v>43</v>
      </c>
      <c r="E16" s="26" t="s">
        <v>136</v>
      </c>
      <c r="F16" s="28">
        <v>4980</v>
      </c>
      <c r="G16" s="31">
        <v>0</v>
      </c>
      <c r="H16" s="28">
        <f>Cty_Cuong_Thinh[[#This Row],[ĐƠN GIÁ]]*Cty_Cuong_Thinh[[#This Row],[SỐ LƯỢNG]]</f>
        <v>0</v>
      </c>
      <c r="I16" s="28"/>
      <c r="J16" s="28">
        <f>J15+Cty_Cuong_Thinh[[#This Row],[THÀNH TIỀN]]-Cty_Cuong_Thinh[[#This Row],[THANH TOÁN]]</f>
        <v>115898954</v>
      </c>
      <c r="K16" s="27"/>
    </row>
    <row r="17" spans="1:11" x14ac:dyDescent="0.25">
      <c r="A17" s="25">
        <v>8152</v>
      </c>
      <c r="B17" s="30">
        <v>46098</v>
      </c>
      <c r="C17" s="23" t="s">
        <v>13</v>
      </c>
      <c r="D17" s="38" t="s">
        <v>43</v>
      </c>
      <c r="E17" s="26" t="s">
        <v>41</v>
      </c>
      <c r="F17" s="28">
        <v>5898</v>
      </c>
      <c r="G17" s="28">
        <v>0</v>
      </c>
      <c r="H17" s="28">
        <f>Cty_Cuong_Thinh[[#This Row],[ĐƠN GIÁ]]*Cty_Cuong_Thinh[[#This Row],[SỐ LƯỢNG]]</f>
        <v>0</v>
      </c>
      <c r="I17" s="28"/>
      <c r="J17" s="28">
        <f>J16+Cty_Cuong_Thinh[[#This Row],[THÀNH TIỀN]]-Cty_Cuong_Thinh[[#This Row],[THANH TOÁN]]</f>
        <v>115898954</v>
      </c>
      <c r="K17" s="27"/>
    </row>
    <row r="18" spans="1:11" x14ac:dyDescent="0.25">
      <c r="A18" s="25"/>
      <c r="B18" s="30">
        <v>46101</v>
      </c>
      <c r="C18" s="23" t="s">
        <v>21</v>
      </c>
      <c r="D18" s="38" t="s">
        <v>22</v>
      </c>
      <c r="E18" s="26" t="s">
        <v>147</v>
      </c>
      <c r="F18" s="28">
        <v>0</v>
      </c>
      <c r="G18" s="28">
        <v>0</v>
      </c>
      <c r="H18" s="28">
        <f>Cty_Cuong_Thinh[[#This Row],[ĐƠN GIÁ]]*Cty_Cuong_Thinh[[#This Row],[SỐ LƯỢNG]]</f>
        <v>0</v>
      </c>
      <c r="I18" s="28">
        <v>100000000</v>
      </c>
      <c r="J18" s="28">
        <f>J17+Cty_Cuong_Thinh[[#This Row],[THÀNH TIỀN]]-Cty_Cuong_Thinh[[#This Row],[THANH TOÁN]]</f>
        <v>15898954</v>
      </c>
      <c r="K18" s="27"/>
    </row>
    <row r="19" spans="1:11" x14ac:dyDescent="0.25">
      <c r="A19" s="25">
        <v>8380</v>
      </c>
      <c r="B19" s="30">
        <v>46108</v>
      </c>
      <c r="C19" s="23" t="s">
        <v>13</v>
      </c>
      <c r="D19" s="38" t="s">
        <v>43</v>
      </c>
      <c r="E19" s="23" t="s">
        <v>230</v>
      </c>
      <c r="F19" s="31">
        <v>902</v>
      </c>
      <c r="G19" s="31">
        <v>64500</v>
      </c>
      <c r="H19" s="31">
        <f>Cty_Cuong_Thinh[[#This Row],[ĐƠN GIÁ]]*Cty_Cuong_Thinh[[#This Row],[SỐ LƯỢNG]]</f>
        <v>58179000</v>
      </c>
      <c r="I19" s="31"/>
      <c r="J19" s="31">
        <f>J18+Cty_Cuong_Thinh[[#This Row],[THÀNH TIỀN]]-Cty_Cuong_Thinh[[#This Row],[THANH TOÁN]]</f>
        <v>74077954</v>
      </c>
      <c r="K19" s="24"/>
    </row>
    <row r="20" spans="1:11" x14ac:dyDescent="0.25">
      <c r="A20" s="25">
        <v>8380</v>
      </c>
      <c r="B20" s="30">
        <v>46108</v>
      </c>
      <c r="C20" s="23" t="s">
        <v>13</v>
      </c>
      <c r="D20" s="38" t="s">
        <v>43</v>
      </c>
      <c r="E20" s="23" t="s">
        <v>40</v>
      </c>
      <c r="F20" s="31">
        <v>1859</v>
      </c>
      <c r="G20" s="31">
        <v>62000</v>
      </c>
      <c r="H20" s="31">
        <f>Cty_Cuong_Thinh[[#This Row],[ĐƠN GIÁ]]*Cty_Cuong_Thinh[[#This Row],[SỐ LƯỢNG]]</f>
        <v>115258000</v>
      </c>
      <c r="I20" s="31"/>
      <c r="J20" s="31">
        <f>J19+Cty_Cuong_Thinh[[#This Row],[THÀNH TIỀN]]-Cty_Cuong_Thinh[[#This Row],[THANH TOÁN]]</f>
        <v>189335954</v>
      </c>
      <c r="K20" s="24"/>
    </row>
    <row r="21" spans="1:11" x14ac:dyDescent="0.25">
      <c r="A21" s="25">
        <v>8380</v>
      </c>
      <c r="B21" s="30">
        <v>46108</v>
      </c>
      <c r="C21" s="26" t="s">
        <v>13</v>
      </c>
      <c r="D21" s="38" t="s">
        <v>43</v>
      </c>
      <c r="E21" s="26" t="s">
        <v>136</v>
      </c>
      <c r="F21" s="28">
        <v>1794</v>
      </c>
      <c r="G21" s="28">
        <v>60500</v>
      </c>
      <c r="H21" s="28">
        <f>Cty_Cuong_Thinh[[#This Row],[ĐƠN GIÁ]]*Cty_Cuong_Thinh[[#This Row],[SỐ LƯỢNG]]</f>
        <v>108537000</v>
      </c>
      <c r="I21" s="28"/>
      <c r="J21" s="28">
        <f>J20+Cty_Cuong_Thinh[[#This Row],[THÀNH TIỀN]]-Cty_Cuong_Thinh[[#This Row],[THANH TOÁN]]</f>
        <v>297872954</v>
      </c>
      <c r="K21" s="27"/>
    </row>
    <row r="22" spans="1:11" x14ac:dyDescent="0.25">
      <c r="A22" s="25">
        <v>8380</v>
      </c>
      <c r="B22" s="30">
        <v>46108</v>
      </c>
      <c r="C22" s="26" t="s">
        <v>13</v>
      </c>
      <c r="D22" s="38" t="s">
        <v>43</v>
      </c>
      <c r="E22" s="26" t="s">
        <v>41</v>
      </c>
      <c r="F22" s="28">
        <v>946</v>
      </c>
      <c r="G22" s="28">
        <v>61000</v>
      </c>
      <c r="H22" s="28">
        <f>Cty_Cuong_Thinh[[#This Row],[ĐƠN GIÁ]]*Cty_Cuong_Thinh[[#This Row],[SỐ LƯỢNG]]</f>
        <v>57706000</v>
      </c>
      <c r="I22" s="28"/>
      <c r="J22" s="28">
        <f>J21+Cty_Cuong_Thinh[[#This Row],[THÀNH TIỀN]]-Cty_Cuong_Thinh[[#This Row],[THANH TOÁN]]</f>
        <v>355578954</v>
      </c>
      <c r="K22" s="27"/>
    </row>
    <row r="23" spans="1:11" x14ac:dyDescent="0.25">
      <c r="A23" s="22">
        <v>149</v>
      </c>
      <c r="B23" s="29">
        <v>46108</v>
      </c>
      <c r="C23" s="23" t="s">
        <v>166</v>
      </c>
      <c r="D23" s="37" t="s">
        <v>17</v>
      </c>
      <c r="E23" s="23" t="s">
        <v>33</v>
      </c>
      <c r="F23" s="31">
        <v>594</v>
      </c>
      <c r="G23" s="31">
        <v>-61500</v>
      </c>
      <c r="H23" s="31">
        <f>Cty_Cuong_Thinh[[#This Row],[ĐƠN GIÁ]]*Cty_Cuong_Thinh[[#This Row],[SỐ LƯỢNG]]</f>
        <v>-36531000</v>
      </c>
      <c r="I23" s="31"/>
      <c r="J23" s="31">
        <f>J22+Cty_Cuong_Thinh[[#This Row],[THÀNH TIỀN]]-Cty_Cuong_Thinh[[#This Row],[THANH TOÁN]]</f>
        <v>319047954</v>
      </c>
      <c r="K23" s="24"/>
    </row>
    <row r="24" spans="1:11" x14ac:dyDescent="0.25">
      <c r="A24" s="22"/>
      <c r="B24" s="29">
        <v>46115</v>
      </c>
      <c r="C24" s="23" t="s">
        <v>21</v>
      </c>
      <c r="D24" s="37" t="s">
        <v>22</v>
      </c>
      <c r="E24" s="23" t="s">
        <v>147</v>
      </c>
      <c r="F24" s="31">
        <v>0</v>
      </c>
      <c r="G24" s="31"/>
      <c r="H24" s="31">
        <f>Cty_Cuong_Thinh[[#This Row],[ĐƠN GIÁ]]*Cty_Cuong_Thinh[[#This Row],[SỐ LƯỢNG]]</f>
        <v>0</v>
      </c>
      <c r="I24" s="31">
        <v>100000000</v>
      </c>
      <c r="J24" s="31">
        <f>J23+Cty_Cuong_Thinh[[#This Row],[THÀNH TIỀN]]-Cty_Cuong_Thinh[[#This Row],[THANH TOÁN]]</f>
        <v>219047954</v>
      </c>
      <c r="K24" s="24"/>
    </row>
    <row r="25" spans="1:11" x14ac:dyDescent="0.25">
      <c r="A25" s="22">
        <v>8696</v>
      </c>
      <c r="B25" s="29">
        <v>46123</v>
      </c>
      <c r="C25" s="23" t="s">
        <v>13</v>
      </c>
      <c r="D25" s="37" t="s">
        <v>43</v>
      </c>
      <c r="E25" s="23" t="s">
        <v>230</v>
      </c>
      <c r="F25" s="31">
        <v>646</v>
      </c>
      <c r="G25" s="31">
        <v>66000</v>
      </c>
      <c r="H25" s="31">
        <f>Cty_Cuong_Thinh[[#This Row],[ĐƠN GIÁ]]*Cty_Cuong_Thinh[[#This Row],[SỐ LƯỢNG]]</f>
        <v>42636000</v>
      </c>
      <c r="I25" s="31"/>
      <c r="J25" s="31">
        <f>J24+Cty_Cuong_Thinh[[#This Row],[THÀNH TIỀN]]-Cty_Cuong_Thinh[[#This Row],[THANH TOÁN]]</f>
        <v>261683954</v>
      </c>
      <c r="K25" s="24"/>
    </row>
    <row r="26" spans="1:11" x14ac:dyDescent="0.25">
      <c r="A26" s="22">
        <v>8817</v>
      </c>
      <c r="B26" s="29">
        <v>46128</v>
      </c>
      <c r="C26" s="23" t="s">
        <v>13</v>
      </c>
      <c r="D26" s="37" t="s">
        <v>17</v>
      </c>
      <c r="E26" s="23" t="s">
        <v>46</v>
      </c>
      <c r="F26" s="31">
        <v>210</v>
      </c>
      <c r="G26" s="31">
        <v>67000</v>
      </c>
      <c r="H26" s="31">
        <f>Cty_Cuong_Thinh[[#This Row],[ĐƠN GIÁ]]*Cty_Cuong_Thinh[[#This Row],[SỐ LƯỢNG]]</f>
        <v>14070000</v>
      </c>
      <c r="I26" s="31"/>
      <c r="J26" s="31">
        <f>J25+Cty_Cuong_Thinh[[#This Row],[THÀNH TIỀN]]-Cty_Cuong_Thinh[[#This Row],[THANH TOÁN]]</f>
        <v>275753954</v>
      </c>
      <c r="K26" s="24"/>
    </row>
    <row r="27" spans="1:11" x14ac:dyDescent="0.25">
      <c r="A27" s="22">
        <v>8817</v>
      </c>
      <c r="B27" s="29">
        <v>46128</v>
      </c>
      <c r="C27" s="23" t="s">
        <v>13</v>
      </c>
      <c r="D27" s="37" t="s">
        <v>17</v>
      </c>
      <c r="E27" s="23" t="s">
        <v>40</v>
      </c>
      <c r="F27" s="31">
        <v>240</v>
      </c>
      <c r="G27" s="31">
        <v>67000</v>
      </c>
      <c r="H27" s="31">
        <f>Cty_Cuong_Thinh[[#This Row],[ĐƠN GIÁ]]*Cty_Cuong_Thinh[[#This Row],[SỐ LƯỢNG]]</f>
        <v>16080000</v>
      </c>
      <c r="I27" s="31"/>
      <c r="J27" s="31">
        <f>J26+Cty_Cuong_Thinh[[#This Row],[THÀNH TIỀN]]-Cty_Cuong_Thinh[[#This Row],[THANH TOÁN]]</f>
        <v>291833954</v>
      </c>
      <c r="K27" s="24"/>
    </row>
    <row r="28" spans="1:11" x14ac:dyDescent="0.25">
      <c r="A28" s="22">
        <v>8843</v>
      </c>
      <c r="B28" s="29">
        <v>46129</v>
      </c>
      <c r="C28" s="23" t="s">
        <v>13</v>
      </c>
      <c r="D28" s="37" t="s">
        <v>293</v>
      </c>
      <c r="E28" s="23" t="s">
        <v>230</v>
      </c>
      <c r="F28" s="31">
        <v>2508</v>
      </c>
      <c r="G28" s="31">
        <v>66000</v>
      </c>
      <c r="H28" s="31">
        <f>Cty_Cuong_Thinh[[#This Row],[ĐƠN GIÁ]]*Cty_Cuong_Thinh[[#This Row],[SỐ LƯỢNG]]</f>
        <v>165528000</v>
      </c>
      <c r="I28" s="31"/>
      <c r="J28" s="31">
        <f>J27+Cty_Cuong_Thinh[[#This Row],[THÀNH TIỀN]]-Cty_Cuong_Thinh[[#This Row],[THANH TOÁN]]</f>
        <v>457361954</v>
      </c>
      <c r="K28" s="24"/>
    </row>
    <row r="29" spans="1:11" x14ac:dyDescent="0.25">
      <c r="A29" s="22"/>
      <c r="B29" s="29">
        <v>46129</v>
      </c>
      <c r="C29" s="23" t="s">
        <v>21</v>
      </c>
      <c r="D29" s="37" t="s">
        <v>22</v>
      </c>
      <c r="E29" s="23" t="s">
        <v>147</v>
      </c>
      <c r="F29" s="31">
        <v>0</v>
      </c>
      <c r="G29" s="31"/>
      <c r="H29" s="31">
        <f>Cty_Cuong_Thinh[[#This Row],[ĐƠN GIÁ]]*Cty_Cuong_Thinh[[#This Row],[SỐ LƯỢNG]]</f>
        <v>0</v>
      </c>
      <c r="I29" s="31">
        <v>100000000</v>
      </c>
      <c r="J29" s="31">
        <f>J28+Cty_Cuong_Thinh[[#This Row],[THÀNH TIỀN]]-Cty_Cuong_Thinh[[#This Row],[THANH TOÁN]]</f>
        <v>357361954</v>
      </c>
      <c r="K29" s="24"/>
    </row>
    <row r="30" spans="1:11" x14ac:dyDescent="0.25">
      <c r="A30" s="22">
        <v>8916</v>
      </c>
      <c r="B30" s="29">
        <v>46133</v>
      </c>
      <c r="C30" s="23" t="s">
        <v>13</v>
      </c>
      <c r="D30" s="37" t="s">
        <v>43</v>
      </c>
      <c r="E30" s="23" t="s">
        <v>230</v>
      </c>
      <c r="F30" s="31">
        <v>246</v>
      </c>
      <c r="G30" s="31">
        <v>66000</v>
      </c>
      <c r="H30" s="31">
        <f>Cty_Cuong_Thinh[[#This Row],[ĐƠN GIÁ]]*Cty_Cuong_Thinh[[#This Row],[SỐ LƯỢNG]]</f>
        <v>16236000</v>
      </c>
      <c r="I30" s="31"/>
      <c r="J30" s="31">
        <f>J29+Cty_Cuong_Thinh[[#This Row],[THÀNH TIỀN]]-Cty_Cuong_Thinh[[#This Row],[THANH TOÁN]]</f>
        <v>373597954</v>
      </c>
      <c r="K30" s="24"/>
    </row>
    <row r="31" spans="1:11" x14ac:dyDescent="0.25">
      <c r="A31" s="22">
        <v>8954</v>
      </c>
      <c r="B31" s="29">
        <v>46135</v>
      </c>
      <c r="C31" s="23" t="s">
        <v>13</v>
      </c>
      <c r="D31" s="37" t="s">
        <v>43</v>
      </c>
      <c r="E31" s="23" t="s">
        <v>230</v>
      </c>
      <c r="F31" s="31">
        <v>304</v>
      </c>
      <c r="G31" s="31">
        <v>66000</v>
      </c>
      <c r="H31" s="31">
        <f>Cty_Cuong_Thinh[[#This Row],[ĐƠN GIÁ]]*Cty_Cuong_Thinh[[#This Row],[SỐ LƯỢNG]]</f>
        <v>20064000</v>
      </c>
      <c r="I31" s="31"/>
      <c r="J31" s="31">
        <f>J30+Cty_Cuong_Thinh[[#This Row],[THÀNH TIỀN]]-Cty_Cuong_Thinh[[#This Row],[THANH TOÁN]]</f>
        <v>393661954</v>
      </c>
      <c r="K31" s="24"/>
    </row>
    <row r="32" spans="1:11" x14ac:dyDescent="0.25">
      <c r="A32" s="22"/>
      <c r="B32" s="29">
        <v>46139</v>
      </c>
      <c r="C32" s="23" t="s">
        <v>21</v>
      </c>
      <c r="D32" s="37" t="s">
        <v>22</v>
      </c>
      <c r="E32" s="23" t="s">
        <v>261</v>
      </c>
      <c r="F32" s="31">
        <v>0</v>
      </c>
      <c r="G32" s="31"/>
      <c r="H32" s="31">
        <f>Cty_Cuong_Thinh[[#This Row],[ĐƠN GIÁ]]*Cty_Cuong_Thinh[[#This Row],[SỐ LƯỢNG]]</f>
        <v>0</v>
      </c>
      <c r="I32" s="31">
        <v>100000000</v>
      </c>
      <c r="J32" s="31">
        <f>J31+Cty_Cuong_Thinh[[#This Row],[THÀNH TIỀN]]-Cty_Cuong_Thinh[[#This Row],[THANH TOÁN]]</f>
        <v>293661954</v>
      </c>
      <c r="K32" s="24"/>
    </row>
    <row r="33" spans="1:11" x14ac:dyDescent="0.25">
      <c r="A33" s="22">
        <v>9079</v>
      </c>
      <c r="B33" s="29">
        <v>46140</v>
      </c>
      <c r="C33" s="23" t="s">
        <v>13</v>
      </c>
      <c r="D33" s="37" t="s">
        <v>17</v>
      </c>
      <c r="E33" s="23" t="s">
        <v>230</v>
      </c>
      <c r="F33" s="31">
        <v>3387</v>
      </c>
      <c r="G33" s="31">
        <v>69500</v>
      </c>
      <c r="H33" s="31">
        <f>Cty_Cuong_Thinh[[#This Row],[ĐƠN GIÁ]]*Cty_Cuong_Thinh[[#This Row],[SỐ LƯỢNG]]</f>
        <v>235396500</v>
      </c>
      <c r="I33" s="31"/>
      <c r="J33" s="31">
        <f>J32+Cty_Cuong_Thinh[[#This Row],[THÀNH TIỀN]]-Cty_Cuong_Thinh[[#This Row],[THANH TOÁN]]</f>
        <v>529058454</v>
      </c>
      <c r="K33" s="24"/>
    </row>
    <row r="34" spans="1:11" x14ac:dyDescent="0.25">
      <c r="A34" s="22">
        <v>9079</v>
      </c>
      <c r="B34" s="29">
        <v>46140</v>
      </c>
      <c r="C34" s="23" t="s">
        <v>13</v>
      </c>
      <c r="D34" s="37" t="s">
        <v>17</v>
      </c>
      <c r="E34" s="23" t="s">
        <v>40</v>
      </c>
      <c r="F34" s="31">
        <v>1341</v>
      </c>
      <c r="G34" s="31">
        <v>67000</v>
      </c>
      <c r="H34" s="31">
        <f>Cty_Cuong_Thinh[[#This Row],[ĐƠN GIÁ]]*Cty_Cuong_Thinh[[#This Row],[SỐ LƯỢNG]]</f>
        <v>89847000</v>
      </c>
      <c r="I34" s="31"/>
      <c r="J34" s="31">
        <f>J33+Cty_Cuong_Thinh[[#This Row],[THÀNH TIỀN]]-Cty_Cuong_Thinh[[#This Row],[THANH TOÁN]]</f>
        <v>618905454</v>
      </c>
      <c r="K34" s="24"/>
    </row>
    <row r="35" spans="1:11" x14ac:dyDescent="0.25">
      <c r="A35" s="22">
        <v>9136</v>
      </c>
      <c r="B35" s="29">
        <v>46146</v>
      </c>
      <c r="C35" s="23" t="s">
        <v>13</v>
      </c>
      <c r="D35" s="37" t="s">
        <v>26</v>
      </c>
      <c r="E35" s="23" t="s">
        <v>41</v>
      </c>
      <c r="F35" s="31">
        <v>2062</v>
      </c>
      <c r="G35" s="31">
        <v>35000</v>
      </c>
      <c r="H35" s="31">
        <f>Cty_Cuong_Thinh[[#This Row],[ĐƠN GIÁ]]*Cty_Cuong_Thinh[[#This Row],[SỐ LƯỢNG]]</f>
        <v>72170000</v>
      </c>
      <c r="I35" s="31"/>
      <c r="J35" s="31">
        <f>J34+Cty_Cuong_Thinh[[#This Row],[THÀNH TIỀN]]-Cty_Cuong_Thinh[[#This Row],[THANH TOÁN]]</f>
        <v>691075454</v>
      </c>
      <c r="K35" s="24" t="s">
        <v>2022</v>
      </c>
    </row>
    <row r="36" spans="1:11" x14ac:dyDescent="0.25">
      <c r="A36" s="22">
        <v>9136</v>
      </c>
      <c r="B36" s="29">
        <v>46146</v>
      </c>
      <c r="C36" s="23" t="s">
        <v>13</v>
      </c>
      <c r="D36" s="37" t="s">
        <v>43</v>
      </c>
      <c r="E36" s="23" t="s">
        <v>136</v>
      </c>
      <c r="F36" s="31">
        <v>1288</v>
      </c>
      <c r="G36" s="31">
        <v>63000</v>
      </c>
      <c r="H36" s="31">
        <f>Cty_Cuong_Thinh[[#This Row],[ĐƠN GIÁ]]*Cty_Cuong_Thinh[[#This Row],[SỐ LƯỢNG]]</f>
        <v>81144000</v>
      </c>
      <c r="I36" s="31"/>
      <c r="J36" s="31">
        <f>J35+Cty_Cuong_Thinh[[#This Row],[THÀNH TIỀN]]-Cty_Cuong_Thinh[[#This Row],[THANH TOÁN]]</f>
        <v>772219454</v>
      </c>
      <c r="K36" s="24"/>
    </row>
    <row r="37" spans="1:11" x14ac:dyDescent="0.25">
      <c r="A37" s="22">
        <v>9230</v>
      </c>
      <c r="B37" s="29">
        <v>46149</v>
      </c>
      <c r="C37" s="23" t="s">
        <v>13</v>
      </c>
      <c r="D37" s="37" t="s">
        <v>43</v>
      </c>
      <c r="E37" s="23" t="s">
        <v>230</v>
      </c>
      <c r="F37" s="31">
        <v>304</v>
      </c>
      <c r="G37" s="31">
        <v>67000</v>
      </c>
      <c r="H37" s="31">
        <f>Cty_Cuong_Thinh[[#This Row],[ĐƠN GIÁ]]*Cty_Cuong_Thinh[[#This Row],[SỐ LƯỢNG]]</f>
        <v>20368000</v>
      </c>
      <c r="I37" s="31"/>
      <c r="J37" s="31">
        <f>J36+Cty_Cuong_Thinh[[#This Row],[THÀNH TIỀN]]-Cty_Cuong_Thinh[[#This Row],[THANH TOÁN]]</f>
        <v>792587454</v>
      </c>
      <c r="K37" s="24"/>
    </row>
    <row r="38" spans="1:11" x14ac:dyDescent="0.25">
      <c r="A38" s="22"/>
      <c r="B38" s="29">
        <v>46150</v>
      </c>
      <c r="C38" s="23" t="s">
        <v>21</v>
      </c>
      <c r="D38" s="37" t="s">
        <v>22</v>
      </c>
      <c r="E38" s="23" t="s">
        <v>261</v>
      </c>
      <c r="F38" s="31">
        <v>0</v>
      </c>
      <c r="G38" s="31"/>
      <c r="H38" s="31">
        <f>Cty_Cuong_Thinh[[#This Row],[ĐƠN GIÁ]]*Cty_Cuong_Thinh[[#This Row],[SỐ LƯỢNG]]</f>
        <v>0</v>
      </c>
      <c r="I38" s="31">
        <v>100000000</v>
      </c>
      <c r="J38" s="31">
        <f>J37+Cty_Cuong_Thinh[[#This Row],[THÀNH TIỀN]]-Cty_Cuong_Thinh[[#This Row],[THANH TOÁN]]</f>
        <v>692587454</v>
      </c>
      <c r="K38" s="24"/>
    </row>
    <row r="39" spans="1:11" x14ac:dyDescent="0.25">
      <c r="A39" s="25">
        <v>9293</v>
      </c>
      <c r="B39" s="30">
        <v>46151</v>
      </c>
      <c r="C39" s="26" t="s">
        <v>13</v>
      </c>
      <c r="D39" s="38" t="s">
        <v>17</v>
      </c>
      <c r="E39" s="26" t="s">
        <v>41</v>
      </c>
      <c r="F39" s="28">
        <v>234</v>
      </c>
      <c r="G39" s="28">
        <v>66000</v>
      </c>
      <c r="H39" s="28">
        <f>Cty_Cuong_Thinh[[#This Row],[ĐƠN GIÁ]]*Cty_Cuong_Thinh[[#This Row],[SỐ LƯỢNG]]</f>
        <v>15444000</v>
      </c>
      <c r="I39" s="28"/>
      <c r="J39" s="28">
        <f>J38+Cty_Cuong_Thinh[[#This Row],[THÀNH TIỀN]]-Cty_Cuong_Thinh[[#This Row],[THANH TOÁN]]</f>
        <v>708031454</v>
      </c>
      <c r="K39" s="27"/>
    </row>
    <row r="40" spans="1:11" x14ac:dyDescent="0.25">
      <c r="A40" s="22">
        <v>2853</v>
      </c>
      <c r="B40" s="29">
        <v>46153</v>
      </c>
      <c r="C40" s="23" t="s">
        <v>426</v>
      </c>
      <c r="D40" s="37" t="s">
        <v>26</v>
      </c>
      <c r="E40" s="23" t="s">
        <v>41</v>
      </c>
      <c r="F40" s="31">
        <v>1134</v>
      </c>
      <c r="G40" s="31">
        <v>-35000</v>
      </c>
      <c r="H40" s="31">
        <f>Cty_Cuong_Thinh[[#This Row],[ĐƠN GIÁ]]*Cty_Cuong_Thinh[[#This Row],[SỐ LƯỢNG]]</f>
        <v>-39690000</v>
      </c>
      <c r="I40" s="31"/>
      <c r="J40" s="31">
        <f>J39+Cty_Cuong_Thinh[[#This Row],[THÀNH TIỀN]]-Cty_Cuong_Thinh[[#This Row],[THANH TOÁN]]</f>
        <v>668341454</v>
      </c>
      <c r="K40" s="24" t="s">
        <v>2023</v>
      </c>
    </row>
    <row r="41" spans="1:11" x14ac:dyDescent="0.25">
      <c r="A41" s="22">
        <v>9334</v>
      </c>
      <c r="B41" s="29">
        <v>46154</v>
      </c>
      <c r="C41" s="23" t="s">
        <v>13</v>
      </c>
      <c r="D41" s="37" t="s">
        <v>43</v>
      </c>
      <c r="E41" s="23" t="s">
        <v>237</v>
      </c>
      <c r="F41" s="31">
        <v>406</v>
      </c>
      <c r="G41" s="31">
        <v>67000</v>
      </c>
      <c r="H41" s="31">
        <f>Cty_Cuong_Thinh[[#This Row],[ĐƠN GIÁ]]*Cty_Cuong_Thinh[[#This Row],[SỐ LƯỢNG]]</f>
        <v>27202000</v>
      </c>
      <c r="I41" s="31"/>
      <c r="J41" s="31">
        <f>J40+Cty_Cuong_Thinh[[#This Row],[THÀNH TIỀN]]-Cty_Cuong_Thinh[[#This Row],[THANH TOÁN]]</f>
        <v>695543454</v>
      </c>
      <c r="K41" s="24"/>
    </row>
    <row r="42" spans="1:11" x14ac:dyDescent="0.25">
      <c r="A42" s="22">
        <v>9334</v>
      </c>
      <c r="B42" s="29">
        <v>46154</v>
      </c>
      <c r="C42" s="23" t="s">
        <v>13</v>
      </c>
      <c r="D42" s="37" t="s">
        <v>84</v>
      </c>
      <c r="E42" s="23">
        <v>406</v>
      </c>
      <c r="F42" s="31">
        <v>1</v>
      </c>
      <c r="G42" s="31">
        <v>330000</v>
      </c>
      <c r="H42" s="31">
        <f>Cty_Cuong_Thinh[[#This Row],[ĐƠN GIÁ]]*Cty_Cuong_Thinh[[#This Row],[SỐ LƯỢNG]]</f>
        <v>330000</v>
      </c>
      <c r="I42" s="31"/>
      <c r="J42" s="31">
        <f>J41+Cty_Cuong_Thinh[[#This Row],[THÀNH TIỀN]]-Cty_Cuong_Thinh[[#This Row],[THANH TOÁN]]</f>
        <v>695873454</v>
      </c>
      <c r="K42" s="24"/>
    </row>
    <row r="43" spans="1:11" x14ac:dyDescent="0.25">
      <c r="A43" s="22">
        <v>9403</v>
      </c>
      <c r="B43" s="29">
        <v>46157</v>
      </c>
      <c r="C43" s="23" t="s">
        <v>13</v>
      </c>
      <c r="D43" s="37" t="s">
        <v>17</v>
      </c>
      <c r="E43" s="23" t="s">
        <v>41</v>
      </c>
      <c r="F43" s="31">
        <v>310</v>
      </c>
      <c r="G43" s="31">
        <v>66000</v>
      </c>
      <c r="H43" s="31">
        <f>Cty_Cuong_Thinh[[#This Row],[ĐƠN GIÁ]]*Cty_Cuong_Thinh[[#This Row],[SỐ LƯỢNG]]</f>
        <v>20460000</v>
      </c>
      <c r="I43" s="31"/>
      <c r="J43" s="31">
        <f>J42+Cty_Cuong_Thinh[[#This Row],[THÀNH TIỀN]]-Cty_Cuong_Thinh[[#This Row],[THANH TOÁN]]</f>
        <v>716333454</v>
      </c>
      <c r="K43" s="24"/>
    </row>
    <row r="44" spans="1:11" x14ac:dyDescent="0.25">
      <c r="A44" s="22"/>
      <c r="B44" s="29">
        <v>46157</v>
      </c>
      <c r="C44" s="23" t="s">
        <v>21</v>
      </c>
      <c r="D44" s="37" t="s">
        <v>22</v>
      </c>
      <c r="E44" s="23" t="s">
        <v>2155</v>
      </c>
      <c r="F44" s="31">
        <v>0</v>
      </c>
      <c r="G44" s="31"/>
      <c r="H44" s="31">
        <f>Cty_Cuong_Thinh[[#This Row],[ĐƠN GIÁ]]*Cty_Cuong_Thinh[[#This Row],[SỐ LƯỢNG]]</f>
        <v>0</v>
      </c>
      <c r="I44" s="31">
        <v>100000000</v>
      </c>
      <c r="J44" s="31">
        <f>J43+Cty_Cuong_Thinh[[#This Row],[THÀNH TIỀN]]-Cty_Cuong_Thinh[[#This Row],[THANH TOÁN]]</f>
        <v>616333454</v>
      </c>
      <c r="K44" s="24"/>
    </row>
    <row r="45" spans="1:11" x14ac:dyDescent="0.25">
      <c r="A45" s="22"/>
      <c r="B45" s="29">
        <v>46164</v>
      </c>
      <c r="C45" s="23" t="s">
        <v>21</v>
      </c>
      <c r="D45" s="37" t="s">
        <v>22</v>
      </c>
      <c r="E45" s="23" t="s">
        <v>147</v>
      </c>
      <c r="F45" s="31">
        <v>0</v>
      </c>
      <c r="G45" s="31"/>
      <c r="H45" s="31">
        <f>Cty_Cuong_Thinh[[#This Row],[ĐƠN GIÁ]]*Cty_Cuong_Thinh[[#This Row],[SỐ LƯỢNG]]</f>
        <v>0</v>
      </c>
      <c r="I45" s="31">
        <v>100000000</v>
      </c>
      <c r="J45" s="31">
        <f>J44+Cty_Cuong_Thinh[[#This Row],[THÀNH TIỀN]]-Cty_Cuong_Thinh[[#This Row],[THANH TOÁN]]</f>
        <v>516333454</v>
      </c>
      <c r="K45" s="24"/>
    </row>
    <row r="46" spans="1:11" x14ac:dyDescent="0.25">
      <c r="A46" s="22">
        <v>9559</v>
      </c>
      <c r="B46" s="29">
        <v>46164</v>
      </c>
      <c r="C46" s="23" t="s">
        <v>13</v>
      </c>
      <c r="D46" s="37" t="s">
        <v>2306</v>
      </c>
      <c r="E46" s="23" t="s">
        <v>230</v>
      </c>
      <c r="F46" s="31">
        <v>2386</v>
      </c>
      <c r="G46" s="31">
        <v>67000</v>
      </c>
      <c r="H46" s="31">
        <f>Cty_Cuong_Thinh[[#This Row],[ĐƠN GIÁ]]*Cty_Cuong_Thinh[[#This Row],[SỐ LƯỢNG]]</f>
        <v>159862000</v>
      </c>
      <c r="I46" s="31"/>
      <c r="J46" s="31">
        <f>J45+Cty_Cuong_Thinh[[#This Row],[THÀNH TIỀN]]-Cty_Cuong_Thinh[[#This Row],[THANH TOÁN]]</f>
        <v>676195454</v>
      </c>
      <c r="K46" s="24"/>
    </row>
    <row r="47" spans="1:11" x14ac:dyDescent="0.25">
      <c r="A47" s="22">
        <v>9559</v>
      </c>
      <c r="B47" s="29">
        <v>46164</v>
      </c>
      <c r="C47" s="23" t="s">
        <v>13</v>
      </c>
      <c r="D47" s="37" t="s">
        <v>43</v>
      </c>
      <c r="E47" s="23" t="s">
        <v>230</v>
      </c>
      <c r="F47" s="31">
        <v>1108</v>
      </c>
      <c r="G47" s="31">
        <v>68000</v>
      </c>
      <c r="H47" s="31">
        <f>Cty_Cuong_Thinh[[#This Row],[ĐƠN GIÁ]]*Cty_Cuong_Thinh[[#This Row],[SỐ LƯỢNG]]</f>
        <v>75344000</v>
      </c>
      <c r="I47" s="31"/>
      <c r="J47" s="31">
        <f>J46+Cty_Cuong_Thinh[[#This Row],[THÀNH TIỀN]]-Cty_Cuong_Thinh[[#This Row],[THANH TOÁN]]</f>
        <v>751539454</v>
      </c>
      <c r="K47" s="24"/>
    </row>
    <row r="48" spans="1:11" x14ac:dyDescent="0.25">
      <c r="A48" s="22">
        <v>9566</v>
      </c>
      <c r="B48" s="29">
        <v>46165</v>
      </c>
      <c r="C48" s="23" t="s">
        <v>13</v>
      </c>
      <c r="D48" s="37" t="s">
        <v>170</v>
      </c>
      <c r="E48" s="23" t="s">
        <v>288</v>
      </c>
      <c r="F48" s="31">
        <v>2938</v>
      </c>
      <c r="G48" s="31">
        <v>67500</v>
      </c>
      <c r="H48" s="31">
        <f>Cty_Cuong_Thinh[[#This Row],[ĐƠN GIÁ]]*Cty_Cuong_Thinh[[#This Row],[SỐ LƯỢNG]]</f>
        <v>198315000</v>
      </c>
      <c r="I48" s="31"/>
      <c r="J48" s="31">
        <f>J47+Cty_Cuong_Thinh[[#This Row],[THÀNH TIỀN]]-Cty_Cuong_Thinh[[#This Row],[THANH TOÁN]]</f>
        <v>949854454</v>
      </c>
      <c r="K48" s="24"/>
    </row>
    <row r="49" spans="1:11" x14ac:dyDescent="0.25">
      <c r="A49" s="22">
        <v>9566</v>
      </c>
      <c r="B49" s="29">
        <v>46165</v>
      </c>
      <c r="C49" s="23" t="s">
        <v>13</v>
      </c>
      <c r="D49" s="37" t="s">
        <v>170</v>
      </c>
      <c r="E49" s="23" t="s">
        <v>116</v>
      </c>
      <c r="F49" s="31">
        <v>988</v>
      </c>
      <c r="G49" s="31">
        <v>67000</v>
      </c>
      <c r="H49" s="31">
        <f>Cty_Cuong_Thinh[[#This Row],[ĐƠN GIÁ]]*Cty_Cuong_Thinh[[#This Row],[SỐ LƯỢNG]]</f>
        <v>66196000</v>
      </c>
      <c r="I49" s="31"/>
      <c r="J49" s="31">
        <f>J48+Cty_Cuong_Thinh[[#This Row],[THÀNH TIỀN]]-Cty_Cuong_Thinh[[#This Row],[THANH TOÁN]]</f>
        <v>1016050454</v>
      </c>
      <c r="K49" s="24"/>
    </row>
    <row r="50" spans="1:11" x14ac:dyDescent="0.25">
      <c r="A50" s="22">
        <v>9566</v>
      </c>
      <c r="B50" s="29">
        <v>46165</v>
      </c>
      <c r="C50" s="23" t="s">
        <v>13</v>
      </c>
      <c r="D50" s="37" t="s">
        <v>170</v>
      </c>
      <c r="E50" s="23" t="s">
        <v>2313</v>
      </c>
      <c r="F50" s="31">
        <v>374</v>
      </c>
      <c r="G50" s="31">
        <v>67000</v>
      </c>
      <c r="H50" s="31">
        <f>Cty_Cuong_Thinh[[#This Row],[ĐƠN GIÁ]]*Cty_Cuong_Thinh[[#This Row],[SỐ LƯỢNG]]</f>
        <v>25058000</v>
      </c>
      <c r="I50" s="31"/>
      <c r="J50" s="31">
        <f>J49+Cty_Cuong_Thinh[[#This Row],[THÀNH TIỀN]]-Cty_Cuong_Thinh[[#This Row],[THANH TOÁN]]</f>
        <v>1041108454</v>
      </c>
      <c r="K50" s="24"/>
    </row>
    <row r="51" spans="1:11" x14ac:dyDescent="0.25">
      <c r="A51" s="22">
        <v>9671</v>
      </c>
      <c r="B51" s="29">
        <v>46170</v>
      </c>
      <c r="C51" s="23" t="s">
        <v>13</v>
      </c>
      <c r="D51" s="37" t="s">
        <v>17</v>
      </c>
      <c r="E51" s="23" t="s">
        <v>46</v>
      </c>
      <c r="F51" s="31">
        <v>120</v>
      </c>
      <c r="G51" s="31">
        <v>69000</v>
      </c>
      <c r="H51" s="31">
        <f>Cty_Cuong_Thinh[[#This Row],[ĐƠN GIÁ]]*Cty_Cuong_Thinh[[#This Row],[SỐ LƯỢNG]]</f>
        <v>8280000</v>
      </c>
      <c r="I51" s="31"/>
      <c r="J51" s="31">
        <f>J50+Cty_Cuong_Thinh[[#This Row],[THÀNH TIỀN]]-Cty_Cuong_Thinh[[#This Row],[THANH TOÁN]]</f>
        <v>1049388454</v>
      </c>
      <c r="K51" s="24"/>
    </row>
    <row r="52" spans="1:11" x14ac:dyDescent="0.25">
      <c r="A52" s="22">
        <v>9723</v>
      </c>
      <c r="B52" s="29">
        <v>46172</v>
      </c>
      <c r="C52" s="23" t="s">
        <v>13</v>
      </c>
      <c r="D52" s="37" t="s">
        <v>43</v>
      </c>
      <c r="E52" s="23" t="s">
        <v>41</v>
      </c>
      <c r="F52" s="31">
        <v>390</v>
      </c>
      <c r="G52" s="31">
        <v>65500</v>
      </c>
      <c r="H52" s="31">
        <f>Cty_Cuong_Thinh[[#This Row],[ĐƠN GIÁ]]*Cty_Cuong_Thinh[[#This Row],[SỐ LƯỢNG]]</f>
        <v>25545000</v>
      </c>
      <c r="I52" s="31"/>
      <c r="J52" s="31">
        <f>J51+Cty_Cuong_Thinh[[#This Row],[THÀNH TIỀN]]-Cty_Cuong_Thinh[[#This Row],[THANH TOÁN]]</f>
        <v>1074933454</v>
      </c>
      <c r="K52" s="24"/>
    </row>
    <row r="53" spans="1:11" x14ac:dyDescent="0.25">
      <c r="A53" s="22"/>
      <c r="B53" s="29">
        <v>46178</v>
      </c>
      <c r="C53" s="23" t="s">
        <v>21</v>
      </c>
      <c r="D53" s="37" t="s">
        <v>22</v>
      </c>
      <c r="E53" s="23" t="s">
        <v>147</v>
      </c>
      <c r="F53" s="31">
        <v>0</v>
      </c>
      <c r="G53" s="31"/>
      <c r="H53" s="31">
        <f>Cty_Cuong_Thinh[[#This Row],[ĐƠN GIÁ]]*Cty_Cuong_Thinh[[#This Row],[SỐ LƯỢNG]]</f>
        <v>0</v>
      </c>
      <c r="I53" s="31">
        <v>200000000</v>
      </c>
      <c r="J53" s="31">
        <f>J52+Cty_Cuong_Thinh[[#This Row],[THÀNH TIỀN]]-Cty_Cuong_Thinh[[#This Row],[THANH TOÁN]]</f>
        <v>874933454</v>
      </c>
      <c r="K53" s="24"/>
    </row>
    <row r="55" spans="1:11" x14ac:dyDescent="0.25">
      <c r="I55" s="35"/>
    </row>
    <row r="56" spans="1:11" x14ac:dyDescent="0.25">
      <c r="G56" s="3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C805EB-05C6-4F06-B8AB-5D5D8EFCAC0F}">
  <sheetPr codeName="Sheet17"/>
  <dimension ref="A5:P36"/>
  <sheetViews>
    <sheetView topLeftCell="A6" workbookViewId="0">
      <selection activeCell="H5" sqref="H5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4" width="9.140625" style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494321593</v>
      </c>
    </row>
    <row r="6" spans="1:16" ht="22.5" x14ac:dyDescent="0.25">
      <c r="D6" s="34" t="s">
        <v>294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E_Duyen_Rua[[#This Row],[ĐƠN GIÁ]]*E_Duyen_Rua[[#This Row],[SỐ LƯỢNG]]</f>
        <v>0</v>
      </c>
      <c r="I10" s="31"/>
      <c r="J10" s="31">
        <v>126830000</v>
      </c>
      <c r="K10" s="24"/>
    </row>
    <row r="11" spans="1:16" x14ac:dyDescent="0.25">
      <c r="A11" s="22">
        <v>7797</v>
      </c>
      <c r="B11" s="29">
        <v>46084</v>
      </c>
      <c r="C11" s="23" t="s">
        <v>13</v>
      </c>
      <c r="D11" s="37" t="s">
        <v>50</v>
      </c>
      <c r="E11" s="23" t="s">
        <v>295</v>
      </c>
      <c r="F11" s="31">
        <v>1982</v>
      </c>
      <c r="G11" s="31">
        <v>54000</v>
      </c>
      <c r="H11" s="31">
        <f>E_Duyen_Rua[[#This Row],[ĐƠN GIÁ]]*E_Duyen_Rua[[#This Row],[SỐ LƯỢNG]]</f>
        <v>107028000</v>
      </c>
      <c r="I11" s="31"/>
      <c r="J11" s="31">
        <f>J10+E_Duyen_Rua[[#This Row],[THÀNH TIỀN]]-E_Duyen_Rua[[#This Row],[THANH TOÁN]]</f>
        <v>233858000</v>
      </c>
      <c r="K11" s="24"/>
    </row>
    <row r="12" spans="1:16" x14ac:dyDescent="0.25">
      <c r="A12" s="22">
        <v>7927</v>
      </c>
      <c r="B12" s="29">
        <v>46088</v>
      </c>
      <c r="C12" s="23" t="s">
        <v>13</v>
      </c>
      <c r="D12" s="37" t="s">
        <v>50</v>
      </c>
      <c r="E12" s="23" t="s">
        <v>296</v>
      </c>
      <c r="F12" s="31">
        <v>1178</v>
      </c>
      <c r="G12" s="31">
        <v>54000</v>
      </c>
      <c r="H12" s="31">
        <f>E_Duyen_Rua[[#This Row],[ĐƠN GIÁ]]*E_Duyen_Rua[[#This Row],[SỐ LƯỢNG]]</f>
        <v>63612000</v>
      </c>
      <c r="I12" s="31"/>
      <c r="J12" s="31">
        <f>J11+E_Duyen_Rua[[#This Row],[THÀNH TIỀN]]-E_Duyen_Rua[[#This Row],[THANH TOÁN]]</f>
        <v>297470000</v>
      </c>
      <c r="K12" s="24"/>
    </row>
    <row r="13" spans="1:16" x14ac:dyDescent="0.25">
      <c r="A13" s="22">
        <v>7958</v>
      </c>
      <c r="B13" s="29">
        <v>46090</v>
      </c>
      <c r="C13" s="23" t="s">
        <v>13</v>
      </c>
      <c r="D13" s="37" t="s">
        <v>50</v>
      </c>
      <c r="E13" s="23" t="s">
        <v>296</v>
      </c>
      <c r="F13" s="31">
        <v>2252</v>
      </c>
      <c r="G13" s="31">
        <v>54000</v>
      </c>
      <c r="H13" s="31">
        <f>E_Duyen_Rua[[#This Row],[ĐƠN GIÁ]]*E_Duyen_Rua[[#This Row],[SỐ LƯỢNG]]</f>
        <v>121608000</v>
      </c>
      <c r="I13" s="31"/>
      <c r="J13" s="31">
        <f>J12+E_Duyen_Rua[[#This Row],[THÀNH TIỀN]]-E_Duyen_Rua[[#This Row],[THANH TOÁN]]</f>
        <v>419078000</v>
      </c>
      <c r="K13" s="24"/>
    </row>
    <row r="14" spans="1:16" x14ac:dyDescent="0.25">
      <c r="A14" s="25">
        <v>8061</v>
      </c>
      <c r="B14" s="30">
        <v>46094</v>
      </c>
      <c r="C14" s="26" t="s">
        <v>13</v>
      </c>
      <c r="D14" s="38" t="s">
        <v>103</v>
      </c>
      <c r="E14" s="26" t="s">
        <v>297</v>
      </c>
      <c r="F14" s="28">
        <v>2052</v>
      </c>
      <c r="G14" s="28">
        <v>36500</v>
      </c>
      <c r="H14" s="28">
        <f>E_Duyen_Rua[[#This Row],[ĐƠN GIÁ]]*E_Duyen_Rua[[#This Row],[SỐ LƯỢNG]]</f>
        <v>74898000</v>
      </c>
      <c r="I14" s="28"/>
      <c r="J14" s="28">
        <f>J13+E_Duyen_Rua[[#This Row],[THÀNH TIỀN]]-E_Duyen_Rua[[#This Row],[THANH TOÁN]]</f>
        <v>493976000</v>
      </c>
      <c r="K14" s="27"/>
      <c r="P14" s="35"/>
    </row>
    <row r="15" spans="1:16" x14ac:dyDescent="0.25">
      <c r="A15" s="25"/>
      <c r="B15" s="30">
        <v>46094</v>
      </c>
      <c r="C15" s="26" t="s">
        <v>21</v>
      </c>
      <c r="D15" s="38" t="s">
        <v>22</v>
      </c>
      <c r="E15" s="26" t="s">
        <v>147</v>
      </c>
      <c r="F15" s="28">
        <v>0</v>
      </c>
      <c r="G15" s="28">
        <v>0</v>
      </c>
      <c r="H15" s="28">
        <f>E_Duyen_Rua[[#This Row],[ĐƠN GIÁ]]*E_Duyen_Rua[[#This Row],[SỐ LƯỢNG]]</f>
        <v>0</v>
      </c>
      <c r="I15" s="28">
        <v>419077340</v>
      </c>
      <c r="J15" s="28">
        <f>J14+E_Duyen_Rua[[#This Row],[THÀNH TIỀN]]-E_Duyen_Rua[[#This Row],[THANH TOÁN]]</f>
        <v>74898660</v>
      </c>
      <c r="K15" s="27"/>
    </row>
    <row r="16" spans="1:16" x14ac:dyDescent="0.25">
      <c r="A16" s="25">
        <v>8276</v>
      </c>
      <c r="B16" s="30">
        <v>46101</v>
      </c>
      <c r="C16" s="26" t="s">
        <v>13</v>
      </c>
      <c r="D16" s="38" t="s">
        <v>50</v>
      </c>
      <c r="E16" s="26" t="s">
        <v>298</v>
      </c>
      <c r="F16" s="28">
        <v>520</v>
      </c>
      <c r="G16" s="28">
        <v>56000</v>
      </c>
      <c r="H16" s="28">
        <f>E_Duyen_Rua[[#This Row],[ĐƠN GIÁ]]*E_Duyen_Rua[[#This Row],[SỐ LƯỢNG]]</f>
        <v>29120000</v>
      </c>
      <c r="I16" s="28"/>
      <c r="J16" s="28">
        <f>J15+E_Duyen_Rua[[#This Row],[THÀNH TIỀN]]-E_Duyen_Rua[[#This Row],[THANH TOÁN]]</f>
        <v>104018660</v>
      </c>
      <c r="K16" s="27"/>
    </row>
    <row r="17" spans="1:11" x14ac:dyDescent="0.25">
      <c r="A17" s="25">
        <v>8291</v>
      </c>
      <c r="B17" s="30">
        <v>46102</v>
      </c>
      <c r="C17" s="26" t="s">
        <v>13</v>
      </c>
      <c r="D17" s="38" t="s">
        <v>103</v>
      </c>
      <c r="E17" s="26" t="s">
        <v>299</v>
      </c>
      <c r="F17" s="28">
        <v>2200</v>
      </c>
      <c r="G17" s="28">
        <v>37000</v>
      </c>
      <c r="H17" s="28">
        <f>E_Duyen_Rua[[#This Row],[ĐƠN GIÁ]]*E_Duyen_Rua[[#This Row],[SỐ LƯỢNG]]</f>
        <v>81400000</v>
      </c>
      <c r="I17" s="28"/>
      <c r="J17" s="28">
        <f>J16+E_Duyen_Rua[[#This Row],[THÀNH TIỀN]]-E_Duyen_Rua[[#This Row],[THANH TOÁN]]</f>
        <v>185418660</v>
      </c>
      <c r="K17" s="27"/>
    </row>
    <row r="18" spans="1:11" x14ac:dyDescent="0.25">
      <c r="A18" s="22">
        <v>8493</v>
      </c>
      <c r="B18" s="29">
        <v>46114</v>
      </c>
      <c r="C18" s="23" t="s">
        <v>13</v>
      </c>
      <c r="D18" s="37" t="s">
        <v>103</v>
      </c>
      <c r="E18" s="23" t="s">
        <v>297</v>
      </c>
      <c r="F18" s="31">
        <v>2956</v>
      </c>
      <c r="G18" s="31">
        <v>37000</v>
      </c>
      <c r="H18" s="31">
        <f>E_Duyen_Rua[[#This Row],[ĐƠN GIÁ]]*E_Duyen_Rua[[#This Row],[SỐ LƯỢNG]]</f>
        <v>109372000</v>
      </c>
      <c r="I18" s="31"/>
      <c r="J18" s="31">
        <f>J17+E_Duyen_Rua[[#This Row],[THÀNH TIỀN]]-E_Duyen_Rua[[#This Row],[THANH TOÁN]]</f>
        <v>294790660</v>
      </c>
      <c r="K18" s="24"/>
    </row>
    <row r="19" spans="1:11" x14ac:dyDescent="0.25">
      <c r="A19" s="22">
        <v>8493</v>
      </c>
      <c r="B19" s="29">
        <v>46114</v>
      </c>
      <c r="C19" s="23" t="s">
        <v>13</v>
      </c>
      <c r="D19" s="37" t="s">
        <v>103</v>
      </c>
      <c r="E19" s="23" t="s">
        <v>300</v>
      </c>
      <c r="F19" s="31">
        <v>2038</v>
      </c>
      <c r="G19" s="31">
        <v>37000</v>
      </c>
      <c r="H19" s="31">
        <f>E_Duyen_Rua[[#This Row],[ĐƠN GIÁ]]*E_Duyen_Rua[[#This Row],[SỐ LƯỢNG]]</f>
        <v>75406000</v>
      </c>
      <c r="I19" s="31"/>
      <c r="J19" s="31">
        <f>J18+E_Duyen_Rua[[#This Row],[THÀNH TIỀN]]-E_Duyen_Rua[[#This Row],[THANH TOÁN]]</f>
        <v>370196660</v>
      </c>
      <c r="K19" s="24"/>
    </row>
    <row r="20" spans="1:11" x14ac:dyDescent="0.25">
      <c r="A20" s="22"/>
      <c r="B20" s="29">
        <v>46116</v>
      </c>
      <c r="C20" s="23" t="s">
        <v>21</v>
      </c>
      <c r="D20" s="37" t="s">
        <v>22</v>
      </c>
      <c r="E20" s="23" t="s">
        <v>147</v>
      </c>
      <c r="F20" s="31">
        <v>0</v>
      </c>
      <c r="G20" s="31"/>
      <c r="H20" s="31">
        <f>E_Duyen_Rua[[#This Row],[ĐƠN GIÁ]]*E_Duyen_Rua[[#This Row],[SỐ LƯỢNG]]</f>
        <v>0</v>
      </c>
      <c r="I20" s="31">
        <v>185417628</v>
      </c>
      <c r="J20" s="31">
        <f>J19+E_Duyen_Rua[[#This Row],[THÀNH TIỀN]]-E_Duyen_Rua[[#This Row],[THANH TOÁN]]</f>
        <v>184779032</v>
      </c>
      <c r="K20" s="24"/>
    </row>
    <row r="21" spans="1:11" x14ac:dyDescent="0.25">
      <c r="A21" s="22">
        <v>8584</v>
      </c>
      <c r="B21" s="29">
        <v>46118</v>
      </c>
      <c r="C21" s="23" t="s">
        <v>13</v>
      </c>
      <c r="D21" s="37" t="s">
        <v>103</v>
      </c>
      <c r="E21" s="23" t="s">
        <v>297</v>
      </c>
      <c r="F21" s="31">
        <v>2016</v>
      </c>
      <c r="G21" s="31">
        <v>37000</v>
      </c>
      <c r="H21" s="31">
        <f>E_Duyen_Rua[[#This Row],[ĐƠN GIÁ]]*E_Duyen_Rua[[#This Row],[SỐ LƯỢNG]]</f>
        <v>74592000</v>
      </c>
      <c r="I21" s="31"/>
      <c r="J21" s="31">
        <f>J20+E_Duyen_Rua[[#This Row],[THÀNH TIỀN]]-E_Duyen_Rua[[#This Row],[THANH TOÁN]]</f>
        <v>259371032</v>
      </c>
      <c r="K21" s="24"/>
    </row>
    <row r="22" spans="1:11" x14ac:dyDescent="0.25">
      <c r="A22" s="22">
        <v>8840</v>
      </c>
      <c r="B22" s="29">
        <v>46129</v>
      </c>
      <c r="C22" s="23" t="s">
        <v>13</v>
      </c>
      <c r="D22" s="37" t="s">
        <v>301</v>
      </c>
      <c r="E22" s="23" t="s">
        <v>302</v>
      </c>
      <c r="F22" s="31">
        <v>10035</v>
      </c>
      <c r="G22" s="31">
        <v>24000</v>
      </c>
      <c r="H22" s="31">
        <f>E_Duyen_Rua[[#This Row],[ĐƠN GIÁ]]*E_Duyen_Rua[[#This Row],[SỐ LƯỢNG]]</f>
        <v>240840000</v>
      </c>
      <c r="I22" s="31"/>
      <c r="J22" s="31">
        <f>J21+E_Duyen_Rua[[#This Row],[THÀNH TIỀN]]-E_Duyen_Rua[[#This Row],[THANH TOÁN]]</f>
        <v>500211032</v>
      </c>
      <c r="K22" s="24"/>
    </row>
    <row r="23" spans="1:11" x14ac:dyDescent="0.25">
      <c r="A23" s="22">
        <v>8860</v>
      </c>
      <c r="B23" s="29">
        <v>46129</v>
      </c>
      <c r="C23" s="23" t="s">
        <v>13</v>
      </c>
      <c r="D23" s="37" t="s">
        <v>109</v>
      </c>
      <c r="E23" s="23" t="s">
        <v>303</v>
      </c>
      <c r="F23" s="31">
        <v>148</v>
      </c>
      <c r="G23" s="31">
        <v>59000</v>
      </c>
      <c r="H23" s="31">
        <f>E_Duyen_Rua[[#This Row],[ĐƠN GIÁ]]*E_Duyen_Rua[[#This Row],[SỐ LƯỢNG]]</f>
        <v>8732000</v>
      </c>
      <c r="I23" s="31"/>
      <c r="J23" s="31">
        <f>J22+E_Duyen_Rua[[#This Row],[THÀNH TIỀN]]-E_Duyen_Rua[[#This Row],[THANH TOÁN]]</f>
        <v>508943032</v>
      </c>
      <c r="K23" s="24"/>
    </row>
    <row r="24" spans="1:11" x14ac:dyDescent="0.25">
      <c r="A24" s="22"/>
      <c r="B24" s="29">
        <v>46132</v>
      </c>
      <c r="C24" s="23" t="s">
        <v>21</v>
      </c>
      <c r="D24" s="37" t="s">
        <v>22</v>
      </c>
      <c r="E24" s="23" t="s">
        <v>147</v>
      </c>
      <c r="F24" s="31">
        <v>0</v>
      </c>
      <c r="G24" s="31"/>
      <c r="H24" s="31">
        <f>E_Duyen_Rua[[#This Row],[ĐƠN GIÁ]]*E_Duyen_Rua[[#This Row],[SỐ LƯỢNG]]</f>
        <v>0</v>
      </c>
      <c r="I24" s="31">
        <v>259368934</v>
      </c>
      <c r="J24" s="31">
        <f>J23+E_Duyen_Rua[[#This Row],[THÀNH TIỀN]]-E_Duyen_Rua[[#This Row],[THANH TOÁN]]</f>
        <v>249574098</v>
      </c>
      <c r="K24" s="24"/>
    </row>
    <row r="25" spans="1:11" x14ac:dyDescent="0.25">
      <c r="A25" s="22">
        <v>8934</v>
      </c>
      <c r="B25" s="29">
        <v>46134</v>
      </c>
      <c r="C25" s="23" t="s">
        <v>13</v>
      </c>
      <c r="D25" s="37" t="s">
        <v>50</v>
      </c>
      <c r="E25" s="23" t="s">
        <v>299</v>
      </c>
      <c r="F25" s="31">
        <v>2004</v>
      </c>
      <c r="G25" s="31">
        <v>56000</v>
      </c>
      <c r="H25" s="31">
        <f>E_Duyen_Rua[[#This Row],[ĐƠN GIÁ]]*E_Duyen_Rua[[#This Row],[SỐ LƯỢNG]]</f>
        <v>112224000</v>
      </c>
      <c r="I25" s="31"/>
      <c r="J25" s="31">
        <f>J24+E_Duyen_Rua[[#This Row],[THÀNH TIỀN]]-E_Duyen_Rua[[#This Row],[THANH TOÁN]]</f>
        <v>361798098</v>
      </c>
      <c r="K25" s="24"/>
    </row>
    <row r="26" spans="1:11" x14ac:dyDescent="0.25">
      <c r="A26" s="22">
        <v>8982</v>
      </c>
      <c r="B26" s="29">
        <v>46136</v>
      </c>
      <c r="C26" s="23" t="s">
        <v>13</v>
      </c>
      <c r="D26" s="37" t="s">
        <v>103</v>
      </c>
      <c r="E26" s="23" t="s">
        <v>1809</v>
      </c>
      <c r="F26" s="31">
        <v>2094</v>
      </c>
      <c r="G26" s="31">
        <v>37000</v>
      </c>
      <c r="H26" s="31">
        <f>E_Duyen_Rua[[#This Row],[ĐƠN GIÁ]]*E_Duyen_Rua[[#This Row],[SỐ LƯỢNG]]</f>
        <v>77478000</v>
      </c>
      <c r="I26" s="31"/>
      <c r="J26" s="31">
        <f>J25+E_Duyen_Rua[[#This Row],[THÀNH TIỀN]]-E_Duyen_Rua[[#This Row],[THANH TOÁN]]</f>
        <v>439276098</v>
      </c>
      <c r="K26" s="24"/>
    </row>
    <row r="27" spans="1:11" x14ac:dyDescent="0.25">
      <c r="A27" s="22">
        <v>8982</v>
      </c>
      <c r="B27" s="29">
        <v>46136</v>
      </c>
      <c r="C27" s="23" t="s">
        <v>13</v>
      </c>
      <c r="D27" s="37" t="s">
        <v>103</v>
      </c>
      <c r="E27" s="23" t="s">
        <v>1810</v>
      </c>
      <c r="F27" s="31">
        <v>2006</v>
      </c>
      <c r="G27" s="31">
        <v>37000</v>
      </c>
      <c r="H27" s="31">
        <f>E_Duyen_Rua[[#This Row],[ĐƠN GIÁ]]*E_Duyen_Rua[[#This Row],[SỐ LƯỢNG]]</f>
        <v>74222000</v>
      </c>
      <c r="I27" s="31"/>
      <c r="J27" s="31">
        <f>J26+E_Duyen_Rua[[#This Row],[THÀNH TIỀN]]-E_Duyen_Rua[[#This Row],[THANH TOÁN]]</f>
        <v>513498098</v>
      </c>
      <c r="K27" s="24"/>
    </row>
    <row r="28" spans="1:11" x14ac:dyDescent="0.25">
      <c r="A28" s="22">
        <v>8982</v>
      </c>
      <c r="B28" s="29">
        <v>46136</v>
      </c>
      <c r="C28" s="23" t="s">
        <v>13</v>
      </c>
      <c r="D28" s="37" t="s">
        <v>103</v>
      </c>
      <c r="E28" s="23" t="s">
        <v>1811</v>
      </c>
      <c r="F28" s="31">
        <v>2024</v>
      </c>
      <c r="G28" s="31">
        <v>37000</v>
      </c>
      <c r="H28" s="31">
        <f>E_Duyen_Rua[[#This Row],[ĐƠN GIÁ]]*E_Duyen_Rua[[#This Row],[SỐ LƯỢNG]]</f>
        <v>74888000</v>
      </c>
      <c r="I28" s="31"/>
      <c r="J28" s="31">
        <f>J27+E_Duyen_Rua[[#This Row],[THÀNH TIỀN]]-E_Duyen_Rua[[#This Row],[THANH TOÁN]]</f>
        <v>588386098</v>
      </c>
      <c r="K28" s="24"/>
    </row>
    <row r="29" spans="1:11" x14ac:dyDescent="0.25">
      <c r="A29" s="22"/>
      <c r="B29" s="29">
        <v>46149</v>
      </c>
      <c r="C29" s="23" t="s">
        <v>21</v>
      </c>
      <c r="D29" s="37" t="s">
        <v>22</v>
      </c>
      <c r="E29" s="23" t="s">
        <v>261</v>
      </c>
      <c r="F29" s="31">
        <v>0</v>
      </c>
      <c r="G29" s="31"/>
      <c r="H29" s="31">
        <f>E_Duyen_Rua[[#This Row],[ĐƠN GIÁ]]*E_Duyen_Rua[[#This Row],[SỐ LƯỢNG]]</f>
        <v>0</v>
      </c>
      <c r="I29" s="31">
        <v>347544505</v>
      </c>
      <c r="J29" s="31">
        <f>J28+E_Duyen_Rua[[#This Row],[THÀNH TIỀN]]-E_Duyen_Rua[[#This Row],[THANH TOÁN]]</f>
        <v>240841593</v>
      </c>
      <c r="K29" s="24"/>
    </row>
    <row r="30" spans="1:11" x14ac:dyDescent="0.25">
      <c r="A30" s="22">
        <v>9327</v>
      </c>
      <c r="B30" s="29">
        <v>46154</v>
      </c>
      <c r="C30" s="23" t="s">
        <v>13</v>
      </c>
      <c r="D30" s="37" t="s">
        <v>301</v>
      </c>
      <c r="E30" s="23" t="s">
        <v>302</v>
      </c>
      <c r="F30" s="31">
        <v>7503</v>
      </c>
      <c r="G30" s="31">
        <v>24000</v>
      </c>
      <c r="H30" s="31">
        <f>E_Duyen_Rua[[#This Row],[ĐƠN GIÁ]]*E_Duyen_Rua[[#This Row],[SỐ LƯỢNG]]</f>
        <v>180072000</v>
      </c>
      <c r="I30" s="31"/>
      <c r="J30" s="31">
        <f>J29+E_Duyen_Rua[[#This Row],[THÀNH TIỀN]]-E_Duyen_Rua[[#This Row],[THANH TOÁN]]</f>
        <v>420913593</v>
      </c>
      <c r="K30" s="24"/>
    </row>
    <row r="31" spans="1:11" x14ac:dyDescent="0.25">
      <c r="A31" s="22">
        <v>9641</v>
      </c>
      <c r="B31" s="29">
        <v>46169</v>
      </c>
      <c r="C31" s="23" t="s">
        <v>13</v>
      </c>
      <c r="D31" s="37" t="s">
        <v>2479</v>
      </c>
      <c r="E31" s="23" t="s">
        <v>1264</v>
      </c>
      <c r="F31" s="31">
        <v>1984</v>
      </c>
      <c r="G31" s="31">
        <v>37000</v>
      </c>
      <c r="H31" s="31">
        <f>E_Duyen_Rua[[#This Row],[ĐƠN GIÁ]]*E_Duyen_Rua[[#This Row],[SỐ LƯỢNG]]</f>
        <v>73408000</v>
      </c>
      <c r="I31" s="31"/>
      <c r="J31" s="31">
        <f>J30+E_Duyen_Rua[[#This Row],[THÀNH TIỀN]]-E_Duyen_Rua[[#This Row],[THANH TOÁN]]</f>
        <v>494321593</v>
      </c>
      <c r="K31" s="24"/>
    </row>
    <row r="36" spans="9:9" x14ac:dyDescent="0.25">
      <c r="I36" s="3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2CF2D8-3FC9-4783-8088-AF0BBCB05F03}">
  <sheetPr codeName="Sheet18"/>
  <dimension ref="A5:P87"/>
  <sheetViews>
    <sheetView topLeftCell="A59" workbookViewId="0">
      <selection activeCell="I90" sqref="I90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4" width="9.140625" style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746044792</v>
      </c>
    </row>
    <row r="6" spans="1:16" ht="22.5" x14ac:dyDescent="0.25">
      <c r="D6" s="34" t="s">
        <v>304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Cty_Hyundai_DN[[#This Row],[ĐƠN GIÁ]]*Cty_Hyundai_DN[[#This Row],[SỐ LƯỢNG]]</f>
        <v>0</v>
      </c>
      <c r="I10" s="31"/>
      <c r="J10" s="31">
        <v>246331630</v>
      </c>
      <c r="K10" s="24"/>
    </row>
    <row r="11" spans="1:16" x14ac:dyDescent="0.25">
      <c r="A11" s="22">
        <v>7799</v>
      </c>
      <c r="B11" s="29">
        <v>46084</v>
      </c>
      <c r="C11" s="23" t="s">
        <v>13</v>
      </c>
      <c r="D11" s="37" t="s">
        <v>305</v>
      </c>
      <c r="E11" s="23" t="s">
        <v>306</v>
      </c>
      <c r="F11" s="31">
        <v>158</v>
      </c>
      <c r="G11" s="31">
        <v>40000</v>
      </c>
      <c r="H11" s="31">
        <f>Cty_Hyundai_DN[[#This Row],[ĐƠN GIÁ]]*Cty_Hyundai_DN[[#This Row],[SỐ LƯỢNG]]</f>
        <v>6320000</v>
      </c>
      <c r="I11" s="31"/>
      <c r="J11" s="31">
        <f>J10+Cty_Hyundai_DN[[#This Row],[THÀNH TIỀN]]-Cty_Hyundai_DN[[#This Row],[THANH TOÁN]]</f>
        <v>252651630</v>
      </c>
      <c r="K11" s="24"/>
    </row>
    <row r="12" spans="1:16" ht="31.5" x14ac:dyDescent="0.25">
      <c r="A12" s="22">
        <v>7835</v>
      </c>
      <c r="B12" s="29">
        <v>46085</v>
      </c>
      <c r="C12" s="23" t="s">
        <v>13</v>
      </c>
      <c r="D12" s="46" t="s">
        <v>54</v>
      </c>
      <c r="E12" s="43" t="s">
        <v>307</v>
      </c>
      <c r="F12" s="44">
        <v>564</v>
      </c>
      <c r="G12" s="44">
        <v>36000</v>
      </c>
      <c r="H12" s="44">
        <f>Cty_Hyundai_DN[[#This Row],[ĐƠN GIÁ]]*Cty_Hyundai_DN[[#This Row],[SỐ LƯỢNG]]</f>
        <v>20304000</v>
      </c>
      <c r="I12" s="31"/>
      <c r="J12" s="44">
        <f>J11+Cty_Hyundai_DN[[#This Row],[THÀNH TIỀN]]-Cty_Hyundai_DN[[#This Row],[THANH TOÁN]]</f>
        <v>272955630</v>
      </c>
      <c r="K12" s="24"/>
    </row>
    <row r="13" spans="1:16" x14ac:dyDescent="0.25">
      <c r="A13" s="22">
        <v>7915</v>
      </c>
      <c r="B13" s="29">
        <v>46088</v>
      </c>
      <c r="C13" s="23" t="s">
        <v>13</v>
      </c>
      <c r="D13" s="37" t="s">
        <v>305</v>
      </c>
      <c r="E13" s="23" t="s">
        <v>308</v>
      </c>
      <c r="F13" s="31">
        <v>218</v>
      </c>
      <c r="G13" s="31">
        <v>41000</v>
      </c>
      <c r="H13" s="31">
        <f>Cty_Hyundai_DN[[#This Row],[ĐƠN GIÁ]]*Cty_Hyundai_DN[[#This Row],[SỐ LƯỢNG]]</f>
        <v>8938000</v>
      </c>
      <c r="I13" s="31"/>
      <c r="J13" s="31">
        <f>J12+Cty_Hyundai_DN[[#This Row],[THÀNH TIỀN]]-Cty_Hyundai_DN[[#This Row],[THANH TOÁN]]</f>
        <v>281893630</v>
      </c>
      <c r="K13" s="24"/>
    </row>
    <row r="14" spans="1:16" x14ac:dyDescent="0.25">
      <c r="A14" s="22">
        <v>7961</v>
      </c>
      <c r="B14" s="29">
        <v>46090</v>
      </c>
      <c r="C14" s="23" t="s">
        <v>13</v>
      </c>
      <c r="D14" s="37" t="s">
        <v>54</v>
      </c>
      <c r="E14" s="23" t="s">
        <v>309</v>
      </c>
      <c r="F14" s="31">
        <v>102</v>
      </c>
      <c r="G14" s="31">
        <v>36000</v>
      </c>
      <c r="H14" s="31">
        <f>Cty_Hyundai_DN[[#This Row],[ĐƠN GIÁ]]*Cty_Hyundai_DN[[#This Row],[SỐ LƯỢNG]]</f>
        <v>3672000</v>
      </c>
      <c r="I14" s="31"/>
      <c r="J14" s="31">
        <f>J13+Cty_Hyundai_DN[[#This Row],[THÀNH TIỀN]]-Cty_Hyundai_DN[[#This Row],[THANH TOÁN]]</f>
        <v>285565630</v>
      </c>
      <c r="K14" s="24"/>
      <c r="P14" s="35"/>
    </row>
    <row r="15" spans="1:16" x14ac:dyDescent="0.25">
      <c r="A15" s="22">
        <v>7961</v>
      </c>
      <c r="B15" s="29">
        <v>46090</v>
      </c>
      <c r="C15" s="23" t="s">
        <v>13</v>
      </c>
      <c r="D15" s="37" t="s">
        <v>173</v>
      </c>
      <c r="E15" s="26" t="s">
        <v>310</v>
      </c>
      <c r="F15" s="28">
        <v>100</v>
      </c>
      <c r="G15" s="28">
        <v>74000</v>
      </c>
      <c r="H15" s="28">
        <f>Cty_Hyundai_DN[[#This Row],[ĐƠN GIÁ]]*Cty_Hyundai_DN[[#This Row],[SỐ LƯỢNG]]</f>
        <v>7400000</v>
      </c>
      <c r="I15" s="28"/>
      <c r="J15" s="31">
        <f>J14+Cty_Hyundai_DN[[#This Row],[THÀNH TIỀN]]-Cty_Hyundai_DN[[#This Row],[THANH TOÁN]]</f>
        <v>292965630</v>
      </c>
      <c r="K15" s="27"/>
    </row>
    <row r="16" spans="1:16" x14ac:dyDescent="0.25">
      <c r="A16" s="22">
        <v>7961</v>
      </c>
      <c r="B16" s="29">
        <v>46090</v>
      </c>
      <c r="C16" s="23" t="s">
        <v>13</v>
      </c>
      <c r="D16" s="38" t="s">
        <v>311</v>
      </c>
      <c r="E16" s="26" t="s">
        <v>312</v>
      </c>
      <c r="F16" s="28">
        <f>578+418</f>
        <v>996</v>
      </c>
      <c r="G16" s="28">
        <v>38000</v>
      </c>
      <c r="H16" s="28">
        <f>Cty_Hyundai_DN[[#This Row],[ĐƠN GIÁ]]*Cty_Hyundai_DN[[#This Row],[SỐ LƯỢNG]]</f>
        <v>37848000</v>
      </c>
      <c r="I16" s="28"/>
      <c r="J16" s="28">
        <f>J15+Cty_Hyundai_DN[[#This Row],[THÀNH TIỀN]]-Cty_Hyundai_DN[[#This Row],[THANH TOÁN]]</f>
        <v>330813630</v>
      </c>
      <c r="K16" s="27"/>
    </row>
    <row r="17" spans="1:11" x14ac:dyDescent="0.25">
      <c r="A17" s="22">
        <v>7961</v>
      </c>
      <c r="B17" s="29">
        <v>46090</v>
      </c>
      <c r="C17" s="23" t="s">
        <v>13</v>
      </c>
      <c r="D17" s="38" t="s">
        <v>43</v>
      </c>
      <c r="E17" s="26" t="s">
        <v>78</v>
      </c>
      <c r="F17" s="28">
        <v>428</v>
      </c>
      <c r="G17" s="28">
        <v>64000</v>
      </c>
      <c r="H17" s="28">
        <f>Cty_Hyundai_DN[[#This Row],[ĐƠN GIÁ]]*Cty_Hyundai_DN[[#This Row],[SỐ LƯỢNG]]</f>
        <v>27392000</v>
      </c>
      <c r="I17" s="28"/>
      <c r="J17" s="28">
        <f>J16+Cty_Hyundai_DN[[#This Row],[THÀNH TIỀN]]-Cty_Hyundai_DN[[#This Row],[THANH TOÁN]]</f>
        <v>358205630</v>
      </c>
      <c r="K17" s="27"/>
    </row>
    <row r="18" spans="1:11" x14ac:dyDescent="0.25">
      <c r="A18" s="25">
        <v>8014</v>
      </c>
      <c r="B18" s="30">
        <v>46092</v>
      </c>
      <c r="C18" s="23" t="s">
        <v>13</v>
      </c>
      <c r="D18" s="38" t="s">
        <v>26</v>
      </c>
      <c r="E18" s="26" t="s">
        <v>313</v>
      </c>
      <c r="F18" s="28">
        <f>624+558</f>
        <v>1182</v>
      </c>
      <c r="G18" s="28">
        <v>37000</v>
      </c>
      <c r="H18" s="28">
        <f>Cty_Hyundai_DN[[#This Row],[ĐƠN GIÁ]]*Cty_Hyundai_DN[[#This Row],[SỐ LƯỢNG]]</f>
        <v>43734000</v>
      </c>
      <c r="I18" s="28"/>
      <c r="J18" s="28">
        <f>J17+Cty_Hyundai_DN[[#This Row],[THÀNH TIỀN]]-Cty_Hyundai_DN[[#This Row],[THANH TOÁN]]</f>
        <v>401939630</v>
      </c>
      <c r="K18" s="27"/>
    </row>
    <row r="19" spans="1:11" x14ac:dyDescent="0.25">
      <c r="A19" s="25">
        <v>8097</v>
      </c>
      <c r="B19" s="30">
        <v>46095</v>
      </c>
      <c r="C19" s="23" t="s">
        <v>13</v>
      </c>
      <c r="D19" s="38" t="s">
        <v>314</v>
      </c>
      <c r="E19" s="26" t="s">
        <v>65</v>
      </c>
      <c r="F19" s="28">
        <v>280</v>
      </c>
      <c r="G19" s="28">
        <v>46000</v>
      </c>
      <c r="H19" s="28">
        <f>Cty_Hyundai_DN[[#This Row],[ĐƠN GIÁ]]*Cty_Hyundai_DN[[#This Row],[SỐ LƯỢNG]]</f>
        <v>12880000</v>
      </c>
      <c r="I19" s="28"/>
      <c r="J19" s="28">
        <f>J18+Cty_Hyundai_DN[[#This Row],[THÀNH TIỀN]]-Cty_Hyundai_DN[[#This Row],[THANH TOÁN]]</f>
        <v>414819630</v>
      </c>
      <c r="K19" s="27"/>
    </row>
    <row r="20" spans="1:11" ht="31.5" x14ac:dyDescent="0.25">
      <c r="A20" s="25">
        <v>8097</v>
      </c>
      <c r="B20" s="30">
        <v>46095</v>
      </c>
      <c r="C20" s="23" t="s">
        <v>13</v>
      </c>
      <c r="D20" s="38" t="s">
        <v>68</v>
      </c>
      <c r="E20" s="67" t="s">
        <v>315</v>
      </c>
      <c r="F20" s="28">
        <v>210</v>
      </c>
      <c r="G20" s="28">
        <v>45000</v>
      </c>
      <c r="H20" s="28">
        <f>Cty_Hyundai_DN[[#This Row],[ĐƠN GIÁ]]*Cty_Hyundai_DN[[#This Row],[SỐ LƯỢNG]]</f>
        <v>9450000</v>
      </c>
      <c r="I20" s="28"/>
      <c r="J20" s="28">
        <f>J19+Cty_Hyundai_DN[[#This Row],[THÀNH TIỀN]]-Cty_Hyundai_DN[[#This Row],[THANH TOÁN]]</f>
        <v>424269630</v>
      </c>
      <c r="K20" s="27"/>
    </row>
    <row r="21" spans="1:11" x14ac:dyDescent="0.25">
      <c r="A21" s="25">
        <v>8097</v>
      </c>
      <c r="B21" s="30">
        <v>46095</v>
      </c>
      <c r="C21" s="23" t="s">
        <v>13</v>
      </c>
      <c r="D21" s="38" t="s">
        <v>173</v>
      </c>
      <c r="E21" s="26" t="s">
        <v>316</v>
      </c>
      <c r="F21" s="28">
        <v>110</v>
      </c>
      <c r="G21" s="28">
        <v>74000</v>
      </c>
      <c r="H21" s="28">
        <f>Cty_Hyundai_DN[[#This Row],[ĐƠN GIÁ]]*Cty_Hyundai_DN[[#This Row],[SỐ LƯỢNG]]</f>
        <v>8140000</v>
      </c>
      <c r="I21" s="28"/>
      <c r="J21" s="28">
        <f>J20+Cty_Hyundai_DN[[#This Row],[THÀNH TIỀN]]-Cty_Hyundai_DN[[#This Row],[THANH TOÁN]]</f>
        <v>432409630</v>
      </c>
      <c r="K21" s="27"/>
    </row>
    <row r="22" spans="1:11" x14ac:dyDescent="0.25">
      <c r="A22" s="25">
        <v>8097</v>
      </c>
      <c r="B22" s="30">
        <v>46095</v>
      </c>
      <c r="C22" s="23" t="s">
        <v>13</v>
      </c>
      <c r="D22" s="38" t="s">
        <v>317</v>
      </c>
      <c r="E22" s="26" t="s">
        <v>318</v>
      </c>
      <c r="F22" s="28">
        <v>74</v>
      </c>
      <c r="G22" s="28">
        <v>66000</v>
      </c>
      <c r="H22" s="28">
        <f>Cty_Hyundai_DN[[#This Row],[ĐƠN GIÁ]]*Cty_Hyundai_DN[[#This Row],[SỐ LƯỢNG]]</f>
        <v>4884000</v>
      </c>
      <c r="I22" s="28"/>
      <c r="J22" s="28">
        <f>J21+Cty_Hyundai_DN[[#This Row],[THÀNH TIỀN]]-Cty_Hyundai_DN[[#This Row],[THANH TOÁN]]</f>
        <v>437293630</v>
      </c>
      <c r="K22" s="27"/>
    </row>
    <row r="23" spans="1:11" x14ac:dyDescent="0.25">
      <c r="A23" s="25">
        <v>8191</v>
      </c>
      <c r="B23" s="30">
        <v>46100</v>
      </c>
      <c r="C23" s="23" t="s">
        <v>13</v>
      </c>
      <c r="D23" s="38" t="s">
        <v>317</v>
      </c>
      <c r="E23" s="26" t="s">
        <v>319</v>
      </c>
      <c r="F23" s="28">
        <v>46</v>
      </c>
      <c r="G23" s="28">
        <v>70000</v>
      </c>
      <c r="H23" s="28">
        <f>Cty_Hyundai_DN[[#This Row],[ĐƠN GIÁ]]*Cty_Hyundai_DN[[#This Row],[SỐ LƯỢNG]]</f>
        <v>3220000</v>
      </c>
      <c r="I23" s="28"/>
      <c r="J23" s="28">
        <f>J22+Cty_Hyundai_DN[[#This Row],[THÀNH TIỀN]]-Cty_Hyundai_DN[[#This Row],[THANH TOÁN]]</f>
        <v>440513630</v>
      </c>
      <c r="K23" s="27"/>
    </row>
    <row r="24" spans="1:11" x14ac:dyDescent="0.25">
      <c r="A24" s="25">
        <v>8191</v>
      </c>
      <c r="B24" s="30">
        <v>46100</v>
      </c>
      <c r="C24" s="23" t="s">
        <v>13</v>
      </c>
      <c r="D24" s="38" t="s">
        <v>54</v>
      </c>
      <c r="E24" s="26" t="s">
        <v>320</v>
      </c>
      <c r="F24" s="28">
        <v>310</v>
      </c>
      <c r="G24" s="28">
        <v>36000</v>
      </c>
      <c r="H24" s="28">
        <f>Cty_Hyundai_DN[[#This Row],[ĐƠN GIÁ]]*Cty_Hyundai_DN[[#This Row],[SỐ LƯỢNG]]</f>
        <v>11160000</v>
      </c>
      <c r="I24" s="28"/>
      <c r="J24" s="28">
        <f>J23+Cty_Hyundai_DN[[#This Row],[THÀNH TIỀN]]-Cty_Hyundai_DN[[#This Row],[THANH TOÁN]]</f>
        <v>451673630</v>
      </c>
      <c r="K24" s="27"/>
    </row>
    <row r="25" spans="1:11" x14ac:dyDescent="0.25">
      <c r="A25" s="25">
        <v>8191</v>
      </c>
      <c r="B25" s="30">
        <v>46100</v>
      </c>
      <c r="C25" s="23" t="s">
        <v>13</v>
      </c>
      <c r="D25" s="38" t="s">
        <v>68</v>
      </c>
      <c r="E25" s="26" t="s">
        <v>116</v>
      </c>
      <c r="F25" s="28">
        <v>113</v>
      </c>
      <c r="G25" s="28">
        <v>45000</v>
      </c>
      <c r="H25" s="28">
        <f>Cty_Hyundai_DN[[#This Row],[ĐƠN GIÁ]]*Cty_Hyundai_DN[[#This Row],[SỐ LƯỢNG]]</f>
        <v>5085000</v>
      </c>
      <c r="I25" s="28"/>
      <c r="J25" s="28">
        <f>J24+Cty_Hyundai_DN[[#This Row],[THÀNH TIỀN]]-Cty_Hyundai_DN[[#This Row],[THANH TOÁN]]</f>
        <v>456758630</v>
      </c>
      <c r="K25" s="27"/>
    </row>
    <row r="26" spans="1:11" x14ac:dyDescent="0.25">
      <c r="A26" s="25">
        <v>8191</v>
      </c>
      <c r="B26" s="30">
        <v>46100</v>
      </c>
      <c r="C26" s="23" t="s">
        <v>13</v>
      </c>
      <c r="D26" s="38" t="s">
        <v>68</v>
      </c>
      <c r="E26" s="26" t="s">
        <v>321</v>
      </c>
      <c r="F26" s="28">
        <v>166</v>
      </c>
      <c r="G26" s="28">
        <v>45000</v>
      </c>
      <c r="H26" s="28">
        <f>Cty_Hyundai_DN[[#This Row],[ĐƠN GIÁ]]*Cty_Hyundai_DN[[#This Row],[SỐ LƯỢNG]]</f>
        <v>7470000</v>
      </c>
      <c r="I26" s="28"/>
      <c r="J26" s="28">
        <f>J25+Cty_Hyundai_DN[[#This Row],[THÀNH TIỀN]]-Cty_Hyundai_DN[[#This Row],[THANH TOÁN]]</f>
        <v>464228630</v>
      </c>
      <c r="K26" s="27"/>
    </row>
    <row r="27" spans="1:11" x14ac:dyDescent="0.25">
      <c r="A27" s="25">
        <v>8295</v>
      </c>
      <c r="B27" s="30">
        <v>46102</v>
      </c>
      <c r="C27" s="23" t="s">
        <v>13</v>
      </c>
      <c r="D27" s="38" t="s">
        <v>54</v>
      </c>
      <c r="E27" s="26" t="s">
        <v>322</v>
      </c>
      <c r="F27" s="28">
        <v>1612</v>
      </c>
      <c r="G27" s="28">
        <v>37000</v>
      </c>
      <c r="H27" s="28">
        <f>Cty_Hyundai_DN[[#This Row],[ĐƠN GIÁ]]*Cty_Hyundai_DN[[#This Row],[SỐ LƯỢNG]]</f>
        <v>59644000</v>
      </c>
      <c r="I27" s="28"/>
      <c r="J27" s="28">
        <f>J26+Cty_Hyundai_DN[[#This Row],[THÀNH TIỀN]]-Cty_Hyundai_DN[[#This Row],[THANH TOÁN]]</f>
        <v>523872630</v>
      </c>
      <c r="K27" s="27"/>
    </row>
    <row r="28" spans="1:11" x14ac:dyDescent="0.25">
      <c r="A28" s="25">
        <v>8295</v>
      </c>
      <c r="B28" s="30">
        <v>46102</v>
      </c>
      <c r="C28" s="23" t="s">
        <v>13</v>
      </c>
      <c r="D28" s="38" t="s">
        <v>54</v>
      </c>
      <c r="E28" s="26" t="s">
        <v>323</v>
      </c>
      <c r="F28" s="28">
        <v>1070</v>
      </c>
      <c r="G28" s="28">
        <v>37000</v>
      </c>
      <c r="H28" s="28">
        <f>Cty_Hyundai_DN[[#This Row],[ĐƠN GIÁ]]*Cty_Hyundai_DN[[#This Row],[SỐ LƯỢNG]]</f>
        <v>39590000</v>
      </c>
      <c r="I28" s="28"/>
      <c r="J28" s="28">
        <f>J27+Cty_Hyundai_DN[[#This Row],[THÀNH TIỀN]]-Cty_Hyundai_DN[[#This Row],[THANH TOÁN]]</f>
        <v>563462630</v>
      </c>
      <c r="K28" s="27"/>
    </row>
    <row r="29" spans="1:11" x14ac:dyDescent="0.25">
      <c r="A29" s="25">
        <v>8295</v>
      </c>
      <c r="B29" s="30">
        <v>46102</v>
      </c>
      <c r="C29" s="23" t="s">
        <v>13</v>
      </c>
      <c r="D29" s="38" t="s">
        <v>54</v>
      </c>
      <c r="E29" s="26" t="s">
        <v>324</v>
      </c>
      <c r="F29" s="28">
        <v>1540</v>
      </c>
      <c r="G29" s="28">
        <v>37000</v>
      </c>
      <c r="H29" s="28">
        <f>Cty_Hyundai_DN[[#This Row],[ĐƠN GIÁ]]*Cty_Hyundai_DN[[#This Row],[SỐ LƯỢNG]]</f>
        <v>56980000</v>
      </c>
      <c r="I29" s="28"/>
      <c r="J29" s="28">
        <f>J28+Cty_Hyundai_DN[[#This Row],[THÀNH TIỀN]]-Cty_Hyundai_DN[[#This Row],[THANH TOÁN]]</f>
        <v>620442630</v>
      </c>
      <c r="K29" s="27"/>
    </row>
    <row r="30" spans="1:11" x14ac:dyDescent="0.25">
      <c r="A30" s="25">
        <v>8295</v>
      </c>
      <c r="B30" s="30">
        <v>46102</v>
      </c>
      <c r="C30" s="23" t="s">
        <v>13</v>
      </c>
      <c r="D30" s="38" t="s">
        <v>317</v>
      </c>
      <c r="E30" s="26" t="s">
        <v>325</v>
      </c>
      <c r="F30" s="28">
        <v>846</v>
      </c>
      <c r="G30" s="28">
        <v>74000</v>
      </c>
      <c r="H30" s="28">
        <f>Cty_Hyundai_DN[[#This Row],[ĐƠN GIÁ]]*Cty_Hyundai_DN[[#This Row],[SỐ LƯỢNG]]</f>
        <v>62604000</v>
      </c>
      <c r="I30" s="28"/>
      <c r="J30" s="28">
        <f>J29+Cty_Hyundai_DN[[#This Row],[THÀNH TIỀN]]-Cty_Hyundai_DN[[#This Row],[THANH TOÁN]]</f>
        <v>683046630</v>
      </c>
      <c r="K30" s="27"/>
    </row>
    <row r="31" spans="1:11" x14ac:dyDescent="0.25">
      <c r="A31" s="25">
        <v>8295</v>
      </c>
      <c r="B31" s="30">
        <v>46102</v>
      </c>
      <c r="C31" s="23" t="s">
        <v>13</v>
      </c>
      <c r="D31" s="38" t="s">
        <v>26</v>
      </c>
      <c r="E31" s="26" t="s">
        <v>161</v>
      </c>
      <c r="F31" s="28">
        <v>154</v>
      </c>
      <c r="G31" s="28">
        <v>37000</v>
      </c>
      <c r="H31" s="28">
        <f>Cty_Hyundai_DN[[#This Row],[ĐƠN GIÁ]]*Cty_Hyundai_DN[[#This Row],[SỐ LƯỢNG]]</f>
        <v>5698000</v>
      </c>
      <c r="I31" s="28"/>
      <c r="J31" s="28">
        <f>J30+Cty_Hyundai_DN[[#This Row],[THÀNH TIỀN]]-Cty_Hyundai_DN[[#This Row],[THANH TOÁN]]</f>
        <v>688744630</v>
      </c>
      <c r="K31" s="27"/>
    </row>
    <row r="32" spans="1:11" x14ac:dyDescent="0.25">
      <c r="A32" s="25">
        <v>8233</v>
      </c>
      <c r="B32" s="30">
        <v>46105</v>
      </c>
      <c r="C32" s="23" t="s">
        <v>13</v>
      </c>
      <c r="D32" s="38" t="s">
        <v>54</v>
      </c>
      <c r="E32" s="26" t="s">
        <v>326</v>
      </c>
      <c r="F32" s="28">
        <v>1306</v>
      </c>
      <c r="G32" s="28">
        <v>37000</v>
      </c>
      <c r="H32" s="28">
        <f>Cty_Hyundai_DN[[#This Row],[ĐƠN GIÁ]]*Cty_Hyundai_DN[[#This Row],[SỐ LƯỢNG]]</f>
        <v>48322000</v>
      </c>
      <c r="I32" s="28"/>
      <c r="J32" s="28">
        <f>J31+Cty_Hyundai_DN[[#This Row],[THÀNH TIỀN]]-Cty_Hyundai_DN[[#This Row],[THANH TOÁN]]</f>
        <v>737066630</v>
      </c>
      <c r="K32" s="27"/>
    </row>
    <row r="33" spans="1:11" x14ac:dyDescent="0.25">
      <c r="A33" s="25">
        <v>8233</v>
      </c>
      <c r="B33" s="30">
        <v>46105</v>
      </c>
      <c r="C33" s="23" t="s">
        <v>13</v>
      </c>
      <c r="D33" s="38" t="s">
        <v>68</v>
      </c>
      <c r="E33" s="26" t="s">
        <v>327</v>
      </c>
      <c r="F33" s="28">
        <v>113</v>
      </c>
      <c r="G33" s="28">
        <v>45000</v>
      </c>
      <c r="H33" s="28">
        <f>Cty_Hyundai_DN[[#This Row],[ĐƠN GIÁ]]*Cty_Hyundai_DN[[#This Row],[SỐ LƯỢNG]]</f>
        <v>5085000</v>
      </c>
      <c r="I33" s="28"/>
      <c r="J33" s="28">
        <f>J32+Cty_Hyundai_DN[[#This Row],[THÀNH TIỀN]]-Cty_Hyundai_DN[[#This Row],[THANH TOÁN]]</f>
        <v>742151630</v>
      </c>
      <c r="K33" s="27"/>
    </row>
    <row r="34" spans="1:11" x14ac:dyDescent="0.25">
      <c r="A34" s="25">
        <v>8320</v>
      </c>
      <c r="B34" s="30">
        <v>46106</v>
      </c>
      <c r="C34" s="23" t="s">
        <v>13</v>
      </c>
      <c r="D34" s="38" t="s">
        <v>328</v>
      </c>
      <c r="E34" s="26" t="s">
        <v>329</v>
      </c>
      <c r="F34" s="28">
        <v>623</v>
      </c>
      <c r="G34" s="28">
        <v>43000</v>
      </c>
      <c r="H34" s="28">
        <f>Cty_Hyundai_DN[[#This Row],[ĐƠN GIÁ]]*Cty_Hyundai_DN[[#This Row],[SỐ LƯỢNG]]</f>
        <v>26789000</v>
      </c>
      <c r="I34" s="28"/>
      <c r="J34" s="28">
        <f>J33+Cty_Hyundai_DN[[#This Row],[THÀNH TIỀN]]-Cty_Hyundai_DN[[#This Row],[THANH TOÁN]]</f>
        <v>768940630</v>
      </c>
      <c r="K34" s="27"/>
    </row>
    <row r="35" spans="1:11" x14ac:dyDescent="0.25">
      <c r="A35" s="25">
        <v>8339</v>
      </c>
      <c r="B35" s="30">
        <v>46107</v>
      </c>
      <c r="C35" s="23" t="s">
        <v>13</v>
      </c>
      <c r="D35" s="38" t="s">
        <v>330</v>
      </c>
      <c r="E35" s="26" t="s">
        <v>331</v>
      </c>
      <c r="F35" s="28">
        <v>735</v>
      </c>
      <c r="G35" s="28">
        <v>46000</v>
      </c>
      <c r="H35" s="28">
        <f>Cty_Hyundai_DN[[#This Row],[ĐƠN GIÁ]]*Cty_Hyundai_DN[[#This Row],[SỐ LƯỢNG]]</f>
        <v>33810000</v>
      </c>
      <c r="I35" s="28"/>
      <c r="J35" s="28">
        <f>J34+Cty_Hyundai_DN[[#This Row],[THÀNH TIỀN]]-Cty_Hyundai_DN[[#This Row],[THANH TOÁN]]</f>
        <v>802750630</v>
      </c>
      <c r="K35" s="27"/>
    </row>
    <row r="36" spans="1:11" x14ac:dyDescent="0.25">
      <c r="A36" s="25">
        <v>8339</v>
      </c>
      <c r="B36" s="30">
        <v>46107</v>
      </c>
      <c r="C36" s="23" t="s">
        <v>13</v>
      </c>
      <c r="D36" s="38" t="s">
        <v>26</v>
      </c>
      <c r="E36" s="26" t="s">
        <v>332</v>
      </c>
      <c r="F36" s="28">
        <v>208</v>
      </c>
      <c r="G36" s="28">
        <v>37000</v>
      </c>
      <c r="H36" s="28">
        <f>Cty_Hyundai_DN[[#This Row],[ĐƠN GIÁ]]*Cty_Hyundai_DN[[#This Row],[SỐ LƯỢNG]]</f>
        <v>7696000</v>
      </c>
      <c r="I36" s="28"/>
      <c r="J36" s="28">
        <f>J35+Cty_Hyundai_DN[[#This Row],[THÀNH TIỀN]]-Cty_Hyundai_DN[[#This Row],[THANH TOÁN]]</f>
        <v>810446630</v>
      </c>
      <c r="K36" s="27"/>
    </row>
    <row r="37" spans="1:11" x14ac:dyDescent="0.25">
      <c r="A37" s="25">
        <v>8339</v>
      </c>
      <c r="B37" s="30">
        <v>46107</v>
      </c>
      <c r="C37" s="23" t="s">
        <v>13</v>
      </c>
      <c r="D37" s="38" t="s">
        <v>26</v>
      </c>
      <c r="E37" s="23" t="s">
        <v>333</v>
      </c>
      <c r="F37" s="31">
        <v>258</v>
      </c>
      <c r="G37" s="31">
        <v>34000</v>
      </c>
      <c r="H37" s="31">
        <f>Cty_Hyundai_DN[[#This Row],[ĐƠN GIÁ]]*Cty_Hyundai_DN[[#This Row],[SỐ LƯỢNG]]</f>
        <v>8772000</v>
      </c>
      <c r="I37" s="31"/>
      <c r="J37" s="31">
        <f>J36+Cty_Hyundai_DN[[#This Row],[THÀNH TIỀN]]-Cty_Hyundai_DN[[#This Row],[THANH TOÁN]]</f>
        <v>819218630</v>
      </c>
      <c r="K37" s="24"/>
    </row>
    <row r="38" spans="1:11" x14ac:dyDescent="0.25">
      <c r="A38" s="25"/>
      <c r="B38" s="30">
        <v>46107</v>
      </c>
      <c r="C38" s="23" t="s">
        <v>21</v>
      </c>
      <c r="D38" s="38" t="s">
        <v>22</v>
      </c>
      <c r="E38" s="26" t="s">
        <v>147</v>
      </c>
      <c r="F38" s="28">
        <v>0</v>
      </c>
      <c r="G38" s="28">
        <v>0</v>
      </c>
      <c r="H38" s="28">
        <f>Cty_Hyundai_DN[[#This Row],[ĐƠN GIÁ]]*Cty_Hyundai_DN[[#This Row],[SỐ LƯỢNG]]</f>
        <v>0</v>
      </c>
      <c r="I38" s="28">
        <v>247634949</v>
      </c>
      <c r="J38" s="28">
        <f>J37+Cty_Hyundai_DN[[#This Row],[THÀNH TIỀN]]-Cty_Hyundai_DN[[#This Row],[THANH TOÁN]]</f>
        <v>571583681</v>
      </c>
      <c r="K38" s="27"/>
    </row>
    <row r="39" spans="1:11" x14ac:dyDescent="0.25">
      <c r="A39" s="25">
        <v>8397</v>
      </c>
      <c r="B39" s="30">
        <v>46109</v>
      </c>
      <c r="C39" s="23" t="s">
        <v>13</v>
      </c>
      <c r="D39" s="38" t="s">
        <v>334</v>
      </c>
      <c r="E39" s="23" t="s">
        <v>335</v>
      </c>
      <c r="F39" s="31">
        <v>744</v>
      </c>
      <c r="G39" s="31">
        <v>46000</v>
      </c>
      <c r="H39" s="31">
        <f>Cty_Hyundai_DN[[#This Row],[ĐƠN GIÁ]]*Cty_Hyundai_DN[[#This Row],[SỐ LƯỢNG]]</f>
        <v>34224000</v>
      </c>
      <c r="I39" s="31"/>
      <c r="J39" s="31">
        <f>J38+Cty_Hyundai_DN[[#This Row],[THÀNH TIỀN]]-Cty_Hyundai_DN[[#This Row],[THANH TOÁN]]</f>
        <v>605807681</v>
      </c>
      <c r="K39" s="24"/>
    </row>
    <row r="40" spans="1:11" x14ac:dyDescent="0.25">
      <c r="A40" s="25">
        <v>8397</v>
      </c>
      <c r="B40" s="30">
        <v>46109</v>
      </c>
      <c r="C40" s="23" t="s">
        <v>13</v>
      </c>
      <c r="D40" s="38" t="s">
        <v>336</v>
      </c>
      <c r="E40" s="26" t="s">
        <v>337</v>
      </c>
      <c r="F40" s="28">
        <v>136</v>
      </c>
      <c r="G40" s="28">
        <v>50000</v>
      </c>
      <c r="H40" s="28">
        <f>Cty_Hyundai_DN[[#This Row],[ĐƠN GIÁ]]*Cty_Hyundai_DN[[#This Row],[SỐ LƯỢNG]]</f>
        <v>6800000</v>
      </c>
      <c r="I40" s="28"/>
      <c r="J40" s="28">
        <f>J39+Cty_Hyundai_DN[[#This Row],[THÀNH TIỀN]]-Cty_Hyundai_DN[[#This Row],[THANH TOÁN]]</f>
        <v>612607681</v>
      </c>
      <c r="K40" s="27"/>
    </row>
    <row r="41" spans="1:11" x14ac:dyDescent="0.25">
      <c r="A41" s="25">
        <v>8445</v>
      </c>
      <c r="B41" s="30">
        <v>46112</v>
      </c>
      <c r="C41" s="26" t="s">
        <v>13</v>
      </c>
      <c r="D41" s="38" t="s">
        <v>338</v>
      </c>
      <c r="E41" s="26" t="s">
        <v>339</v>
      </c>
      <c r="F41" s="28">
        <v>1377</v>
      </c>
      <c r="G41" s="28">
        <v>39000</v>
      </c>
      <c r="H41" s="28">
        <f>Cty_Hyundai_DN[[#This Row],[ĐƠN GIÁ]]*Cty_Hyundai_DN[[#This Row],[SỐ LƯỢNG]]</f>
        <v>53703000</v>
      </c>
      <c r="I41" s="28"/>
      <c r="J41" s="28">
        <f>J40+Cty_Hyundai_DN[[#This Row],[THÀNH TIỀN]]-Cty_Hyundai_DN[[#This Row],[THANH TOÁN]]</f>
        <v>666310681</v>
      </c>
      <c r="K41" s="27"/>
    </row>
    <row r="42" spans="1:11" x14ac:dyDescent="0.25">
      <c r="A42" s="22">
        <v>8524</v>
      </c>
      <c r="B42" s="29">
        <v>46115</v>
      </c>
      <c r="C42" s="23" t="s">
        <v>13</v>
      </c>
      <c r="D42" s="37" t="s">
        <v>103</v>
      </c>
      <c r="E42" s="23" t="s">
        <v>340</v>
      </c>
      <c r="F42" s="31">
        <v>62</v>
      </c>
      <c r="G42" s="31">
        <v>40000</v>
      </c>
      <c r="H42" s="31">
        <f>Cty_Hyundai_DN[[#This Row],[ĐƠN GIÁ]]*Cty_Hyundai_DN[[#This Row],[SỐ LƯỢNG]]</f>
        <v>2480000</v>
      </c>
      <c r="I42" s="31"/>
      <c r="J42" s="31">
        <f>J41+Cty_Hyundai_DN[[#This Row],[THÀNH TIỀN]]-Cty_Hyundai_DN[[#This Row],[THANH TOÁN]]</f>
        <v>668790681</v>
      </c>
      <c r="K42" s="24"/>
    </row>
    <row r="43" spans="1:11" x14ac:dyDescent="0.25">
      <c r="A43" s="22">
        <v>8524</v>
      </c>
      <c r="B43" s="29">
        <v>46115</v>
      </c>
      <c r="C43" s="23" t="s">
        <v>13</v>
      </c>
      <c r="D43" s="37" t="s">
        <v>54</v>
      </c>
      <c r="E43" s="23" t="s">
        <v>341</v>
      </c>
      <c r="F43" s="31">
        <v>678</v>
      </c>
      <c r="G43" s="31">
        <v>37000</v>
      </c>
      <c r="H43" s="31">
        <f>Cty_Hyundai_DN[[#This Row],[ĐƠN GIÁ]]*Cty_Hyundai_DN[[#This Row],[SỐ LƯỢNG]]</f>
        <v>25086000</v>
      </c>
      <c r="I43" s="31"/>
      <c r="J43" s="31">
        <f>J42+Cty_Hyundai_DN[[#This Row],[THÀNH TIỀN]]-Cty_Hyundai_DN[[#This Row],[THANH TOÁN]]</f>
        <v>693876681</v>
      </c>
      <c r="K43" s="24"/>
    </row>
    <row r="44" spans="1:11" x14ac:dyDescent="0.25">
      <c r="A44" s="22">
        <v>8625</v>
      </c>
      <c r="B44" s="29">
        <v>46120</v>
      </c>
      <c r="C44" s="23" t="s">
        <v>13</v>
      </c>
      <c r="D44" s="37" t="s">
        <v>317</v>
      </c>
      <c r="E44" s="23" t="s">
        <v>342</v>
      </c>
      <c r="F44" s="31">
        <v>188</v>
      </c>
      <c r="G44" s="31">
        <v>65000</v>
      </c>
      <c r="H44" s="31">
        <f>Cty_Hyundai_DN[[#This Row],[ĐƠN GIÁ]]*Cty_Hyundai_DN[[#This Row],[SỐ LƯỢNG]]</f>
        <v>12220000</v>
      </c>
      <c r="I44" s="31"/>
      <c r="J44" s="31">
        <f>J43+Cty_Hyundai_DN[[#This Row],[THÀNH TIỀN]]-Cty_Hyundai_DN[[#This Row],[THANH TOÁN]]</f>
        <v>706096681</v>
      </c>
      <c r="K44" s="24"/>
    </row>
    <row r="45" spans="1:11" x14ac:dyDescent="0.25">
      <c r="A45" s="22">
        <v>8625</v>
      </c>
      <c r="B45" s="29">
        <v>46120</v>
      </c>
      <c r="C45" s="23" t="s">
        <v>13</v>
      </c>
      <c r="D45" s="37" t="s">
        <v>317</v>
      </c>
      <c r="E45" s="23" t="s">
        <v>343</v>
      </c>
      <c r="F45" s="31">
        <v>92</v>
      </c>
      <c r="G45" s="31">
        <v>65000</v>
      </c>
      <c r="H45" s="31">
        <f>Cty_Hyundai_DN[[#This Row],[ĐƠN GIÁ]]*Cty_Hyundai_DN[[#This Row],[SỐ LƯỢNG]]</f>
        <v>5980000</v>
      </c>
      <c r="I45" s="31"/>
      <c r="J45" s="31">
        <f>J44+Cty_Hyundai_DN[[#This Row],[THÀNH TIỀN]]-Cty_Hyundai_DN[[#This Row],[THANH TOÁN]]</f>
        <v>712076681</v>
      </c>
      <c r="K45" s="24"/>
    </row>
    <row r="46" spans="1:11" x14ac:dyDescent="0.25">
      <c r="A46" s="22">
        <v>8666</v>
      </c>
      <c r="B46" s="29">
        <v>46121</v>
      </c>
      <c r="C46" s="23" t="s">
        <v>13</v>
      </c>
      <c r="D46" s="37" t="s">
        <v>192</v>
      </c>
      <c r="E46" s="23" t="s">
        <v>344</v>
      </c>
      <c r="F46" s="31">
        <v>1164</v>
      </c>
      <c r="G46" s="31">
        <v>39000</v>
      </c>
      <c r="H46" s="31">
        <f>Cty_Hyundai_DN[[#This Row],[ĐƠN GIÁ]]*Cty_Hyundai_DN[[#This Row],[SỐ LƯỢNG]]</f>
        <v>45396000</v>
      </c>
      <c r="I46" s="31"/>
      <c r="J46" s="31">
        <f>J45+Cty_Hyundai_DN[[#This Row],[THÀNH TIỀN]]-Cty_Hyundai_DN[[#This Row],[THANH TOÁN]]</f>
        <v>757472681</v>
      </c>
      <c r="K46" s="24"/>
    </row>
    <row r="47" spans="1:11" x14ac:dyDescent="0.25">
      <c r="A47" s="22">
        <v>8666</v>
      </c>
      <c r="B47" s="29">
        <v>46121</v>
      </c>
      <c r="C47" s="23" t="s">
        <v>13</v>
      </c>
      <c r="D47" s="37" t="s">
        <v>54</v>
      </c>
      <c r="E47" s="23" t="s">
        <v>228</v>
      </c>
      <c r="F47" s="31">
        <v>106</v>
      </c>
      <c r="G47" s="31">
        <v>37000</v>
      </c>
      <c r="H47" s="31">
        <f>Cty_Hyundai_DN[[#This Row],[ĐƠN GIÁ]]*Cty_Hyundai_DN[[#This Row],[SỐ LƯỢNG]]</f>
        <v>3922000</v>
      </c>
      <c r="I47" s="31"/>
      <c r="J47" s="31">
        <f>J46+Cty_Hyundai_DN[[#This Row],[THÀNH TIỀN]]-Cty_Hyundai_DN[[#This Row],[THANH TOÁN]]</f>
        <v>761394681</v>
      </c>
      <c r="K47" s="24"/>
    </row>
    <row r="48" spans="1:11" x14ac:dyDescent="0.25">
      <c r="A48" s="22">
        <v>8782</v>
      </c>
      <c r="B48" s="29">
        <v>46127</v>
      </c>
      <c r="C48" s="23" t="s">
        <v>13</v>
      </c>
      <c r="D48" s="37" t="s">
        <v>192</v>
      </c>
      <c r="E48" s="23" t="s">
        <v>345</v>
      </c>
      <c r="F48" s="31">
        <v>1500</v>
      </c>
      <c r="G48" s="31">
        <v>40000</v>
      </c>
      <c r="H48" s="31">
        <f>Cty_Hyundai_DN[[#This Row],[ĐƠN GIÁ]]*Cty_Hyundai_DN[[#This Row],[SỐ LƯỢNG]]</f>
        <v>60000000</v>
      </c>
      <c r="I48" s="31"/>
      <c r="J48" s="31">
        <f>J47+Cty_Hyundai_DN[[#This Row],[THÀNH TIỀN]]-Cty_Hyundai_DN[[#This Row],[THANH TOÁN]]</f>
        <v>821394681</v>
      </c>
      <c r="K48" s="24"/>
    </row>
    <row r="49" spans="1:11" x14ac:dyDescent="0.25">
      <c r="A49" s="22">
        <v>8782</v>
      </c>
      <c r="B49" s="29">
        <v>46127</v>
      </c>
      <c r="C49" s="23" t="s">
        <v>13</v>
      </c>
      <c r="D49" s="37" t="s">
        <v>192</v>
      </c>
      <c r="E49" s="23" t="s">
        <v>81</v>
      </c>
      <c r="F49" s="31">
        <v>840</v>
      </c>
      <c r="G49" s="31">
        <v>40000</v>
      </c>
      <c r="H49" s="31">
        <f>Cty_Hyundai_DN[[#This Row],[ĐƠN GIÁ]]*Cty_Hyundai_DN[[#This Row],[SỐ LƯỢNG]]</f>
        <v>33600000</v>
      </c>
      <c r="I49" s="31"/>
      <c r="J49" s="31">
        <f>J48+Cty_Hyundai_DN[[#This Row],[THÀNH TIỀN]]-Cty_Hyundai_DN[[#This Row],[THANH TOÁN]]</f>
        <v>854994681</v>
      </c>
      <c r="K49" s="24"/>
    </row>
    <row r="50" spans="1:11" x14ac:dyDescent="0.25">
      <c r="A50" s="22">
        <v>8782</v>
      </c>
      <c r="B50" s="29">
        <v>46127</v>
      </c>
      <c r="C50" s="23" t="s">
        <v>13</v>
      </c>
      <c r="D50" s="37" t="s">
        <v>192</v>
      </c>
      <c r="E50" s="23" t="s">
        <v>346</v>
      </c>
      <c r="F50" s="31">
        <v>1040</v>
      </c>
      <c r="G50" s="31">
        <v>41000</v>
      </c>
      <c r="H50" s="31">
        <f>Cty_Hyundai_DN[[#This Row],[ĐƠN GIÁ]]*Cty_Hyundai_DN[[#This Row],[SỐ LƯỢNG]]</f>
        <v>42640000</v>
      </c>
      <c r="I50" s="31"/>
      <c r="J50" s="31">
        <f>J49+Cty_Hyundai_DN[[#This Row],[THÀNH TIỀN]]-Cty_Hyundai_DN[[#This Row],[THANH TOÁN]]</f>
        <v>897634681</v>
      </c>
      <c r="K50" s="24"/>
    </row>
    <row r="51" spans="1:11" x14ac:dyDescent="0.25">
      <c r="A51" s="22"/>
      <c r="B51" s="29">
        <v>46132</v>
      </c>
      <c r="C51" s="23" t="s">
        <v>21</v>
      </c>
      <c r="D51" s="37" t="s">
        <v>22</v>
      </c>
      <c r="E51" s="23" t="s">
        <v>147</v>
      </c>
      <c r="F51" s="31">
        <v>0</v>
      </c>
      <c r="G51" s="31"/>
      <c r="H51" s="31">
        <f>Cty_Hyundai_DN[[#This Row],[ĐƠN GIÁ]]*Cty_Hyundai_DN[[#This Row],[SỐ LƯỢNG]]</f>
        <v>0</v>
      </c>
      <c r="I51" s="31">
        <v>442412155</v>
      </c>
      <c r="J51" s="31">
        <f>J50+Cty_Hyundai_DN[[#This Row],[THÀNH TIỀN]]-Cty_Hyundai_DN[[#This Row],[THANH TOÁN]]</f>
        <v>455222526</v>
      </c>
      <c r="K51" s="24"/>
    </row>
    <row r="52" spans="1:11" x14ac:dyDescent="0.25">
      <c r="A52" s="22">
        <v>8895</v>
      </c>
      <c r="B52" s="29">
        <v>46132</v>
      </c>
      <c r="C52" s="23" t="s">
        <v>13</v>
      </c>
      <c r="D52" s="37" t="s">
        <v>26</v>
      </c>
      <c r="E52" s="23" t="s">
        <v>78</v>
      </c>
      <c r="F52" s="31">
        <v>1186</v>
      </c>
      <c r="G52" s="31">
        <v>37000</v>
      </c>
      <c r="H52" s="31">
        <f>Cty_Hyundai_DN[[#This Row],[ĐƠN GIÁ]]*Cty_Hyundai_DN[[#This Row],[SỐ LƯỢNG]]</f>
        <v>43882000</v>
      </c>
      <c r="I52" s="31"/>
      <c r="J52" s="31">
        <f>J51+Cty_Hyundai_DN[[#This Row],[THÀNH TIỀN]]-Cty_Hyundai_DN[[#This Row],[THANH TOÁN]]</f>
        <v>499104526</v>
      </c>
      <c r="K52" s="24"/>
    </row>
    <row r="53" spans="1:11" x14ac:dyDescent="0.25">
      <c r="A53" s="22">
        <v>8895</v>
      </c>
      <c r="B53" s="29">
        <v>46132</v>
      </c>
      <c r="C53" s="23" t="s">
        <v>13</v>
      </c>
      <c r="D53" s="37" t="s">
        <v>26</v>
      </c>
      <c r="E53" s="23" t="s">
        <v>1736</v>
      </c>
      <c r="F53" s="31">
        <v>486</v>
      </c>
      <c r="G53" s="31">
        <v>39000</v>
      </c>
      <c r="H53" s="31">
        <f>Cty_Hyundai_DN[[#This Row],[ĐƠN GIÁ]]*Cty_Hyundai_DN[[#This Row],[SỐ LƯỢNG]]</f>
        <v>18954000</v>
      </c>
      <c r="I53" s="31"/>
      <c r="J53" s="31">
        <f>J52+Cty_Hyundai_DN[[#This Row],[THÀNH TIỀN]]-Cty_Hyundai_DN[[#This Row],[THANH TOÁN]]</f>
        <v>518058526</v>
      </c>
      <c r="K53" s="24"/>
    </row>
    <row r="54" spans="1:11" x14ac:dyDescent="0.25">
      <c r="A54" s="22">
        <v>8895</v>
      </c>
      <c r="B54" s="29">
        <v>46132</v>
      </c>
      <c r="C54" s="23" t="s">
        <v>13</v>
      </c>
      <c r="D54" s="37" t="s">
        <v>1737</v>
      </c>
      <c r="E54" s="23" t="s">
        <v>117</v>
      </c>
      <c r="F54" s="31">
        <v>218</v>
      </c>
      <c r="G54" s="31">
        <v>72000</v>
      </c>
      <c r="H54" s="31">
        <f>Cty_Hyundai_DN[[#This Row],[ĐƠN GIÁ]]*Cty_Hyundai_DN[[#This Row],[SỐ LƯỢNG]]</f>
        <v>15696000</v>
      </c>
      <c r="I54" s="31"/>
      <c r="J54" s="31">
        <f>J53+Cty_Hyundai_DN[[#This Row],[THÀNH TIỀN]]-Cty_Hyundai_DN[[#This Row],[THANH TOÁN]]</f>
        <v>533754526</v>
      </c>
      <c r="K54" s="24"/>
    </row>
    <row r="55" spans="1:11" x14ac:dyDescent="0.25">
      <c r="A55" s="22">
        <v>8963</v>
      </c>
      <c r="B55" s="29">
        <v>46135</v>
      </c>
      <c r="C55" s="23" t="s">
        <v>13</v>
      </c>
      <c r="D55" s="37" t="s">
        <v>50</v>
      </c>
      <c r="E55" s="23" t="s">
        <v>1795</v>
      </c>
      <c r="F55" s="31">
        <v>122</v>
      </c>
      <c r="G55" s="31">
        <v>65000</v>
      </c>
      <c r="H55" s="31">
        <f>Cty_Hyundai_DN[[#This Row],[ĐƠN GIÁ]]*Cty_Hyundai_DN[[#This Row],[SỐ LƯỢNG]]</f>
        <v>7930000</v>
      </c>
      <c r="I55" s="31"/>
      <c r="J55" s="31">
        <f>J54+Cty_Hyundai_DN[[#This Row],[THÀNH TIỀN]]-Cty_Hyundai_DN[[#This Row],[THANH TOÁN]]</f>
        <v>541684526</v>
      </c>
      <c r="K55" s="24"/>
    </row>
    <row r="56" spans="1:11" x14ac:dyDescent="0.25">
      <c r="A56" s="22">
        <v>8963</v>
      </c>
      <c r="B56" s="29">
        <v>46135</v>
      </c>
      <c r="C56" s="23" t="s">
        <v>13</v>
      </c>
      <c r="D56" s="37" t="s">
        <v>54</v>
      </c>
      <c r="E56" s="23" t="s">
        <v>1796</v>
      </c>
      <c r="F56" s="31">
        <v>174</v>
      </c>
      <c r="G56" s="31">
        <v>37000</v>
      </c>
      <c r="H56" s="31">
        <f>Cty_Hyundai_DN[[#This Row],[ĐƠN GIÁ]]*Cty_Hyundai_DN[[#This Row],[SỐ LƯỢNG]]</f>
        <v>6438000</v>
      </c>
      <c r="I56" s="31"/>
      <c r="J56" s="31">
        <f>J55+Cty_Hyundai_DN[[#This Row],[THÀNH TIỀN]]-Cty_Hyundai_DN[[#This Row],[THANH TOÁN]]</f>
        <v>548122526</v>
      </c>
      <c r="K56" s="24"/>
    </row>
    <row r="57" spans="1:11" x14ac:dyDescent="0.25">
      <c r="A57" s="22">
        <v>8963</v>
      </c>
      <c r="B57" s="29">
        <v>46135</v>
      </c>
      <c r="C57" s="23" t="s">
        <v>13</v>
      </c>
      <c r="D57" s="37" t="s">
        <v>192</v>
      </c>
      <c r="E57" s="23" t="s">
        <v>661</v>
      </c>
      <c r="F57" s="31">
        <v>558</v>
      </c>
      <c r="G57" s="31">
        <v>40000</v>
      </c>
      <c r="H57" s="31">
        <f>Cty_Hyundai_DN[[#This Row],[ĐƠN GIÁ]]*Cty_Hyundai_DN[[#This Row],[SỐ LƯỢNG]]</f>
        <v>22320000</v>
      </c>
      <c r="I57" s="31"/>
      <c r="J57" s="31">
        <f>J56+Cty_Hyundai_DN[[#This Row],[THÀNH TIỀN]]-Cty_Hyundai_DN[[#This Row],[THANH TOÁN]]</f>
        <v>570442526</v>
      </c>
      <c r="K57" s="24"/>
    </row>
    <row r="58" spans="1:11" x14ac:dyDescent="0.25">
      <c r="A58" s="22">
        <v>8981</v>
      </c>
      <c r="B58" s="29">
        <v>46136</v>
      </c>
      <c r="C58" s="23" t="s">
        <v>13</v>
      </c>
      <c r="D58" s="37" t="s">
        <v>192</v>
      </c>
      <c r="E58" s="23" t="s">
        <v>661</v>
      </c>
      <c r="F58" s="31">
        <v>1921</v>
      </c>
      <c r="G58" s="31">
        <v>40000</v>
      </c>
      <c r="H58" s="31">
        <f>Cty_Hyundai_DN[[#This Row],[ĐƠN GIÁ]]*Cty_Hyundai_DN[[#This Row],[SỐ LƯỢNG]]</f>
        <v>76840000</v>
      </c>
      <c r="I58" s="31"/>
      <c r="J58" s="31">
        <f>J57+Cty_Hyundai_DN[[#This Row],[THÀNH TIỀN]]-Cty_Hyundai_DN[[#This Row],[THANH TOÁN]]</f>
        <v>647282526</v>
      </c>
      <c r="K58" s="24"/>
    </row>
    <row r="59" spans="1:11" x14ac:dyDescent="0.25">
      <c r="A59" s="22">
        <v>9042</v>
      </c>
      <c r="B59" s="29">
        <v>46139</v>
      </c>
      <c r="C59" s="23" t="s">
        <v>13</v>
      </c>
      <c r="D59" s="37" t="s">
        <v>54</v>
      </c>
      <c r="E59" s="23" t="s">
        <v>1847</v>
      </c>
      <c r="F59" s="31">
        <v>2256</v>
      </c>
      <c r="G59" s="31">
        <v>37000</v>
      </c>
      <c r="H59" s="31">
        <f>Cty_Hyundai_DN[[#This Row],[ĐƠN GIÁ]]*Cty_Hyundai_DN[[#This Row],[SỐ LƯỢNG]]</f>
        <v>83472000</v>
      </c>
      <c r="I59" s="31"/>
      <c r="J59" s="31">
        <f>J58+Cty_Hyundai_DN[[#This Row],[THÀNH TIỀN]]-Cty_Hyundai_DN[[#This Row],[THANH TOÁN]]</f>
        <v>730754526</v>
      </c>
      <c r="K59" s="24"/>
    </row>
    <row r="60" spans="1:11" x14ac:dyDescent="0.25">
      <c r="A60" s="22">
        <v>9062</v>
      </c>
      <c r="B60" s="29">
        <v>46139</v>
      </c>
      <c r="C60" s="23" t="s">
        <v>13</v>
      </c>
      <c r="D60" s="37" t="s">
        <v>68</v>
      </c>
      <c r="E60" s="23" t="s">
        <v>53</v>
      </c>
      <c r="F60" s="31">
        <v>116</v>
      </c>
      <c r="G60" s="31">
        <v>45000</v>
      </c>
      <c r="H60" s="31">
        <f>Cty_Hyundai_DN[[#This Row],[ĐƠN GIÁ]]*Cty_Hyundai_DN[[#This Row],[SỐ LƯỢNG]]</f>
        <v>5220000</v>
      </c>
      <c r="I60" s="31"/>
      <c r="J60" s="31">
        <f>J59+Cty_Hyundai_DN[[#This Row],[THÀNH TIỀN]]-Cty_Hyundai_DN[[#This Row],[THANH TOÁN]]</f>
        <v>735974526</v>
      </c>
      <c r="K60" s="24"/>
    </row>
    <row r="61" spans="1:11" x14ac:dyDescent="0.25">
      <c r="A61" s="22">
        <v>9062</v>
      </c>
      <c r="B61" s="29">
        <v>46139</v>
      </c>
      <c r="C61" s="23" t="s">
        <v>13</v>
      </c>
      <c r="D61" s="37" t="s">
        <v>68</v>
      </c>
      <c r="E61" s="23" t="s">
        <v>1853</v>
      </c>
      <c r="F61" s="31">
        <v>30</v>
      </c>
      <c r="G61" s="31">
        <v>45000</v>
      </c>
      <c r="H61" s="31">
        <f>Cty_Hyundai_DN[[#This Row],[ĐƠN GIÁ]]*Cty_Hyundai_DN[[#This Row],[SỐ LƯỢNG]]</f>
        <v>1350000</v>
      </c>
      <c r="I61" s="31"/>
      <c r="J61" s="31">
        <f>J60+Cty_Hyundai_DN[[#This Row],[THÀNH TIỀN]]-Cty_Hyundai_DN[[#This Row],[THANH TOÁN]]</f>
        <v>737324526</v>
      </c>
      <c r="K61" s="24"/>
    </row>
    <row r="62" spans="1:11" x14ac:dyDescent="0.25">
      <c r="A62" s="22">
        <v>9062</v>
      </c>
      <c r="B62" s="29">
        <v>46139</v>
      </c>
      <c r="C62" s="23" t="s">
        <v>13</v>
      </c>
      <c r="D62" s="37" t="s">
        <v>68</v>
      </c>
      <c r="E62" s="23" t="s">
        <v>1854</v>
      </c>
      <c r="F62" s="31">
        <v>88</v>
      </c>
      <c r="G62" s="31">
        <v>45000</v>
      </c>
      <c r="H62" s="31">
        <f>Cty_Hyundai_DN[[#This Row],[ĐƠN GIÁ]]*Cty_Hyundai_DN[[#This Row],[SỐ LƯỢNG]]</f>
        <v>3960000</v>
      </c>
      <c r="I62" s="31"/>
      <c r="J62" s="31">
        <f>J61+Cty_Hyundai_DN[[#This Row],[THÀNH TIỀN]]-Cty_Hyundai_DN[[#This Row],[THANH TOÁN]]</f>
        <v>741284526</v>
      </c>
      <c r="K62" s="24"/>
    </row>
    <row r="63" spans="1:11" x14ac:dyDescent="0.25">
      <c r="A63" s="22">
        <v>9062</v>
      </c>
      <c r="B63" s="29">
        <v>46139</v>
      </c>
      <c r="C63" s="23" t="s">
        <v>13</v>
      </c>
      <c r="D63" s="37" t="s">
        <v>68</v>
      </c>
      <c r="E63" s="23" t="s">
        <v>1855</v>
      </c>
      <c r="F63" s="31">
        <v>94</v>
      </c>
      <c r="G63" s="31">
        <v>45000</v>
      </c>
      <c r="H63" s="31">
        <f>Cty_Hyundai_DN[[#This Row],[ĐƠN GIÁ]]*Cty_Hyundai_DN[[#This Row],[SỐ LƯỢNG]]</f>
        <v>4230000</v>
      </c>
      <c r="I63" s="31"/>
      <c r="J63" s="31">
        <f>J62+Cty_Hyundai_DN[[#This Row],[THÀNH TIỀN]]-Cty_Hyundai_DN[[#This Row],[THANH TOÁN]]</f>
        <v>745514526</v>
      </c>
      <c r="K63" s="24"/>
    </row>
    <row r="64" spans="1:11" x14ac:dyDescent="0.25">
      <c r="A64" s="22">
        <v>9083</v>
      </c>
      <c r="B64" s="29">
        <v>46140</v>
      </c>
      <c r="C64" s="23" t="s">
        <v>13</v>
      </c>
      <c r="D64" s="37" t="s">
        <v>68</v>
      </c>
      <c r="E64" s="23" t="s">
        <v>1864</v>
      </c>
      <c r="F64" s="31">
        <v>58</v>
      </c>
      <c r="G64" s="31">
        <v>45000</v>
      </c>
      <c r="H64" s="31">
        <f>Cty_Hyundai_DN[[#This Row],[ĐƠN GIÁ]]*Cty_Hyundai_DN[[#This Row],[SỐ LƯỢNG]]</f>
        <v>2610000</v>
      </c>
      <c r="I64" s="31"/>
      <c r="J64" s="31">
        <f>J63+Cty_Hyundai_DN[[#This Row],[THÀNH TIỀN]]-Cty_Hyundai_DN[[#This Row],[THANH TOÁN]]</f>
        <v>748124526</v>
      </c>
      <c r="K64" s="24"/>
    </row>
    <row r="65" spans="1:11" x14ac:dyDescent="0.25">
      <c r="A65" s="22">
        <v>9106</v>
      </c>
      <c r="B65" s="29">
        <v>46141</v>
      </c>
      <c r="C65" s="23" t="s">
        <v>13</v>
      </c>
      <c r="D65" s="37" t="s">
        <v>173</v>
      </c>
      <c r="E65" s="23" t="s">
        <v>1886</v>
      </c>
      <c r="F65" s="31">
        <v>914</v>
      </c>
      <c r="G65" s="31">
        <v>72000</v>
      </c>
      <c r="H65" s="31">
        <f>Cty_Hyundai_DN[[#This Row],[ĐƠN GIÁ]]*Cty_Hyundai_DN[[#This Row],[SỐ LƯỢNG]]</f>
        <v>65808000</v>
      </c>
      <c r="I65" s="31"/>
      <c r="J65" s="31">
        <f>J64+Cty_Hyundai_DN[[#This Row],[THÀNH TIỀN]]-Cty_Hyundai_DN[[#This Row],[THANH TOÁN]]</f>
        <v>813932526</v>
      </c>
      <c r="K65" s="24"/>
    </row>
    <row r="66" spans="1:11" x14ac:dyDescent="0.25">
      <c r="A66" s="22">
        <v>9106</v>
      </c>
      <c r="B66" s="29">
        <v>46141</v>
      </c>
      <c r="C66" s="23" t="s">
        <v>13</v>
      </c>
      <c r="D66" s="37" t="s">
        <v>173</v>
      </c>
      <c r="E66" s="23" t="s">
        <v>1887</v>
      </c>
      <c r="F66" s="31">
        <v>1252</v>
      </c>
      <c r="G66" s="31">
        <v>72000</v>
      </c>
      <c r="H66" s="31">
        <f>Cty_Hyundai_DN[[#This Row],[ĐƠN GIÁ]]*Cty_Hyundai_DN[[#This Row],[SỐ LƯỢNG]]</f>
        <v>90144000</v>
      </c>
      <c r="I66" s="31"/>
      <c r="J66" s="31">
        <f>J65+Cty_Hyundai_DN[[#This Row],[THÀNH TIỀN]]-Cty_Hyundai_DN[[#This Row],[THANH TOÁN]]</f>
        <v>904076526</v>
      </c>
      <c r="K66" s="24"/>
    </row>
    <row r="67" spans="1:11" x14ac:dyDescent="0.25">
      <c r="A67" s="22">
        <v>9106</v>
      </c>
      <c r="B67" s="29">
        <v>46141</v>
      </c>
      <c r="C67" s="23" t="s">
        <v>13</v>
      </c>
      <c r="D67" s="37" t="s">
        <v>43</v>
      </c>
      <c r="E67" s="23" t="s">
        <v>78</v>
      </c>
      <c r="F67" s="31">
        <v>401</v>
      </c>
      <c r="G67" s="31">
        <v>65000</v>
      </c>
      <c r="H67" s="31">
        <f>Cty_Hyundai_DN[[#This Row],[ĐƠN GIÁ]]*Cty_Hyundai_DN[[#This Row],[SỐ LƯỢNG]]</f>
        <v>26065000</v>
      </c>
      <c r="I67" s="31"/>
      <c r="J67" s="31">
        <f>J66+Cty_Hyundai_DN[[#This Row],[THÀNH TIỀN]]-Cty_Hyundai_DN[[#This Row],[THANH TOÁN]]</f>
        <v>930141526</v>
      </c>
      <c r="K67" s="24"/>
    </row>
    <row r="68" spans="1:11" x14ac:dyDescent="0.25">
      <c r="A68" s="22"/>
      <c r="B68" s="29">
        <v>46141</v>
      </c>
      <c r="C68" s="23" t="s">
        <v>21</v>
      </c>
      <c r="D68" s="37" t="s">
        <v>22</v>
      </c>
      <c r="E68" s="23" t="s">
        <v>147</v>
      </c>
      <c r="F68" s="31">
        <v>0</v>
      </c>
      <c r="G68" s="31"/>
      <c r="H68" s="31">
        <f>Cty_Hyundai_DN[[#This Row],[ĐƠN GIÁ]]*Cty_Hyundai_DN[[#This Row],[SỐ LƯỢNG]]</f>
        <v>0</v>
      </c>
      <c r="I68" s="31">
        <v>171497920</v>
      </c>
      <c r="J68" s="31">
        <f>J67+Cty_Hyundai_DN[[#This Row],[THÀNH TIỀN]]-Cty_Hyundai_DN[[#This Row],[THANH TOÁN]]</f>
        <v>758643606</v>
      </c>
      <c r="K68" s="24"/>
    </row>
    <row r="69" spans="1:11" x14ac:dyDescent="0.25">
      <c r="A69" s="22">
        <v>9138</v>
      </c>
      <c r="B69" s="29">
        <v>46146</v>
      </c>
      <c r="C69" s="23" t="s">
        <v>13</v>
      </c>
      <c r="D69" s="37" t="s">
        <v>54</v>
      </c>
      <c r="E69" s="23" t="s">
        <v>1917</v>
      </c>
      <c r="F69" s="31">
        <v>868</v>
      </c>
      <c r="G69" s="31">
        <v>37000</v>
      </c>
      <c r="H69" s="31">
        <f>Cty_Hyundai_DN[[#This Row],[ĐƠN GIÁ]]*Cty_Hyundai_DN[[#This Row],[SỐ LƯỢNG]]</f>
        <v>32116000</v>
      </c>
      <c r="I69" s="31"/>
      <c r="J69" s="31">
        <f>J68+Cty_Hyundai_DN[[#This Row],[THÀNH TIỀN]]-Cty_Hyundai_DN[[#This Row],[THANH TOÁN]]</f>
        <v>790759606</v>
      </c>
      <c r="K69" s="24"/>
    </row>
    <row r="70" spans="1:11" x14ac:dyDescent="0.25">
      <c r="A70" s="22">
        <v>9138</v>
      </c>
      <c r="B70" s="29">
        <v>46146</v>
      </c>
      <c r="C70" s="23" t="s">
        <v>13</v>
      </c>
      <c r="D70" s="37" t="s">
        <v>219</v>
      </c>
      <c r="E70" s="23" t="s">
        <v>1860</v>
      </c>
      <c r="F70" s="31">
        <v>686</v>
      </c>
      <c r="G70" s="31">
        <v>43000</v>
      </c>
      <c r="H70" s="31">
        <f>Cty_Hyundai_DN[[#This Row],[ĐƠN GIÁ]]*Cty_Hyundai_DN[[#This Row],[SỐ LƯỢNG]]</f>
        <v>29498000</v>
      </c>
      <c r="I70" s="31"/>
      <c r="J70" s="31">
        <f>J69+Cty_Hyundai_DN[[#This Row],[THÀNH TIỀN]]-Cty_Hyundai_DN[[#This Row],[THANH TOÁN]]</f>
        <v>820257606</v>
      </c>
      <c r="K70" s="24"/>
    </row>
    <row r="71" spans="1:11" x14ac:dyDescent="0.25">
      <c r="A71" s="22">
        <v>9197</v>
      </c>
      <c r="B71" s="29">
        <v>46148</v>
      </c>
      <c r="C71" s="23" t="s">
        <v>13</v>
      </c>
      <c r="D71" s="37" t="s">
        <v>192</v>
      </c>
      <c r="E71" s="23" t="s">
        <v>78</v>
      </c>
      <c r="F71" s="31">
        <v>1944</v>
      </c>
      <c r="G71" s="31">
        <v>39000</v>
      </c>
      <c r="H71" s="31">
        <f>Cty_Hyundai_DN[[#This Row],[ĐƠN GIÁ]]*Cty_Hyundai_DN[[#This Row],[SỐ LƯỢNG]]</f>
        <v>75816000</v>
      </c>
      <c r="I71" s="31"/>
      <c r="J71" s="31">
        <f>J70+Cty_Hyundai_DN[[#This Row],[THÀNH TIỀN]]-Cty_Hyundai_DN[[#This Row],[THANH TOÁN]]</f>
        <v>896073606</v>
      </c>
      <c r="K71" s="24"/>
    </row>
    <row r="72" spans="1:11" x14ac:dyDescent="0.25">
      <c r="A72" s="22">
        <v>9254</v>
      </c>
      <c r="B72" s="29">
        <v>46150</v>
      </c>
      <c r="C72" s="23" t="s">
        <v>13</v>
      </c>
      <c r="D72" s="37" t="s">
        <v>192</v>
      </c>
      <c r="E72" s="23" t="s">
        <v>78</v>
      </c>
      <c r="F72" s="31">
        <v>1772</v>
      </c>
      <c r="G72" s="31">
        <v>39500</v>
      </c>
      <c r="H72" s="31">
        <f>Cty_Hyundai_DN[[#This Row],[ĐƠN GIÁ]]*Cty_Hyundai_DN[[#This Row],[SỐ LƯỢNG]]</f>
        <v>69994000</v>
      </c>
      <c r="I72" s="31"/>
      <c r="J72" s="31">
        <f>J71+Cty_Hyundai_DN[[#This Row],[THÀNH TIỀN]]-Cty_Hyundai_DN[[#This Row],[THANH TOÁN]]</f>
        <v>966067606</v>
      </c>
      <c r="K72" s="24"/>
    </row>
    <row r="73" spans="1:11" x14ac:dyDescent="0.25">
      <c r="A73" s="22">
        <v>9343</v>
      </c>
      <c r="B73" s="29">
        <v>46154</v>
      </c>
      <c r="C73" s="23" t="s">
        <v>13</v>
      </c>
      <c r="D73" s="37" t="s">
        <v>17</v>
      </c>
      <c r="E73" s="23" t="s">
        <v>343</v>
      </c>
      <c r="F73" s="31">
        <v>294</v>
      </c>
      <c r="G73" s="31">
        <v>68000</v>
      </c>
      <c r="H73" s="31">
        <f>Cty_Hyundai_DN[[#This Row],[ĐƠN GIÁ]]*Cty_Hyundai_DN[[#This Row],[SỐ LƯỢNG]]</f>
        <v>19992000</v>
      </c>
      <c r="I73" s="31"/>
      <c r="J73" s="31">
        <f>J72+Cty_Hyundai_DN[[#This Row],[THÀNH TIỀN]]-Cty_Hyundai_DN[[#This Row],[THANH TOÁN]]</f>
        <v>986059606</v>
      </c>
      <c r="K73" s="24"/>
    </row>
    <row r="74" spans="1:11" x14ac:dyDescent="0.25">
      <c r="A74" s="22">
        <v>9343</v>
      </c>
      <c r="B74" s="29">
        <v>46154</v>
      </c>
      <c r="C74" s="23" t="s">
        <v>13</v>
      </c>
      <c r="D74" s="37" t="s">
        <v>703</v>
      </c>
      <c r="E74" s="23" t="s">
        <v>2060</v>
      </c>
      <c r="F74" s="31">
        <v>1</v>
      </c>
      <c r="G74" s="31">
        <v>4100000</v>
      </c>
      <c r="H74" s="31">
        <f>Cty_Hyundai_DN[[#This Row],[ĐƠN GIÁ]]*Cty_Hyundai_DN[[#This Row],[SỐ LƯỢNG]]</f>
        <v>4100000</v>
      </c>
      <c r="I74" s="31"/>
      <c r="J74" s="31">
        <f>J73+Cty_Hyundai_DN[[#This Row],[THÀNH TIỀN]]-Cty_Hyundai_DN[[#This Row],[THANH TOÁN]]</f>
        <v>990159606</v>
      </c>
      <c r="K74" s="24"/>
    </row>
    <row r="75" spans="1:11" x14ac:dyDescent="0.25">
      <c r="A75" s="90">
        <v>9467</v>
      </c>
      <c r="B75" s="91">
        <v>46160</v>
      </c>
      <c r="C75" s="92" t="s">
        <v>13</v>
      </c>
      <c r="D75" s="93" t="s">
        <v>54</v>
      </c>
      <c r="E75" s="92" t="s">
        <v>1917</v>
      </c>
      <c r="F75" s="94">
        <v>1426</v>
      </c>
      <c r="G75" s="94">
        <v>37000</v>
      </c>
      <c r="H75" s="31">
        <f>Cty_Hyundai_DN[[#This Row],[ĐƠN GIÁ]]*Cty_Hyundai_DN[[#This Row],[SỐ LƯỢNG]]</f>
        <v>52762000</v>
      </c>
      <c r="I75" s="31"/>
      <c r="J75" s="31">
        <f>J74+Cty_Hyundai_DN[[#This Row],[THÀNH TIỀN]]-Cty_Hyundai_DN[[#This Row],[THANH TOÁN]]</f>
        <v>1042921606</v>
      </c>
      <c r="K75" s="24"/>
    </row>
    <row r="76" spans="1:11" x14ac:dyDescent="0.25">
      <c r="A76" s="90">
        <v>9467</v>
      </c>
      <c r="B76" s="91">
        <v>46160</v>
      </c>
      <c r="C76" s="92" t="s">
        <v>13</v>
      </c>
      <c r="D76" s="93" t="s">
        <v>54</v>
      </c>
      <c r="E76" s="92" t="s">
        <v>2208</v>
      </c>
      <c r="F76" s="94">
        <v>698</v>
      </c>
      <c r="G76" s="94">
        <v>37000</v>
      </c>
      <c r="H76" s="31">
        <f>Cty_Hyundai_DN[[#This Row],[ĐƠN GIÁ]]*Cty_Hyundai_DN[[#This Row],[SỐ LƯỢNG]]</f>
        <v>25826000</v>
      </c>
      <c r="I76" s="31"/>
      <c r="J76" s="31">
        <f>J75+Cty_Hyundai_DN[[#This Row],[THÀNH TIỀN]]-Cty_Hyundai_DN[[#This Row],[THANH TOÁN]]</f>
        <v>1068747606</v>
      </c>
      <c r="K76" s="24"/>
    </row>
    <row r="77" spans="1:11" x14ac:dyDescent="0.25">
      <c r="A77" s="90">
        <v>9467</v>
      </c>
      <c r="B77" s="91">
        <v>46160</v>
      </c>
      <c r="C77" s="92" t="s">
        <v>13</v>
      </c>
      <c r="D77" s="93" t="s">
        <v>36</v>
      </c>
      <c r="E77" s="92" t="s">
        <v>53</v>
      </c>
      <c r="F77" s="94">
        <v>81</v>
      </c>
      <c r="G77" s="94">
        <v>70000</v>
      </c>
      <c r="H77" s="31">
        <f>Cty_Hyundai_DN[[#This Row],[ĐƠN GIÁ]]*Cty_Hyundai_DN[[#This Row],[SỐ LƯỢNG]]</f>
        <v>5670000</v>
      </c>
      <c r="I77" s="31"/>
      <c r="J77" s="31">
        <f>J76+Cty_Hyundai_DN[[#This Row],[THÀNH TIỀN]]-Cty_Hyundai_DN[[#This Row],[THANH TOÁN]]</f>
        <v>1074417606</v>
      </c>
      <c r="K77" s="24"/>
    </row>
    <row r="78" spans="1:11" x14ac:dyDescent="0.25">
      <c r="A78" s="90">
        <v>9467</v>
      </c>
      <c r="B78" s="91">
        <v>46160</v>
      </c>
      <c r="C78" s="92" t="s">
        <v>13</v>
      </c>
      <c r="D78" s="93" t="s">
        <v>314</v>
      </c>
      <c r="E78" s="92" t="s">
        <v>81</v>
      </c>
      <c r="F78" s="94">
        <v>648</v>
      </c>
      <c r="G78" s="94">
        <v>46000</v>
      </c>
      <c r="H78" s="31">
        <f>Cty_Hyundai_DN[[#This Row],[ĐƠN GIÁ]]*Cty_Hyundai_DN[[#This Row],[SỐ LƯỢNG]]</f>
        <v>29808000</v>
      </c>
      <c r="I78" s="31"/>
      <c r="J78" s="31">
        <f>J77+Cty_Hyundai_DN[[#This Row],[THÀNH TIỀN]]-Cty_Hyundai_DN[[#This Row],[THANH TOÁN]]</f>
        <v>1104225606</v>
      </c>
      <c r="K78" s="24"/>
    </row>
    <row r="79" spans="1:11" x14ac:dyDescent="0.25">
      <c r="A79" s="22">
        <v>9592</v>
      </c>
      <c r="B79" s="29">
        <v>46167</v>
      </c>
      <c r="C79" s="23" t="s">
        <v>13</v>
      </c>
      <c r="D79" s="37" t="s">
        <v>173</v>
      </c>
      <c r="E79" s="23" t="s">
        <v>2330</v>
      </c>
      <c r="F79" s="31">
        <v>1252</v>
      </c>
      <c r="G79" s="31">
        <v>74000</v>
      </c>
      <c r="H79" s="31">
        <f>Cty_Hyundai_DN[[#This Row],[ĐƠN GIÁ]]*Cty_Hyundai_DN[[#This Row],[SỐ LƯỢNG]]</f>
        <v>92648000</v>
      </c>
      <c r="I79" s="31"/>
      <c r="J79" s="31">
        <f>J78+Cty_Hyundai_DN[[#This Row],[THÀNH TIỀN]]-Cty_Hyundai_DN[[#This Row],[THANH TOÁN]]</f>
        <v>1196873606</v>
      </c>
      <c r="K79" s="24"/>
    </row>
    <row r="80" spans="1:11" x14ac:dyDescent="0.25">
      <c r="A80" s="22">
        <v>9592</v>
      </c>
      <c r="B80" s="29">
        <v>46167</v>
      </c>
      <c r="C80" s="23" t="s">
        <v>13</v>
      </c>
      <c r="D80" s="37" t="s">
        <v>54</v>
      </c>
      <c r="E80" s="23" t="s">
        <v>2331</v>
      </c>
      <c r="F80" s="31">
        <v>1696</v>
      </c>
      <c r="G80" s="31">
        <v>37000</v>
      </c>
      <c r="H80" s="31">
        <f>Cty_Hyundai_DN[[#This Row],[ĐƠN GIÁ]]*Cty_Hyundai_DN[[#This Row],[SỐ LƯỢNG]]</f>
        <v>62752000</v>
      </c>
      <c r="I80" s="31"/>
      <c r="J80" s="31">
        <f>J79+Cty_Hyundai_DN[[#This Row],[THÀNH TIỀN]]-Cty_Hyundai_DN[[#This Row],[THANH TOÁN]]</f>
        <v>1259625606</v>
      </c>
      <c r="K80" s="24"/>
    </row>
    <row r="81" spans="1:11" x14ac:dyDescent="0.25">
      <c r="A81" s="22">
        <v>9592</v>
      </c>
      <c r="B81" s="29">
        <v>46167</v>
      </c>
      <c r="C81" s="23" t="s">
        <v>13</v>
      </c>
      <c r="D81" s="37" t="s">
        <v>54</v>
      </c>
      <c r="E81" s="23" t="s">
        <v>2332</v>
      </c>
      <c r="F81" s="31">
        <v>1354</v>
      </c>
      <c r="G81" s="31">
        <v>37000</v>
      </c>
      <c r="H81" s="31">
        <f>Cty_Hyundai_DN[[#This Row],[ĐƠN GIÁ]]*Cty_Hyundai_DN[[#This Row],[SỐ LƯỢNG]]</f>
        <v>50098000</v>
      </c>
      <c r="I81" s="31"/>
      <c r="J81" s="31">
        <f>J80+Cty_Hyundai_DN[[#This Row],[THÀNH TIỀN]]-Cty_Hyundai_DN[[#This Row],[THANH TOÁN]]</f>
        <v>1309723606</v>
      </c>
      <c r="K81" s="24"/>
    </row>
    <row r="82" spans="1:11" x14ac:dyDescent="0.25">
      <c r="A82" s="22">
        <v>9592</v>
      </c>
      <c r="B82" s="29">
        <v>46167</v>
      </c>
      <c r="C82" s="23" t="s">
        <v>13</v>
      </c>
      <c r="D82" s="37" t="s">
        <v>54</v>
      </c>
      <c r="E82" s="23" t="s">
        <v>53</v>
      </c>
      <c r="F82" s="31">
        <v>990</v>
      </c>
      <c r="G82" s="31">
        <v>37000</v>
      </c>
      <c r="H82" s="31">
        <f>Cty_Hyundai_DN[[#This Row],[ĐƠN GIÁ]]*Cty_Hyundai_DN[[#This Row],[SỐ LƯỢNG]]</f>
        <v>36630000</v>
      </c>
      <c r="I82" s="31"/>
      <c r="J82" s="31">
        <f>J81+Cty_Hyundai_DN[[#This Row],[THÀNH TIỀN]]-Cty_Hyundai_DN[[#This Row],[THANH TOÁN]]</f>
        <v>1346353606</v>
      </c>
      <c r="K82" s="24"/>
    </row>
    <row r="83" spans="1:11" x14ac:dyDescent="0.25">
      <c r="A83" s="22">
        <v>9592</v>
      </c>
      <c r="B83" s="29">
        <v>46167</v>
      </c>
      <c r="C83" s="23" t="s">
        <v>13</v>
      </c>
      <c r="D83" s="37" t="s">
        <v>17</v>
      </c>
      <c r="E83" s="23" t="s">
        <v>78</v>
      </c>
      <c r="F83" s="31">
        <v>214</v>
      </c>
      <c r="G83" s="31">
        <v>70000</v>
      </c>
      <c r="H83" s="31">
        <f>Cty_Hyundai_DN[[#This Row],[ĐƠN GIÁ]]*Cty_Hyundai_DN[[#This Row],[SỐ LƯỢNG]]</f>
        <v>14980000</v>
      </c>
      <c r="I83" s="31"/>
      <c r="J83" s="31">
        <f>J82+Cty_Hyundai_DN[[#This Row],[THÀNH TIỀN]]-Cty_Hyundai_DN[[#This Row],[THANH TOÁN]]</f>
        <v>1361333606</v>
      </c>
      <c r="K83" s="24"/>
    </row>
    <row r="84" spans="1:11" x14ac:dyDescent="0.25">
      <c r="A84" s="22">
        <v>9592</v>
      </c>
      <c r="B84" s="29">
        <v>46167</v>
      </c>
      <c r="C84" s="23" t="s">
        <v>13</v>
      </c>
      <c r="D84" s="37" t="s">
        <v>26</v>
      </c>
      <c r="E84" s="23" t="s">
        <v>2333</v>
      </c>
      <c r="F84" s="31">
        <v>214</v>
      </c>
      <c r="G84" s="31">
        <v>42000</v>
      </c>
      <c r="H84" s="31">
        <f>Cty_Hyundai_DN[[#This Row],[ĐƠN GIÁ]]*Cty_Hyundai_DN[[#This Row],[SỐ LƯỢNG]]</f>
        <v>8988000</v>
      </c>
      <c r="I84" s="31"/>
      <c r="J84" s="31">
        <f>J83+Cty_Hyundai_DN[[#This Row],[THÀNH TIỀN]]-Cty_Hyundai_DN[[#This Row],[THANH TOÁN]]</f>
        <v>1370321606</v>
      </c>
      <c r="K84" s="24"/>
    </row>
    <row r="85" spans="1:11" x14ac:dyDescent="0.25">
      <c r="A85" s="22">
        <v>9680</v>
      </c>
      <c r="B85" s="29">
        <v>46171</v>
      </c>
      <c r="C85" s="23" t="s">
        <v>13</v>
      </c>
      <c r="D85" s="37" t="s">
        <v>54</v>
      </c>
      <c r="E85" s="23" t="s">
        <v>185</v>
      </c>
      <c r="F85" s="31">
        <v>98</v>
      </c>
      <c r="G85" s="31">
        <v>37000</v>
      </c>
      <c r="H85" s="31">
        <f>Cty_Hyundai_DN[[#This Row],[ĐƠN GIÁ]]*Cty_Hyundai_DN[[#This Row],[SỐ LƯỢNG]]</f>
        <v>3626000</v>
      </c>
      <c r="I85" s="31"/>
      <c r="J85" s="31">
        <f>J84+Cty_Hyundai_DN[[#This Row],[THÀNH TIỀN]]-Cty_Hyundai_DN[[#This Row],[THANH TOÁN]]</f>
        <v>1373947606</v>
      </c>
      <c r="K85" s="24"/>
    </row>
    <row r="86" spans="1:11" x14ac:dyDescent="0.25">
      <c r="A86" s="25"/>
      <c r="B86" s="30">
        <v>46172</v>
      </c>
      <c r="C86" s="26" t="s">
        <v>21</v>
      </c>
      <c r="D86" s="38" t="s">
        <v>22</v>
      </c>
      <c r="E86" s="26" t="s">
        <v>147</v>
      </c>
      <c r="F86" s="28">
        <v>0</v>
      </c>
      <c r="G86" s="28"/>
      <c r="H86" s="28">
        <f>Cty_Hyundai_DN[[#This Row],[ĐƠN GIÁ]]*Cty_Hyundai_DN[[#This Row],[SỐ LƯỢNG]]</f>
        <v>0</v>
      </c>
      <c r="I86" s="28">
        <v>627902814</v>
      </c>
      <c r="J86" s="28">
        <f>J85+Cty_Hyundai_DN[[#This Row],[THÀNH TIỀN]]-Cty_Hyundai_DN[[#This Row],[THANH TOÁN]]</f>
        <v>746044792</v>
      </c>
      <c r="K86" s="27"/>
    </row>
    <row r="87" spans="1:11" x14ac:dyDescent="0.25">
      <c r="A87" s="22"/>
      <c r="B87" s="29">
        <v>46174</v>
      </c>
      <c r="C87" s="23" t="s">
        <v>21</v>
      </c>
      <c r="D87" s="37" t="s">
        <v>22</v>
      </c>
      <c r="E87" s="23" t="s">
        <v>147</v>
      </c>
      <c r="F87" s="31">
        <v>0</v>
      </c>
      <c r="G87" s="31"/>
      <c r="H87" s="31">
        <f>Cty_Hyundai_DN[[#This Row],[ĐƠN GIÁ]]*Cty_Hyundai_DN[[#This Row],[SỐ LƯỢNG]]</f>
        <v>0</v>
      </c>
      <c r="I87" s="31">
        <v>363556555</v>
      </c>
      <c r="J87" s="31">
        <f>J86+Cty_Hyundai_DN[[#This Row],[THÀNH TIỀN]]-Cty_Hyundai_DN[[#This Row],[THANH TOÁN]]</f>
        <v>382488237</v>
      </c>
      <c r="K87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357D78-D831-442B-B0B1-A8227816C297}">
  <sheetPr codeName="Sheet19"/>
  <dimension ref="A5:P28"/>
  <sheetViews>
    <sheetView workbookViewId="0"/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4" width="9.140625" style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258986000</v>
      </c>
    </row>
    <row r="6" spans="1:16" ht="22.5" x14ac:dyDescent="0.25">
      <c r="D6" s="34" t="s">
        <v>347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/>
      <c r="C10" s="23" t="s">
        <v>12</v>
      </c>
      <c r="D10" s="37"/>
      <c r="E10" s="23"/>
      <c r="F10" s="31"/>
      <c r="G10" s="31"/>
      <c r="H10" s="31">
        <f>E_Phuc_Cty_Duc_Phuc[[#This Row],[ĐƠN GIÁ]]*E_Phuc_Cty_Duc_Phuc[[#This Row],[SỐ LƯỢNG]]</f>
        <v>0</v>
      </c>
      <c r="I10" s="31"/>
      <c r="J10" s="31">
        <v>0</v>
      </c>
      <c r="K10" s="24"/>
    </row>
    <row r="11" spans="1:16" x14ac:dyDescent="0.25">
      <c r="A11" s="22">
        <v>7800</v>
      </c>
      <c r="B11" s="29">
        <v>46084</v>
      </c>
      <c r="C11" s="23" t="s">
        <v>13</v>
      </c>
      <c r="D11" s="37" t="s">
        <v>50</v>
      </c>
      <c r="E11" s="23" t="s">
        <v>154</v>
      </c>
      <c r="F11" s="31">
        <v>1170</v>
      </c>
      <c r="G11" s="31">
        <v>56000</v>
      </c>
      <c r="H11" s="31">
        <f>E_Phuc_Cty_Duc_Phuc[[#This Row],[ĐƠN GIÁ]]*E_Phuc_Cty_Duc_Phuc[[#This Row],[SỐ LƯỢNG]]</f>
        <v>65520000</v>
      </c>
      <c r="I11" s="31"/>
      <c r="J11" s="31">
        <f>J10+E_Phuc_Cty_Duc_Phuc[[#This Row],[THÀNH TIỀN]]-E_Phuc_Cty_Duc_Phuc[[#This Row],[THANH TOÁN]]</f>
        <v>65520000</v>
      </c>
      <c r="K11" s="24"/>
    </row>
    <row r="12" spans="1:16" x14ac:dyDescent="0.25">
      <c r="A12" s="22">
        <v>7823</v>
      </c>
      <c r="B12" s="29">
        <v>46084</v>
      </c>
      <c r="C12" s="23" t="s">
        <v>13</v>
      </c>
      <c r="D12" s="37" t="s">
        <v>236</v>
      </c>
      <c r="E12" s="23" t="s">
        <v>133</v>
      </c>
      <c r="F12" s="31">
        <f>885+736</f>
        <v>1621</v>
      </c>
      <c r="G12" s="31">
        <v>59500</v>
      </c>
      <c r="H12" s="31">
        <f>E_Phuc_Cty_Duc_Phuc[[#This Row],[ĐƠN GIÁ]]*E_Phuc_Cty_Duc_Phuc[[#This Row],[SỐ LƯỢNG]]</f>
        <v>96449500</v>
      </c>
      <c r="I12" s="31"/>
      <c r="J12" s="31">
        <f>J11+E_Phuc_Cty_Duc_Phuc[[#This Row],[THÀNH TIỀN]]-E_Phuc_Cty_Duc_Phuc[[#This Row],[THANH TOÁN]]</f>
        <v>161969500</v>
      </c>
      <c r="K12" s="24"/>
    </row>
    <row r="13" spans="1:16" x14ac:dyDescent="0.25">
      <c r="A13" s="22">
        <v>7970</v>
      </c>
      <c r="B13" s="29">
        <v>46091</v>
      </c>
      <c r="C13" s="23" t="s">
        <v>13</v>
      </c>
      <c r="D13" s="37" t="s">
        <v>43</v>
      </c>
      <c r="E13" s="23" t="s">
        <v>348</v>
      </c>
      <c r="F13" s="31">
        <f>760+944</f>
        <v>1704</v>
      </c>
      <c r="G13" s="31">
        <v>56000</v>
      </c>
      <c r="H13" s="31">
        <f>E_Phuc_Cty_Duc_Phuc[[#This Row],[ĐƠN GIÁ]]*E_Phuc_Cty_Duc_Phuc[[#This Row],[SỐ LƯỢNG]]</f>
        <v>95424000</v>
      </c>
      <c r="I13" s="31">
        <v>125</v>
      </c>
      <c r="J13" s="31">
        <f>J12+E_Phuc_Cty_Duc_Phuc[[#This Row],[THÀNH TIỀN]]-E_Phuc_Cty_Duc_Phuc[[#This Row],[THANH TOÁN]]</f>
        <v>257393375</v>
      </c>
      <c r="K13" s="24"/>
    </row>
    <row r="14" spans="1:16" x14ac:dyDescent="0.25">
      <c r="A14" s="22"/>
      <c r="B14" s="29">
        <v>46122</v>
      </c>
      <c r="C14" s="23" t="s">
        <v>21</v>
      </c>
      <c r="D14" s="37" t="s">
        <v>22</v>
      </c>
      <c r="E14" s="23" t="s">
        <v>83</v>
      </c>
      <c r="F14" s="31">
        <v>0</v>
      </c>
      <c r="G14" s="31"/>
      <c r="H14" s="31">
        <f>E_Phuc_Cty_Duc_Phuc[[#This Row],[ĐƠN GIÁ]]*E_Phuc_Cty_Duc_Phuc[[#This Row],[SỐ LƯỢNG]]</f>
        <v>0</v>
      </c>
      <c r="I14" s="31">
        <v>100000000</v>
      </c>
      <c r="J14" s="31">
        <f>J13+E_Phuc_Cty_Duc_Phuc[[#This Row],[THÀNH TIỀN]]-E_Phuc_Cty_Duc_Phuc[[#This Row],[THANH TOÁN]]</f>
        <v>157393375</v>
      </c>
      <c r="K14" s="24"/>
      <c r="P14" s="35"/>
    </row>
    <row r="15" spans="1:16" x14ac:dyDescent="0.25">
      <c r="A15" s="22"/>
      <c r="B15" s="29">
        <v>46128</v>
      </c>
      <c r="C15" s="23" t="s">
        <v>21</v>
      </c>
      <c r="D15" s="37" t="s">
        <v>22</v>
      </c>
      <c r="E15" s="23" t="s">
        <v>83</v>
      </c>
      <c r="F15" s="31">
        <v>0</v>
      </c>
      <c r="G15" s="31"/>
      <c r="H15" s="31">
        <f>E_Phuc_Cty_Duc_Phuc[[#This Row],[ĐƠN GIÁ]]*E_Phuc_Cty_Duc_Phuc[[#This Row],[SỐ LƯỢNG]]</f>
        <v>0</v>
      </c>
      <c r="I15" s="31">
        <v>61969545</v>
      </c>
      <c r="J15" s="31">
        <f>J14+E_Phuc_Cty_Duc_Phuc[[#This Row],[THÀNH TIỀN]]-E_Phuc_Cty_Duc_Phuc[[#This Row],[THANH TOÁN]]</f>
        <v>95423830</v>
      </c>
      <c r="K15" s="24"/>
    </row>
    <row r="16" spans="1:16" x14ac:dyDescent="0.25">
      <c r="A16" s="22"/>
      <c r="B16" s="29">
        <v>46140</v>
      </c>
      <c r="C16" s="23" t="s">
        <v>21</v>
      </c>
      <c r="D16" s="37" t="s">
        <v>22</v>
      </c>
      <c r="E16" s="23" t="s">
        <v>261</v>
      </c>
      <c r="F16" s="31">
        <v>0</v>
      </c>
      <c r="G16" s="31"/>
      <c r="H16" s="31">
        <f>E_Phuc_Cty_Duc_Phuc[[#This Row],[ĐƠN GIÁ]]*E_Phuc_Cty_Duc_Phuc[[#This Row],[SỐ LƯỢNG]]</f>
        <v>0</v>
      </c>
      <c r="I16" s="31">
        <v>95423830</v>
      </c>
      <c r="J16" s="31">
        <f>J15+E_Phuc_Cty_Duc_Phuc[[#This Row],[THÀNH TIỀN]]-E_Phuc_Cty_Duc_Phuc[[#This Row],[THANH TOÁN]]</f>
        <v>0</v>
      </c>
      <c r="K16" s="24"/>
    </row>
    <row r="17" spans="1:11" x14ac:dyDescent="0.25">
      <c r="A17" s="22">
        <v>9659</v>
      </c>
      <c r="B17" s="29">
        <v>46169</v>
      </c>
      <c r="C17" s="23" t="s">
        <v>13</v>
      </c>
      <c r="D17" s="37" t="s">
        <v>17</v>
      </c>
      <c r="E17" s="23" t="s">
        <v>78</v>
      </c>
      <c r="F17" s="31">
        <v>2506</v>
      </c>
      <c r="G17" s="31">
        <v>65000</v>
      </c>
      <c r="H17" s="31">
        <f>E_Phuc_Cty_Duc_Phuc[[#This Row],[ĐƠN GIÁ]]*E_Phuc_Cty_Duc_Phuc[[#This Row],[SỐ LƯỢNG]]</f>
        <v>162890000</v>
      </c>
      <c r="I17" s="31"/>
      <c r="J17" s="31">
        <f>J16+E_Phuc_Cty_Duc_Phuc[[#This Row],[THÀNH TIỀN]]-E_Phuc_Cty_Duc_Phuc[[#This Row],[THANH TOÁN]]</f>
        <v>162890000</v>
      </c>
      <c r="K17" s="24"/>
    </row>
    <row r="18" spans="1:11" x14ac:dyDescent="0.25">
      <c r="A18" s="22">
        <v>9659</v>
      </c>
      <c r="B18" s="29">
        <v>46169</v>
      </c>
      <c r="C18" s="23" t="s">
        <v>13</v>
      </c>
      <c r="D18" s="37" t="s">
        <v>17</v>
      </c>
      <c r="E18" s="23" t="s">
        <v>40</v>
      </c>
      <c r="F18" s="31">
        <v>851</v>
      </c>
      <c r="G18" s="31">
        <v>66000</v>
      </c>
      <c r="H18" s="31">
        <f>E_Phuc_Cty_Duc_Phuc[[#This Row],[ĐƠN GIÁ]]*E_Phuc_Cty_Duc_Phuc[[#This Row],[SỐ LƯỢNG]]</f>
        <v>56166000</v>
      </c>
      <c r="I18" s="31"/>
      <c r="J18" s="31">
        <f>J17+E_Phuc_Cty_Duc_Phuc[[#This Row],[THÀNH TIỀN]]-E_Phuc_Cty_Duc_Phuc[[#This Row],[THANH TOÁN]]</f>
        <v>219056000</v>
      </c>
      <c r="K18" s="24"/>
    </row>
    <row r="19" spans="1:11" x14ac:dyDescent="0.25">
      <c r="A19" s="22">
        <v>9659</v>
      </c>
      <c r="B19" s="29">
        <v>46169</v>
      </c>
      <c r="C19" s="23" t="s">
        <v>13</v>
      </c>
      <c r="D19" s="37" t="s">
        <v>17</v>
      </c>
      <c r="E19" s="23" t="s">
        <v>469</v>
      </c>
      <c r="F19" s="31">
        <v>605</v>
      </c>
      <c r="G19" s="31">
        <v>66000</v>
      </c>
      <c r="H19" s="31">
        <f>E_Phuc_Cty_Duc_Phuc[[#This Row],[ĐƠN GIÁ]]*E_Phuc_Cty_Duc_Phuc[[#This Row],[SỐ LƯỢNG]]</f>
        <v>39930000</v>
      </c>
      <c r="I19" s="31"/>
      <c r="J19" s="31">
        <f>J18+E_Phuc_Cty_Duc_Phuc[[#This Row],[THÀNH TIỀN]]-E_Phuc_Cty_Duc_Phuc[[#This Row],[THANH TOÁN]]</f>
        <v>258986000</v>
      </c>
      <c r="K19" s="24"/>
    </row>
    <row r="28" spans="1:11" x14ac:dyDescent="0.25">
      <c r="I28" s="3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5C23E-A773-4161-934E-974816A503E0}">
  <sheetPr codeName="Sheet20"/>
  <dimension ref="A5:P42"/>
  <sheetViews>
    <sheetView topLeftCell="A14" workbookViewId="0">
      <selection activeCell="D5" sqref="D5:D6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4" width="9.140625" style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503679751</v>
      </c>
    </row>
    <row r="6" spans="1:16" ht="22.5" x14ac:dyDescent="0.25">
      <c r="D6" s="34" t="s">
        <v>349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Cty_Ly_Duong_Hung_DN[[#This Row],[ĐƠN GIÁ]]*Cty_Ly_Duong_Hung_DN[[#This Row],[SỐ LƯỢNG]]</f>
        <v>0</v>
      </c>
      <c r="I10" s="31"/>
      <c r="J10" s="31">
        <v>0</v>
      </c>
      <c r="K10" s="24"/>
    </row>
    <row r="11" spans="1:16" x14ac:dyDescent="0.25">
      <c r="A11" s="22">
        <v>7801</v>
      </c>
      <c r="B11" s="29">
        <v>46084</v>
      </c>
      <c r="C11" s="23" t="s">
        <v>13</v>
      </c>
      <c r="D11" s="37" t="s">
        <v>109</v>
      </c>
      <c r="E11" s="23" t="s">
        <v>350</v>
      </c>
      <c r="F11" s="31">
        <v>1712</v>
      </c>
      <c r="G11" s="31">
        <v>56000</v>
      </c>
      <c r="H11" s="31">
        <f>Cty_Ly_Duong_Hung_DN[[#This Row],[ĐƠN GIÁ]]*Cty_Ly_Duong_Hung_DN[[#This Row],[SỐ LƯỢNG]]</f>
        <v>95872000</v>
      </c>
      <c r="I11" s="31"/>
      <c r="J11" s="31">
        <f>J10+Cty_Ly_Duong_Hung_DN[[#This Row],[THÀNH TIỀN]]-Cty_Ly_Duong_Hung_DN[[#This Row],[THANH TOÁN]]</f>
        <v>95872000</v>
      </c>
      <c r="K11" s="24"/>
    </row>
    <row r="12" spans="1:16" x14ac:dyDescent="0.25">
      <c r="A12" s="22">
        <v>7801</v>
      </c>
      <c r="B12" s="29">
        <v>46084</v>
      </c>
      <c r="C12" s="23" t="s">
        <v>13</v>
      </c>
      <c r="D12" s="37" t="s">
        <v>351</v>
      </c>
      <c r="E12" s="23" t="s">
        <v>352</v>
      </c>
      <c r="F12" s="31">
        <v>2328</v>
      </c>
      <c r="G12" s="31">
        <v>56000</v>
      </c>
      <c r="H12" s="31">
        <f>Cty_Ly_Duong_Hung_DN[[#This Row],[ĐƠN GIÁ]]*Cty_Ly_Duong_Hung_DN[[#This Row],[SỐ LƯỢNG]]</f>
        <v>130368000</v>
      </c>
      <c r="I12" s="31"/>
      <c r="J12" s="31">
        <f>J11+Cty_Ly_Duong_Hung_DN[[#This Row],[THÀNH TIỀN]]-Cty_Ly_Duong_Hung_DN[[#This Row],[THANH TOÁN]]</f>
        <v>226240000</v>
      </c>
      <c r="K12" s="24"/>
    </row>
    <row r="13" spans="1:16" x14ac:dyDescent="0.25">
      <c r="A13" s="22">
        <v>7801</v>
      </c>
      <c r="B13" s="29">
        <v>46084</v>
      </c>
      <c r="C13" s="23" t="s">
        <v>13</v>
      </c>
      <c r="D13" s="37" t="s">
        <v>353</v>
      </c>
      <c r="E13" s="23" t="s">
        <v>354</v>
      </c>
      <c r="F13" s="31">
        <v>1800</v>
      </c>
      <c r="G13" s="31">
        <v>56000</v>
      </c>
      <c r="H13" s="31">
        <f>Cty_Ly_Duong_Hung_DN[[#This Row],[ĐƠN GIÁ]]*Cty_Ly_Duong_Hung_DN[[#This Row],[SỐ LƯỢNG]]</f>
        <v>100800000</v>
      </c>
      <c r="I13" s="31"/>
      <c r="J13" s="31">
        <f>J12+Cty_Ly_Duong_Hung_DN[[#This Row],[THÀNH TIỀN]]-Cty_Ly_Duong_Hung_DN[[#This Row],[THANH TOÁN]]</f>
        <v>327040000</v>
      </c>
      <c r="K13" s="24"/>
    </row>
    <row r="14" spans="1:16" x14ac:dyDescent="0.25">
      <c r="A14" s="22">
        <v>7801</v>
      </c>
      <c r="B14" s="29">
        <v>46084</v>
      </c>
      <c r="C14" s="23" t="s">
        <v>13</v>
      </c>
      <c r="D14" s="37" t="s">
        <v>355</v>
      </c>
      <c r="E14" s="23" t="s">
        <v>356</v>
      </c>
      <c r="F14" s="31">
        <v>1289</v>
      </c>
      <c r="G14" s="31">
        <v>56000</v>
      </c>
      <c r="H14" s="31">
        <f>Cty_Ly_Duong_Hung_DN[[#This Row],[ĐƠN GIÁ]]*Cty_Ly_Duong_Hung_DN[[#This Row],[SỐ LƯỢNG]]</f>
        <v>72184000</v>
      </c>
      <c r="I14" s="31"/>
      <c r="J14" s="31">
        <f>J13+Cty_Ly_Duong_Hung_DN[[#This Row],[THÀNH TIỀN]]-Cty_Ly_Duong_Hung_DN[[#This Row],[THANH TOÁN]]</f>
        <v>399224000</v>
      </c>
      <c r="K14" s="24"/>
      <c r="P14" s="35"/>
    </row>
    <row r="15" spans="1:16" x14ac:dyDescent="0.25">
      <c r="A15" s="22">
        <v>7801</v>
      </c>
      <c r="B15" s="29">
        <v>46084</v>
      </c>
      <c r="C15" s="23" t="s">
        <v>13</v>
      </c>
      <c r="D15" s="37" t="s">
        <v>357</v>
      </c>
      <c r="E15" s="26" t="s">
        <v>358</v>
      </c>
      <c r="F15" s="28">
        <v>580</v>
      </c>
      <c r="G15" s="31">
        <v>56000</v>
      </c>
      <c r="H15" s="28">
        <f>Cty_Ly_Duong_Hung_DN[[#This Row],[ĐƠN GIÁ]]*Cty_Ly_Duong_Hung_DN[[#This Row],[SỐ LƯỢNG]]</f>
        <v>32480000</v>
      </c>
      <c r="I15" s="28"/>
      <c r="J15" s="31">
        <f>J14+Cty_Ly_Duong_Hung_DN[[#This Row],[THÀNH TIỀN]]-Cty_Ly_Duong_Hung_DN[[#This Row],[THANH TOÁN]]</f>
        <v>431704000</v>
      </c>
      <c r="K15" s="27"/>
    </row>
    <row r="16" spans="1:16" x14ac:dyDescent="0.25">
      <c r="A16" s="22">
        <v>7801</v>
      </c>
      <c r="B16" s="29">
        <v>46084</v>
      </c>
      <c r="C16" s="23" t="s">
        <v>13</v>
      </c>
      <c r="D16" s="37" t="s">
        <v>359</v>
      </c>
      <c r="E16" s="23" t="s">
        <v>360</v>
      </c>
      <c r="F16" s="31">
        <v>718</v>
      </c>
      <c r="G16" s="31">
        <v>56000</v>
      </c>
      <c r="H16" s="31">
        <f>Cty_Ly_Duong_Hung_DN[[#This Row],[ĐƠN GIÁ]]*Cty_Ly_Duong_Hung_DN[[#This Row],[SỐ LƯỢNG]]</f>
        <v>40208000</v>
      </c>
      <c r="I16" s="31"/>
      <c r="J16" s="31">
        <f>J15+Cty_Ly_Duong_Hung_DN[[#This Row],[THÀNH TIỀN]]-Cty_Ly_Duong_Hung_DN[[#This Row],[THANH TOÁN]]</f>
        <v>471912000</v>
      </c>
      <c r="K16" s="24"/>
    </row>
    <row r="17" spans="1:11" x14ac:dyDescent="0.25">
      <c r="A17" s="22">
        <v>7801</v>
      </c>
      <c r="B17" s="29">
        <v>46084</v>
      </c>
      <c r="C17" s="23" t="s">
        <v>13</v>
      </c>
      <c r="D17" s="37" t="s">
        <v>361</v>
      </c>
      <c r="E17" s="23" t="s">
        <v>362</v>
      </c>
      <c r="F17" s="39">
        <v>66.5</v>
      </c>
      <c r="G17" s="31">
        <v>120000</v>
      </c>
      <c r="H17" s="31">
        <f>Cty_Ly_Duong_Hung_DN[[#This Row],[ĐƠN GIÁ]]*Cty_Ly_Duong_Hung_DN[[#This Row],[SỐ LƯỢNG]]</f>
        <v>7980000</v>
      </c>
      <c r="I17" s="31"/>
      <c r="J17" s="31">
        <f>J16+Cty_Ly_Duong_Hung_DN[[#This Row],[THÀNH TIỀN]]-Cty_Ly_Duong_Hung_DN[[#This Row],[THANH TOÁN]]</f>
        <v>479892000</v>
      </c>
      <c r="K17" s="24"/>
    </row>
    <row r="18" spans="1:11" x14ac:dyDescent="0.25">
      <c r="A18" s="22"/>
      <c r="B18" s="29">
        <v>46095</v>
      </c>
      <c r="C18" s="23" t="s">
        <v>21</v>
      </c>
      <c r="D18" s="37" t="s">
        <v>22</v>
      </c>
      <c r="E18" s="23" t="s">
        <v>261</v>
      </c>
      <c r="F18" s="31">
        <v>0</v>
      </c>
      <c r="G18" s="31">
        <v>0</v>
      </c>
      <c r="H18" s="31">
        <f>Cty_Ly_Duong_Hung_DN[[#This Row],[ĐƠN GIÁ]]*Cty_Ly_Duong_Hung_DN[[#This Row],[SỐ LƯỢNG]]</f>
        <v>0</v>
      </c>
      <c r="I18" s="31">
        <v>200000000</v>
      </c>
      <c r="J18" s="31">
        <f>J17+Cty_Ly_Duong_Hung_DN[[#This Row],[THÀNH TIỀN]]-Cty_Ly_Duong_Hung_DN[[#This Row],[THANH TOÁN]]</f>
        <v>279892000</v>
      </c>
      <c r="K18" s="24"/>
    </row>
    <row r="19" spans="1:11" x14ac:dyDescent="0.25">
      <c r="A19" s="22">
        <v>8115</v>
      </c>
      <c r="B19" s="29">
        <v>46097</v>
      </c>
      <c r="C19" s="23" t="s">
        <v>13</v>
      </c>
      <c r="D19" s="37" t="s">
        <v>265</v>
      </c>
      <c r="E19" s="23" t="s">
        <v>251</v>
      </c>
      <c r="F19" s="31">
        <v>554</v>
      </c>
      <c r="G19" s="31">
        <v>64000</v>
      </c>
      <c r="H19" s="31">
        <f>Cty_Ly_Duong_Hung_DN[[#This Row],[ĐƠN GIÁ]]*Cty_Ly_Duong_Hung_DN[[#This Row],[SỐ LƯỢNG]]</f>
        <v>35456000</v>
      </c>
      <c r="I19" s="31"/>
      <c r="J19" s="31">
        <f>J18+Cty_Ly_Duong_Hung_DN[[#This Row],[THÀNH TIỀN]]-Cty_Ly_Duong_Hung_DN[[#This Row],[THANH TOÁN]]</f>
        <v>315348000</v>
      </c>
      <c r="K19" s="24"/>
    </row>
    <row r="20" spans="1:11" x14ac:dyDescent="0.25">
      <c r="A20" s="25">
        <v>8115</v>
      </c>
      <c r="B20" s="30">
        <v>46097</v>
      </c>
      <c r="C20" s="23" t="s">
        <v>13</v>
      </c>
      <c r="D20" s="38" t="s">
        <v>265</v>
      </c>
      <c r="E20" s="26" t="s">
        <v>255</v>
      </c>
      <c r="F20" s="28">
        <v>418</v>
      </c>
      <c r="G20" s="28">
        <v>63000</v>
      </c>
      <c r="H20" s="28">
        <f>Cty_Ly_Duong_Hung_DN[[#This Row],[ĐƠN GIÁ]]*Cty_Ly_Duong_Hung_DN[[#This Row],[SỐ LƯỢNG]]</f>
        <v>26334000</v>
      </c>
      <c r="I20" s="28"/>
      <c r="J20" s="28">
        <f>J19+Cty_Ly_Duong_Hung_DN[[#This Row],[THÀNH TIỀN]]-Cty_Ly_Duong_Hung_DN[[#This Row],[THANH TOÁN]]</f>
        <v>341682000</v>
      </c>
      <c r="K20" s="27"/>
    </row>
    <row r="21" spans="1:11" x14ac:dyDescent="0.25">
      <c r="A21" s="25">
        <v>8227</v>
      </c>
      <c r="B21" s="30">
        <v>46104</v>
      </c>
      <c r="C21" s="23" t="s">
        <v>13</v>
      </c>
      <c r="D21" s="38" t="s">
        <v>265</v>
      </c>
      <c r="E21" s="23" t="s">
        <v>62</v>
      </c>
      <c r="F21" s="31">
        <v>536</v>
      </c>
      <c r="G21" s="31">
        <v>64000</v>
      </c>
      <c r="H21" s="31">
        <f>Cty_Ly_Duong_Hung_DN[[#This Row],[ĐƠN GIÁ]]*Cty_Ly_Duong_Hung_DN[[#This Row],[SỐ LƯỢNG]]</f>
        <v>34304000</v>
      </c>
      <c r="I21" s="31"/>
      <c r="J21" s="31">
        <f>J20+Cty_Ly_Duong_Hung_DN[[#This Row],[THÀNH TIỀN]]-Cty_Ly_Duong_Hung_DN[[#This Row],[THANH TOÁN]]</f>
        <v>375986000</v>
      </c>
      <c r="K21" s="24"/>
    </row>
    <row r="22" spans="1:11" x14ac:dyDescent="0.25">
      <c r="A22" s="25">
        <v>8227</v>
      </c>
      <c r="B22" s="30">
        <v>46104</v>
      </c>
      <c r="C22" s="23" t="s">
        <v>13</v>
      </c>
      <c r="D22" s="38" t="s">
        <v>265</v>
      </c>
      <c r="E22" s="23" t="s">
        <v>41</v>
      </c>
      <c r="F22" s="31">
        <v>518</v>
      </c>
      <c r="G22" s="31">
        <v>63000</v>
      </c>
      <c r="H22" s="31">
        <f>Cty_Ly_Duong_Hung_DN[[#This Row],[ĐƠN GIÁ]]*Cty_Ly_Duong_Hung_DN[[#This Row],[SỐ LƯỢNG]]</f>
        <v>32634000</v>
      </c>
      <c r="I22" s="31"/>
      <c r="J22" s="31">
        <f>J21+Cty_Ly_Duong_Hung_DN[[#This Row],[THÀNH TIỀN]]-Cty_Ly_Duong_Hung_DN[[#This Row],[THANH TOÁN]]</f>
        <v>408620000</v>
      </c>
      <c r="K22" s="24"/>
    </row>
    <row r="23" spans="1:11" x14ac:dyDescent="0.25">
      <c r="A23" s="25">
        <v>8227</v>
      </c>
      <c r="B23" s="30">
        <v>46104</v>
      </c>
      <c r="C23" s="23" t="s">
        <v>13</v>
      </c>
      <c r="D23" s="38" t="s">
        <v>265</v>
      </c>
      <c r="E23" s="26" t="s">
        <v>136</v>
      </c>
      <c r="F23" s="28">
        <v>454</v>
      </c>
      <c r="G23" s="28">
        <v>62500</v>
      </c>
      <c r="H23" s="28">
        <f>Cty_Ly_Duong_Hung_DN[[#This Row],[ĐƠN GIÁ]]*Cty_Ly_Duong_Hung_DN[[#This Row],[SỐ LƯỢNG]]</f>
        <v>28375000</v>
      </c>
      <c r="I23" s="28"/>
      <c r="J23" s="28">
        <f>J22+Cty_Ly_Duong_Hung_DN[[#This Row],[THÀNH TIỀN]]-Cty_Ly_Duong_Hung_DN[[#This Row],[THANH TOÁN]]</f>
        <v>436995000</v>
      </c>
      <c r="K23" s="27"/>
    </row>
    <row r="24" spans="1:11" x14ac:dyDescent="0.25">
      <c r="A24" s="25">
        <v>8417</v>
      </c>
      <c r="B24" s="30">
        <v>46111</v>
      </c>
      <c r="C24" s="26" t="s">
        <v>13</v>
      </c>
      <c r="D24" s="38" t="s">
        <v>43</v>
      </c>
      <c r="E24" s="26" t="s">
        <v>246</v>
      </c>
      <c r="F24" s="28">
        <v>880</v>
      </c>
      <c r="G24" s="28">
        <v>61000</v>
      </c>
      <c r="H24" s="28">
        <f>Cty_Ly_Duong_Hung_DN[[#This Row],[ĐƠN GIÁ]]*Cty_Ly_Duong_Hung_DN[[#This Row],[SỐ LƯỢNG]]</f>
        <v>53680000</v>
      </c>
      <c r="I24" s="28"/>
      <c r="J24" s="28">
        <f>J23+Cty_Ly_Duong_Hung_DN[[#This Row],[THÀNH TIỀN]]-Cty_Ly_Duong_Hung_DN[[#This Row],[THANH TOÁN]]</f>
        <v>490675000</v>
      </c>
      <c r="K24" s="27"/>
    </row>
    <row r="25" spans="1:11" x14ac:dyDescent="0.25">
      <c r="A25" s="22"/>
      <c r="B25" s="29">
        <v>46114</v>
      </c>
      <c r="C25" s="23" t="s">
        <v>21</v>
      </c>
      <c r="D25" s="37" t="s">
        <v>22</v>
      </c>
      <c r="E25" s="23" t="s">
        <v>261</v>
      </c>
      <c r="F25" s="31">
        <v>0</v>
      </c>
      <c r="G25" s="31"/>
      <c r="H25" s="31">
        <f>Cty_Ly_Duong_Hung_DN[[#This Row],[ĐƠN GIÁ]]*Cty_Ly_Duong_Hung_DN[[#This Row],[SỐ LƯỢNG]]</f>
        <v>0</v>
      </c>
      <c r="I25" s="31">
        <v>236994749</v>
      </c>
      <c r="J25" s="31">
        <f>J24+Cty_Ly_Duong_Hung_DN[[#This Row],[THÀNH TIỀN]]-Cty_Ly_Duong_Hung_DN[[#This Row],[THANH TOÁN]]</f>
        <v>253680251</v>
      </c>
      <c r="K25" s="24"/>
    </row>
    <row r="26" spans="1:11" x14ac:dyDescent="0.25">
      <c r="A26" s="22">
        <v>8628</v>
      </c>
      <c r="B26" s="29">
        <v>46120</v>
      </c>
      <c r="C26" s="23" t="s">
        <v>13</v>
      </c>
      <c r="D26" s="37" t="s">
        <v>265</v>
      </c>
      <c r="E26" s="23" t="s">
        <v>146</v>
      </c>
      <c r="F26" s="31">
        <v>1678</v>
      </c>
      <c r="G26" s="31">
        <v>63500</v>
      </c>
      <c r="H26" s="31">
        <f>Cty_Ly_Duong_Hung_DN[[#This Row],[ĐƠN GIÁ]]*Cty_Ly_Duong_Hung_DN[[#This Row],[SỐ LƯỢNG]]</f>
        <v>106553000</v>
      </c>
      <c r="I26" s="31"/>
      <c r="J26" s="31">
        <f>J25+Cty_Ly_Duong_Hung_DN[[#This Row],[THÀNH TIỀN]]-Cty_Ly_Duong_Hung_DN[[#This Row],[THANH TOÁN]]</f>
        <v>360233251</v>
      </c>
      <c r="K26" s="24"/>
    </row>
    <row r="27" spans="1:11" x14ac:dyDescent="0.25">
      <c r="A27" s="22">
        <v>8628</v>
      </c>
      <c r="B27" s="29">
        <v>46120</v>
      </c>
      <c r="C27" s="23" t="s">
        <v>13</v>
      </c>
      <c r="D27" s="37" t="s">
        <v>265</v>
      </c>
      <c r="E27" s="23" t="s">
        <v>136</v>
      </c>
      <c r="F27" s="31">
        <v>644</v>
      </c>
      <c r="G27" s="31">
        <v>64000</v>
      </c>
      <c r="H27" s="31">
        <f>Cty_Ly_Duong_Hung_DN[[#This Row],[ĐƠN GIÁ]]*Cty_Ly_Duong_Hung_DN[[#This Row],[SỐ LƯỢNG]]</f>
        <v>41216000</v>
      </c>
      <c r="I27" s="31"/>
      <c r="J27" s="31">
        <f>J26+Cty_Ly_Duong_Hung_DN[[#This Row],[THÀNH TIỀN]]-Cty_Ly_Duong_Hung_DN[[#This Row],[THANH TOÁN]]</f>
        <v>401449251</v>
      </c>
      <c r="K27" s="24"/>
    </row>
    <row r="28" spans="1:11" x14ac:dyDescent="0.25">
      <c r="A28" s="22">
        <v>8628</v>
      </c>
      <c r="B28" s="29">
        <v>46120</v>
      </c>
      <c r="C28" s="23" t="s">
        <v>13</v>
      </c>
      <c r="D28" s="37" t="s">
        <v>265</v>
      </c>
      <c r="E28" s="23" t="s">
        <v>363</v>
      </c>
      <c r="F28" s="31">
        <v>634</v>
      </c>
      <c r="G28" s="31">
        <v>64000</v>
      </c>
      <c r="H28" s="31">
        <f>Cty_Ly_Duong_Hung_DN[[#This Row],[ĐƠN GIÁ]]*Cty_Ly_Duong_Hung_DN[[#This Row],[SỐ LƯỢNG]]</f>
        <v>40576000</v>
      </c>
      <c r="I28" s="31"/>
      <c r="J28" s="31">
        <f>J27+Cty_Ly_Duong_Hung_DN[[#This Row],[THÀNH TIỀN]]-Cty_Ly_Duong_Hung_DN[[#This Row],[THANH TOÁN]]</f>
        <v>442025251</v>
      </c>
      <c r="K28" s="24"/>
    </row>
    <row r="29" spans="1:11" x14ac:dyDescent="0.25">
      <c r="A29" s="22">
        <v>8628</v>
      </c>
      <c r="B29" s="29">
        <v>46120</v>
      </c>
      <c r="C29" s="23" t="s">
        <v>13</v>
      </c>
      <c r="D29" s="37" t="s">
        <v>361</v>
      </c>
      <c r="E29" s="23" t="s">
        <v>364</v>
      </c>
      <c r="F29" s="31">
        <v>186</v>
      </c>
      <c r="G29" s="31">
        <v>122000</v>
      </c>
      <c r="H29" s="31">
        <f>Cty_Ly_Duong_Hung_DN[[#This Row],[ĐƠN GIÁ]]*Cty_Ly_Duong_Hung_DN[[#This Row],[SỐ LƯỢNG]]</f>
        <v>22692000</v>
      </c>
      <c r="I29" s="31"/>
      <c r="J29" s="31">
        <f>J28+Cty_Ly_Duong_Hung_DN[[#This Row],[THÀNH TIỀN]]-Cty_Ly_Duong_Hung_DN[[#This Row],[THANH TOÁN]]</f>
        <v>464717251</v>
      </c>
      <c r="K29" s="24"/>
    </row>
    <row r="30" spans="1:11" x14ac:dyDescent="0.25">
      <c r="A30" s="22"/>
      <c r="B30" s="29">
        <v>46131</v>
      </c>
      <c r="C30" s="23" t="s">
        <v>21</v>
      </c>
      <c r="D30" s="37" t="s">
        <v>22</v>
      </c>
      <c r="E30" s="23" t="s">
        <v>261</v>
      </c>
      <c r="F30" s="31">
        <v>0</v>
      </c>
      <c r="G30" s="31"/>
      <c r="H30" s="31">
        <f>Cty_Ly_Duong_Hung_DN[[#This Row],[ĐƠN GIÁ]]*Cty_Ly_Duong_Hung_DN[[#This Row],[SỐ LƯỢNG]]</f>
        <v>0</v>
      </c>
      <c r="I30" s="31">
        <v>300000000</v>
      </c>
      <c r="J30" s="31">
        <f>J29+Cty_Ly_Duong_Hung_DN[[#This Row],[THÀNH TIỀN]]-Cty_Ly_Duong_Hung_DN[[#This Row],[THANH TOÁN]]</f>
        <v>164717251</v>
      </c>
      <c r="K30" s="24"/>
    </row>
    <row r="31" spans="1:11" x14ac:dyDescent="0.25">
      <c r="A31" s="22">
        <v>9007</v>
      </c>
      <c r="B31" s="29">
        <v>46136</v>
      </c>
      <c r="C31" s="23" t="s">
        <v>13</v>
      </c>
      <c r="D31" s="37" t="s">
        <v>43</v>
      </c>
      <c r="E31" s="23" t="s">
        <v>255</v>
      </c>
      <c r="F31" s="31">
        <v>779</v>
      </c>
      <c r="G31" s="31">
        <v>61000</v>
      </c>
      <c r="H31" s="31">
        <f>Cty_Ly_Duong_Hung_DN[[#This Row],[ĐƠN GIÁ]]*Cty_Ly_Duong_Hung_DN[[#This Row],[SỐ LƯỢNG]]</f>
        <v>47519000</v>
      </c>
      <c r="I31" s="31"/>
      <c r="J31" s="31">
        <f>J30+Cty_Ly_Duong_Hung_DN[[#This Row],[THÀNH TIỀN]]-Cty_Ly_Duong_Hung_DN[[#This Row],[THANH TOÁN]]</f>
        <v>212236251</v>
      </c>
      <c r="K31" s="24"/>
    </row>
    <row r="32" spans="1:11" x14ac:dyDescent="0.25">
      <c r="A32" s="22">
        <v>9007</v>
      </c>
      <c r="B32" s="29">
        <v>46136</v>
      </c>
      <c r="C32" s="23" t="s">
        <v>13</v>
      </c>
      <c r="D32" s="37" t="s">
        <v>265</v>
      </c>
      <c r="E32" s="23" t="s">
        <v>41</v>
      </c>
      <c r="F32" s="31">
        <v>434</v>
      </c>
      <c r="G32" s="31">
        <v>65500</v>
      </c>
      <c r="H32" s="31">
        <f>Cty_Ly_Duong_Hung_DN[[#This Row],[ĐƠN GIÁ]]*Cty_Ly_Duong_Hung_DN[[#This Row],[SỐ LƯỢNG]]</f>
        <v>28427000</v>
      </c>
      <c r="I32" s="31"/>
      <c r="J32" s="31">
        <f>J31+Cty_Ly_Duong_Hung_DN[[#This Row],[THÀNH TIỀN]]-Cty_Ly_Duong_Hung_DN[[#This Row],[THANH TOÁN]]</f>
        <v>240663251</v>
      </c>
      <c r="K32" s="24"/>
    </row>
    <row r="33" spans="1:11" x14ac:dyDescent="0.25">
      <c r="A33" s="22">
        <v>9007</v>
      </c>
      <c r="B33" s="29">
        <v>46136</v>
      </c>
      <c r="C33" s="23" t="s">
        <v>13</v>
      </c>
      <c r="D33" s="37" t="s">
        <v>265</v>
      </c>
      <c r="E33" s="23" t="s">
        <v>251</v>
      </c>
      <c r="F33" s="31">
        <v>622</v>
      </c>
      <c r="G33" s="31">
        <v>65500</v>
      </c>
      <c r="H33" s="31">
        <f>Cty_Ly_Duong_Hung_DN[[#This Row],[ĐƠN GIÁ]]*Cty_Ly_Duong_Hung_DN[[#This Row],[SỐ LƯỢNG]]</f>
        <v>40741000</v>
      </c>
      <c r="I33" s="31"/>
      <c r="J33" s="31">
        <f>J32+Cty_Ly_Duong_Hung_DN[[#This Row],[THÀNH TIỀN]]-Cty_Ly_Duong_Hung_DN[[#This Row],[THANH TOÁN]]</f>
        <v>281404251</v>
      </c>
      <c r="K33" s="24"/>
    </row>
    <row r="34" spans="1:11" x14ac:dyDescent="0.25">
      <c r="A34" s="22">
        <v>9227</v>
      </c>
      <c r="B34" s="29">
        <v>46149</v>
      </c>
      <c r="C34" s="23" t="s">
        <v>13</v>
      </c>
      <c r="D34" s="37" t="s">
        <v>43</v>
      </c>
      <c r="E34" s="23" t="s">
        <v>203</v>
      </c>
      <c r="F34" s="31">
        <v>854</v>
      </c>
      <c r="G34" s="31">
        <v>64000</v>
      </c>
      <c r="H34" s="31">
        <f>Cty_Ly_Duong_Hung_DN[[#This Row],[ĐƠN GIÁ]]*Cty_Ly_Duong_Hung_DN[[#This Row],[SỐ LƯỢNG]]</f>
        <v>54656000</v>
      </c>
      <c r="I34" s="31"/>
      <c r="J34" s="31">
        <f>J33+Cty_Ly_Duong_Hung_DN[[#This Row],[THÀNH TIỀN]]-Cty_Ly_Duong_Hung_DN[[#This Row],[THANH TOÁN]]</f>
        <v>336060251</v>
      </c>
      <c r="K34" s="24"/>
    </row>
    <row r="35" spans="1:11" x14ac:dyDescent="0.25">
      <c r="A35" s="22"/>
      <c r="B35" s="29">
        <v>46157</v>
      </c>
      <c r="C35" s="23" t="s">
        <v>21</v>
      </c>
      <c r="D35" s="37" t="s">
        <v>22</v>
      </c>
      <c r="E35" s="23" t="s">
        <v>2155</v>
      </c>
      <c r="F35" s="31">
        <v>0</v>
      </c>
      <c r="G35" s="31"/>
      <c r="H35" s="31">
        <f>Cty_Ly_Duong_Hung_DN[[#This Row],[ĐƠN GIÁ]]*Cty_Ly_Duong_Hung_DN[[#This Row],[SỐ LƯỢNG]]</f>
        <v>0</v>
      </c>
      <c r="I35" s="31">
        <v>250000000</v>
      </c>
      <c r="J35" s="31">
        <f>J34+Cty_Ly_Duong_Hung_DN[[#This Row],[THÀNH TIỀN]]-Cty_Ly_Duong_Hung_DN[[#This Row],[THANH TOÁN]]</f>
        <v>86060251</v>
      </c>
      <c r="K35" s="24"/>
    </row>
    <row r="36" spans="1:11" x14ac:dyDescent="0.25">
      <c r="A36" s="22">
        <v>9433</v>
      </c>
      <c r="B36" s="29">
        <v>46158</v>
      </c>
      <c r="C36" s="23" t="s">
        <v>13</v>
      </c>
      <c r="D36" s="37" t="s">
        <v>150</v>
      </c>
      <c r="E36" s="23" t="s">
        <v>1839</v>
      </c>
      <c r="F36" s="31">
        <v>2218</v>
      </c>
      <c r="G36" s="31">
        <v>38500</v>
      </c>
      <c r="H36" s="31">
        <f>Cty_Ly_Duong_Hung_DN[[#This Row],[ĐƠN GIÁ]]*Cty_Ly_Duong_Hung_DN[[#This Row],[SỐ LƯỢNG]]</f>
        <v>85393000</v>
      </c>
      <c r="I36" s="31"/>
      <c r="J36" s="31">
        <f>J35+Cty_Ly_Duong_Hung_DN[[#This Row],[THÀNH TIỀN]]-Cty_Ly_Duong_Hung_DN[[#This Row],[THANH TOÁN]]</f>
        <v>171453251</v>
      </c>
      <c r="K36" s="24"/>
    </row>
    <row r="37" spans="1:11" x14ac:dyDescent="0.25">
      <c r="A37" s="22">
        <v>9433</v>
      </c>
      <c r="B37" s="29">
        <v>46158</v>
      </c>
      <c r="C37" s="23" t="s">
        <v>13</v>
      </c>
      <c r="D37" s="37" t="s">
        <v>2187</v>
      </c>
      <c r="E37" s="23" t="s">
        <v>2186</v>
      </c>
      <c r="F37" s="31">
        <v>29.7</v>
      </c>
      <c r="G37" s="31">
        <v>50000</v>
      </c>
      <c r="H37" s="31">
        <f>Cty_Ly_Duong_Hung_DN[[#This Row],[ĐƠN GIÁ]]*Cty_Ly_Duong_Hung_DN[[#This Row],[SỐ LƯỢNG]]</f>
        <v>1485000</v>
      </c>
      <c r="I37" s="31"/>
      <c r="J37" s="31">
        <f>J36+Cty_Ly_Duong_Hung_DN[[#This Row],[THÀNH TIỀN]]-Cty_Ly_Duong_Hung_DN[[#This Row],[THANH TOÁN]]</f>
        <v>172938251</v>
      </c>
      <c r="K37" s="24"/>
    </row>
    <row r="38" spans="1:11" x14ac:dyDescent="0.25">
      <c r="A38" s="22">
        <v>9433</v>
      </c>
      <c r="B38" s="29">
        <v>46158</v>
      </c>
      <c r="C38" s="23" t="s">
        <v>13</v>
      </c>
      <c r="D38" s="37" t="s">
        <v>169</v>
      </c>
      <c r="E38" s="23" t="s">
        <v>41</v>
      </c>
      <c r="F38" s="31">
        <v>534</v>
      </c>
      <c r="G38" s="31">
        <v>39000</v>
      </c>
      <c r="H38" s="31">
        <f>Cty_Ly_Duong_Hung_DN[[#This Row],[ĐƠN GIÁ]]*Cty_Ly_Duong_Hung_DN[[#This Row],[SỐ LƯỢNG]]</f>
        <v>20826000</v>
      </c>
      <c r="I38" s="31"/>
      <c r="J38" s="31">
        <f>J37+Cty_Ly_Duong_Hung_DN[[#This Row],[THÀNH TIỀN]]-Cty_Ly_Duong_Hung_DN[[#This Row],[THANH TOÁN]]</f>
        <v>193764251</v>
      </c>
      <c r="K38" s="24"/>
    </row>
    <row r="39" spans="1:11" x14ac:dyDescent="0.25">
      <c r="A39" s="22">
        <v>9582</v>
      </c>
      <c r="B39" s="29">
        <v>46165</v>
      </c>
      <c r="C39" s="23" t="s">
        <v>13</v>
      </c>
      <c r="D39" s="37" t="s">
        <v>265</v>
      </c>
      <c r="E39" s="23" t="s">
        <v>443</v>
      </c>
      <c r="F39" s="31">
        <v>590</v>
      </c>
      <c r="G39" s="31">
        <v>68500</v>
      </c>
      <c r="H39" s="31">
        <f>Cty_Ly_Duong_Hung_DN[[#This Row],[ĐƠN GIÁ]]*Cty_Ly_Duong_Hung_DN[[#This Row],[SỐ LƯỢNG]]</f>
        <v>40415000</v>
      </c>
      <c r="I39" s="31"/>
      <c r="J39" s="31">
        <f>J38+Cty_Ly_Duong_Hung_DN[[#This Row],[THÀNH TIỀN]]-Cty_Ly_Duong_Hung_DN[[#This Row],[THANH TOÁN]]</f>
        <v>234179251</v>
      </c>
      <c r="K39" s="24"/>
    </row>
    <row r="40" spans="1:11" x14ac:dyDescent="0.25">
      <c r="A40" s="22">
        <v>9582</v>
      </c>
      <c r="B40" s="29">
        <v>46165</v>
      </c>
      <c r="C40" s="23" t="s">
        <v>13</v>
      </c>
      <c r="D40" s="37" t="s">
        <v>265</v>
      </c>
      <c r="E40" s="23" t="s">
        <v>136</v>
      </c>
      <c r="F40" s="31">
        <v>641</v>
      </c>
      <c r="G40" s="31">
        <v>68500</v>
      </c>
      <c r="H40" s="31">
        <f>Cty_Ly_Duong_Hung_DN[[#This Row],[ĐƠN GIÁ]]*Cty_Ly_Duong_Hung_DN[[#This Row],[SỐ LƯỢNG]]</f>
        <v>43908500</v>
      </c>
      <c r="I40" s="31"/>
      <c r="J40" s="31">
        <f>J39+Cty_Ly_Duong_Hung_DN[[#This Row],[THÀNH TIỀN]]-Cty_Ly_Duong_Hung_DN[[#This Row],[THANH TOÁN]]</f>
        <v>278087751</v>
      </c>
      <c r="K40" s="24"/>
    </row>
    <row r="41" spans="1:11" x14ac:dyDescent="0.25">
      <c r="A41" s="22">
        <v>9582</v>
      </c>
      <c r="B41" s="29">
        <v>46165</v>
      </c>
      <c r="C41" s="23" t="s">
        <v>13</v>
      </c>
      <c r="D41" s="37" t="s">
        <v>265</v>
      </c>
      <c r="E41" s="23" t="s">
        <v>41</v>
      </c>
      <c r="F41" s="31">
        <v>620</v>
      </c>
      <c r="G41" s="31">
        <v>68500</v>
      </c>
      <c r="H41" s="31">
        <f>Cty_Ly_Duong_Hung_DN[[#This Row],[ĐƠN GIÁ]]*Cty_Ly_Duong_Hung_DN[[#This Row],[SỐ LƯỢNG]]</f>
        <v>42470000</v>
      </c>
      <c r="I41" s="31"/>
      <c r="J41" s="31">
        <f>J40+Cty_Ly_Duong_Hung_DN[[#This Row],[THÀNH TIỀN]]-Cty_Ly_Duong_Hung_DN[[#This Row],[THANH TOÁN]]</f>
        <v>320557751</v>
      </c>
      <c r="K41" s="24"/>
    </row>
    <row r="42" spans="1:11" x14ac:dyDescent="0.25">
      <c r="A42" s="22">
        <v>9750</v>
      </c>
      <c r="B42" s="29">
        <v>46175</v>
      </c>
      <c r="C42" s="23" t="s">
        <v>13</v>
      </c>
      <c r="D42" s="37" t="s">
        <v>50</v>
      </c>
      <c r="E42" s="23" t="s">
        <v>111</v>
      </c>
      <c r="F42" s="31">
        <v>3002</v>
      </c>
      <c r="G42" s="31">
        <v>61000</v>
      </c>
      <c r="H42" s="31">
        <f>Cty_Ly_Duong_Hung_DN[[#This Row],[ĐƠN GIÁ]]*Cty_Ly_Duong_Hung_DN[[#This Row],[SỐ LƯỢNG]]</f>
        <v>183122000</v>
      </c>
      <c r="I42" s="31"/>
      <c r="J42" s="31">
        <f>J41+Cty_Ly_Duong_Hung_DN[[#This Row],[THÀNH TIỀN]]-Cty_Ly_Duong_Hung_DN[[#This Row],[THANH TOÁN]]</f>
        <v>503679751</v>
      </c>
      <c r="K42" s="24"/>
    </row>
  </sheetData>
  <phoneticPr fontId="9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1E52B9-6351-4EE9-897C-5E3CBDFC5C6A}">
  <sheetPr codeName="Sheet21"/>
  <dimension ref="A5:K19"/>
  <sheetViews>
    <sheetView workbookViewId="0"/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1" width="15" style="1" bestFit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4084</v>
      </c>
    </row>
    <row r="6" spans="1:11" ht="22.5" x14ac:dyDescent="0.25">
      <c r="D6" s="34" t="s">
        <v>365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A_Tuan_Cty_Hung_Phat[[#This Row],[ĐƠN GIÁ]]*A_Tuan_Cty_Hung_Phat[[#This Row],[SỐ LƯỢNG]]</f>
        <v>0</v>
      </c>
      <c r="I10" s="31"/>
      <c r="J10" s="31">
        <v>0</v>
      </c>
      <c r="K10" s="24"/>
    </row>
    <row r="11" spans="1:11" x14ac:dyDescent="0.25">
      <c r="A11" s="22">
        <v>7803</v>
      </c>
      <c r="B11" s="29">
        <v>46084</v>
      </c>
      <c r="C11" s="23" t="s">
        <v>13</v>
      </c>
      <c r="D11" s="37" t="s">
        <v>192</v>
      </c>
      <c r="E11" s="23" t="s">
        <v>366</v>
      </c>
      <c r="F11" s="31">
        <v>958</v>
      </c>
      <c r="G11" s="31">
        <v>34000</v>
      </c>
      <c r="H11" s="31">
        <f>A_Tuan_Cty_Hung_Phat[[#This Row],[ĐƠN GIÁ]]*A_Tuan_Cty_Hung_Phat[[#This Row],[SỐ LƯỢNG]]</f>
        <v>32572000</v>
      </c>
      <c r="I11" s="31"/>
      <c r="J11" s="31">
        <f>J10+A_Tuan_Cty_Hung_Phat[[#This Row],[THÀNH TIỀN]]-A_Tuan_Cty_Hung_Phat[[#This Row],[THANH TOÁN]]</f>
        <v>32572000</v>
      </c>
      <c r="K11" s="24"/>
    </row>
    <row r="12" spans="1:11" x14ac:dyDescent="0.25">
      <c r="A12" s="22">
        <v>8129</v>
      </c>
      <c r="B12" s="29">
        <v>46097</v>
      </c>
      <c r="C12" s="23" t="s">
        <v>13</v>
      </c>
      <c r="D12" s="37" t="s">
        <v>26</v>
      </c>
      <c r="E12" s="23" t="s">
        <v>230</v>
      </c>
      <c r="F12" s="31">
        <v>978</v>
      </c>
      <c r="G12" s="31">
        <v>36000</v>
      </c>
      <c r="H12" s="31">
        <f>A_Tuan_Cty_Hung_Phat[[#This Row],[ĐƠN GIÁ]]*A_Tuan_Cty_Hung_Phat[[#This Row],[SỐ LƯỢNG]]</f>
        <v>35208000</v>
      </c>
      <c r="I12" s="31"/>
      <c r="J12" s="31">
        <f>J11+A_Tuan_Cty_Hung_Phat[[#This Row],[THÀNH TIỀN]]-A_Tuan_Cty_Hung_Phat[[#This Row],[THANH TOÁN]]</f>
        <v>67780000</v>
      </c>
      <c r="K12" s="24"/>
    </row>
    <row r="13" spans="1:11" x14ac:dyDescent="0.25">
      <c r="A13" s="22">
        <v>8129</v>
      </c>
      <c r="B13" s="29">
        <v>46097</v>
      </c>
      <c r="C13" s="23" t="s">
        <v>13</v>
      </c>
      <c r="D13" s="38" t="s">
        <v>26</v>
      </c>
      <c r="E13" s="26" t="s">
        <v>40</v>
      </c>
      <c r="F13" s="28">
        <v>902</v>
      </c>
      <c r="G13" s="28">
        <v>35000</v>
      </c>
      <c r="H13" s="28">
        <f>A_Tuan_Cty_Hung_Phat[[#This Row],[ĐƠN GIÁ]]*A_Tuan_Cty_Hung_Phat[[#This Row],[SỐ LƯỢNG]]</f>
        <v>31570000</v>
      </c>
      <c r="I13" s="28"/>
      <c r="J13" s="28">
        <f>J12+A_Tuan_Cty_Hung_Phat[[#This Row],[THÀNH TIỀN]]-A_Tuan_Cty_Hung_Phat[[#This Row],[THANH TOÁN]]</f>
        <v>99350000</v>
      </c>
      <c r="K13" s="27"/>
    </row>
    <row r="14" spans="1:11" x14ac:dyDescent="0.25">
      <c r="A14" s="25">
        <v>8408</v>
      </c>
      <c r="B14" s="30">
        <v>46111</v>
      </c>
      <c r="C14" s="26" t="s">
        <v>13</v>
      </c>
      <c r="D14" s="38" t="s">
        <v>195</v>
      </c>
      <c r="E14" s="26" t="s">
        <v>367</v>
      </c>
      <c r="F14" s="28">
        <v>10738</v>
      </c>
      <c r="G14" s="28">
        <v>27000</v>
      </c>
      <c r="H14" s="28">
        <f>A_Tuan_Cty_Hung_Phat[[#This Row],[ĐƠN GIÁ]]*A_Tuan_Cty_Hung_Phat[[#This Row],[SỐ LƯỢNG]]</f>
        <v>289926000</v>
      </c>
      <c r="I14" s="28"/>
      <c r="J14" s="28">
        <f>J13+A_Tuan_Cty_Hung_Phat[[#This Row],[THÀNH TIỀN]]-A_Tuan_Cty_Hung_Phat[[#This Row],[THANH TOÁN]]</f>
        <v>389276000</v>
      </c>
      <c r="K14" s="27"/>
    </row>
    <row r="15" spans="1:11" x14ac:dyDescent="0.25">
      <c r="A15" s="22"/>
      <c r="B15" s="29">
        <v>46115</v>
      </c>
      <c r="C15" s="23" t="s">
        <v>21</v>
      </c>
      <c r="D15" s="37" t="s">
        <v>22</v>
      </c>
      <c r="E15" s="23" t="s">
        <v>147</v>
      </c>
      <c r="F15" s="31">
        <v>0</v>
      </c>
      <c r="G15" s="31"/>
      <c r="H15" s="31">
        <f>A_Tuan_Cty_Hung_Phat[[#This Row],[ĐƠN GIÁ]]*A_Tuan_Cty_Hung_Phat[[#This Row],[SỐ LƯỢNG]]</f>
        <v>0</v>
      </c>
      <c r="I15" s="31">
        <v>32572000</v>
      </c>
      <c r="J15" s="31">
        <f>J14+A_Tuan_Cty_Hung_Phat[[#This Row],[THÀNH TIỀN]]-A_Tuan_Cty_Hung_Phat[[#This Row],[THANH TOÁN]]</f>
        <v>356704000</v>
      </c>
      <c r="K15" s="24"/>
    </row>
    <row r="16" spans="1:11" x14ac:dyDescent="0.25">
      <c r="A16" s="22"/>
      <c r="B16" s="29">
        <v>46128</v>
      </c>
      <c r="C16" s="23" t="s">
        <v>21</v>
      </c>
      <c r="D16" s="37" t="s">
        <v>22</v>
      </c>
      <c r="E16" s="23" t="s">
        <v>147</v>
      </c>
      <c r="F16" s="31">
        <v>0</v>
      </c>
      <c r="G16" s="31"/>
      <c r="H16" s="31">
        <f>A_Tuan_Cty_Hung_Phat[[#This Row],[ĐƠN GIÁ]]*A_Tuan_Cty_Hung_Phat[[#This Row],[SỐ LƯỢNG]]</f>
        <v>0</v>
      </c>
      <c r="I16" s="31">
        <v>50000000</v>
      </c>
      <c r="J16" s="31">
        <f>J15+A_Tuan_Cty_Hung_Phat[[#This Row],[THÀNH TIỀN]]-A_Tuan_Cty_Hung_Phat[[#This Row],[THANH TOÁN]]</f>
        <v>306704000</v>
      </c>
      <c r="K16" s="24"/>
    </row>
    <row r="17" spans="1:11" x14ac:dyDescent="0.25">
      <c r="A17" s="22"/>
      <c r="B17" s="29">
        <v>46150</v>
      </c>
      <c r="C17" s="23" t="s">
        <v>21</v>
      </c>
      <c r="D17" s="37" t="s">
        <v>22</v>
      </c>
      <c r="E17" s="23" t="s">
        <v>147</v>
      </c>
      <c r="F17" s="31">
        <v>0</v>
      </c>
      <c r="G17" s="31"/>
      <c r="H17" s="31">
        <f>A_Tuan_Cty_Hung_Phat[[#This Row],[ĐƠN GIÁ]]*A_Tuan_Cty_Hung_Phat[[#This Row],[SỐ LƯỢNG]]</f>
        <v>0</v>
      </c>
      <c r="I17" s="31">
        <v>100000000</v>
      </c>
      <c r="J17" s="31">
        <f>J16+A_Tuan_Cty_Hung_Phat[[#This Row],[THÀNH TIỀN]]-A_Tuan_Cty_Hung_Phat[[#This Row],[THANH TOÁN]]</f>
        <v>206704000</v>
      </c>
      <c r="K17" s="24"/>
    </row>
    <row r="18" spans="1:11" x14ac:dyDescent="0.25">
      <c r="A18" s="22"/>
      <c r="B18" s="29">
        <v>46157</v>
      </c>
      <c r="C18" s="23" t="s">
        <v>21</v>
      </c>
      <c r="D18" s="37" t="s">
        <v>22</v>
      </c>
      <c r="E18" s="23" t="s">
        <v>147</v>
      </c>
      <c r="F18" s="31">
        <v>0</v>
      </c>
      <c r="G18" s="31"/>
      <c r="H18" s="31">
        <f>A_Tuan_Cty_Hung_Phat[[#This Row],[ĐƠN GIÁ]]*A_Tuan_Cty_Hung_Phat[[#This Row],[SỐ LƯỢNG]]</f>
        <v>0</v>
      </c>
      <c r="I18" s="31">
        <v>100000000</v>
      </c>
      <c r="J18" s="31">
        <f>J17+A_Tuan_Cty_Hung_Phat[[#This Row],[THÀNH TIỀN]]-A_Tuan_Cty_Hung_Phat[[#This Row],[THANH TOÁN]]</f>
        <v>106704000</v>
      </c>
      <c r="K18" s="24"/>
    </row>
    <row r="19" spans="1:11" x14ac:dyDescent="0.25">
      <c r="A19" s="22"/>
      <c r="B19" s="29">
        <v>46171</v>
      </c>
      <c r="C19" s="23" t="s">
        <v>21</v>
      </c>
      <c r="D19" s="37" t="s">
        <v>22</v>
      </c>
      <c r="E19" s="23" t="s">
        <v>147</v>
      </c>
      <c r="F19" s="31">
        <v>0</v>
      </c>
      <c r="G19" s="31"/>
      <c r="H19" s="31">
        <f>A_Tuan_Cty_Hung_Phat[[#This Row],[ĐƠN GIÁ]]*A_Tuan_Cty_Hung_Phat[[#This Row],[SỐ LƯỢNG]]</f>
        <v>0</v>
      </c>
      <c r="I19" s="31">
        <v>106699916</v>
      </c>
      <c r="J19" s="31">
        <f>J18+A_Tuan_Cty_Hung_Phat[[#This Row],[THÀNH TIỀN]]-A_Tuan_Cty_Hung_Phat[[#This Row],[THANH TOÁN]]</f>
        <v>4084</v>
      </c>
      <c r="K19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D69131-3712-446B-9E6E-8CDCE22F628D}">
  <sheetPr codeName="Sheet22"/>
  <dimension ref="A5:K32"/>
  <sheetViews>
    <sheetView topLeftCell="A8" workbookViewId="0">
      <selection activeCell="G29" sqref="G29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-276210</v>
      </c>
    </row>
    <row r="6" spans="1:11" ht="22.5" x14ac:dyDescent="0.25">
      <c r="D6" s="34" t="s">
        <v>368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C_Nam_Dao_Cau_Duong[[#This Row],[ĐƠN GIÁ]]*C_Nam_Dao_Cau_Duong[[#This Row],[SỐ LƯỢNG]]</f>
        <v>0</v>
      </c>
      <c r="I10" s="31"/>
      <c r="J10" s="31">
        <v>0</v>
      </c>
      <c r="K10" s="24"/>
    </row>
    <row r="11" spans="1:11" x14ac:dyDescent="0.25">
      <c r="A11" s="22">
        <v>7804</v>
      </c>
      <c r="B11" s="29">
        <v>46084</v>
      </c>
      <c r="C11" s="23" t="s">
        <v>13</v>
      </c>
      <c r="D11" s="37" t="s">
        <v>43</v>
      </c>
      <c r="E11" s="23" t="s">
        <v>134</v>
      </c>
      <c r="F11" s="31">
        <v>790</v>
      </c>
      <c r="G11" s="31">
        <v>56000</v>
      </c>
      <c r="H11" s="31">
        <f>C_Nam_Dao_Cau_Duong[[#This Row],[ĐƠN GIÁ]]*C_Nam_Dao_Cau_Duong[[#This Row],[SỐ LƯỢNG]]</f>
        <v>44240000</v>
      </c>
      <c r="I11" s="31"/>
      <c r="J11" s="31">
        <f>J10+C_Nam_Dao_Cau_Duong[[#This Row],[THÀNH TIỀN]]-C_Nam_Dao_Cau_Duong[[#This Row],[THANH TOÁN]]</f>
        <v>44240000</v>
      </c>
      <c r="K11" s="24"/>
    </row>
    <row r="12" spans="1:11" x14ac:dyDescent="0.25">
      <c r="A12" s="22">
        <v>7906</v>
      </c>
      <c r="B12" s="29">
        <v>46087</v>
      </c>
      <c r="C12" s="23" t="s">
        <v>13</v>
      </c>
      <c r="D12" s="37" t="s">
        <v>17</v>
      </c>
      <c r="E12" s="23" t="s">
        <v>40</v>
      </c>
      <c r="F12" s="31">
        <f>5278-10</f>
        <v>5268</v>
      </c>
      <c r="G12" s="31">
        <v>63500</v>
      </c>
      <c r="H12" s="31">
        <f>C_Nam_Dao_Cau_Duong[[#This Row],[ĐƠN GIÁ]]*C_Nam_Dao_Cau_Duong[[#This Row],[SỐ LƯỢNG]]</f>
        <v>334518000</v>
      </c>
      <c r="I12" s="31"/>
      <c r="J12" s="31">
        <f>J11+C_Nam_Dao_Cau_Duong[[#This Row],[THÀNH TIỀN]]-C_Nam_Dao_Cau_Duong[[#This Row],[THANH TOÁN]]</f>
        <v>378758000</v>
      </c>
      <c r="K12" s="24"/>
    </row>
    <row r="13" spans="1:11" x14ac:dyDescent="0.25">
      <c r="A13" s="25"/>
      <c r="B13" s="30">
        <v>46087</v>
      </c>
      <c r="C13" s="26" t="s">
        <v>21</v>
      </c>
      <c r="D13" s="38" t="s">
        <v>22</v>
      </c>
      <c r="E13" s="26" t="s">
        <v>261</v>
      </c>
      <c r="F13" s="28">
        <v>0</v>
      </c>
      <c r="G13" s="28">
        <v>0</v>
      </c>
      <c r="H13" s="28">
        <f>C_Nam_Dao_Cau_Duong[[#This Row],[ĐƠN GIÁ]]*C_Nam_Dao_Cau_Duong[[#This Row],[SỐ LƯỢNG]]</f>
        <v>0</v>
      </c>
      <c r="I13" s="28">
        <v>44239921</v>
      </c>
      <c r="J13" s="28">
        <f>J12+C_Nam_Dao_Cau_Duong[[#This Row],[THÀNH TIỀN]]-C_Nam_Dao_Cau_Duong[[#This Row],[THANH TOÁN]]</f>
        <v>334518079</v>
      </c>
      <c r="K13" s="27"/>
    </row>
    <row r="14" spans="1:11" x14ac:dyDescent="0.25">
      <c r="A14" s="25">
        <v>8076</v>
      </c>
      <c r="B14" s="30">
        <v>46095</v>
      </c>
      <c r="C14" s="26" t="s">
        <v>13</v>
      </c>
      <c r="D14" s="38" t="s">
        <v>43</v>
      </c>
      <c r="E14" s="26" t="s">
        <v>369</v>
      </c>
      <c r="F14" s="28">
        <f>464+669</f>
        <v>1133</v>
      </c>
      <c r="G14" s="28">
        <v>58000</v>
      </c>
      <c r="H14" s="28">
        <f>C_Nam_Dao_Cau_Duong[[#This Row],[ĐƠN GIÁ]]*C_Nam_Dao_Cau_Duong[[#This Row],[SỐ LƯỢNG]]</f>
        <v>65714000</v>
      </c>
      <c r="I14" s="28"/>
      <c r="J14" s="28">
        <f>J13+C_Nam_Dao_Cau_Duong[[#This Row],[THÀNH TIỀN]]-C_Nam_Dao_Cau_Duong[[#This Row],[THANH TOÁN]]</f>
        <v>400232079</v>
      </c>
      <c r="K14" s="27" t="s">
        <v>370</v>
      </c>
    </row>
    <row r="15" spans="1:11" x14ac:dyDescent="0.25">
      <c r="A15" s="25">
        <v>8076</v>
      </c>
      <c r="B15" s="30">
        <v>46095</v>
      </c>
      <c r="C15" s="26" t="s">
        <v>13</v>
      </c>
      <c r="D15" s="38" t="s">
        <v>43</v>
      </c>
      <c r="E15" s="26" t="s">
        <v>371</v>
      </c>
      <c r="F15" s="28">
        <f>574+472</f>
        <v>1046</v>
      </c>
      <c r="G15" s="28">
        <v>58000</v>
      </c>
      <c r="H15" s="28">
        <f>C_Nam_Dao_Cau_Duong[[#This Row],[ĐƠN GIÁ]]*C_Nam_Dao_Cau_Duong[[#This Row],[SỐ LƯỢNG]]</f>
        <v>60668000</v>
      </c>
      <c r="I15" s="28"/>
      <c r="J15" s="28">
        <f>J14+C_Nam_Dao_Cau_Duong[[#This Row],[THÀNH TIỀN]]-C_Nam_Dao_Cau_Duong[[#This Row],[THANH TOÁN]]</f>
        <v>460900079</v>
      </c>
      <c r="K15" s="27" t="s">
        <v>370</v>
      </c>
    </row>
    <row r="16" spans="1:11" x14ac:dyDescent="0.25">
      <c r="A16" s="25"/>
      <c r="B16" s="30">
        <v>46097</v>
      </c>
      <c r="C16" s="26" t="s">
        <v>21</v>
      </c>
      <c r="D16" s="38" t="s">
        <v>22</v>
      </c>
      <c r="E16" s="26" t="s">
        <v>261</v>
      </c>
      <c r="F16" s="28">
        <v>0</v>
      </c>
      <c r="G16" s="28">
        <v>0</v>
      </c>
      <c r="H16" s="28">
        <f>C_Nam_Dao_Cau_Duong[[#This Row],[ĐƠN GIÁ]]*C_Nam_Dao_Cau_Duong[[#This Row],[SỐ LƯỢNG]]</f>
        <v>0</v>
      </c>
      <c r="I16" s="28">
        <v>334515213</v>
      </c>
      <c r="J16" s="28">
        <f>J15+C_Nam_Dao_Cau_Duong[[#This Row],[THÀNH TIỀN]]-C_Nam_Dao_Cau_Duong[[#This Row],[THANH TOÁN]]</f>
        <v>126384866</v>
      </c>
      <c r="K16" s="27"/>
    </row>
    <row r="17" spans="1:11" x14ac:dyDescent="0.25">
      <c r="A17" s="25">
        <v>8356</v>
      </c>
      <c r="B17" s="30">
        <v>46107</v>
      </c>
      <c r="C17" s="26" t="s">
        <v>13</v>
      </c>
      <c r="D17" s="38" t="s">
        <v>17</v>
      </c>
      <c r="E17" s="26" t="s">
        <v>273</v>
      </c>
      <c r="F17" s="28">
        <f>669-276</f>
        <v>393</v>
      </c>
      <c r="G17" s="28">
        <v>59000</v>
      </c>
      <c r="H17" s="28">
        <f>C_Nam_Dao_Cau_Duong[[#This Row],[ĐƠN GIÁ]]*C_Nam_Dao_Cau_Duong[[#This Row],[SỐ LƯỢNG]]</f>
        <v>23187000</v>
      </c>
      <c r="I17" s="28"/>
      <c r="J17" s="28">
        <f>J16+C_Nam_Dao_Cau_Duong[[#This Row],[THÀNH TIỀN]]-C_Nam_Dao_Cau_Duong[[#This Row],[THANH TOÁN]]</f>
        <v>149571866</v>
      </c>
      <c r="K17" s="27"/>
    </row>
    <row r="18" spans="1:11" x14ac:dyDescent="0.25">
      <c r="A18" s="25"/>
      <c r="B18" s="30">
        <v>46108</v>
      </c>
      <c r="C18" s="26" t="s">
        <v>21</v>
      </c>
      <c r="D18" s="38" t="s">
        <v>22</v>
      </c>
      <c r="E18" s="26" t="s">
        <v>261</v>
      </c>
      <c r="F18" s="28">
        <v>0</v>
      </c>
      <c r="G18" s="28">
        <v>0</v>
      </c>
      <c r="H18" s="28">
        <f>C_Nam_Dao_Cau_Duong[[#This Row],[ĐƠN GIÁ]]*C_Nam_Dao_Cau_Duong[[#This Row],[SỐ LƯỢNG]]</f>
        <v>0</v>
      </c>
      <c r="I18" s="28">
        <v>126381346</v>
      </c>
      <c r="J18" s="28">
        <f>J17+C_Nam_Dao_Cau_Duong[[#This Row],[THÀNH TIỀN]]-C_Nam_Dao_Cau_Duong[[#This Row],[THANH TOÁN]]</f>
        <v>23190520</v>
      </c>
      <c r="K18" s="27"/>
    </row>
    <row r="19" spans="1:11" x14ac:dyDescent="0.25">
      <c r="A19" s="22"/>
      <c r="B19" s="29">
        <v>46118</v>
      </c>
      <c r="C19" s="23" t="s">
        <v>21</v>
      </c>
      <c r="D19" s="37" t="s">
        <v>22</v>
      </c>
      <c r="E19" s="23" t="s">
        <v>261</v>
      </c>
      <c r="F19" s="31">
        <v>0</v>
      </c>
      <c r="G19" s="31"/>
      <c r="H19" s="31">
        <f>C_Nam_Dao_Cau_Duong[[#This Row],[ĐƠN GIÁ]]*C_Nam_Dao_Cau_Duong[[#This Row],[SỐ LƯỢNG]]</f>
        <v>0</v>
      </c>
      <c r="I19" s="31">
        <v>23186843</v>
      </c>
      <c r="J19" s="31">
        <f>J18+C_Nam_Dao_Cau_Duong[[#This Row],[THÀNH TIỀN]]-C_Nam_Dao_Cau_Duong[[#This Row],[THANH TOÁN]]</f>
        <v>3677</v>
      </c>
      <c r="K19" s="24"/>
    </row>
    <row r="20" spans="1:11" x14ac:dyDescent="0.25">
      <c r="A20" s="22">
        <v>8604</v>
      </c>
      <c r="B20" s="29">
        <v>46119</v>
      </c>
      <c r="C20" s="23" t="s">
        <v>13</v>
      </c>
      <c r="D20" s="37" t="s">
        <v>150</v>
      </c>
      <c r="E20" s="23" t="s">
        <v>372</v>
      </c>
      <c r="F20" s="31">
        <v>1548</v>
      </c>
      <c r="G20" s="31">
        <v>37500</v>
      </c>
      <c r="H20" s="31">
        <f>C_Nam_Dao_Cau_Duong[[#This Row],[ĐƠN GIÁ]]*C_Nam_Dao_Cau_Duong[[#This Row],[SỐ LƯỢNG]]</f>
        <v>58050000</v>
      </c>
      <c r="I20" s="31"/>
      <c r="J20" s="31">
        <f>J19+C_Nam_Dao_Cau_Duong[[#This Row],[THÀNH TIỀN]]-C_Nam_Dao_Cau_Duong[[#This Row],[THANH TOÁN]]</f>
        <v>58053677</v>
      </c>
      <c r="K20" s="24"/>
    </row>
    <row r="21" spans="1:11" x14ac:dyDescent="0.25">
      <c r="A21" s="22">
        <v>8645</v>
      </c>
      <c r="B21" s="29">
        <v>46121</v>
      </c>
      <c r="C21" s="23" t="s">
        <v>13</v>
      </c>
      <c r="D21" s="37" t="s">
        <v>43</v>
      </c>
      <c r="E21" s="23" t="s">
        <v>134</v>
      </c>
      <c r="F21" s="31">
        <v>706</v>
      </c>
      <c r="G21" s="31">
        <v>0</v>
      </c>
      <c r="H21" s="31">
        <f>C_Nam_Dao_Cau_Duong[[#This Row],[ĐƠN GIÁ]]*C_Nam_Dao_Cau_Duong[[#This Row],[SỐ LƯỢNG]]</f>
        <v>0</v>
      </c>
      <c r="I21" s="31"/>
      <c r="J21" s="31">
        <f>J20+C_Nam_Dao_Cau_Duong[[#This Row],[THÀNH TIỀN]]-C_Nam_Dao_Cau_Duong[[#This Row],[THANH TOÁN]]</f>
        <v>58053677</v>
      </c>
      <c r="K21" s="24" t="s">
        <v>373</v>
      </c>
    </row>
    <row r="22" spans="1:11" x14ac:dyDescent="0.25">
      <c r="A22" s="22">
        <v>8645</v>
      </c>
      <c r="B22" s="29">
        <v>46121</v>
      </c>
      <c r="C22" s="23" t="s">
        <v>13</v>
      </c>
      <c r="D22" s="37" t="s">
        <v>17</v>
      </c>
      <c r="E22" s="23" t="s">
        <v>40</v>
      </c>
      <c r="F22" s="31">
        <v>4986</v>
      </c>
      <c r="G22" s="31">
        <v>66500</v>
      </c>
      <c r="H22" s="31">
        <f>C_Nam_Dao_Cau_Duong[[#This Row],[ĐƠN GIÁ]]*C_Nam_Dao_Cau_Duong[[#This Row],[SỐ LƯỢNG]]</f>
        <v>331569000</v>
      </c>
      <c r="I22" s="31"/>
      <c r="J22" s="31">
        <f>J21+C_Nam_Dao_Cau_Duong[[#This Row],[THÀNH TIỀN]]-C_Nam_Dao_Cau_Duong[[#This Row],[THANH TOÁN]]</f>
        <v>389622677</v>
      </c>
      <c r="K22" s="24" t="s">
        <v>42</v>
      </c>
    </row>
    <row r="23" spans="1:11" x14ac:dyDescent="0.25">
      <c r="A23" s="22">
        <v>8645</v>
      </c>
      <c r="B23" s="29">
        <v>46121</v>
      </c>
      <c r="C23" s="23" t="s">
        <v>13</v>
      </c>
      <c r="D23" s="37" t="s">
        <v>17</v>
      </c>
      <c r="E23" s="23" t="s">
        <v>136</v>
      </c>
      <c r="F23" s="31">
        <v>713</v>
      </c>
      <c r="G23" s="31">
        <v>59000</v>
      </c>
      <c r="H23" s="31">
        <f>C_Nam_Dao_Cau_Duong[[#This Row],[ĐƠN GIÁ]]*C_Nam_Dao_Cau_Duong[[#This Row],[SỐ LƯỢNG]]</f>
        <v>42067000</v>
      </c>
      <c r="I23" s="31"/>
      <c r="J23" s="31">
        <f>J22+C_Nam_Dao_Cau_Duong[[#This Row],[THÀNH TIỀN]]-C_Nam_Dao_Cau_Duong[[#This Row],[THANH TOÁN]]</f>
        <v>431689677</v>
      </c>
      <c r="K23" s="24" t="s">
        <v>42</v>
      </c>
    </row>
    <row r="24" spans="1:11" x14ac:dyDescent="0.25">
      <c r="A24" s="22">
        <v>8645</v>
      </c>
      <c r="B24" s="29">
        <v>46121</v>
      </c>
      <c r="C24" s="23" t="s">
        <v>13</v>
      </c>
      <c r="D24" s="37" t="s">
        <v>17</v>
      </c>
      <c r="E24" s="23" t="s">
        <v>146</v>
      </c>
      <c r="F24" s="31">
        <v>358</v>
      </c>
      <c r="G24" s="31">
        <v>59000</v>
      </c>
      <c r="H24" s="31">
        <f>C_Nam_Dao_Cau_Duong[[#This Row],[ĐƠN GIÁ]]*C_Nam_Dao_Cau_Duong[[#This Row],[SỐ LƯỢNG]]</f>
        <v>21122000</v>
      </c>
      <c r="I24" s="31"/>
      <c r="J24" s="31">
        <f>J23+C_Nam_Dao_Cau_Duong[[#This Row],[THÀNH TIỀN]]-C_Nam_Dao_Cau_Duong[[#This Row],[THANH TOÁN]]</f>
        <v>452811677</v>
      </c>
      <c r="K24" s="24" t="s">
        <v>42</v>
      </c>
    </row>
    <row r="25" spans="1:11" x14ac:dyDescent="0.25">
      <c r="A25" s="22"/>
      <c r="B25" s="29">
        <v>46127</v>
      </c>
      <c r="C25" s="23" t="s">
        <v>21</v>
      </c>
      <c r="D25" s="37" t="s">
        <v>22</v>
      </c>
      <c r="E25" s="23" t="s">
        <v>261</v>
      </c>
      <c r="F25" s="31">
        <v>0</v>
      </c>
      <c r="G25" s="31"/>
      <c r="H25" s="31">
        <f>C_Nam_Dao_Cau_Duong[[#This Row],[ĐƠN GIÁ]]*C_Nam_Dao_Cau_Duong[[#This Row],[SỐ LƯỢNG]]</f>
        <v>0</v>
      </c>
      <c r="I25" s="31">
        <v>58050155</v>
      </c>
      <c r="J25" s="31">
        <f>J24+C_Nam_Dao_Cau_Duong[[#This Row],[THÀNH TIỀN]]-C_Nam_Dao_Cau_Duong[[#This Row],[THANH TOÁN]]</f>
        <v>394761522</v>
      </c>
      <c r="K25" s="24"/>
    </row>
    <row r="26" spans="1:11" x14ac:dyDescent="0.25">
      <c r="A26" s="22">
        <v>8830</v>
      </c>
      <c r="B26" s="29">
        <v>46128</v>
      </c>
      <c r="C26" s="23" t="s">
        <v>13</v>
      </c>
      <c r="D26" s="37" t="s">
        <v>43</v>
      </c>
      <c r="E26" s="23" t="s">
        <v>44</v>
      </c>
      <c r="F26" s="31">
        <v>142</v>
      </c>
      <c r="G26" s="31">
        <v>56000</v>
      </c>
      <c r="H26" s="31">
        <f>C_Nam_Dao_Cau_Duong[[#This Row],[ĐƠN GIÁ]]*C_Nam_Dao_Cau_Duong[[#This Row],[SỐ LƯỢNG]]</f>
        <v>7952000</v>
      </c>
      <c r="I26" s="31"/>
      <c r="J26" s="31">
        <f>J25+C_Nam_Dao_Cau_Duong[[#This Row],[THÀNH TIỀN]]-C_Nam_Dao_Cau_Duong[[#This Row],[THANH TOÁN]]</f>
        <v>402713522</v>
      </c>
      <c r="K26" s="24"/>
    </row>
    <row r="27" spans="1:11" x14ac:dyDescent="0.25">
      <c r="A27" s="22">
        <v>8830</v>
      </c>
      <c r="B27" s="29">
        <v>46128</v>
      </c>
      <c r="C27" s="23" t="s">
        <v>166</v>
      </c>
      <c r="D27" s="37" t="s">
        <v>43</v>
      </c>
      <c r="E27" s="23" t="s">
        <v>41</v>
      </c>
      <c r="F27" s="31">
        <v>83</v>
      </c>
      <c r="G27" s="31">
        <v>-58000</v>
      </c>
      <c r="H27" s="31">
        <f>C_Nam_Dao_Cau_Duong[[#This Row],[ĐƠN GIÁ]]*C_Nam_Dao_Cau_Duong[[#This Row],[SỐ LƯỢNG]]</f>
        <v>-4814000</v>
      </c>
      <c r="I27" s="31"/>
      <c r="J27" s="31">
        <f>J26+C_Nam_Dao_Cau_Duong[[#This Row],[THÀNH TIỀN]]-C_Nam_Dao_Cau_Duong[[#This Row],[THANH TOÁN]]</f>
        <v>397899522</v>
      </c>
      <c r="K27" s="24"/>
    </row>
    <row r="28" spans="1:11" x14ac:dyDescent="0.25">
      <c r="A28" s="22">
        <v>8871</v>
      </c>
      <c r="B28" s="29">
        <v>46130</v>
      </c>
      <c r="C28" s="23" t="s">
        <v>13</v>
      </c>
      <c r="D28" s="37" t="s">
        <v>17</v>
      </c>
      <c r="E28" s="23" t="s">
        <v>136</v>
      </c>
      <c r="F28" s="31">
        <v>826</v>
      </c>
      <c r="G28" s="31">
        <v>59000</v>
      </c>
      <c r="H28" s="31">
        <f>C_Nam_Dao_Cau_Duong[[#This Row],[ĐƠN GIÁ]]*C_Nam_Dao_Cau_Duong[[#This Row],[SỐ LƯỢNG]]</f>
        <v>48734000</v>
      </c>
      <c r="I28" s="31"/>
      <c r="J28" s="31">
        <f>J27+C_Nam_Dao_Cau_Duong[[#This Row],[THÀNH TIỀN]]-C_Nam_Dao_Cau_Duong[[#This Row],[THANH TOÁN]]</f>
        <v>446633522</v>
      </c>
      <c r="K28" s="24"/>
    </row>
    <row r="29" spans="1:11" x14ac:dyDescent="0.25">
      <c r="A29" s="22">
        <v>8871</v>
      </c>
      <c r="B29" s="29">
        <v>46130</v>
      </c>
      <c r="C29" s="23" t="s">
        <v>13</v>
      </c>
      <c r="D29" s="37" t="s">
        <v>17</v>
      </c>
      <c r="E29" s="23" t="s">
        <v>62</v>
      </c>
      <c r="F29" s="31">
        <v>190</v>
      </c>
      <c r="G29" s="31">
        <v>0</v>
      </c>
      <c r="H29" s="31">
        <f>C_Nam_Dao_Cau_Duong[[#This Row],[ĐƠN GIÁ]]*C_Nam_Dao_Cau_Duong[[#This Row],[SỐ LƯỢNG]]</f>
        <v>0</v>
      </c>
      <c r="I29" s="31"/>
      <c r="J29" s="31">
        <f>J28+C_Nam_Dao_Cau_Duong[[#This Row],[THÀNH TIỀN]]-C_Nam_Dao_Cau_Duong[[#This Row],[THANH TOÁN]]</f>
        <v>446633522</v>
      </c>
      <c r="K29" s="24" t="s">
        <v>374</v>
      </c>
    </row>
    <row r="30" spans="1:11" x14ac:dyDescent="0.25">
      <c r="A30" s="22"/>
      <c r="B30" s="29">
        <v>46133</v>
      </c>
      <c r="C30" s="23" t="s">
        <v>21</v>
      </c>
      <c r="D30" s="37" t="s">
        <v>22</v>
      </c>
      <c r="E30" s="23" t="s">
        <v>261</v>
      </c>
      <c r="F30" s="31">
        <v>0</v>
      </c>
      <c r="G30" s="31"/>
      <c r="H30" s="31">
        <f>C_Nam_Dao_Cau_Duong[[#This Row],[ĐƠN GIÁ]]*C_Nam_Dao_Cau_Duong[[#This Row],[SỐ LƯỢNG]]</f>
        <v>0</v>
      </c>
      <c r="I30" s="31">
        <v>394754250</v>
      </c>
      <c r="J30" s="31">
        <f>J29+C_Nam_Dao_Cau_Duong[[#This Row],[THÀNH TIỀN]]-C_Nam_Dao_Cau_Duong[[#This Row],[THANH TOÁN]]</f>
        <v>51879272</v>
      </c>
      <c r="K30" s="24"/>
    </row>
    <row r="31" spans="1:11" x14ac:dyDescent="0.25">
      <c r="A31" s="22">
        <v>9157</v>
      </c>
      <c r="B31" s="29">
        <v>46146</v>
      </c>
      <c r="C31" s="23" t="s">
        <v>13</v>
      </c>
      <c r="D31" s="37" t="s">
        <v>143</v>
      </c>
      <c r="E31" s="23" t="s">
        <v>251</v>
      </c>
      <c r="F31" s="31">
        <v>384</v>
      </c>
      <c r="G31" s="31">
        <v>62000</v>
      </c>
      <c r="H31" s="31">
        <f>C_Nam_Dao_Cau_Duong[[#This Row],[ĐƠN GIÁ]]*C_Nam_Dao_Cau_Duong[[#This Row],[SỐ LƯỢNG]]</f>
        <v>23808000</v>
      </c>
      <c r="I31" s="31"/>
      <c r="J31" s="31">
        <f>J30+C_Nam_Dao_Cau_Duong[[#This Row],[THÀNH TIỀN]]-C_Nam_Dao_Cau_Duong[[#This Row],[THANH TOÁN]]</f>
        <v>75687272</v>
      </c>
      <c r="K31" s="24"/>
    </row>
    <row r="32" spans="1:11" x14ac:dyDescent="0.25">
      <c r="A32" s="22"/>
      <c r="B32" s="29">
        <v>46150</v>
      </c>
      <c r="C32" s="23" t="s">
        <v>21</v>
      </c>
      <c r="D32" s="37" t="s">
        <v>22</v>
      </c>
      <c r="E32" s="23" t="s">
        <v>261</v>
      </c>
      <c r="F32" s="31">
        <v>0</v>
      </c>
      <c r="G32" s="31"/>
      <c r="H32" s="31">
        <f>C_Nam_Dao_Cau_Duong[[#This Row],[ĐƠN GIÁ]]*C_Nam_Dao_Cau_Duong[[#This Row],[SỐ LƯỢNG]]</f>
        <v>0</v>
      </c>
      <c r="I32" s="31">
        <v>75963482</v>
      </c>
      <c r="J32" s="31">
        <f>J31+C_Nam_Dao_Cau_Duong[[#This Row],[THÀNH TIỀN]]-C_Nam_Dao_Cau_Duong[[#This Row],[THANH TOÁN]]</f>
        <v>-276210</v>
      </c>
      <c r="K32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EE646-4790-4854-A9D8-332D59B6D3FE}">
  <sheetPr codeName="Sheet23"/>
  <dimension ref="A5:P70"/>
  <sheetViews>
    <sheetView topLeftCell="A50" workbookViewId="0">
      <selection activeCell="K69" sqref="B64:K69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24.85546875" style="1" bestFit="1" customWidth="1"/>
    <col min="12" max="14" width="9.140625" style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0</v>
      </c>
    </row>
    <row r="6" spans="1:16" ht="22.5" x14ac:dyDescent="0.25">
      <c r="D6" s="34" t="s">
        <v>375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Khach_le[[#This Row],[ĐƠN GIÁ]]*Khach_le[[#This Row],[SỐ LƯỢNG]]</f>
        <v>0</v>
      </c>
      <c r="I10" s="31">
        <f>Khach_le[[#This Row],[THÀNH TIỀN]]</f>
        <v>0</v>
      </c>
      <c r="J10" s="31">
        <v>0</v>
      </c>
      <c r="K10" s="24"/>
    </row>
    <row r="11" spans="1:16" x14ac:dyDescent="0.25">
      <c r="A11" s="22">
        <v>7805</v>
      </c>
      <c r="B11" s="29">
        <v>46084</v>
      </c>
      <c r="C11" s="23" t="s">
        <v>13</v>
      </c>
      <c r="D11" s="37" t="s">
        <v>170</v>
      </c>
      <c r="E11" s="23" t="s">
        <v>376</v>
      </c>
      <c r="F11" s="31">
        <v>140</v>
      </c>
      <c r="G11" s="31">
        <v>65000</v>
      </c>
      <c r="H11" s="31">
        <f>Khach_le[[#This Row],[ĐƠN GIÁ]]*Khach_le[[#This Row],[SỐ LƯỢNG]]</f>
        <v>9100000</v>
      </c>
      <c r="I11" s="31">
        <f>Khach_le[[#This Row],[THÀNH TIỀN]]</f>
        <v>9100000</v>
      </c>
      <c r="J11" s="31">
        <f>J10+Khach_le[[#This Row],[THÀNH TIỀN]]-Khach_le[[#This Row],[THANH TOÁN]]</f>
        <v>0</v>
      </c>
      <c r="K11" s="24" t="s">
        <v>377</v>
      </c>
    </row>
    <row r="12" spans="1:16" x14ac:dyDescent="0.25">
      <c r="A12" s="22">
        <v>7805</v>
      </c>
      <c r="B12" s="29">
        <v>46084</v>
      </c>
      <c r="C12" s="23" t="s">
        <v>13</v>
      </c>
      <c r="D12" s="37" t="s">
        <v>170</v>
      </c>
      <c r="E12" s="23" t="s">
        <v>378</v>
      </c>
      <c r="F12" s="31">
        <v>172</v>
      </c>
      <c r="G12" s="31">
        <v>65000</v>
      </c>
      <c r="H12" s="31">
        <f>Khach_le[[#This Row],[ĐƠN GIÁ]]*Khach_le[[#This Row],[SỐ LƯỢNG]]</f>
        <v>11180000</v>
      </c>
      <c r="I12" s="31">
        <f>Khach_le[[#This Row],[THÀNH TIỀN]]</f>
        <v>11180000</v>
      </c>
      <c r="J12" s="31">
        <f>J11+Khach_le[[#This Row],[THÀNH TIỀN]]-Khach_le[[#This Row],[THANH TOÁN]]</f>
        <v>0</v>
      </c>
      <c r="K12" s="24"/>
    </row>
    <row r="13" spans="1:16" x14ac:dyDescent="0.25">
      <c r="A13" s="22">
        <v>7805</v>
      </c>
      <c r="B13" s="29">
        <v>46084</v>
      </c>
      <c r="C13" s="23" t="s">
        <v>13</v>
      </c>
      <c r="D13" s="37" t="s">
        <v>170</v>
      </c>
      <c r="E13" s="23" t="s">
        <v>379</v>
      </c>
      <c r="F13" s="31">
        <v>90</v>
      </c>
      <c r="G13" s="31">
        <v>65000</v>
      </c>
      <c r="H13" s="31">
        <f>Khach_le[[#This Row],[ĐƠN GIÁ]]*Khach_le[[#This Row],[SỐ LƯỢNG]]</f>
        <v>5850000</v>
      </c>
      <c r="I13" s="31">
        <f>Khach_le[[#This Row],[THÀNH TIỀN]]</f>
        <v>5850000</v>
      </c>
      <c r="J13" s="31">
        <f>J12+Khach_le[[#This Row],[THÀNH TIỀN]]-Khach_le[[#This Row],[THANH TOÁN]]</f>
        <v>0</v>
      </c>
      <c r="K13" s="24"/>
    </row>
    <row r="14" spans="1:16" x14ac:dyDescent="0.25">
      <c r="A14" s="22">
        <v>7852</v>
      </c>
      <c r="B14" s="29">
        <v>46085</v>
      </c>
      <c r="C14" s="23" t="s">
        <v>13</v>
      </c>
      <c r="D14" s="37" t="s">
        <v>17</v>
      </c>
      <c r="E14" s="23" t="s">
        <v>46</v>
      </c>
      <c r="F14" s="31">
        <v>55</v>
      </c>
      <c r="G14" s="31">
        <v>62000</v>
      </c>
      <c r="H14" s="31">
        <f>Khach_le[[#This Row],[ĐƠN GIÁ]]*Khach_le[[#This Row],[SỐ LƯỢNG]]</f>
        <v>3410000</v>
      </c>
      <c r="I14" s="31">
        <f>Khach_le[[#This Row],[THÀNH TIỀN]]</f>
        <v>3410000</v>
      </c>
      <c r="J14" s="31">
        <f>J13+Khach_le[[#This Row],[THÀNH TIỀN]]-Khach_le[[#This Row],[THANH TOÁN]]</f>
        <v>0</v>
      </c>
      <c r="K14" s="24"/>
      <c r="P14" s="35"/>
    </row>
    <row r="15" spans="1:16" x14ac:dyDescent="0.25">
      <c r="A15" s="25">
        <v>7908</v>
      </c>
      <c r="B15" s="30">
        <v>46087</v>
      </c>
      <c r="C15" s="26" t="s">
        <v>13</v>
      </c>
      <c r="D15" s="37" t="s">
        <v>54</v>
      </c>
      <c r="E15" s="26" t="s">
        <v>221</v>
      </c>
      <c r="F15" s="28">
        <v>76</v>
      </c>
      <c r="G15" s="31">
        <v>35000</v>
      </c>
      <c r="H15" s="28">
        <f>Khach_le[[#This Row],[ĐƠN GIÁ]]*Khach_le[[#This Row],[SỐ LƯỢNG]]</f>
        <v>2660000</v>
      </c>
      <c r="I15" s="28">
        <f>Khach_le[[#This Row],[THÀNH TIỀN]]</f>
        <v>2660000</v>
      </c>
      <c r="J15" s="31">
        <f>J14+Khach_le[[#This Row],[THÀNH TIỀN]]-Khach_le[[#This Row],[THANH TOÁN]]</f>
        <v>0</v>
      </c>
      <c r="K15" s="27"/>
    </row>
    <row r="16" spans="1:16" x14ac:dyDescent="0.25">
      <c r="A16" s="25">
        <v>7908</v>
      </c>
      <c r="B16" s="30">
        <v>46087</v>
      </c>
      <c r="C16" s="26" t="s">
        <v>13</v>
      </c>
      <c r="D16" s="37" t="s">
        <v>54</v>
      </c>
      <c r="E16" s="23" t="s">
        <v>380</v>
      </c>
      <c r="F16" s="31">
        <v>36</v>
      </c>
      <c r="G16" s="31">
        <v>35000</v>
      </c>
      <c r="H16" s="31">
        <f>Khach_le[[#This Row],[ĐƠN GIÁ]]*Khach_le[[#This Row],[SỐ LƯỢNG]]</f>
        <v>1260000</v>
      </c>
      <c r="I16" s="31">
        <f>Khach_le[[#This Row],[THÀNH TIỀN]]</f>
        <v>1260000</v>
      </c>
      <c r="J16" s="31">
        <f>J15+Khach_le[[#This Row],[THÀNH TIỀN]]-Khach_le[[#This Row],[THANH TOÁN]]</f>
        <v>0</v>
      </c>
      <c r="K16" s="24"/>
    </row>
    <row r="17" spans="1:11" x14ac:dyDescent="0.25">
      <c r="A17" s="25">
        <v>7933</v>
      </c>
      <c r="B17" s="30">
        <v>46088</v>
      </c>
      <c r="C17" s="26" t="s">
        <v>13</v>
      </c>
      <c r="D17" s="38" t="s">
        <v>68</v>
      </c>
      <c r="E17" s="26" t="s">
        <v>381</v>
      </c>
      <c r="F17" s="28">
        <v>30</v>
      </c>
      <c r="G17" s="28">
        <v>47000</v>
      </c>
      <c r="H17" s="28">
        <f>Khach_le[[#This Row],[ĐƠN GIÁ]]*Khach_le[[#This Row],[SỐ LƯỢNG]]</f>
        <v>1410000</v>
      </c>
      <c r="I17" s="28">
        <f>Khach_le[[#This Row],[THÀNH TIỀN]]</f>
        <v>1410000</v>
      </c>
      <c r="J17" s="28">
        <f>J16+Khach_le[[#This Row],[THÀNH TIỀN]]-Khach_le[[#This Row],[THANH TOÁN]]</f>
        <v>0</v>
      </c>
      <c r="K17" s="27" t="s">
        <v>382</v>
      </c>
    </row>
    <row r="18" spans="1:11" x14ac:dyDescent="0.25">
      <c r="A18" s="25">
        <v>7936</v>
      </c>
      <c r="B18" s="30">
        <v>46088</v>
      </c>
      <c r="C18" s="26" t="s">
        <v>13</v>
      </c>
      <c r="D18" s="38" t="s">
        <v>50</v>
      </c>
      <c r="E18" s="26" t="s">
        <v>383</v>
      </c>
      <c r="F18" s="28">
        <v>46</v>
      </c>
      <c r="G18" s="28">
        <v>60000</v>
      </c>
      <c r="H18" s="28">
        <f>Khach_le[[#This Row],[ĐƠN GIÁ]]*Khach_le[[#This Row],[SỐ LƯỢNG]]</f>
        <v>2760000</v>
      </c>
      <c r="I18" s="28">
        <f>Khach_le[[#This Row],[THÀNH TIỀN]]</f>
        <v>2760000</v>
      </c>
      <c r="J18" s="28">
        <f>J17+Khach_le[[#This Row],[THÀNH TIỀN]]-Khach_le[[#This Row],[THANH TOÁN]]</f>
        <v>0</v>
      </c>
      <c r="K18" s="27"/>
    </row>
    <row r="19" spans="1:11" x14ac:dyDescent="0.25">
      <c r="A19" s="25">
        <v>8166</v>
      </c>
      <c r="B19" s="30">
        <v>46098</v>
      </c>
      <c r="C19" s="26" t="s">
        <v>13</v>
      </c>
      <c r="D19" s="38" t="s">
        <v>54</v>
      </c>
      <c r="E19" s="26" t="s">
        <v>117</v>
      </c>
      <c r="F19" s="28">
        <v>42</v>
      </c>
      <c r="G19" s="28">
        <v>38000</v>
      </c>
      <c r="H19" s="28">
        <f>Khach_le[[#This Row],[ĐƠN GIÁ]]*Khach_le[[#This Row],[SỐ LƯỢNG]]</f>
        <v>1596000</v>
      </c>
      <c r="I19" s="28">
        <f>Khach_le[[#This Row],[THÀNH TIỀN]]</f>
        <v>1596000</v>
      </c>
      <c r="J19" s="28">
        <f>J18+Khach_le[[#This Row],[THÀNH TIỀN]]-Khach_le[[#This Row],[THANH TOÁN]]</f>
        <v>0</v>
      </c>
      <c r="K19" s="27"/>
    </row>
    <row r="20" spans="1:11" x14ac:dyDescent="0.25">
      <c r="A20" s="25">
        <v>8219</v>
      </c>
      <c r="B20" s="30">
        <v>46104</v>
      </c>
      <c r="C20" s="26" t="s">
        <v>13</v>
      </c>
      <c r="D20" s="38" t="s">
        <v>50</v>
      </c>
      <c r="E20" s="26" t="s">
        <v>384</v>
      </c>
      <c r="F20" s="28">
        <v>48</v>
      </c>
      <c r="G20" s="28">
        <v>65000</v>
      </c>
      <c r="H20" s="28">
        <f>Khach_le[[#This Row],[ĐƠN GIÁ]]*Khach_le[[#This Row],[SỐ LƯỢNG]]</f>
        <v>3120000</v>
      </c>
      <c r="I20" s="28">
        <f>Khach_le[[#This Row],[THÀNH TIỀN]]</f>
        <v>3120000</v>
      </c>
      <c r="J20" s="28">
        <f>J19+Khach_le[[#This Row],[THÀNH TIỀN]]-Khach_le[[#This Row],[THANH TOÁN]]</f>
        <v>0</v>
      </c>
      <c r="K20" s="27" t="s">
        <v>385</v>
      </c>
    </row>
    <row r="21" spans="1:11" x14ac:dyDescent="0.25">
      <c r="A21" s="25">
        <v>8237</v>
      </c>
      <c r="B21" s="30">
        <v>46105</v>
      </c>
      <c r="C21" s="26" t="s">
        <v>13</v>
      </c>
      <c r="D21" s="38" t="s">
        <v>43</v>
      </c>
      <c r="E21" s="26" t="s">
        <v>40</v>
      </c>
      <c r="F21" s="28">
        <v>136</v>
      </c>
      <c r="G21" s="28">
        <v>65000</v>
      </c>
      <c r="H21" s="28">
        <f>Khach_le[[#This Row],[ĐƠN GIÁ]]*Khach_le[[#This Row],[SỐ LƯỢNG]]</f>
        <v>8840000</v>
      </c>
      <c r="I21" s="28">
        <f>Khach_le[[#This Row],[THÀNH TIỀN]]</f>
        <v>8840000</v>
      </c>
      <c r="J21" s="28">
        <f>J20+Khach_le[[#This Row],[THÀNH TIỀN]]-Khach_le[[#This Row],[THANH TOÁN]]</f>
        <v>0</v>
      </c>
      <c r="K21" s="27"/>
    </row>
    <row r="22" spans="1:11" x14ac:dyDescent="0.25">
      <c r="A22" s="25">
        <v>8335</v>
      </c>
      <c r="B22" s="30">
        <v>46106</v>
      </c>
      <c r="C22" s="26" t="s">
        <v>13</v>
      </c>
      <c r="D22" s="38" t="s">
        <v>317</v>
      </c>
      <c r="E22" s="26" t="s">
        <v>288</v>
      </c>
      <c r="F22" s="28">
        <v>96</v>
      </c>
      <c r="G22" s="28">
        <v>67000</v>
      </c>
      <c r="H22" s="28">
        <f>Khach_le[[#This Row],[ĐƠN GIÁ]]*Khach_le[[#This Row],[SỐ LƯỢNG]]</f>
        <v>6432000</v>
      </c>
      <c r="I22" s="28">
        <f>Khach_le[[#This Row],[THÀNH TIỀN]]</f>
        <v>6432000</v>
      </c>
      <c r="J22" s="28">
        <f>J21+Khach_le[[#This Row],[THÀNH TIỀN]]-Khach_le[[#This Row],[THANH TOÁN]]</f>
        <v>0</v>
      </c>
      <c r="K22" s="27" t="s">
        <v>385</v>
      </c>
    </row>
    <row r="23" spans="1:11" x14ac:dyDescent="0.25">
      <c r="A23" s="25">
        <v>8337</v>
      </c>
      <c r="B23" s="30">
        <v>46107</v>
      </c>
      <c r="C23" s="26" t="s">
        <v>13</v>
      </c>
      <c r="D23" s="38" t="s">
        <v>26</v>
      </c>
      <c r="E23" s="26" t="s">
        <v>386</v>
      </c>
      <c r="F23" s="28">
        <v>688</v>
      </c>
      <c r="G23" s="28">
        <v>34000</v>
      </c>
      <c r="H23" s="28">
        <f>Khach_le[[#This Row],[ĐƠN GIÁ]]*Khach_le[[#This Row],[SỐ LƯỢNG]]</f>
        <v>23392000</v>
      </c>
      <c r="I23" s="28">
        <f>Khach_le[[#This Row],[THÀNH TIỀN]]</f>
        <v>23392000</v>
      </c>
      <c r="J23" s="28">
        <f>J22+Khach_le[[#This Row],[THÀNH TIỀN]]-Khach_le[[#This Row],[THANH TOÁN]]</f>
        <v>0</v>
      </c>
      <c r="K23" s="27"/>
    </row>
    <row r="24" spans="1:11" x14ac:dyDescent="0.25">
      <c r="A24" s="25">
        <v>8337</v>
      </c>
      <c r="B24" s="30">
        <v>46107</v>
      </c>
      <c r="C24" s="26" t="s">
        <v>13</v>
      </c>
      <c r="D24" s="38" t="s">
        <v>26</v>
      </c>
      <c r="E24" s="23" t="s">
        <v>387</v>
      </c>
      <c r="F24" s="31">
        <v>490</v>
      </c>
      <c r="G24" s="31">
        <v>34000</v>
      </c>
      <c r="H24" s="31">
        <f>Khach_le[[#This Row],[ĐƠN GIÁ]]*Khach_le[[#This Row],[SỐ LƯỢNG]]</f>
        <v>16660000</v>
      </c>
      <c r="I24" s="31">
        <f>Khach_le[[#This Row],[THÀNH TIỀN]]</f>
        <v>16660000</v>
      </c>
      <c r="J24" s="31">
        <f>J23+Khach_le[[#This Row],[THÀNH TIỀN]]-Khach_le[[#This Row],[THANH TOÁN]]</f>
        <v>0</v>
      </c>
      <c r="K24" s="24" t="s">
        <v>388</v>
      </c>
    </row>
    <row r="25" spans="1:11" x14ac:dyDescent="0.25">
      <c r="A25" s="25">
        <v>8347</v>
      </c>
      <c r="B25" s="30">
        <v>46107</v>
      </c>
      <c r="C25" s="26" t="s">
        <v>13</v>
      </c>
      <c r="D25" s="38" t="s">
        <v>17</v>
      </c>
      <c r="E25" s="26" t="s">
        <v>30</v>
      </c>
      <c r="F25" s="28">
        <v>1174</v>
      </c>
      <c r="G25" s="28">
        <v>60000</v>
      </c>
      <c r="H25" s="28">
        <f>Khach_le[[#This Row],[ĐƠN GIÁ]]*Khach_le[[#This Row],[SỐ LƯỢNG]]</f>
        <v>70440000</v>
      </c>
      <c r="I25" s="28">
        <f>Khach_le[[#This Row],[THÀNH TIỀN]]</f>
        <v>70440000</v>
      </c>
      <c r="J25" s="28">
        <f>J24+Khach_le[[#This Row],[THÀNH TIỀN]]-Khach_le[[#This Row],[THANH TOÁN]]</f>
        <v>0</v>
      </c>
      <c r="K25" s="27" t="s">
        <v>389</v>
      </c>
    </row>
    <row r="26" spans="1:11" x14ac:dyDescent="0.25">
      <c r="A26" s="25">
        <v>8347</v>
      </c>
      <c r="B26" s="30">
        <v>46107</v>
      </c>
      <c r="C26" s="26" t="s">
        <v>13</v>
      </c>
      <c r="D26" s="38" t="s">
        <v>17</v>
      </c>
      <c r="E26" s="23" t="s">
        <v>127</v>
      </c>
      <c r="F26" s="31">
        <v>1030</v>
      </c>
      <c r="G26" s="31">
        <v>60000</v>
      </c>
      <c r="H26" s="31">
        <f>Khach_le[[#This Row],[ĐƠN GIÁ]]*Khach_le[[#This Row],[SỐ LƯỢNG]]</f>
        <v>61800000</v>
      </c>
      <c r="I26" s="31">
        <f>Khach_le[[#This Row],[THÀNH TIỀN]]</f>
        <v>61800000</v>
      </c>
      <c r="J26" s="31">
        <f>J25+Khach_le[[#This Row],[THÀNH TIỀN]]-Khach_le[[#This Row],[THANH TOÁN]]</f>
        <v>0</v>
      </c>
      <c r="K26" s="27" t="s">
        <v>389</v>
      </c>
    </row>
    <row r="27" spans="1:11" x14ac:dyDescent="0.25">
      <c r="A27" s="25">
        <v>8361</v>
      </c>
      <c r="B27" s="30">
        <v>46107</v>
      </c>
      <c r="C27" s="26" t="s">
        <v>13</v>
      </c>
      <c r="D27" s="38" t="s">
        <v>109</v>
      </c>
      <c r="E27" s="26" t="s">
        <v>390</v>
      </c>
      <c r="F27" s="28">
        <v>80</v>
      </c>
      <c r="G27" s="28">
        <v>60000</v>
      </c>
      <c r="H27" s="28">
        <f>Khach_le[[#This Row],[ĐƠN GIÁ]]*Khach_le[[#This Row],[SỐ LƯỢNG]]</f>
        <v>4800000</v>
      </c>
      <c r="I27" s="28">
        <f>Khach_le[[#This Row],[THÀNH TIỀN]]</f>
        <v>4800000</v>
      </c>
      <c r="J27" s="28">
        <f>J26+Khach_le[[#This Row],[THÀNH TIỀN]]-Khach_le[[#This Row],[THANH TOÁN]]</f>
        <v>0</v>
      </c>
      <c r="K27" s="27"/>
    </row>
    <row r="28" spans="1:11" x14ac:dyDescent="0.25">
      <c r="A28" s="25">
        <v>8387</v>
      </c>
      <c r="B28" s="30">
        <v>46109</v>
      </c>
      <c r="C28" s="26" t="s">
        <v>13</v>
      </c>
      <c r="D28" s="38" t="s">
        <v>54</v>
      </c>
      <c r="E28" s="26" t="s">
        <v>391</v>
      </c>
      <c r="F28" s="28">
        <v>178</v>
      </c>
      <c r="G28" s="28">
        <v>38000</v>
      </c>
      <c r="H28" s="28">
        <f>Khach_le[[#This Row],[ĐƠN GIÁ]]*Khach_le[[#This Row],[SỐ LƯỢNG]]</f>
        <v>6764000</v>
      </c>
      <c r="I28" s="28">
        <f>Khach_le[[#This Row],[THÀNH TIỀN]]</f>
        <v>6764000</v>
      </c>
      <c r="J28" s="28">
        <f>J27+Khach_le[[#This Row],[THÀNH TIỀN]]-Khach_le[[#This Row],[THANH TOÁN]]</f>
        <v>0</v>
      </c>
      <c r="K28" s="27"/>
    </row>
    <row r="29" spans="1:11" x14ac:dyDescent="0.25">
      <c r="A29" s="25">
        <v>8403</v>
      </c>
      <c r="B29" s="30">
        <v>46109</v>
      </c>
      <c r="C29" s="26" t="s">
        <v>13</v>
      </c>
      <c r="D29" s="38" t="s">
        <v>50</v>
      </c>
      <c r="E29" s="26" t="s">
        <v>379</v>
      </c>
      <c r="F29" s="28">
        <v>46</v>
      </c>
      <c r="G29" s="28">
        <v>65000</v>
      </c>
      <c r="H29" s="28">
        <f>Khach_le[[#This Row],[ĐƠN GIÁ]]*Khach_le[[#This Row],[SỐ LƯỢNG]]</f>
        <v>2990000</v>
      </c>
      <c r="I29" s="28">
        <f>Khach_le[[#This Row],[THÀNH TIỀN]]</f>
        <v>2990000</v>
      </c>
      <c r="J29" s="28">
        <f>J28+Khach_le[[#This Row],[THÀNH TIỀN]]-Khach_le[[#This Row],[THANH TOÁN]]</f>
        <v>0</v>
      </c>
      <c r="K29" s="27"/>
    </row>
    <row r="30" spans="1:11" x14ac:dyDescent="0.25">
      <c r="A30" s="25">
        <v>8410</v>
      </c>
      <c r="B30" s="30">
        <v>46111</v>
      </c>
      <c r="C30" s="26" t="s">
        <v>13</v>
      </c>
      <c r="D30" s="38" t="s">
        <v>50</v>
      </c>
      <c r="E30" s="26" t="s">
        <v>392</v>
      </c>
      <c r="F30" s="28">
        <v>36</v>
      </c>
      <c r="G30" s="28">
        <v>65000</v>
      </c>
      <c r="H30" s="28">
        <f>Khach_le[[#This Row],[ĐƠN GIÁ]]*Khach_le[[#This Row],[SỐ LƯỢNG]]</f>
        <v>2340000</v>
      </c>
      <c r="I30" s="28">
        <f>Khach_le[[#This Row],[THÀNH TIỀN]]</f>
        <v>2340000</v>
      </c>
      <c r="J30" s="28">
        <f>J29+Khach_le[[#This Row],[THÀNH TIỀN]]-Khach_le[[#This Row],[THANH TOÁN]]</f>
        <v>0</v>
      </c>
      <c r="K30" s="27"/>
    </row>
    <row r="31" spans="1:11" x14ac:dyDescent="0.25">
      <c r="A31" s="25">
        <v>8432</v>
      </c>
      <c r="B31" s="30">
        <v>46112</v>
      </c>
      <c r="C31" s="26" t="s">
        <v>13</v>
      </c>
      <c r="D31" s="38" t="s">
        <v>26</v>
      </c>
      <c r="E31" s="26" t="s">
        <v>393</v>
      </c>
      <c r="F31" s="28">
        <v>426</v>
      </c>
      <c r="G31" s="28">
        <v>34000</v>
      </c>
      <c r="H31" s="28">
        <f>Khach_le[[#This Row],[ĐƠN GIÁ]]*Khach_le[[#This Row],[SỐ LƯỢNG]]</f>
        <v>14484000</v>
      </c>
      <c r="I31" s="28">
        <f>Khach_le[[#This Row],[THÀNH TIỀN]]</f>
        <v>14484000</v>
      </c>
      <c r="J31" s="28">
        <f>J30+Khach_le[[#This Row],[THÀNH TIỀN]]-Khach_le[[#This Row],[THANH TOÁN]]</f>
        <v>0</v>
      </c>
      <c r="K31" s="27" t="s">
        <v>394</v>
      </c>
    </row>
    <row r="32" spans="1:11" x14ac:dyDescent="0.25">
      <c r="A32" s="25">
        <v>8451</v>
      </c>
      <c r="B32" s="30">
        <v>46112</v>
      </c>
      <c r="C32" s="26" t="s">
        <v>13</v>
      </c>
      <c r="D32" s="38" t="s">
        <v>103</v>
      </c>
      <c r="E32" s="26" t="s">
        <v>41</v>
      </c>
      <c r="F32" s="28">
        <v>42</v>
      </c>
      <c r="G32" s="28">
        <v>38000</v>
      </c>
      <c r="H32" s="28">
        <f>Khach_le[[#This Row],[ĐƠN GIÁ]]*Khach_le[[#This Row],[SỐ LƯỢNG]]</f>
        <v>1596000</v>
      </c>
      <c r="I32" s="28">
        <f>Khach_le[[#This Row],[THÀNH TIỀN]]</f>
        <v>1596000</v>
      </c>
      <c r="J32" s="28">
        <f>J31+Khach_le[[#This Row],[THÀNH TIỀN]]-Khach_le[[#This Row],[THANH TOÁN]]</f>
        <v>0</v>
      </c>
      <c r="K32" s="27"/>
    </row>
    <row r="33" spans="1:11" x14ac:dyDescent="0.25">
      <c r="A33" s="22">
        <v>8480</v>
      </c>
      <c r="B33" s="29">
        <v>46113</v>
      </c>
      <c r="C33" s="23" t="s">
        <v>13</v>
      </c>
      <c r="D33" s="37" t="s">
        <v>54</v>
      </c>
      <c r="E33" s="23" t="s">
        <v>116</v>
      </c>
      <c r="F33" s="31">
        <v>14</v>
      </c>
      <c r="G33" s="31">
        <v>35000</v>
      </c>
      <c r="H33" s="31">
        <f>Khach_le[[#This Row],[ĐƠN GIÁ]]*Khach_le[[#This Row],[SỐ LƯỢNG]]</f>
        <v>490000</v>
      </c>
      <c r="I33" s="31">
        <f>Khach_le[[#This Row],[THÀNH TIỀN]]</f>
        <v>490000</v>
      </c>
      <c r="J33" s="31">
        <f>J32+Khach_le[[#This Row],[THÀNH TIỀN]]-Khach_le[[#This Row],[THANH TOÁN]]</f>
        <v>0</v>
      </c>
      <c r="K33" s="24"/>
    </row>
    <row r="34" spans="1:11" x14ac:dyDescent="0.25">
      <c r="A34" s="22">
        <v>8501</v>
      </c>
      <c r="B34" s="29">
        <v>46114</v>
      </c>
      <c r="C34" s="23" t="s">
        <v>13</v>
      </c>
      <c r="D34" s="37" t="s">
        <v>103</v>
      </c>
      <c r="E34" s="23" t="s">
        <v>395</v>
      </c>
      <c r="F34" s="31">
        <v>150</v>
      </c>
      <c r="G34" s="31">
        <v>38500</v>
      </c>
      <c r="H34" s="31">
        <f>Khach_le[[#This Row],[ĐƠN GIÁ]]*Khach_le[[#This Row],[SỐ LƯỢNG]]</f>
        <v>5775000</v>
      </c>
      <c r="I34" s="31">
        <f>Khach_le[[#This Row],[THÀNH TIỀN]]</f>
        <v>5775000</v>
      </c>
      <c r="J34" s="31">
        <f>J33+Khach_le[[#This Row],[THÀNH TIỀN]]-Khach_le[[#This Row],[THANH TOÁN]]</f>
        <v>0</v>
      </c>
      <c r="K34" s="24" t="s">
        <v>396</v>
      </c>
    </row>
    <row r="35" spans="1:11" x14ac:dyDescent="0.25">
      <c r="A35" s="22">
        <v>8517</v>
      </c>
      <c r="B35" s="29">
        <v>46114</v>
      </c>
      <c r="C35" s="23" t="s">
        <v>13</v>
      </c>
      <c r="D35" s="37" t="s">
        <v>195</v>
      </c>
      <c r="E35" s="23" t="s">
        <v>397</v>
      </c>
      <c r="F35" s="31">
        <v>148</v>
      </c>
      <c r="G35" s="31">
        <v>37000</v>
      </c>
      <c r="H35" s="31">
        <f>Khach_le[[#This Row],[ĐƠN GIÁ]]*Khach_le[[#This Row],[SỐ LƯỢNG]]</f>
        <v>5476000</v>
      </c>
      <c r="I35" s="31">
        <f>Khach_le[[#This Row],[THÀNH TIỀN]]</f>
        <v>5476000</v>
      </c>
      <c r="J35" s="31">
        <f>J34+Khach_le[[#This Row],[THÀNH TIỀN]]-Khach_le[[#This Row],[THANH TOÁN]]</f>
        <v>0</v>
      </c>
      <c r="K35" s="24" t="s">
        <v>398</v>
      </c>
    </row>
    <row r="36" spans="1:11" x14ac:dyDescent="0.25">
      <c r="A36" s="22">
        <v>8567</v>
      </c>
      <c r="B36" s="29">
        <v>46116</v>
      </c>
      <c r="C36" s="23" t="s">
        <v>13</v>
      </c>
      <c r="D36" s="37" t="s">
        <v>27</v>
      </c>
      <c r="E36" s="23" t="s">
        <v>399</v>
      </c>
      <c r="F36" s="31">
        <v>30</v>
      </c>
      <c r="G36" s="31">
        <v>70000</v>
      </c>
      <c r="H36" s="31">
        <f>Khach_le[[#This Row],[ĐƠN GIÁ]]*Khach_le[[#This Row],[SỐ LƯỢNG]]</f>
        <v>2100000</v>
      </c>
      <c r="I36" s="31">
        <f>Khach_le[[#This Row],[THÀNH TIỀN]]</f>
        <v>2100000</v>
      </c>
      <c r="J36" s="31">
        <f>J35+Khach_le[[#This Row],[THÀNH TIỀN]]-Khach_le[[#This Row],[THANH TOÁN]]</f>
        <v>0</v>
      </c>
      <c r="K36" s="24"/>
    </row>
    <row r="37" spans="1:11" x14ac:dyDescent="0.25">
      <c r="A37" s="22">
        <v>8608</v>
      </c>
      <c r="B37" s="29">
        <v>46119</v>
      </c>
      <c r="C37" s="23" t="s">
        <v>13</v>
      </c>
      <c r="D37" s="37" t="s">
        <v>277</v>
      </c>
      <c r="E37" s="23" t="s">
        <v>400</v>
      </c>
      <c r="F37" s="31">
        <v>4</v>
      </c>
      <c r="G37" s="31">
        <v>60000</v>
      </c>
      <c r="H37" s="31">
        <f>Khach_le[[#This Row],[ĐƠN GIÁ]]*Khach_le[[#This Row],[SỐ LƯỢNG]]</f>
        <v>240000</v>
      </c>
      <c r="I37" s="31">
        <f>Khach_le[[#This Row],[THÀNH TIỀN]]</f>
        <v>240000</v>
      </c>
      <c r="J37" s="31">
        <f>J36+Khach_le[[#This Row],[THÀNH TIỀN]]-Khach_le[[#This Row],[THANH TOÁN]]</f>
        <v>0</v>
      </c>
      <c r="K37" s="24"/>
    </row>
    <row r="38" spans="1:11" x14ac:dyDescent="0.25">
      <c r="A38" s="22">
        <v>8616</v>
      </c>
      <c r="B38" s="29">
        <v>46119</v>
      </c>
      <c r="C38" s="23" t="s">
        <v>13</v>
      </c>
      <c r="D38" s="37" t="s">
        <v>50</v>
      </c>
      <c r="E38" s="23" t="s">
        <v>401</v>
      </c>
      <c r="F38" s="31">
        <v>59</v>
      </c>
      <c r="G38" s="31">
        <v>65000</v>
      </c>
      <c r="H38" s="31">
        <f>Khach_le[[#This Row],[ĐƠN GIÁ]]*Khach_le[[#This Row],[SỐ LƯỢNG]]</f>
        <v>3835000</v>
      </c>
      <c r="I38" s="31">
        <f>Khach_le[[#This Row],[THÀNH TIỀN]]</f>
        <v>3835000</v>
      </c>
      <c r="J38" s="31">
        <f>J37+Khach_le[[#This Row],[THÀNH TIỀN]]-Khach_le[[#This Row],[THANH TOÁN]]</f>
        <v>0</v>
      </c>
      <c r="K38" s="24" t="s">
        <v>402</v>
      </c>
    </row>
    <row r="39" spans="1:11" x14ac:dyDescent="0.25">
      <c r="A39" s="22">
        <v>8618</v>
      </c>
      <c r="B39" s="29">
        <v>46119</v>
      </c>
      <c r="C39" s="23" t="s">
        <v>13</v>
      </c>
      <c r="D39" s="37" t="s">
        <v>26</v>
      </c>
      <c r="E39" s="23" t="s">
        <v>41</v>
      </c>
      <c r="F39" s="31">
        <v>74</v>
      </c>
      <c r="G39" s="31">
        <v>38000</v>
      </c>
      <c r="H39" s="31">
        <f>Khach_le[[#This Row],[ĐƠN GIÁ]]*Khach_le[[#This Row],[SỐ LƯỢNG]]</f>
        <v>2812000</v>
      </c>
      <c r="I39" s="31">
        <f>Khach_le[[#This Row],[THÀNH TIỀN]]</f>
        <v>2812000</v>
      </c>
      <c r="J39" s="31">
        <f>J38+Khach_le[[#This Row],[THÀNH TIỀN]]-Khach_le[[#This Row],[THANH TOÁN]]</f>
        <v>0</v>
      </c>
      <c r="K39" s="24"/>
    </row>
    <row r="40" spans="1:11" x14ac:dyDescent="0.25">
      <c r="A40" s="22">
        <v>8747</v>
      </c>
      <c r="B40" s="29">
        <v>46125</v>
      </c>
      <c r="C40" s="23" t="s">
        <v>13</v>
      </c>
      <c r="D40" s="37" t="s">
        <v>54</v>
      </c>
      <c r="E40" s="23" t="s">
        <v>405</v>
      </c>
      <c r="F40" s="31">
        <v>222</v>
      </c>
      <c r="G40" s="31">
        <v>33000</v>
      </c>
      <c r="H40" s="31">
        <f>Khach_le[[#This Row],[ĐƠN GIÁ]]*Khach_le[[#This Row],[SỐ LƯỢNG]]</f>
        <v>7326000</v>
      </c>
      <c r="I40" s="31">
        <f>Khach_le[[#This Row],[THÀNH TIỀN]]</f>
        <v>7326000</v>
      </c>
      <c r="J40" s="31">
        <f>J39+Khach_le[[#This Row],[THÀNH TIỀN]]-Khach_le[[#This Row],[THANH TOÁN]]</f>
        <v>0</v>
      </c>
      <c r="K40" s="24" t="s">
        <v>406</v>
      </c>
    </row>
    <row r="41" spans="1:11" x14ac:dyDescent="0.25">
      <c r="A41" s="22">
        <v>8747</v>
      </c>
      <c r="B41" s="29">
        <v>46125</v>
      </c>
      <c r="C41" s="23" t="s">
        <v>13</v>
      </c>
      <c r="D41" s="37" t="s">
        <v>54</v>
      </c>
      <c r="E41" s="23" t="s">
        <v>407</v>
      </c>
      <c r="F41" s="31">
        <v>462</v>
      </c>
      <c r="G41" s="31">
        <v>34000</v>
      </c>
      <c r="H41" s="31">
        <f>Khach_le[[#This Row],[ĐƠN GIÁ]]*Khach_le[[#This Row],[SỐ LƯỢNG]]</f>
        <v>15708000</v>
      </c>
      <c r="I41" s="31">
        <f>Khach_le[[#This Row],[THÀNH TIỀN]]</f>
        <v>15708000</v>
      </c>
      <c r="J41" s="31">
        <f>J40+Khach_le[[#This Row],[THÀNH TIỀN]]-Khach_le[[#This Row],[THANH TOÁN]]</f>
        <v>0</v>
      </c>
      <c r="K41" s="24" t="s">
        <v>406</v>
      </c>
    </row>
    <row r="42" spans="1:11" x14ac:dyDescent="0.25">
      <c r="A42" s="22">
        <v>8747</v>
      </c>
      <c r="B42" s="29">
        <v>46125</v>
      </c>
      <c r="C42" s="23" t="s">
        <v>13</v>
      </c>
      <c r="D42" s="37" t="s">
        <v>54</v>
      </c>
      <c r="E42" s="23" t="s">
        <v>408</v>
      </c>
      <c r="F42" s="31">
        <v>356</v>
      </c>
      <c r="G42" s="31">
        <v>34000</v>
      </c>
      <c r="H42" s="31">
        <f>Khach_le[[#This Row],[ĐƠN GIÁ]]*Khach_le[[#This Row],[SỐ LƯỢNG]]</f>
        <v>12104000</v>
      </c>
      <c r="I42" s="31">
        <f>Khach_le[[#This Row],[THÀNH TIỀN]]</f>
        <v>12104000</v>
      </c>
      <c r="J42" s="31">
        <f>J41+Khach_le[[#This Row],[THÀNH TIỀN]]-Khach_le[[#This Row],[THANH TOÁN]]</f>
        <v>0</v>
      </c>
      <c r="K42" s="24" t="s">
        <v>406</v>
      </c>
    </row>
    <row r="43" spans="1:11" x14ac:dyDescent="0.25">
      <c r="A43" s="22">
        <v>8804</v>
      </c>
      <c r="B43" s="29">
        <v>46127</v>
      </c>
      <c r="C43" s="23" t="s">
        <v>13</v>
      </c>
      <c r="D43" s="37" t="s">
        <v>54</v>
      </c>
      <c r="E43" s="23" t="s">
        <v>409</v>
      </c>
      <c r="F43" s="31">
        <v>380</v>
      </c>
      <c r="G43" s="31">
        <v>33000</v>
      </c>
      <c r="H43" s="31">
        <f>Khach_le[[#This Row],[ĐƠN GIÁ]]*Khach_le[[#This Row],[SỐ LƯỢNG]]</f>
        <v>12540000</v>
      </c>
      <c r="I43" s="31">
        <f>Khach_le[[#This Row],[THÀNH TIỀN]]</f>
        <v>12540000</v>
      </c>
      <c r="J43" s="31">
        <f>J42+Khach_le[[#This Row],[THÀNH TIỀN]]-Khach_le[[#This Row],[THANH TOÁN]]</f>
        <v>0</v>
      </c>
      <c r="K43" s="24"/>
    </row>
    <row r="44" spans="1:11" x14ac:dyDescent="0.25">
      <c r="A44" s="22">
        <v>8887</v>
      </c>
      <c r="B44" s="29">
        <v>46130</v>
      </c>
      <c r="C44" s="23" t="s">
        <v>13</v>
      </c>
      <c r="D44" s="37" t="s">
        <v>17</v>
      </c>
      <c r="E44" s="23" t="s">
        <v>78</v>
      </c>
      <c r="F44" s="31">
        <v>106</v>
      </c>
      <c r="G44" s="31">
        <v>66000</v>
      </c>
      <c r="H44" s="31">
        <f>Khach_le[[#This Row],[ĐƠN GIÁ]]*Khach_le[[#This Row],[SỐ LƯỢNG]]</f>
        <v>6996000</v>
      </c>
      <c r="I44" s="31">
        <f>Khach_le[[#This Row],[THÀNH TIỀN]]</f>
        <v>6996000</v>
      </c>
      <c r="J44" s="31">
        <f>J43+Khach_le[[#This Row],[THÀNH TIỀN]]-Khach_le[[#This Row],[THANH TOÁN]]</f>
        <v>0</v>
      </c>
      <c r="K44" s="24" t="s">
        <v>410</v>
      </c>
    </row>
    <row r="45" spans="1:11" x14ac:dyDescent="0.25">
      <c r="A45" s="22">
        <v>8887</v>
      </c>
      <c r="B45" s="29">
        <v>46130</v>
      </c>
      <c r="C45" s="23" t="s">
        <v>13</v>
      </c>
      <c r="D45" s="37" t="s">
        <v>26</v>
      </c>
      <c r="E45" s="23" t="s">
        <v>41</v>
      </c>
      <c r="F45" s="31">
        <v>462</v>
      </c>
      <c r="G45" s="31">
        <v>35000</v>
      </c>
      <c r="H45" s="31">
        <f>Khach_le[[#This Row],[ĐƠN GIÁ]]*Khach_le[[#This Row],[SỐ LƯỢNG]]</f>
        <v>16170000</v>
      </c>
      <c r="I45" s="31">
        <f>Khach_le[[#This Row],[THÀNH TIỀN]]</f>
        <v>16170000</v>
      </c>
      <c r="J45" s="31">
        <f>J44+Khach_le[[#This Row],[THÀNH TIỀN]]-Khach_le[[#This Row],[THANH TOÁN]]</f>
        <v>0</v>
      </c>
      <c r="K45" s="24" t="s">
        <v>410</v>
      </c>
    </row>
    <row r="46" spans="1:11" x14ac:dyDescent="0.25">
      <c r="A46" s="22">
        <v>8892</v>
      </c>
      <c r="B46" s="29">
        <v>46130</v>
      </c>
      <c r="C46" s="23" t="s">
        <v>13</v>
      </c>
      <c r="D46" s="37" t="s">
        <v>27</v>
      </c>
      <c r="E46" s="23" t="s">
        <v>116</v>
      </c>
      <c r="F46" s="31">
        <v>44</v>
      </c>
      <c r="G46" s="31">
        <v>65000</v>
      </c>
      <c r="H46" s="31">
        <f>Khach_le[[#This Row],[ĐƠN GIÁ]]*Khach_le[[#This Row],[SỐ LƯỢNG]]</f>
        <v>2860000</v>
      </c>
      <c r="I46" s="31">
        <f>Khach_le[[#This Row],[THÀNH TIỀN]]</f>
        <v>2860000</v>
      </c>
      <c r="J46" s="31">
        <f>J45+Khach_le[[#This Row],[THÀNH TIỀN]]-Khach_le[[#This Row],[THANH TOÁN]]</f>
        <v>0</v>
      </c>
      <c r="K46" s="24"/>
    </row>
    <row r="47" spans="1:11" x14ac:dyDescent="0.25">
      <c r="A47" s="22">
        <v>8892</v>
      </c>
      <c r="B47" s="29">
        <v>46130</v>
      </c>
      <c r="C47" s="23" t="s">
        <v>13</v>
      </c>
      <c r="D47" s="37" t="s">
        <v>411</v>
      </c>
      <c r="E47" s="23" t="s">
        <v>288</v>
      </c>
      <c r="F47" s="31">
        <v>20</v>
      </c>
      <c r="G47" s="31">
        <v>40000</v>
      </c>
      <c r="H47" s="31">
        <f>Khach_le[[#This Row],[ĐƠN GIÁ]]*Khach_le[[#This Row],[SỐ LƯỢNG]]</f>
        <v>800000</v>
      </c>
      <c r="I47" s="31">
        <f>Khach_le[[#This Row],[THÀNH TIỀN]]</f>
        <v>800000</v>
      </c>
      <c r="J47" s="31">
        <f>J46+Khach_le[[#This Row],[THÀNH TIỀN]]-Khach_le[[#This Row],[THANH TOÁN]]</f>
        <v>0</v>
      </c>
      <c r="K47" s="24"/>
    </row>
    <row r="48" spans="1:11" x14ac:dyDescent="0.25">
      <c r="A48" s="22">
        <v>8906</v>
      </c>
      <c r="B48" s="29">
        <v>46132</v>
      </c>
      <c r="C48" s="23" t="s">
        <v>13</v>
      </c>
      <c r="D48" s="37" t="s">
        <v>27</v>
      </c>
      <c r="E48" s="23" t="s">
        <v>390</v>
      </c>
      <c r="F48" s="31">
        <v>56</v>
      </c>
      <c r="G48" s="31">
        <v>60000</v>
      </c>
      <c r="H48" s="31">
        <f>Khach_le[[#This Row],[ĐƠN GIÁ]]*Khach_le[[#This Row],[SỐ LƯỢNG]]</f>
        <v>3360000</v>
      </c>
      <c r="I48" s="31">
        <f>Khach_le[[#This Row],[THÀNH TIỀN]]</f>
        <v>3360000</v>
      </c>
      <c r="J48" s="31">
        <f>J47+Khach_le[[#This Row],[THÀNH TIỀN]]-Khach_le[[#This Row],[THANH TOÁN]]</f>
        <v>0</v>
      </c>
      <c r="K48" s="24"/>
    </row>
    <row r="49" spans="1:11" x14ac:dyDescent="0.25">
      <c r="A49" s="22">
        <v>8931</v>
      </c>
      <c r="B49" s="29">
        <v>46133</v>
      </c>
      <c r="C49" s="23" t="s">
        <v>13</v>
      </c>
      <c r="D49" s="37" t="s">
        <v>27</v>
      </c>
      <c r="E49" s="23" t="s">
        <v>835</v>
      </c>
      <c r="F49" s="31">
        <v>76</v>
      </c>
      <c r="G49" s="31">
        <v>60000</v>
      </c>
      <c r="H49" s="31">
        <f>Khach_le[[#This Row],[ĐƠN GIÁ]]*Khach_le[[#This Row],[SỐ LƯỢNG]]</f>
        <v>4560000</v>
      </c>
      <c r="I49" s="31">
        <f>Khach_le[[#This Row],[THÀNH TIỀN]]</f>
        <v>4560000</v>
      </c>
      <c r="J49" s="31">
        <f>J48+Khach_le[[#This Row],[THÀNH TIỀN]]-Khach_le[[#This Row],[THANH TOÁN]]</f>
        <v>0</v>
      </c>
      <c r="K49" s="24"/>
    </row>
    <row r="50" spans="1:11" x14ac:dyDescent="0.25">
      <c r="A50" s="22">
        <v>8970</v>
      </c>
      <c r="B50" s="29">
        <v>46135</v>
      </c>
      <c r="C50" s="23" t="s">
        <v>13</v>
      </c>
      <c r="D50" s="37" t="s">
        <v>854</v>
      </c>
      <c r="E50" s="23" t="s">
        <v>288</v>
      </c>
      <c r="F50" s="31">
        <v>216</v>
      </c>
      <c r="G50" s="31">
        <v>40000</v>
      </c>
      <c r="H50" s="31">
        <f>Khach_le[[#This Row],[ĐƠN GIÁ]]*Khach_le[[#This Row],[SỐ LƯỢNG]]</f>
        <v>8640000</v>
      </c>
      <c r="I50" s="31">
        <f>Khach_le[[#This Row],[THÀNH TIỀN]]</f>
        <v>8640000</v>
      </c>
      <c r="J50" s="31">
        <f>J49+Khach_le[[#This Row],[THÀNH TIỀN]]-Khach_le[[#This Row],[THANH TOÁN]]</f>
        <v>0</v>
      </c>
      <c r="K50" s="24"/>
    </row>
    <row r="51" spans="1:11" x14ac:dyDescent="0.25">
      <c r="A51" s="22">
        <v>9006</v>
      </c>
      <c r="B51" s="29">
        <v>46136</v>
      </c>
      <c r="C51" s="23" t="s">
        <v>13</v>
      </c>
      <c r="D51" s="37" t="s">
        <v>54</v>
      </c>
      <c r="E51" s="23" t="s">
        <v>116</v>
      </c>
      <c r="F51" s="31">
        <v>106</v>
      </c>
      <c r="G51" s="31">
        <v>38000</v>
      </c>
      <c r="H51" s="31">
        <f>Khach_le[[#This Row],[ĐƠN GIÁ]]*Khach_le[[#This Row],[SỐ LƯỢNG]]</f>
        <v>4028000</v>
      </c>
      <c r="I51" s="31">
        <f>Khach_le[[#This Row],[THÀNH TIỀN]]</f>
        <v>4028000</v>
      </c>
      <c r="J51" s="31">
        <f>J50+Khach_le[[#This Row],[THÀNH TIỀN]]-Khach_le[[#This Row],[THANH TOÁN]]</f>
        <v>0</v>
      </c>
      <c r="K51" s="24"/>
    </row>
    <row r="52" spans="1:11" x14ac:dyDescent="0.25">
      <c r="A52" s="22">
        <v>9128</v>
      </c>
      <c r="B52" s="29">
        <v>46141</v>
      </c>
      <c r="C52" s="23" t="s">
        <v>13</v>
      </c>
      <c r="D52" s="37" t="s">
        <v>14</v>
      </c>
      <c r="E52" s="23" t="s">
        <v>134</v>
      </c>
      <c r="F52" s="31">
        <v>102</v>
      </c>
      <c r="G52" s="31">
        <v>45000</v>
      </c>
      <c r="H52" s="31">
        <f>Khach_le[[#This Row],[ĐƠN GIÁ]]*Khach_le[[#This Row],[SỐ LƯỢNG]]</f>
        <v>4590000</v>
      </c>
      <c r="I52" s="31">
        <f>Khach_le[[#This Row],[THÀNH TIỀN]]</f>
        <v>4590000</v>
      </c>
      <c r="J52" s="31">
        <f>J51+Khach_le[[#This Row],[THÀNH TIỀN]]-Khach_le[[#This Row],[THANH TOÁN]]</f>
        <v>0</v>
      </c>
      <c r="K52" s="24"/>
    </row>
    <row r="53" spans="1:11" x14ac:dyDescent="0.25">
      <c r="A53" s="22">
        <v>9183</v>
      </c>
      <c r="B53" s="29">
        <v>46147</v>
      </c>
      <c r="C53" s="23" t="s">
        <v>13</v>
      </c>
      <c r="D53" s="37" t="s">
        <v>27</v>
      </c>
      <c r="E53" s="23"/>
      <c r="F53" s="31">
        <v>4</v>
      </c>
      <c r="G53" s="31">
        <v>60000</v>
      </c>
      <c r="H53" s="31">
        <f>Khach_le[[#This Row],[ĐƠN GIÁ]]*Khach_le[[#This Row],[SỐ LƯỢNG]]</f>
        <v>240000</v>
      </c>
      <c r="I53" s="31">
        <f>Khach_le[[#This Row],[THÀNH TIỀN]]</f>
        <v>240000</v>
      </c>
      <c r="J53" s="31">
        <f>J52+Khach_le[[#This Row],[THÀNH TIỀN]]-Khach_le[[#This Row],[THANH TOÁN]]</f>
        <v>0</v>
      </c>
      <c r="K53" s="24"/>
    </row>
    <row r="54" spans="1:11" x14ac:dyDescent="0.25">
      <c r="A54" s="22">
        <v>9183</v>
      </c>
      <c r="B54" s="29">
        <v>46147</v>
      </c>
      <c r="C54" s="23" t="s">
        <v>13</v>
      </c>
      <c r="D54" s="37" t="s">
        <v>411</v>
      </c>
      <c r="E54" s="23"/>
      <c r="F54" s="31">
        <v>8</v>
      </c>
      <c r="G54" s="31">
        <v>45000</v>
      </c>
      <c r="H54" s="31">
        <f>Khach_le[[#This Row],[ĐƠN GIÁ]]*Khach_le[[#This Row],[SỐ LƯỢNG]]</f>
        <v>360000</v>
      </c>
      <c r="I54" s="31">
        <f>Khach_le[[#This Row],[THÀNH TIỀN]]</f>
        <v>360000</v>
      </c>
      <c r="J54" s="31">
        <f>J53+Khach_le[[#This Row],[THÀNH TIỀN]]-Khach_le[[#This Row],[THANH TOÁN]]</f>
        <v>0</v>
      </c>
      <c r="K54" s="24"/>
    </row>
    <row r="55" spans="1:11" x14ac:dyDescent="0.25">
      <c r="A55" s="22">
        <v>9221</v>
      </c>
      <c r="B55" s="29">
        <v>46148</v>
      </c>
      <c r="C55" s="23" t="s">
        <v>13</v>
      </c>
      <c r="D55" s="37" t="s">
        <v>17</v>
      </c>
      <c r="E55" s="23" t="s">
        <v>469</v>
      </c>
      <c r="F55" s="31">
        <v>18</v>
      </c>
      <c r="G55" s="31">
        <v>72000</v>
      </c>
      <c r="H55" s="31">
        <f>Khach_le[[#This Row],[ĐƠN GIÁ]]*Khach_le[[#This Row],[SỐ LƯỢNG]]</f>
        <v>1296000</v>
      </c>
      <c r="I55" s="31">
        <f>Khach_le[[#This Row],[THÀNH TIỀN]]</f>
        <v>1296000</v>
      </c>
      <c r="J55" s="31">
        <f>J54+Khach_le[[#This Row],[THÀNH TIỀN]]-Khach_le[[#This Row],[THANH TOÁN]]</f>
        <v>0</v>
      </c>
      <c r="K55" s="24"/>
    </row>
    <row r="56" spans="1:11" x14ac:dyDescent="0.25">
      <c r="A56" s="22">
        <v>9264</v>
      </c>
      <c r="B56" s="29">
        <v>46150</v>
      </c>
      <c r="C56" s="23" t="s">
        <v>13</v>
      </c>
      <c r="D56" s="37" t="s">
        <v>50</v>
      </c>
      <c r="E56" s="23" t="s">
        <v>1986</v>
      </c>
      <c r="F56" s="31">
        <v>68</v>
      </c>
      <c r="G56" s="31">
        <v>68000</v>
      </c>
      <c r="H56" s="31">
        <f>Khach_le[[#This Row],[ĐƠN GIÁ]]*Khach_le[[#This Row],[SỐ LƯỢNG]]</f>
        <v>4624000</v>
      </c>
      <c r="I56" s="31">
        <f>Khach_le[[#This Row],[THÀNH TIỀN]]</f>
        <v>4624000</v>
      </c>
      <c r="J56" s="31">
        <f>J55+Khach_le[[#This Row],[THÀNH TIỀN]]-Khach_le[[#This Row],[THANH TOÁN]]</f>
        <v>0</v>
      </c>
      <c r="K56" s="24" t="s">
        <v>1987</v>
      </c>
    </row>
    <row r="57" spans="1:11" x14ac:dyDescent="0.25">
      <c r="A57" s="22">
        <v>9288</v>
      </c>
      <c r="B57" s="29">
        <v>46151</v>
      </c>
      <c r="C57" s="23" t="s">
        <v>13</v>
      </c>
      <c r="D57" s="37" t="s">
        <v>14</v>
      </c>
      <c r="E57" s="23" t="s">
        <v>221</v>
      </c>
      <c r="F57" s="31">
        <v>92</v>
      </c>
      <c r="G57" s="31">
        <v>50000</v>
      </c>
      <c r="H57" s="31">
        <f>Khach_le[[#This Row],[ĐƠN GIÁ]]*Khach_le[[#This Row],[SỐ LƯỢNG]]</f>
        <v>4600000</v>
      </c>
      <c r="I57" s="31">
        <f>Khach_le[[#This Row],[THÀNH TIỀN]]</f>
        <v>4600000</v>
      </c>
      <c r="J57" s="31">
        <f>J56+Khach_le[[#This Row],[THÀNH TIỀN]]-Khach_le[[#This Row],[THANH TOÁN]]</f>
        <v>0</v>
      </c>
      <c r="K57" s="24"/>
    </row>
    <row r="58" spans="1:11" x14ac:dyDescent="0.25">
      <c r="A58" s="22">
        <v>9288</v>
      </c>
      <c r="B58" s="29">
        <v>46151</v>
      </c>
      <c r="C58" s="23" t="s">
        <v>13</v>
      </c>
      <c r="D58" s="37" t="s">
        <v>14</v>
      </c>
      <c r="E58" s="23" t="s">
        <v>62</v>
      </c>
      <c r="F58" s="31">
        <v>58</v>
      </c>
      <c r="G58" s="31">
        <v>50000</v>
      </c>
      <c r="H58" s="31">
        <f>Khach_le[[#This Row],[ĐƠN GIÁ]]*Khach_le[[#This Row],[SỐ LƯỢNG]]</f>
        <v>2900000</v>
      </c>
      <c r="I58" s="31">
        <f>Khach_le[[#This Row],[THÀNH TIỀN]]</f>
        <v>2900000</v>
      </c>
      <c r="J58" s="31">
        <f>J57+Khach_le[[#This Row],[THÀNH TIỀN]]-Khach_le[[#This Row],[THANH TOÁN]]</f>
        <v>0</v>
      </c>
      <c r="K58" s="24"/>
    </row>
    <row r="59" spans="1:11" x14ac:dyDescent="0.25">
      <c r="A59" s="22">
        <v>9289</v>
      </c>
      <c r="B59" s="29">
        <v>46151</v>
      </c>
      <c r="C59" s="23" t="s">
        <v>13</v>
      </c>
      <c r="D59" s="37" t="s">
        <v>1842</v>
      </c>
      <c r="E59" s="23" t="s">
        <v>221</v>
      </c>
      <c r="F59" s="31">
        <v>36</v>
      </c>
      <c r="G59" s="31">
        <v>75000</v>
      </c>
      <c r="H59" s="31">
        <f>Khach_le[[#This Row],[ĐƠN GIÁ]]*Khach_le[[#This Row],[SỐ LƯỢNG]]</f>
        <v>2700000</v>
      </c>
      <c r="I59" s="31">
        <f>Khach_le[[#This Row],[THÀNH TIỀN]]</f>
        <v>2700000</v>
      </c>
      <c r="J59" s="31">
        <f>J58+Khach_le[[#This Row],[THÀNH TIỀN]]-Khach_le[[#This Row],[THANH TOÁN]]</f>
        <v>0</v>
      </c>
      <c r="K59" s="24"/>
    </row>
    <row r="60" spans="1:11" x14ac:dyDescent="0.25">
      <c r="A60" s="22">
        <v>9297</v>
      </c>
      <c r="B60" s="29">
        <v>46151</v>
      </c>
      <c r="C60" s="23" t="s">
        <v>13</v>
      </c>
      <c r="D60" s="37" t="s">
        <v>32</v>
      </c>
      <c r="E60" s="23" t="s">
        <v>78</v>
      </c>
      <c r="F60" s="31">
        <v>10</v>
      </c>
      <c r="G60" s="31">
        <v>45000</v>
      </c>
      <c r="H60" s="31">
        <f>Khach_le[[#This Row],[ĐƠN GIÁ]]*Khach_le[[#This Row],[SỐ LƯỢNG]]</f>
        <v>450000</v>
      </c>
      <c r="I60" s="31">
        <f>Khach_le[[#This Row],[THÀNH TIỀN]]</f>
        <v>450000</v>
      </c>
      <c r="J60" s="31">
        <f>J59+Khach_le[[#This Row],[THÀNH TIỀN]]-Khach_le[[#This Row],[THANH TOÁN]]</f>
        <v>0</v>
      </c>
      <c r="K60" s="24"/>
    </row>
    <row r="61" spans="1:11" x14ac:dyDescent="0.25">
      <c r="A61" s="71">
        <v>9337</v>
      </c>
      <c r="B61" s="72">
        <v>46154</v>
      </c>
      <c r="C61" s="73" t="s">
        <v>2057</v>
      </c>
      <c r="D61" s="56" t="s">
        <v>26</v>
      </c>
      <c r="E61" s="73" t="s">
        <v>40</v>
      </c>
      <c r="F61" s="74">
        <v>118</v>
      </c>
      <c r="G61" s="74"/>
      <c r="H61" s="74">
        <f>Khach_le[[#This Row],[ĐƠN GIÁ]]*Khach_le[[#This Row],[SỐ LƯỢNG]]</f>
        <v>0</v>
      </c>
      <c r="I61" s="74">
        <f>Khach_le[[#This Row],[THÀNH TIỀN]]</f>
        <v>0</v>
      </c>
      <c r="J61" s="74">
        <f>J60+Khach_le[[#This Row],[THÀNH TIỀN]]-Khach_le[[#This Row],[THANH TOÁN]]</f>
        <v>0</v>
      </c>
      <c r="K61" s="75" t="s">
        <v>2052</v>
      </c>
    </row>
    <row r="62" spans="1:11" x14ac:dyDescent="0.25">
      <c r="A62" s="71">
        <v>9338</v>
      </c>
      <c r="B62" s="72">
        <v>46154</v>
      </c>
      <c r="C62" s="73" t="s">
        <v>2058</v>
      </c>
      <c r="D62" s="56" t="s">
        <v>2053</v>
      </c>
      <c r="E62" s="73" t="s">
        <v>117</v>
      </c>
      <c r="F62" s="74">
        <v>622</v>
      </c>
      <c r="G62" s="74"/>
      <c r="H62" s="74">
        <f>Khach_le[[#This Row],[ĐƠN GIÁ]]*Khach_le[[#This Row],[SỐ LƯỢNG]]</f>
        <v>0</v>
      </c>
      <c r="I62" s="74">
        <f>Khach_le[[#This Row],[THÀNH TIỀN]]</f>
        <v>0</v>
      </c>
      <c r="J62" s="74">
        <f>J61+Khach_le[[#This Row],[THÀNH TIỀN]]-Khach_le[[#This Row],[THANH TOÁN]]</f>
        <v>0</v>
      </c>
      <c r="K62" s="75" t="s">
        <v>2054</v>
      </c>
    </row>
    <row r="63" spans="1:11" x14ac:dyDescent="0.25">
      <c r="A63" s="71">
        <v>9338</v>
      </c>
      <c r="B63" s="72">
        <v>46154</v>
      </c>
      <c r="C63" s="73" t="s">
        <v>2058</v>
      </c>
      <c r="D63" s="149" t="s">
        <v>1842</v>
      </c>
      <c r="E63" s="55" t="s">
        <v>2055</v>
      </c>
      <c r="F63" s="57">
        <v>1190</v>
      </c>
      <c r="G63" s="57"/>
      <c r="H63" s="57">
        <f>Khach_le[[#This Row],[ĐƠN GIÁ]]*Khach_le[[#This Row],[SỐ LƯỢNG]]</f>
        <v>0</v>
      </c>
      <c r="I63" s="57">
        <f>Khach_le[[#This Row],[THÀNH TIỀN]]</f>
        <v>0</v>
      </c>
      <c r="J63" s="57">
        <f>J62+Khach_le[[#This Row],[THÀNH TIỀN]]-Khach_le[[#This Row],[THANH TOÁN]]</f>
        <v>0</v>
      </c>
      <c r="K63" s="58" t="s">
        <v>2056</v>
      </c>
    </row>
    <row r="64" spans="1:11" x14ac:dyDescent="0.25">
      <c r="A64" s="151">
        <v>9367</v>
      </c>
      <c r="B64" s="152">
        <v>46155</v>
      </c>
      <c r="C64" s="55" t="s">
        <v>13</v>
      </c>
      <c r="D64" s="149" t="s">
        <v>50</v>
      </c>
      <c r="E64" s="55" t="s">
        <v>78</v>
      </c>
      <c r="F64" s="57">
        <v>14</v>
      </c>
      <c r="G64" s="57">
        <v>68000</v>
      </c>
      <c r="H64" s="57">
        <f>Khach_le[[#This Row],[ĐƠN GIÁ]]*Khach_le[[#This Row],[SỐ LƯỢNG]]</f>
        <v>952000</v>
      </c>
      <c r="I64" s="57">
        <f>Khach_le[[#This Row],[THÀNH TIỀN]]</f>
        <v>952000</v>
      </c>
      <c r="J64" s="57">
        <f>J63+Khach_le[[#This Row],[THÀNH TIỀN]]-Khach_le[[#This Row],[THANH TOÁN]]</f>
        <v>0</v>
      </c>
      <c r="K64" s="58"/>
    </row>
    <row r="65" spans="1:11" x14ac:dyDescent="0.25">
      <c r="A65" s="151">
        <v>9370</v>
      </c>
      <c r="B65" s="152">
        <v>46155</v>
      </c>
      <c r="C65" s="55" t="s">
        <v>13</v>
      </c>
      <c r="D65" s="149" t="s">
        <v>75</v>
      </c>
      <c r="E65" s="55" t="s">
        <v>288</v>
      </c>
      <c r="F65" s="57">
        <v>6</v>
      </c>
      <c r="G65" s="57">
        <v>45000</v>
      </c>
      <c r="H65" s="57">
        <f>Khach_le[[#This Row],[ĐƠN GIÁ]]*Khach_le[[#This Row],[SỐ LƯỢNG]]</f>
        <v>270000</v>
      </c>
      <c r="I65" s="57">
        <f>Khach_le[[#This Row],[THÀNH TIỀN]]</f>
        <v>270000</v>
      </c>
      <c r="J65" s="57">
        <f>J64+Khach_le[[#This Row],[THÀNH TIỀN]]-Khach_le[[#This Row],[THANH TOÁN]]</f>
        <v>0</v>
      </c>
      <c r="K65" s="58"/>
    </row>
    <row r="66" spans="1:11" x14ac:dyDescent="0.25">
      <c r="A66" s="25">
        <v>9368</v>
      </c>
      <c r="B66" s="30">
        <v>46155</v>
      </c>
      <c r="C66" s="26" t="s">
        <v>13</v>
      </c>
      <c r="D66" s="38" t="s">
        <v>703</v>
      </c>
      <c r="E66" s="26" t="s">
        <v>2213</v>
      </c>
      <c r="F66" s="28">
        <v>192</v>
      </c>
      <c r="G66" s="28">
        <v>37000</v>
      </c>
      <c r="H66" s="28">
        <f>Khach_le[[#This Row],[ĐƠN GIÁ]]*Khach_le[[#This Row],[SỐ LƯỢNG]]</f>
        <v>7104000</v>
      </c>
      <c r="I66" s="28">
        <f>Khach_le[[#This Row],[THÀNH TIỀN]]</f>
        <v>7104000</v>
      </c>
      <c r="J66" s="28">
        <f>J65+Khach_le[[#This Row],[THÀNH TIỀN]]-Khach_le[[#This Row],[THANH TOÁN]]</f>
        <v>0</v>
      </c>
      <c r="K66" s="27"/>
    </row>
    <row r="67" spans="1:11" x14ac:dyDescent="0.25">
      <c r="A67" s="22">
        <v>9585</v>
      </c>
      <c r="B67" s="29">
        <v>46165</v>
      </c>
      <c r="C67" s="23" t="s">
        <v>13</v>
      </c>
      <c r="D67" s="37" t="s">
        <v>54</v>
      </c>
      <c r="E67" s="23" t="s">
        <v>2316</v>
      </c>
      <c r="F67" s="31">
        <v>1208</v>
      </c>
      <c r="G67" s="31">
        <v>33500</v>
      </c>
      <c r="H67" s="31">
        <f>Khach_le[[#This Row],[ĐƠN GIÁ]]*Khach_le[[#This Row],[SỐ LƯỢNG]]</f>
        <v>40468000</v>
      </c>
      <c r="I67" s="31">
        <f>Khach_le[[#This Row],[THÀNH TIỀN]]</f>
        <v>40468000</v>
      </c>
      <c r="J67" s="31">
        <f>J66+Khach_le[[#This Row],[THÀNH TIỀN]]-Khach_le[[#This Row],[THANH TOÁN]]</f>
        <v>0</v>
      </c>
      <c r="K67" s="24" t="s">
        <v>2317</v>
      </c>
    </row>
    <row r="68" spans="1:11" x14ac:dyDescent="0.25">
      <c r="A68" s="22">
        <v>9726</v>
      </c>
      <c r="B68" s="29">
        <v>46172</v>
      </c>
      <c r="C68" s="23" t="s">
        <v>13</v>
      </c>
      <c r="D68" s="37" t="s">
        <v>26</v>
      </c>
      <c r="E68" s="23" t="s">
        <v>409</v>
      </c>
      <c r="F68" s="31">
        <v>377</v>
      </c>
      <c r="G68" s="31">
        <v>33000</v>
      </c>
      <c r="H68" s="31">
        <f>Khach_le[[#This Row],[ĐƠN GIÁ]]*Khach_le[[#This Row],[SỐ LƯỢNG]]</f>
        <v>12441000</v>
      </c>
      <c r="I68" s="31">
        <f>Khach_le[[#This Row],[THÀNH TIỀN]]</f>
        <v>12441000</v>
      </c>
      <c r="J68" s="31">
        <f>J67+Khach_le[[#This Row],[THÀNH TIỀN]]-Khach_le[[#This Row],[THANH TOÁN]]</f>
        <v>0</v>
      </c>
      <c r="K68" s="24" t="s">
        <v>406</v>
      </c>
    </row>
    <row r="69" spans="1:11" x14ac:dyDescent="0.25">
      <c r="A69" s="22">
        <v>9736</v>
      </c>
      <c r="B69" s="29">
        <v>46174</v>
      </c>
      <c r="C69" s="23" t="s">
        <v>13</v>
      </c>
      <c r="D69" s="37" t="s">
        <v>150</v>
      </c>
      <c r="E69" s="23" t="s">
        <v>886</v>
      </c>
      <c r="F69" s="31">
        <v>324</v>
      </c>
      <c r="G69" s="31">
        <v>38000</v>
      </c>
      <c r="H69" s="31">
        <f>Khach_le[[#This Row],[ĐƠN GIÁ]]*Khach_le[[#This Row],[SỐ LƯỢNG]]</f>
        <v>12312000</v>
      </c>
      <c r="I69" s="31">
        <f>Khach_le[[#This Row],[THÀNH TIỀN]]</f>
        <v>12312000</v>
      </c>
      <c r="J69" s="31">
        <f>J68+Khach_le[[#This Row],[THÀNH TIỀN]]-Khach_le[[#This Row],[THANH TOÁN]]</f>
        <v>0</v>
      </c>
      <c r="K69" s="24" t="s">
        <v>2541</v>
      </c>
    </row>
    <row r="70" spans="1:11" x14ac:dyDescent="0.25">
      <c r="A70" s="22">
        <v>9746</v>
      </c>
      <c r="B70" s="29">
        <v>46175</v>
      </c>
      <c r="C70" s="23" t="s">
        <v>13</v>
      </c>
      <c r="D70" s="37" t="s">
        <v>17</v>
      </c>
      <c r="E70" s="23" t="s">
        <v>230</v>
      </c>
      <c r="F70" s="31">
        <v>14</v>
      </c>
      <c r="G70" s="31">
        <v>80000</v>
      </c>
      <c r="H70" s="31">
        <f>Khach_le[[#This Row],[ĐƠN GIÁ]]*Khach_le[[#This Row],[SỐ LƯỢNG]]</f>
        <v>1120000</v>
      </c>
      <c r="I70" s="31">
        <f>Khach_le[[#This Row],[THÀNH TIỀN]]</f>
        <v>1120000</v>
      </c>
      <c r="J70" s="31">
        <f>J69+Khach_le[[#This Row],[THÀNH TIỀN]]-Khach_le[[#This Row],[THANH TOÁN]]</f>
        <v>0</v>
      </c>
      <c r="K70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CCE787-6B27-432C-BC21-C9846BCF8AAA}">
  <sheetPr codeName="Sheet24"/>
  <dimension ref="A5:P88"/>
  <sheetViews>
    <sheetView topLeftCell="A56" workbookViewId="0">
      <selection activeCell="B86" sqref="B77:I86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24.85546875" style="1" bestFit="1" customWidth="1"/>
    <col min="12" max="14" width="9.140625" style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1605514400</v>
      </c>
    </row>
    <row r="6" spans="1:16" ht="22.5" x14ac:dyDescent="0.25">
      <c r="D6" s="34" t="s">
        <v>412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Cty_Nam_Khanh[[#This Row],[ĐƠN GIÁ]]*Cty_Nam_Khanh[[#This Row],[SỐ LƯỢNG]]</f>
        <v>0</v>
      </c>
      <c r="I10" s="31"/>
      <c r="J10" s="31">
        <v>0</v>
      </c>
      <c r="K10" s="24"/>
    </row>
    <row r="11" spans="1:16" x14ac:dyDescent="0.25">
      <c r="A11" s="22">
        <v>7806</v>
      </c>
      <c r="B11" s="29">
        <v>46084</v>
      </c>
      <c r="C11" s="23" t="s">
        <v>13</v>
      </c>
      <c r="D11" s="37" t="s">
        <v>135</v>
      </c>
      <c r="E11" s="23" t="s">
        <v>41</v>
      </c>
      <c r="F11" s="31">
        <v>4100</v>
      </c>
      <c r="G11" s="31">
        <v>35000</v>
      </c>
      <c r="H11" s="31">
        <f>Cty_Nam_Khanh[[#This Row],[ĐƠN GIÁ]]*Cty_Nam_Khanh[[#This Row],[SỐ LƯỢNG]]</f>
        <v>143500000</v>
      </c>
      <c r="I11" s="31"/>
      <c r="J11" s="31">
        <f>J10+Cty_Nam_Khanh[[#This Row],[THÀNH TIỀN]]-Cty_Nam_Khanh[[#This Row],[THANH TOÁN]]</f>
        <v>143500000</v>
      </c>
      <c r="K11" s="24" t="s">
        <v>413</v>
      </c>
    </row>
    <row r="12" spans="1:16" x14ac:dyDescent="0.25">
      <c r="A12" s="22">
        <v>7806</v>
      </c>
      <c r="B12" s="29">
        <v>46084</v>
      </c>
      <c r="C12" s="23" t="s">
        <v>13</v>
      </c>
      <c r="D12" s="37" t="s">
        <v>17</v>
      </c>
      <c r="E12" s="23" t="s">
        <v>176</v>
      </c>
      <c r="F12" s="31">
        <f>1049+1198</f>
        <v>2247</v>
      </c>
      <c r="G12" s="31">
        <v>59000</v>
      </c>
      <c r="H12" s="31">
        <f>Cty_Nam_Khanh[[#This Row],[ĐƠN GIÁ]]*Cty_Nam_Khanh[[#This Row],[SỐ LƯỢNG]]</f>
        <v>132573000</v>
      </c>
      <c r="I12" s="31"/>
      <c r="J12" s="31">
        <f>J11+Cty_Nam_Khanh[[#This Row],[THÀNH TIỀN]]-Cty_Nam_Khanh[[#This Row],[THANH TOÁN]]</f>
        <v>276073000</v>
      </c>
      <c r="K12" s="24"/>
      <c r="O12" s="35"/>
    </row>
    <row r="13" spans="1:16" x14ac:dyDescent="0.25">
      <c r="A13" s="22">
        <v>7806</v>
      </c>
      <c r="B13" s="29">
        <v>46084</v>
      </c>
      <c r="C13" s="23" t="s">
        <v>13</v>
      </c>
      <c r="D13" s="37" t="s">
        <v>17</v>
      </c>
      <c r="E13" s="23" t="s">
        <v>78</v>
      </c>
      <c r="F13" s="31">
        <v>899</v>
      </c>
      <c r="G13" s="31">
        <v>59500</v>
      </c>
      <c r="H13" s="31">
        <f>Cty_Nam_Khanh[[#This Row],[ĐƠN GIÁ]]*Cty_Nam_Khanh[[#This Row],[SỐ LƯỢNG]]</f>
        <v>53490500</v>
      </c>
      <c r="I13" s="31"/>
      <c r="J13" s="31">
        <f>J12+Cty_Nam_Khanh[[#This Row],[THÀNH TIỀN]]-Cty_Nam_Khanh[[#This Row],[THANH TOÁN]]</f>
        <v>329563500</v>
      </c>
      <c r="K13" s="24"/>
    </row>
    <row r="14" spans="1:16" x14ac:dyDescent="0.25">
      <c r="A14" s="22">
        <v>7847</v>
      </c>
      <c r="B14" s="29">
        <v>46085</v>
      </c>
      <c r="C14" s="23" t="s">
        <v>13</v>
      </c>
      <c r="D14" s="37" t="s">
        <v>32</v>
      </c>
      <c r="E14" s="23" t="s">
        <v>211</v>
      </c>
      <c r="F14" s="31">
        <f>980-16-4</f>
        <v>960</v>
      </c>
      <c r="G14" s="31">
        <v>41000</v>
      </c>
      <c r="H14" s="31">
        <f>Cty_Nam_Khanh[[#This Row],[ĐƠN GIÁ]]*Cty_Nam_Khanh[[#This Row],[SỐ LƯỢNG]]</f>
        <v>39360000</v>
      </c>
      <c r="I14" s="31"/>
      <c r="J14" s="31">
        <f>J13+Cty_Nam_Khanh[[#This Row],[THÀNH TIỀN]]-Cty_Nam_Khanh[[#This Row],[THANH TOÁN]]</f>
        <v>368923500</v>
      </c>
      <c r="K14" s="24"/>
      <c r="P14" s="35"/>
    </row>
    <row r="15" spans="1:16" x14ac:dyDescent="0.25">
      <c r="A15" s="25">
        <v>3043</v>
      </c>
      <c r="B15" s="30">
        <v>46085</v>
      </c>
      <c r="C15" s="26" t="s">
        <v>166</v>
      </c>
      <c r="D15" s="38" t="s">
        <v>135</v>
      </c>
      <c r="E15" s="26" t="s">
        <v>41</v>
      </c>
      <c r="F15" s="28">
        <v>2690</v>
      </c>
      <c r="G15" s="28">
        <v>-35000</v>
      </c>
      <c r="H15" s="28">
        <f>Cty_Nam_Khanh[[#This Row],[ĐƠN GIÁ]]*Cty_Nam_Khanh[[#This Row],[SỐ LƯỢNG]]</f>
        <v>-94150000</v>
      </c>
      <c r="I15" s="28"/>
      <c r="J15" s="28">
        <f>J14+Cty_Nam_Khanh[[#This Row],[THÀNH TIỀN]]-Cty_Nam_Khanh[[#This Row],[THANH TOÁN]]</f>
        <v>274773500</v>
      </c>
      <c r="K15" s="27"/>
    </row>
    <row r="16" spans="1:16" x14ac:dyDescent="0.25">
      <c r="A16" s="25">
        <v>7991</v>
      </c>
      <c r="B16" s="30">
        <v>46093</v>
      </c>
      <c r="C16" s="26" t="s">
        <v>13</v>
      </c>
      <c r="D16" s="38" t="s">
        <v>17</v>
      </c>
      <c r="E16" s="26" t="s">
        <v>41</v>
      </c>
      <c r="F16" s="28">
        <v>1227</v>
      </c>
      <c r="G16" s="28">
        <v>60000</v>
      </c>
      <c r="H16" s="28">
        <f>Cty_Nam_Khanh[[#This Row],[ĐƠN GIÁ]]*Cty_Nam_Khanh[[#This Row],[SỐ LƯỢNG]]</f>
        <v>73620000</v>
      </c>
      <c r="I16" s="28"/>
      <c r="J16" s="28">
        <f>J15+Cty_Nam_Khanh[[#This Row],[THÀNH TIỀN]]-Cty_Nam_Khanh[[#This Row],[THANH TOÁN]]</f>
        <v>348393500</v>
      </c>
      <c r="K16" s="27"/>
    </row>
    <row r="17" spans="1:11" x14ac:dyDescent="0.25">
      <c r="A17" s="25">
        <v>8045</v>
      </c>
      <c r="B17" s="30">
        <v>46093</v>
      </c>
      <c r="C17" s="26" t="s">
        <v>13</v>
      </c>
      <c r="D17" s="38" t="s">
        <v>43</v>
      </c>
      <c r="E17" s="26" t="s">
        <v>78</v>
      </c>
      <c r="F17" s="28">
        <v>425</v>
      </c>
      <c r="G17" s="28">
        <v>59000</v>
      </c>
      <c r="H17" s="28">
        <f>Cty_Nam_Khanh[[#This Row],[ĐƠN GIÁ]]*Cty_Nam_Khanh[[#This Row],[SỐ LƯỢNG]]</f>
        <v>25075000</v>
      </c>
      <c r="I17" s="28"/>
      <c r="J17" s="28">
        <f>J16+Cty_Nam_Khanh[[#This Row],[THÀNH TIỀN]]-Cty_Nam_Khanh[[#This Row],[THANH TOÁN]]</f>
        <v>373468500</v>
      </c>
      <c r="K17" s="27"/>
    </row>
    <row r="18" spans="1:11" x14ac:dyDescent="0.25">
      <c r="A18" s="25"/>
      <c r="B18" s="30">
        <v>46099</v>
      </c>
      <c r="C18" s="26" t="s">
        <v>21</v>
      </c>
      <c r="D18" s="38" t="s">
        <v>22</v>
      </c>
      <c r="E18" s="26" t="s">
        <v>83</v>
      </c>
      <c r="F18" s="28">
        <v>0</v>
      </c>
      <c r="G18" s="28">
        <v>0</v>
      </c>
      <c r="H18" s="28">
        <f>Cty_Nam_Khanh[[#This Row],[ĐƠN GIÁ]]*Cty_Nam_Khanh[[#This Row],[SỐ LƯỢNG]]</f>
        <v>0</v>
      </c>
      <c r="I18" s="28">
        <v>50000000</v>
      </c>
      <c r="J18" s="28">
        <f>J17+Cty_Nam_Khanh[[#This Row],[THÀNH TIỀN]]-Cty_Nam_Khanh[[#This Row],[THANH TOÁN]]</f>
        <v>323468500</v>
      </c>
      <c r="K18" s="27"/>
    </row>
    <row r="19" spans="1:11" x14ac:dyDescent="0.25">
      <c r="A19" s="25">
        <v>8267</v>
      </c>
      <c r="B19" s="30">
        <v>46100</v>
      </c>
      <c r="C19" s="26" t="s">
        <v>13</v>
      </c>
      <c r="D19" s="38" t="s">
        <v>17</v>
      </c>
      <c r="E19" s="26" t="s">
        <v>25</v>
      </c>
      <c r="F19" s="28">
        <v>426</v>
      </c>
      <c r="G19" s="28">
        <v>65000</v>
      </c>
      <c r="H19" s="28">
        <f>Cty_Nam_Khanh[[#This Row],[ĐƠN GIÁ]]*Cty_Nam_Khanh[[#This Row],[SỐ LƯỢNG]]</f>
        <v>27690000</v>
      </c>
      <c r="I19" s="28"/>
      <c r="J19" s="28">
        <f>J18+Cty_Nam_Khanh[[#This Row],[THÀNH TIỀN]]-Cty_Nam_Khanh[[#This Row],[THANH TOÁN]]</f>
        <v>351158500</v>
      </c>
      <c r="K19" s="27"/>
    </row>
    <row r="20" spans="1:11" x14ac:dyDescent="0.25">
      <c r="A20" s="25">
        <v>8267</v>
      </c>
      <c r="B20" s="30">
        <v>46100</v>
      </c>
      <c r="C20" s="26" t="s">
        <v>13</v>
      </c>
      <c r="D20" s="38" t="s">
        <v>414</v>
      </c>
      <c r="E20" s="26" t="s">
        <v>46</v>
      </c>
      <c r="F20" s="28">
        <v>186</v>
      </c>
      <c r="G20" s="28">
        <v>65000</v>
      </c>
      <c r="H20" s="28">
        <f>Cty_Nam_Khanh[[#This Row],[ĐƠN GIÁ]]*Cty_Nam_Khanh[[#This Row],[SỐ LƯỢNG]]</f>
        <v>12090000</v>
      </c>
      <c r="I20" s="28"/>
      <c r="J20" s="28">
        <f>J19+Cty_Nam_Khanh[[#This Row],[THÀNH TIỀN]]-Cty_Nam_Khanh[[#This Row],[THANH TOÁN]]</f>
        <v>363248500</v>
      </c>
      <c r="K20" s="27"/>
    </row>
    <row r="21" spans="1:11" x14ac:dyDescent="0.25">
      <c r="A21" s="25">
        <v>3642</v>
      </c>
      <c r="B21" s="30">
        <v>46101</v>
      </c>
      <c r="C21" s="26" t="s">
        <v>84</v>
      </c>
      <c r="D21" s="38" t="s">
        <v>93</v>
      </c>
      <c r="E21" s="26" t="s">
        <v>417</v>
      </c>
      <c r="F21" s="28">
        <v>540</v>
      </c>
      <c r="G21" s="28">
        <v>-500</v>
      </c>
      <c r="H21" s="28">
        <f>Cty_Nam_Khanh[[#This Row],[ĐƠN GIÁ]]*Cty_Nam_Khanh[[#This Row],[SỐ LƯỢNG]]</f>
        <v>-270000</v>
      </c>
      <c r="I21" s="28"/>
      <c r="J21" s="28">
        <f>J20+Cty_Nam_Khanh[[#This Row],[THÀNH TIỀN]]-Cty_Nam_Khanh[[#This Row],[THANH TOÁN]]</f>
        <v>362978500</v>
      </c>
      <c r="K21" s="27"/>
    </row>
    <row r="22" spans="1:11" x14ac:dyDescent="0.25">
      <c r="A22" s="25">
        <v>8205</v>
      </c>
      <c r="B22" s="30">
        <v>46102</v>
      </c>
      <c r="C22" s="26" t="s">
        <v>49</v>
      </c>
      <c r="D22" s="38" t="s">
        <v>43</v>
      </c>
      <c r="E22" s="26" t="s">
        <v>134</v>
      </c>
      <c r="F22" s="28">
        <v>1178</v>
      </c>
      <c r="G22" s="28"/>
      <c r="H22" s="28">
        <f>Cty_Nam_Khanh[[#This Row],[ĐƠN GIÁ]]*Cty_Nam_Khanh[[#This Row],[SỐ LƯỢNG]]</f>
        <v>0</v>
      </c>
      <c r="I22" s="28"/>
      <c r="J22" s="28">
        <f>J21+Cty_Nam_Khanh[[#This Row],[THÀNH TIỀN]]-Cty_Nam_Khanh[[#This Row],[THANH TOÁN]]</f>
        <v>362978500</v>
      </c>
      <c r="K22" s="27"/>
    </row>
    <row r="23" spans="1:11" x14ac:dyDescent="0.25">
      <c r="A23" s="25">
        <v>8205</v>
      </c>
      <c r="B23" s="30">
        <v>46102</v>
      </c>
      <c r="C23" s="26" t="s">
        <v>49</v>
      </c>
      <c r="D23" s="38" t="s">
        <v>17</v>
      </c>
      <c r="E23" s="26" t="s">
        <v>136</v>
      </c>
      <c r="F23" s="28">
        <v>652</v>
      </c>
      <c r="G23" s="28"/>
      <c r="H23" s="28">
        <f>Cty_Nam_Khanh[[#This Row],[ĐƠN GIÁ]]*Cty_Nam_Khanh[[#This Row],[SỐ LƯỢNG]]</f>
        <v>0</v>
      </c>
      <c r="I23" s="28"/>
      <c r="J23" s="28">
        <f>J22+Cty_Nam_Khanh[[#This Row],[THÀNH TIỀN]]-Cty_Nam_Khanh[[#This Row],[THANH TOÁN]]</f>
        <v>362978500</v>
      </c>
      <c r="K23" s="27"/>
    </row>
    <row r="24" spans="1:11" x14ac:dyDescent="0.25">
      <c r="A24" s="25">
        <v>8207</v>
      </c>
      <c r="B24" s="30">
        <v>46102</v>
      </c>
      <c r="C24" s="26" t="s">
        <v>13</v>
      </c>
      <c r="D24" s="38" t="s">
        <v>17</v>
      </c>
      <c r="E24" s="26" t="s">
        <v>33</v>
      </c>
      <c r="F24" s="28">
        <v>414</v>
      </c>
      <c r="G24" s="28">
        <v>65000</v>
      </c>
      <c r="H24" s="28">
        <f>Cty_Nam_Khanh[[#This Row],[ĐƠN GIÁ]]*Cty_Nam_Khanh[[#This Row],[SỐ LƯỢNG]]</f>
        <v>26910000</v>
      </c>
      <c r="I24" s="28"/>
      <c r="J24" s="28">
        <f>J23+Cty_Nam_Khanh[[#This Row],[THÀNH TIỀN]]-Cty_Nam_Khanh[[#This Row],[THANH TOÁN]]</f>
        <v>389888500</v>
      </c>
      <c r="K24" s="27"/>
    </row>
    <row r="25" spans="1:11" x14ac:dyDescent="0.25">
      <c r="A25" s="25">
        <v>8217</v>
      </c>
      <c r="B25" s="30">
        <v>46104</v>
      </c>
      <c r="C25" s="26" t="s">
        <v>13</v>
      </c>
      <c r="D25" s="38" t="s">
        <v>17</v>
      </c>
      <c r="E25" s="26" t="s">
        <v>415</v>
      </c>
      <c r="F25" s="28">
        <v>814</v>
      </c>
      <c r="G25" s="28">
        <v>65000</v>
      </c>
      <c r="H25" s="28">
        <f>Cty_Nam_Khanh[[#This Row],[ĐƠN GIÁ]]*Cty_Nam_Khanh[[#This Row],[SỐ LƯỢNG]]</f>
        <v>52910000</v>
      </c>
      <c r="I25" s="28"/>
      <c r="J25" s="28">
        <f>J24+Cty_Nam_Khanh[[#This Row],[THÀNH TIỀN]]-Cty_Nam_Khanh[[#This Row],[THANH TOÁN]]</f>
        <v>442798500</v>
      </c>
      <c r="K25" s="27"/>
    </row>
    <row r="26" spans="1:11" x14ac:dyDescent="0.25">
      <c r="A26" s="25">
        <v>3650</v>
      </c>
      <c r="B26" s="30">
        <v>46104</v>
      </c>
      <c r="C26" s="26" t="s">
        <v>84</v>
      </c>
      <c r="D26" s="38" t="s">
        <v>418</v>
      </c>
      <c r="E26" s="26" t="s">
        <v>419</v>
      </c>
      <c r="F26" s="28">
        <v>530</v>
      </c>
      <c r="G26" s="28">
        <v>-1500</v>
      </c>
      <c r="H26" s="28">
        <f>Cty_Nam_Khanh[[#This Row],[ĐƠN GIÁ]]*Cty_Nam_Khanh[[#This Row],[SỐ LƯỢNG]]</f>
        <v>-795000</v>
      </c>
      <c r="I26" s="28"/>
      <c r="J26" s="28">
        <f>J25+Cty_Nam_Khanh[[#This Row],[THÀNH TIỀN]]-Cty_Nam_Khanh[[#This Row],[THANH TOÁN]]</f>
        <v>442003500</v>
      </c>
      <c r="K26" s="27"/>
    </row>
    <row r="27" spans="1:11" x14ac:dyDescent="0.25">
      <c r="A27" s="25">
        <v>3650</v>
      </c>
      <c r="B27" s="30">
        <v>46104</v>
      </c>
      <c r="C27" s="26" t="s">
        <v>84</v>
      </c>
      <c r="D27" s="38" t="s">
        <v>17</v>
      </c>
      <c r="E27" s="26" t="s">
        <v>420</v>
      </c>
      <c r="F27" s="28">
        <v>156</v>
      </c>
      <c r="G27" s="28">
        <v>-1600</v>
      </c>
      <c r="H27" s="28">
        <f>Cty_Nam_Khanh[[#This Row],[ĐƠN GIÁ]]*Cty_Nam_Khanh[[#This Row],[SỐ LƯỢNG]]</f>
        <v>-249600</v>
      </c>
      <c r="I27" s="28"/>
      <c r="J27" s="28">
        <f>J26+Cty_Nam_Khanh[[#This Row],[THÀNH TIỀN]]-Cty_Nam_Khanh[[#This Row],[THANH TOÁN]]</f>
        <v>441753900</v>
      </c>
      <c r="K27" s="27"/>
    </row>
    <row r="28" spans="1:11" x14ac:dyDescent="0.25">
      <c r="A28" s="25">
        <v>8363</v>
      </c>
      <c r="B28" s="30">
        <v>46108</v>
      </c>
      <c r="C28" s="26" t="s">
        <v>13</v>
      </c>
      <c r="D28" s="38" t="s">
        <v>17</v>
      </c>
      <c r="E28" s="26" t="s">
        <v>33</v>
      </c>
      <c r="F28" s="28">
        <v>146</v>
      </c>
      <c r="G28" s="28">
        <v>65000</v>
      </c>
      <c r="H28" s="28">
        <f>Cty_Nam_Khanh[[#This Row],[ĐƠN GIÁ]]*Cty_Nam_Khanh[[#This Row],[SỐ LƯỢNG]]</f>
        <v>9490000</v>
      </c>
      <c r="I28" s="28"/>
      <c r="J28" s="28">
        <f>J27+Cty_Nam_Khanh[[#This Row],[THÀNH TIỀN]]-Cty_Nam_Khanh[[#This Row],[THANH TOÁN]]</f>
        <v>451243900</v>
      </c>
      <c r="K28" s="27"/>
    </row>
    <row r="29" spans="1:11" x14ac:dyDescent="0.25">
      <c r="A29" s="25">
        <v>8366</v>
      </c>
      <c r="B29" s="30">
        <v>46108</v>
      </c>
      <c r="C29" s="26" t="s">
        <v>13</v>
      </c>
      <c r="D29" s="38" t="s">
        <v>26</v>
      </c>
      <c r="E29" s="26" t="s">
        <v>416</v>
      </c>
      <c r="F29" s="28">
        <v>1824</v>
      </c>
      <c r="G29" s="28">
        <v>34000</v>
      </c>
      <c r="H29" s="28">
        <f>Cty_Nam_Khanh[[#This Row],[ĐƠN GIÁ]]*Cty_Nam_Khanh[[#This Row],[SỐ LƯỢNG]]</f>
        <v>62016000</v>
      </c>
      <c r="I29" s="28"/>
      <c r="J29" s="28">
        <f>J28+Cty_Nam_Khanh[[#This Row],[THÀNH TIỀN]]-Cty_Nam_Khanh[[#This Row],[THANH TOÁN]]</f>
        <v>513259900</v>
      </c>
      <c r="K29" s="27"/>
    </row>
    <row r="30" spans="1:11" x14ac:dyDescent="0.25">
      <c r="A30" s="25">
        <v>8372</v>
      </c>
      <c r="B30" s="30">
        <v>46108</v>
      </c>
      <c r="C30" s="26" t="s">
        <v>13</v>
      </c>
      <c r="D30" s="38" t="s">
        <v>43</v>
      </c>
      <c r="E30" s="26" t="s">
        <v>416</v>
      </c>
      <c r="F30" s="28">
        <v>534</v>
      </c>
      <c r="G30" s="28">
        <v>59000</v>
      </c>
      <c r="H30" s="28">
        <f>Cty_Nam_Khanh[[#This Row],[ĐƠN GIÁ]]*Cty_Nam_Khanh[[#This Row],[SỐ LƯỢNG]]</f>
        <v>31506000</v>
      </c>
      <c r="I30" s="28"/>
      <c r="J30" s="28">
        <f>J29+Cty_Nam_Khanh[[#This Row],[THÀNH TIỀN]]-Cty_Nam_Khanh[[#This Row],[THANH TOÁN]]</f>
        <v>544765900</v>
      </c>
      <c r="K30" s="27"/>
    </row>
    <row r="31" spans="1:11" x14ac:dyDescent="0.25">
      <c r="A31" s="25"/>
      <c r="B31" s="30">
        <v>46108</v>
      </c>
      <c r="C31" s="26" t="s">
        <v>21</v>
      </c>
      <c r="D31" s="38" t="s">
        <v>22</v>
      </c>
      <c r="E31" s="26" t="s">
        <v>83</v>
      </c>
      <c r="F31" s="28">
        <v>0</v>
      </c>
      <c r="G31" s="28">
        <v>0</v>
      </c>
      <c r="H31" s="28">
        <f>Cty_Nam_Khanh[[#This Row],[ĐƠN GIÁ]]*Cty_Nam_Khanh[[#This Row],[SỐ LƯỢNG]]</f>
        <v>0</v>
      </c>
      <c r="I31" s="28">
        <v>50000000</v>
      </c>
      <c r="J31" s="28">
        <f>J30+Cty_Nam_Khanh[[#This Row],[THÀNH TIỀN]]-Cty_Nam_Khanh[[#This Row],[THANH TOÁN]]</f>
        <v>494765900</v>
      </c>
      <c r="K31" s="27"/>
    </row>
    <row r="32" spans="1:11" x14ac:dyDescent="0.25">
      <c r="A32" s="25">
        <v>3182</v>
      </c>
      <c r="B32" s="30">
        <v>46108</v>
      </c>
      <c r="C32" s="26" t="s">
        <v>84</v>
      </c>
      <c r="D32" s="38" t="s">
        <v>43</v>
      </c>
      <c r="E32" s="26" t="s">
        <v>421</v>
      </c>
      <c r="F32" s="31">
        <v>140</v>
      </c>
      <c r="G32" s="31">
        <v>-1800</v>
      </c>
      <c r="H32" s="31">
        <f>Cty_Nam_Khanh[[#This Row],[ĐƠN GIÁ]]*Cty_Nam_Khanh[[#This Row],[SỐ LƯỢNG]]</f>
        <v>-252000</v>
      </c>
      <c r="I32" s="31"/>
      <c r="J32" s="31">
        <f>J31+Cty_Nam_Khanh[[#This Row],[THÀNH TIỀN]]-Cty_Nam_Khanh[[#This Row],[THANH TOÁN]]</f>
        <v>494513900</v>
      </c>
      <c r="K32" s="24"/>
    </row>
    <row r="33" spans="1:11" x14ac:dyDescent="0.25">
      <c r="A33" s="22">
        <v>3182</v>
      </c>
      <c r="B33" s="29">
        <v>46108</v>
      </c>
      <c r="C33" s="23" t="s">
        <v>426</v>
      </c>
      <c r="D33" s="37" t="s">
        <v>26</v>
      </c>
      <c r="E33" s="23" t="s">
        <v>416</v>
      </c>
      <c r="F33" s="31">
        <v>1756</v>
      </c>
      <c r="G33" s="31">
        <v>-34000</v>
      </c>
      <c r="H33" s="31">
        <f>Cty_Nam_Khanh[[#This Row],[ĐƠN GIÁ]]*Cty_Nam_Khanh[[#This Row],[SỐ LƯỢNG]]</f>
        <v>-59704000</v>
      </c>
      <c r="I33" s="31"/>
      <c r="J33" s="31">
        <f>J32+Cty_Nam_Khanh[[#This Row],[THÀNH TIỀN]]-Cty_Nam_Khanh[[#This Row],[THANH TOÁN]]</f>
        <v>434809900</v>
      </c>
      <c r="K33" s="24"/>
    </row>
    <row r="34" spans="1:11" x14ac:dyDescent="0.25">
      <c r="A34" s="22">
        <v>8406</v>
      </c>
      <c r="B34" s="29">
        <v>46111</v>
      </c>
      <c r="C34" s="23" t="s">
        <v>13</v>
      </c>
      <c r="D34" s="37" t="s">
        <v>17</v>
      </c>
      <c r="E34" s="23" t="s">
        <v>78</v>
      </c>
      <c r="F34" s="31">
        <v>2422</v>
      </c>
      <c r="G34" s="31">
        <v>63000</v>
      </c>
      <c r="H34" s="31">
        <f>Cty_Nam_Khanh[[#This Row],[ĐƠN GIÁ]]*Cty_Nam_Khanh[[#This Row],[SỐ LƯỢNG]]</f>
        <v>152586000</v>
      </c>
      <c r="I34" s="31"/>
      <c r="J34" s="31">
        <f>J33+Cty_Nam_Khanh[[#This Row],[THÀNH TIỀN]]-Cty_Nam_Khanh[[#This Row],[THANH TOÁN]]</f>
        <v>587395900</v>
      </c>
      <c r="K34" s="24"/>
    </row>
    <row r="35" spans="1:11" x14ac:dyDescent="0.25">
      <c r="A35" s="22"/>
      <c r="B35" s="29">
        <v>46115</v>
      </c>
      <c r="C35" s="23" t="s">
        <v>21</v>
      </c>
      <c r="D35" s="37" t="s">
        <v>22</v>
      </c>
      <c r="E35" s="23" t="s">
        <v>83</v>
      </c>
      <c r="F35" s="31">
        <v>0</v>
      </c>
      <c r="G35" s="31"/>
      <c r="H35" s="31">
        <f>Cty_Nam_Khanh[[#This Row],[ĐƠN GIÁ]]*Cty_Nam_Khanh[[#This Row],[SỐ LƯỢNG]]</f>
        <v>0</v>
      </c>
      <c r="I35" s="31">
        <v>50000000</v>
      </c>
      <c r="J35" s="31">
        <f>J34+Cty_Nam_Khanh[[#This Row],[THÀNH TIỀN]]-Cty_Nam_Khanh[[#This Row],[THANH TOÁN]]</f>
        <v>537395900</v>
      </c>
      <c r="K35" s="24"/>
    </row>
    <row r="36" spans="1:11" x14ac:dyDescent="0.25">
      <c r="A36" s="22">
        <v>8573</v>
      </c>
      <c r="B36" s="29">
        <v>46118</v>
      </c>
      <c r="C36" s="23" t="s">
        <v>13</v>
      </c>
      <c r="D36" s="37" t="s">
        <v>103</v>
      </c>
      <c r="E36" s="23" t="s">
        <v>422</v>
      </c>
      <c r="F36" s="31">
        <v>100</v>
      </c>
      <c r="G36" s="31">
        <v>38000</v>
      </c>
      <c r="H36" s="31">
        <f>Cty_Nam_Khanh[[#This Row],[ĐƠN GIÁ]]*Cty_Nam_Khanh[[#This Row],[SỐ LƯỢNG]]</f>
        <v>3800000</v>
      </c>
      <c r="I36" s="31"/>
      <c r="J36" s="31">
        <f>J35+Cty_Nam_Khanh[[#This Row],[THÀNH TIỀN]]-Cty_Nam_Khanh[[#This Row],[THANH TOÁN]]</f>
        <v>541195900</v>
      </c>
      <c r="K36" s="24"/>
    </row>
    <row r="37" spans="1:11" x14ac:dyDescent="0.25">
      <c r="A37" s="22">
        <v>8573</v>
      </c>
      <c r="B37" s="29">
        <v>46118</v>
      </c>
      <c r="C37" s="23" t="s">
        <v>13</v>
      </c>
      <c r="D37" s="37" t="s">
        <v>103</v>
      </c>
      <c r="E37" s="23" t="s">
        <v>423</v>
      </c>
      <c r="F37" s="31">
        <v>104</v>
      </c>
      <c r="G37" s="31">
        <v>38000</v>
      </c>
      <c r="H37" s="31">
        <f>Cty_Nam_Khanh[[#This Row],[ĐƠN GIÁ]]*Cty_Nam_Khanh[[#This Row],[SỐ LƯỢNG]]</f>
        <v>3952000</v>
      </c>
      <c r="I37" s="31"/>
      <c r="J37" s="31">
        <f>J36+Cty_Nam_Khanh[[#This Row],[THÀNH TIỀN]]-Cty_Nam_Khanh[[#This Row],[THANH TOÁN]]</f>
        <v>545147900</v>
      </c>
      <c r="K37" s="24"/>
    </row>
    <row r="38" spans="1:11" x14ac:dyDescent="0.25">
      <c r="A38" s="22">
        <v>8668</v>
      </c>
      <c r="B38" s="29">
        <v>46121</v>
      </c>
      <c r="C38" s="23" t="s">
        <v>13</v>
      </c>
      <c r="D38" s="37" t="s">
        <v>17</v>
      </c>
      <c r="E38" s="23" t="s">
        <v>25</v>
      </c>
      <c r="F38" s="31">
        <v>390</v>
      </c>
      <c r="G38" s="31">
        <v>67000</v>
      </c>
      <c r="H38" s="31">
        <f>Cty_Nam_Khanh[[#This Row],[ĐƠN GIÁ]]*Cty_Nam_Khanh[[#This Row],[SỐ LƯỢNG]]</f>
        <v>26130000</v>
      </c>
      <c r="I38" s="31"/>
      <c r="J38" s="31">
        <f>J37+Cty_Nam_Khanh[[#This Row],[THÀNH TIỀN]]-Cty_Nam_Khanh[[#This Row],[THANH TOÁN]]</f>
        <v>571277900</v>
      </c>
      <c r="K38" s="24"/>
    </row>
    <row r="39" spans="1:11" x14ac:dyDescent="0.25">
      <c r="A39" s="22">
        <v>8668</v>
      </c>
      <c r="B39" s="29">
        <v>46121</v>
      </c>
      <c r="C39" s="23" t="s">
        <v>13</v>
      </c>
      <c r="D39" s="37" t="s">
        <v>17</v>
      </c>
      <c r="E39" s="23" t="s">
        <v>33</v>
      </c>
      <c r="F39" s="31">
        <v>216</v>
      </c>
      <c r="G39" s="31">
        <v>67000</v>
      </c>
      <c r="H39" s="31">
        <f>Cty_Nam_Khanh[[#This Row],[ĐƠN GIÁ]]*Cty_Nam_Khanh[[#This Row],[SỐ LƯỢNG]]</f>
        <v>14472000</v>
      </c>
      <c r="I39" s="31"/>
      <c r="J39" s="31">
        <f>J38+Cty_Nam_Khanh[[#This Row],[THÀNH TIỀN]]-Cty_Nam_Khanh[[#This Row],[THANH TOÁN]]</f>
        <v>585749900</v>
      </c>
      <c r="K39" s="24"/>
    </row>
    <row r="40" spans="1:11" x14ac:dyDescent="0.25">
      <c r="A40" s="22"/>
      <c r="B40" s="29">
        <v>46121</v>
      </c>
      <c r="C40" s="23" t="s">
        <v>654</v>
      </c>
      <c r="D40" s="37" t="s">
        <v>22</v>
      </c>
      <c r="E40" s="23" t="s">
        <v>2067</v>
      </c>
      <c r="F40" s="31">
        <v>0</v>
      </c>
      <c r="G40" s="31"/>
      <c r="H40" s="31">
        <f>Cty_Nam_Khanh[[#This Row],[ĐƠN GIÁ]]*Cty_Nam_Khanh[[#This Row],[SỐ LƯỢNG]]</f>
        <v>0</v>
      </c>
      <c r="I40" s="31">
        <v>-1551000</v>
      </c>
      <c r="J40" s="31">
        <f>J39+Cty_Nam_Khanh[[#This Row],[THÀNH TIỀN]]-Cty_Nam_Khanh[[#This Row],[THANH TOÁN]]</f>
        <v>587300900</v>
      </c>
      <c r="K40" s="24"/>
    </row>
    <row r="41" spans="1:11" x14ac:dyDescent="0.25">
      <c r="A41" s="22">
        <v>8692</v>
      </c>
      <c r="B41" s="29">
        <v>46122</v>
      </c>
      <c r="C41" s="23" t="s">
        <v>49</v>
      </c>
      <c r="D41" s="37" t="s">
        <v>17</v>
      </c>
      <c r="E41" s="23" t="s">
        <v>41</v>
      </c>
      <c r="F41" s="31">
        <v>535</v>
      </c>
      <c r="G41" s="31"/>
      <c r="H41" s="31">
        <f>Cty_Nam_Khanh[[#This Row],[ĐƠN GIÁ]]*Cty_Nam_Khanh[[#This Row],[SỐ LƯỢNG]]</f>
        <v>0</v>
      </c>
      <c r="I41" s="31"/>
      <c r="J41" s="31">
        <f>J40+Cty_Nam_Khanh[[#This Row],[THÀNH TIỀN]]-Cty_Nam_Khanh[[#This Row],[THANH TOÁN]]</f>
        <v>587300900</v>
      </c>
      <c r="K41" s="24" t="s">
        <v>424</v>
      </c>
    </row>
    <row r="42" spans="1:11" x14ac:dyDescent="0.25">
      <c r="A42" s="22">
        <v>8692</v>
      </c>
      <c r="B42" s="29">
        <v>46122</v>
      </c>
      <c r="C42" s="23" t="s">
        <v>49</v>
      </c>
      <c r="D42" s="37" t="s">
        <v>17</v>
      </c>
      <c r="E42" s="23" t="s">
        <v>416</v>
      </c>
      <c r="F42" s="31">
        <v>834</v>
      </c>
      <c r="G42" s="31"/>
      <c r="H42" s="31">
        <f>Cty_Nam_Khanh[[#This Row],[ĐƠN GIÁ]]*Cty_Nam_Khanh[[#This Row],[SỐ LƯỢNG]]</f>
        <v>0</v>
      </c>
      <c r="I42" s="31"/>
      <c r="J42" s="31">
        <f>J41+Cty_Nam_Khanh[[#This Row],[THÀNH TIỀN]]-Cty_Nam_Khanh[[#This Row],[THANH TOÁN]]</f>
        <v>587300900</v>
      </c>
      <c r="K42" s="24" t="s">
        <v>425</v>
      </c>
    </row>
    <row r="43" spans="1:11" x14ac:dyDescent="0.25">
      <c r="A43" s="22"/>
      <c r="B43" s="29">
        <v>46122</v>
      </c>
      <c r="C43" s="23" t="s">
        <v>21</v>
      </c>
      <c r="D43" s="37" t="s">
        <v>22</v>
      </c>
      <c r="E43" s="23" t="s">
        <v>83</v>
      </c>
      <c r="F43" s="31">
        <v>0</v>
      </c>
      <c r="G43" s="31"/>
      <c r="H43" s="31">
        <f>Cty_Nam_Khanh[[#This Row],[ĐƠN GIÁ]]*Cty_Nam_Khanh[[#This Row],[SỐ LƯỢNG]]</f>
        <v>0</v>
      </c>
      <c r="I43" s="31">
        <v>100000000</v>
      </c>
      <c r="J43" s="31">
        <f>J42+Cty_Nam_Khanh[[#This Row],[THÀNH TIỀN]]-Cty_Nam_Khanh[[#This Row],[THANH TOÁN]]</f>
        <v>487300900</v>
      </c>
      <c r="K43" s="24"/>
    </row>
    <row r="44" spans="1:11" x14ac:dyDescent="0.25">
      <c r="A44" s="22">
        <v>8705</v>
      </c>
      <c r="B44" s="29">
        <v>46123</v>
      </c>
      <c r="C44" s="23" t="s">
        <v>13</v>
      </c>
      <c r="D44" s="37" t="s">
        <v>14</v>
      </c>
      <c r="E44" s="23" t="s">
        <v>136</v>
      </c>
      <c r="F44" s="31">
        <v>818</v>
      </c>
      <c r="G44" s="31">
        <v>41500</v>
      </c>
      <c r="H44" s="31">
        <f>Cty_Nam_Khanh[[#This Row],[ĐƠN GIÁ]]*Cty_Nam_Khanh[[#This Row],[SỐ LƯỢNG]]</f>
        <v>33947000</v>
      </c>
      <c r="I44" s="31"/>
      <c r="J44" s="31">
        <f>J43+Cty_Nam_Khanh[[#This Row],[THÀNH TIỀN]]-Cty_Nam_Khanh[[#This Row],[THANH TOÁN]]</f>
        <v>521247900</v>
      </c>
      <c r="K44" s="24"/>
    </row>
    <row r="45" spans="1:11" x14ac:dyDescent="0.25">
      <c r="A45" s="22">
        <v>8705</v>
      </c>
      <c r="B45" s="29">
        <v>46123</v>
      </c>
      <c r="C45" s="23" t="s">
        <v>13</v>
      </c>
      <c r="D45" s="37" t="s">
        <v>14</v>
      </c>
      <c r="E45" s="23" t="s">
        <v>40</v>
      </c>
      <c r="F45" s="31">
        <v>3052</v>
      </c>
      <c r="G45" s="31">
        <v>47000</v>
      </c>
      <c r="H45" s="31">
        <f>Cty_Nam_Khanh[[#This Row],[ĐƠN GIÁ]]*Cty_Nam_Khanh[[#This Row],[SỐ LƯỢNG]]</f>
        <v>143444000</v>
      </c>
      <c r="I45" s="31"/>
      <c r="J45" s="31">
        <f>J44+Cty_Nam_Khanh[[#This Row],[THÀNH TIỀN]]-Cty_Nam_Khanh[[#This Row],[THANH TOÁN]]</f>
        <v>664691900</v>
      </c>
      <c r="K45" s="24"/>
    </row>
    <row r="46" spans="1:11" x14ac:dyDescent="0.25">
      <c r="A46" s="22">
        <v>3737</v>
      </c>
      <c r="B46" s="29">
        <v>46123</v>
      </c>
      <c r="C46" s="23" t="s">
        <v>84</v>
      </c>
      <c r="D46" s="37" t="s">
        <v>17</v>
      </c>
      <c r="E46" s="23" t="s">
        <v>41</v>
      </c>
      <c r="F46" s="31">
        <v>534</v>
      </c>
      <c r="G46" s="31">
        <v>-1000</v>
      </c>
      <c r="H46" s="31">
        <f>Cty_Nam_Khanh[[#This Row],[ĐƠN GIÁ]]*Cty_Nam_Khanh[[#This Row],[SỐ LƯỢNG]]</f>
        <v>-534000</v>
      </c>
      <c r="I46" s="31"/>
      <c r="J46" s="31">
        <f>J45+Cty_Nam_Khanh[[#This Row],[THÀNH TIỀN]]-Cty_Nam_Khanh[[#This Row],[THANH TOÁN]]</f>
        <v>664157900</v>
      </c>
      <c r="K46" s="24"/>
    </row>
    <row r="47" spans="1:11" x14ac:dyDescent="0.25">
      <c r="A47" s="22">
        <v>3737</v>
      </c>
      <c r="B47" s="29">
        <v>46123</v>
      </c>
      <c r="C47" s="23" t="s">
        <v>84</v>
      </c>
      <c r="D47" s="37" t="s">
        <v>17</v>
      </c>
      <c r="E47" s="23" t="s">
        <v>416</v>
      </c>
      <c r="F47" s="31">
        <v>172</v>
      </c>
      <c r="G47" s="31">
        <v>-1800</v>
      </c>
      <c r="H47" s="31">
        <f>Cty_Nam_Khanh[[#This Row],[ĐƠN GIÁ]]*Cty_Nam_Khanh[[#This Row],[SỐ LƯỢNG]]</f>
        <v>-309600</v>
      </c>
      <c r="I47" s="31"/>
      <c r="J47" s="31">
        <f>J46+Cty_Nam_Khanh[[#This Row],[THÀNH TIỀN]]-Cty_Nam_Khanh[[#This Row],[THANH TOÁN]]</f>
        <v>663848300</v>
      </c>
      <c r="K47" s="24"/>
    </row>
    <row r="48" spans="1:11" x14ac:dyDescent="0.25">
      <c r="A48" s="22">
        <v>3737</v>
      </c>
      <c r="B48" s="29">
        <v>46123</v>
      </c>
      <c r="C48" s="23" t="s">
        <v>426</v>
      </c>
      <c r="D48" s="37" t="s">
        <v>17</v>
      </c>
      <c r="E48" s="23" t="s">
        <v>416</v>
      </c>
      <c r="F48" s="31">
        <v>670</v>
      </c>
      <c r="G48" s="31"/>
      <c r="H48" s="31">
        <f>Cty_Nam_Khanh[[#This Row],[ĐƠN GIÁ]]*Cty_Nam_Khanh[[#This Row],[SỐ LƯỢNG]]</f>
        <v>0</v>
      </c>
      <c r="I48" s="31"/>
      <c r="J48" s="31">
        <f>J47+Cty_Nam_Khanh[[#This Row],[THÀNH TIỀN]]-Cty_Nam_Khanh[[#This Row],[THANH TOÁN]]</f>
        <v>663848300</v>
      </c>
      <c r="K48" s="24"/>
    </row>
    <row r="49" spans="1:11" x14ac:dyDescent="0.25">
      <c r="A49" s="22">
        <v>8746</v>
      </c>
      <c r="B49" s="29">
        <v>46125</v>
      </c>
      <c r="C49" s="23" t="s">
        <v>13</v>
      </c>
      <c r="D49" s="37" t="s">
        <v>14</v>
      </c>
      <c r="E49" s="23" t="s">
        <v>62</v>
      </c>
      <c r="F49" s="31">
        <v>1024</v>
      </c>
      <c r="G49" s="31">
        <v>43000</v>
      </c>
      <c r="H49" s="31">
        <f>Cty_Nam_Khanh[[#This Row],[ĐƠN GIÁ]]*Cty_Nam_Khanh[[#This Row],[SỐ LƯỢNG]]</f>
        <v>44032000</v>
      </c>
      <c r="I49" s="31"/>
      <c r="J49" s="31">
        <f>J48+Cty_Nam_Khanh[[#This Row],[THÀNH TIỀN]]-Cty_Nam_Khanh[[#This Row],[THANH TOÁN]]</f>
        <v>707880300</v>
      </c>
      <c r="K49" s="24"/>
    </row>
    <row r="50" spans="1:11" x14ac:dyDescent="0.25">
      <c r="A50" s="22">
        <v>8836</v>
      </c>
      <c r="B50" s="29">
        <v>46128</v>
      </c>
      <c r="C50" s="23" t="s">
        <v>13</v>
      </c>
      <c r="D50" s="37" t="s">
        <v>14</v>
      </c>
      <c r="E50" s="23" t="s">
        <v>148</v>
      </c>
      <c r="F50" s="31">
        <v>3502</v>
      </c>
      <c r="G50" s="31">
        <v>41500</v>
      </c>
      <c r="H50" s="31">
        <f>Cty_Nam_Khanh[[#This Row],[ĐƠN GIÁ]]*Cty_Nam_Khanh[[#This Row],[SỐ LƯỢNG]]</f>
        <v>145333000</v>
      </c>
      <c r="I50" s="31"/>
      <c r="J50" s="31">
        <f>J49+Cty_Nam_Khanh[[#This Row],[THÀNH TIỀN]]-Cty_Nam_Khanh[[#This Row],[THANH TOÁN]]</f>
        <v>853213300</v>
      </c>
      <c r="K50" s="24"/>
    </row>
    <row r="51" spans="1:11" x14ac:dyDescent="0.25">
      <c r="A51" s="22"/>
      <c r="B51" s="29">
        <v>46128</v>
      </c>
      <c r="C51" s="23" t="s">
        <v>21</v>
      </c>
      <c r="D51" s="37" t="s">
        <v>22</v>
      </c>
      <c r="E51" s="23" t="s">
        <v>83</v>
      </c>
      <c r="F51" s="31">
        <v>0</v>
      </c>
      <c r="G51" s="31"/>
      <c r="H51" s="31">
        <f>Cty_Nam_Khanh[[#This Row],[ĐƠN GIÁ]]*Cty_Nam_Khanh[[#This Row],[SỐ LƯỢNG]]</f>
        <v>0</v>
      </c>
      <c r="I51" s="31">
        <v>100000000</v>
      </c>
      <c r="J51" s="31">
        <f>J50+Cty_Nam_Khanh[[#This Row],[THÀNH TIỀN]]-Cty_Nam_Khanh[[#This Row],[THANH TOÁN]]</f>
        <v>753213300</v>
      </c>
      <c r="K51" s="24"/>
    </row>
    <row r="52" spans="1:11" x14ac:dyDescent="0.25">
      <c r="A52" s="22"/>
      <c r="B52" s="29">
        <v>46136</v>
      </c>
      <c r="C52" s="23" t="s">
        <v>21</v>
      </c>
      <c r="D52" s="37" t="s">
        <v>22</v>
      </c>
      <c r="E52" s="23" t="s">
        <v>261</v>
      </c>
      <c r="F52" s="31">
        <v>0</v>
      </c>
      <c r="G52" s="31"/>
      <c r="H52" s="31">
        <f>Cty_Nam_Khanh[[#This Row],[ĐƠN GIÁ]]*Cty_Nam_Khanh[[#This Row],[SỐ LƯỢNG]]</f>
        <v>0</v>
      </c>
      <c r="I52" s="31">
        <v>100000000</v>
      </c>
      <c r="J52" s="31">
        <f>J51+Cty_Nam_Khanh[[#This Row],[THÀNH TIỀN]]-Cty_Nam_Khanh[[#This Row],[THANH TOÁN]]</f>
        <v>653213300</v>
      </c>
      <c r="K52" s="24"/>
    </row>
    <row r="53" spans="1:11" x14ac:dyDescent="0.25">
      <c r="A53" s="22">
        <v>9035</v>
      </c>
      <c r="B53" s="29">
        <v>46137</v>
      </c>
      <c r="C53" s="23" t="s">
        <v>13</v>
      </c>
      <c r="D53" s="37" t="s">
        <v>1831</v>
      </c>
      <c r="E53" s="23" t="s">
        <v>148</v>
      </c>
      <c r="F53" s="31">
        <v>5450</v>
      </c>
      <c r="G53" s="31">
        <v>71500</v>
      </c>
      <c r="H53" s="31">
        <f>Cty_Nam_Khanh[[#This Row],[ĐƠN GIÁ]]*Cty_Nam_Khanh[[#This Row],[SỐ LƯỢNG]]</f>
        <v>389675000</v>
      </c>
      <c r="I53" s="31"/>
      <c r="J53" s="31">
        <f>J52+Cty_Nam_Khanh[[#This Row],[THÀNH TIỀN]]-Cty_Nam_Khanh[[#This Row],[THANH TOÁN]]</f>
        <v>1042888300</v>
      </c>
      <c r="K53" s="24"/>
    </row>
    <row r="54" spans="1:11" x14ac:dyDescent="0.25">
      <c r="A54" s="22">
        <v>9046</v>
      </c>
      <c r="B54" s="29">
        <v>46139</v>
      </c>
      <c r="C54" s="23" t="s">
        <v>13</v>
      </c>
      <c r="D54" s="37" t="s">
        <v>1842</v>
      </c>
      <c r="E54" s="23" t="s">
        <v>1458</v>
      </c>
      <c r="F54" s="31">
        <v>1108</v>
      </c>
      <c r="G54" s="31">
        <v>71500</v>
      </c>
      <c r="H54" s="31">
        <f>Cty_Nam_Khanh[[#This Row],[ĐƠN GIÁ]]*Cty_Nam_Khanh[[#This Row],[SỐ LƯỢNG]]</f>
        <v>79222000</v>
      </c>
      <c r="I54" s="31"/>
      <c r="J54" s="31">
        <f>J53+Cty_Nam_Khanh[[#This Row],[THÀNH TIỀN]]-Cty_Nam_Khanh[[#This Row],[THANH TOÁN]]</f>
        <v>1122110300</v>
      </c>
      <c r="K54" s="24"/>
    </row>
    <row r="55" spans="1:11" x14ac:dyDescent="0.25">
      <c r="A55" s="22">
        <v>9046</v>
      </c>
      <c r="B55" s="29">
        <v>46139</v>
      </c>
      <c r="C55" s="23" t="s">
        <v>13</v>
      </c>
      <c r="D55" s="37" t="s">
        <v>32</v>
      </c>
      <c r="E55" s="23" t="s">
        <v>40</v>
      </c>
      <c r="F55" s="31">
        <v>5083</v>
      </c>
      <c r="G55" s="31">
        <v>42500</v>
      </c>
      <c r="H55" s="31">
        <f>Cty_Nam_Khanh[[#This Row],[ĐƠN GIÁ]]*Cty_Nam_Khanh[[#This Row],[SỐ LƯỢNG]]</f>
        <v>216027500</v>
      </c>
      <c r="I55" s="31"/>
      <c r="J55" s="31">
        <f>J54+Cty_Nam_Khanh[[#This Row],[THÀNH TIỀN]]-Cty_Nam_Khanh[[#This Row],[THANH TOÁN]]</f>
        <v>1338137800</v>
      </c>
      <c r="K55" s="24"/>
    </row>
    <row r="56" spans="1:11" x14ac:dyDescent="0.25">
      <c r="A56" s="22"/>
      <c r="B56" s="29">
        <v>46141</v>
      </c>
      <c r="C56" s="23" t="s">
        <v>21</v>
      </c>
      <c r="D56" s="37" t="s">
        <v>22</v>
      </c>
      <c r="E56" s="23" t="s">
        <v>261</v>
      </c>
      <c r="F56" s="31">
        <v>0</v>
      </c>
      <c r="G56" s="31"/>
      <c r="H56" s="31">
        <f>Cty_Nam_Khanh[[#This Row],[ĐƠN GIÁ]]*Cty_Nam_Khanh[[#This Row],[SỐ LƯỢNG]]</f>
        <v>0</v>
      </c>
      <c r="I56" s="31">
        <v>100000000</v>
      </c>
      <c r="J56" s="31">
        <f>J55+Cty_Nam_Khanh[[#This Row],[THÀNH TIỀN]]-Cty_Nam_Khanh[[#This Row],[THANH TOÁN]]</f>
        <v>1238137800</v>
      </c>
      <c r="K56" s="24"/>
    </row>
    <row r="57" spans="1:11" x14ac:dyDescent="0.25">
      <c r="A57" s="22">
        <v>9153</v>
      </c>
      <c r="B57" s="29">
        <v>46146</v>
      </c>
      <c r="C57" s="23" t="s">
        <v>13</v>
      </c>
      <c r="D57" s="37" t="s">
        <v>26</v>
      </c>
      <c r="E57" s="23" t="s">
        <v>146</v>
      </c>
      <c r="F57" s="31">
        <v>1048</v>
      </c>
      <c r="G57" s="31">
        <v>35000</v>
      </c>
      <c r="H57" s="31">
        <f>Cty_Nam_Khanh[[#This Row],[ĐƠN GIÁ]]*Cty_Nam_Khanh[[#This Row],[SỐ LƯỢNG]]</f>
        <v>36680000</v>
      </c>
      <c r="I57" s="31"/>
      <c r="J57" s="31">
        <f>J56+Cty_Nam_Khanh[[#This Row],[THÀNH TIỀN]]-Cty_Nam_Khanh[[#This Row],[THANH TOÁN]]</f>
        <v>1274817800</v>
      </c>
      <c r="K57" s="24"/>
    </row>
    <row r="58" spans="1:11" x14ac:dyDescent="0.25">
      <c r="A58" s="22">
        <v>9153</v>
      </c>
      <c r="B58" s="29">
        <v>46146</v>
      </c>
      <c r="C58" s="23" t="s">
        <v>13</v>
      </c>
      <c r="D58" s="37" t="s">
        <v>17</v>
      </c>
      <c r="E58" s="23" t="s">
        <v>469</v>
      </c>
      <c r="F58" s="31">
        <v>146</v>
      </c>
      <c r="G58" s="31">
        <v>65000</v>
      </c>
      <c r="H58" s="31">
        <f>Cty_Nam_Khanh[[#This Row],[ĐƠN GIÁ]]*Cty_Nam_Khanh[[#This Row],[SỐ LƯỢNG]]</f>
        <v>9490000</v>
      </c>
      <c r="I58" s="31"/>
      <c r="J58" s="31">
        <f>J57+Cty_Nam_Khanh[[#This Row],[THÀNH TIỀN]]-Cty_Nam_Khanh[[#This Row],[THANH TOÁN]]</f>
        <v>1284307800</v>
      </c>
      <c r="K58" s="24"/>
    </row>
    <row r="59" spans="1:11" x14ac:dyDescent="0.25">
      <c r="A59" s="22">
        <v>9192</v>
      </c>
      <c r="B59" s="29">
        <v>46148</v>
      </c>
      <c r="C59" s="23" t="s">
        <v>13</v>
      </c>
      <c r="D59" s="37" t="s">
        <v>32</v>
      </c>
      <c r="E59" s="23" t="s">
        <v>40</v>
      </c>
      <c r="F59" s="31">
        <v>2576</v>
      </c>
      <c r="G59" s="31">
        <v>43000</v>
      </c>
      <c r="H59" s="31">
        <f>Cty_Nam_Khanh[[#This Row],[ĐƠN GIÁ]]*Cty_Nam_Khanh[[#This Row],[SỐ LƯỢNG]]</f>
        <v>110768000</v>
      </c>
      <c r="I59" s="31"/>
      <c r="J59" s="31">
        <f>J58+Cty_Nam_Khanh[[#This Row],[THÀNH TIỀN]]-Cty_Nam_Khanh[[#This Row],[THANH TOÁN]]</f>
        <v>1395075800</v>
      </c>
      <c r="K59" s="24"/>
    </row>
    <row r="60" spans="1:11" x14ac:dyDescent="0.25">
      <c r="A60" s="22">
        <v>9216</v>
      </c>
      <c r="B60" s="29">
        <v>46148</v>
      </c>
      <c r="C60" s="23" t="s">
        <v>13</v>
      </c>
      <c r="D60" s="37" t="s">
        <v>1831</v>
      </c>
      <c r="E60" s="23" t="s">
        <v>148</v>
      </c>
      <c r="F60" s="31">
        <v>5396</v>
      </c>
      <c r="G60" s="31">
        <v>71500</v>
      </c>
      <c r="H60" s="31">
        <f>Cty_Nam_Khanh[[#This Row],[ĐƠN GIÁ]]*Cty_Nam_Khanh[[#This Row],[SỐ LƯỢNG]]</f>
        <v>385814000</v>
      </c>
      <c r="I60" s="31"/>
      <c r="J60" s="31">
        <f>J59+Cty_Nam_Khanh[[#This Row],[THÀNH TIỀN]]-Cty_Nam_Khanh[[#This Row],[THANH TOÁN]]</f>
        <v>1780889800</v>
      </c>
      <c r="K60" s="24"/>
    </row>
    <row r="61" spans="1:11" x14ac:dyDescent="0.25">
      <c r="A61" s="22"/>
      <c r="B61" s="29">
        <v>46148</v>
      </c>
      <c r="C61" s="23" t="s">
        <v>21</v>
      </c>
      <c r="D61" s="37" t="s">
        <v>22</v>
      </c>
      <c r="E61" s="23" t="s">
        <v>261</v>
      </c>
      <c r="F61" s="31">
        <v>0</v>
      </c>
      <c r="G61" s="31"/>
      <c r="H61" s="31">
        <f>Cty_Nam_Khanh[[#This Row],[ĐƠN GIÁ]]*Cty_Nam_Khanh[[#This Row],[SỐ LƯỢNG]]</f>
        <v>0</v>
      </c>
      <c r="I61" s="31">
        <v>100000000</v>
      </c>
      <c r="J61" s="31">
        <f>J60+Cty_Nam_Khanh[[#This Row],[THÀNH TIỀN]]-Cty_Nam_Khanh[[#This Row],[THANH TOÁN]]</f>
        <v>1680889800</v>
      </c>
      <c r="K61" s="24"/>
    </row>
    <row r="62" spans="1:11" x14ac:dyDescent="0.25">
      <c r="A62" s="22">
        <v>9246</v>
      </c>
      <c r="B62" s="29">
        <v>46149</v>
      </c>
      <c r="C62" s="23" t="s">
        <v>13</v>
      </c>
      <c r="D62" s="37" t="s">
        <v>1831</v>
      </c>
      <c r="E62" s="23" t="s">
        <v>148</v>
      </c>
      <c r="F62" s="31">
        <v>2640</v>
      </c>
      <c r="G62" s="31">
        <v>71500</v>
      </c>
      <c r="H62" s="31">
        <f>Cty_Nam_Khanh[[#This Row],[ĐƠN GIÁ]]*Cty_Nam_Khanh[[#This Row],[SỐ LƯỢNG]]</f>
        <v>188760000</v>
      </c>
      <c r="I62" s="31"/>
      <c r="J62" s="31">
        <f>J61+Cty_Nam_Khanh[[#This Row],[THÀNH TIỀN]]-Cty_Nam_Khanh[[#This Row],[THANH TOÁN]]</f>
        <v>1869649800</v>
      </c>
      <c r="K62" s="24"/>
    </row>
    <row r="63" spans="1:11" x14ac:dyDescent="0.25">
      <c r="A63" s="178">
        <v>2939</v>
      </c>
      <c r="B63" s="179">
        <v>46149</v>
      </c>
      <c r="C63" s="180" t="s">
        <v>426</v>
      </c>
      <c r="D63" s="181" t="s">
        <v>1831</v>
      </c>
      <c r="E63" s="180" t="s">
        <v>148</v>
      </c>
      <c r="F63" s="182">
        <v>5396</v>
      </c>
      <c r="G63" s="182">
        <v>-71500</v>
      </c>
      <c r="H63" s="182">
        <f>Cty_Nam_Khanh[[#This Row],[ĐƠN GIÁ]]*Cty_Nam_Khanh[[#This Row],[SỐ LƯỢNG]]</f>
        <v>-385814000</v>
      </c>
      <c r="I63" s="182"/>
      <c r="J63" s="182">
        <f>J62+Cty_Nam_Khanh[[#This Row],[THÀNH TIỀN]]-Cty_Nam_Khanh[[#This Row],[THANH TOÁN]]</f>
        <v>1483835800</v>
      </c>
      <c r="K63" s="183"/>
    </row>
    <row r="64" spans="1:11" x14ac:dyDescent="0.25">
      <c r="A64" s="22">
        <v>9350</v>
      </c>
      <c r="B64" s="29">
        <v>46155</v>
      </c>
      <c r="C64" s="23" t="s">
        <v>13</v>
      </c>
      <c r="D64" s="37" t="s">
        <v>192</v>
      </c>
      <c r="E64" s="23" t="s">
        <v>259</v>
      </c>
      <c r="F64" s="31">
        <v>642</v>
      </c>
      <c r="G64" s="31">
        <v>63000</v>
      </c>
      <c r="H64" s="31">
        <f>Cty_Nam_Khanh[[#This Row],[ĐƠN GIÁ]]*Cty_Nam_Khanh[[#This Row],[SỐ LƯỢNG]]</f>
        <v>40446000</v>
      </c>
      <c r="I64" s="31"/>
      <c r="J64" s="31">
        <f>J63+Cty_Nam_Khanh[[#This Row],[THÀNH TIỀN]]-Cty_Nam_Khanh[[#This Row],[THANH TOÁN]]</f>
        <v>1524281800</v>
      </c>
      <c r="K64" s="24"/>
    </row>
    <row r="65" spans="1:11" x14ac:dyDescent="0.25">
      <c r="A65" s="22"/>
      <c r="B65" s="29">
        <v>46157</v>
      </c>
      <c r="C65" s="23" t="s">
        <v>21</v>
      </c>
      <c r="D65" s="37" t="s">
        <v>22</v>
      </c>
      <c r="E65" s="23" t="s">
        <v>2155</v>
      </c>
      <c r="F65" s="31">
        <v>0</v>
      </c>
      <c r="G65" s="31"/>
      <c r="H65" s="31">
        <f>Cty_Nam_Khanh[[#This Row],[ĐƠN GIÁ]]*Cty_Nam_Khanh[[#This Row],[SỐ LƯỢNG]]</f>
        <v>0</v>
      </c>
      <c r="I65" s="31">
        <v>100000000</v>
      </c>
      <c r="J65" s="31">
        <f>J64+Cty_Nam_Khanh[[#This Row],[THÀNH TIỀN]]-Cty_Nam_Khanh[[#This Row],[THANH TOÁN]]</f>
        <v>1424281800</v>
      </c>
      <c r="K65" s="24"/>
    </row>
    <row r="66" spans="1:11" x14ac:dyDescent="0.25">
      <c r="A66" s="22">
        <v>2881</v>
      </c>
      <c r="B66" s="29">
        <v>46158</v>
      </c>
      <c r="C66" s="23" t="s">
        <v>84</v>
      </c>
      <c r="D66" s="37" t="s">
        <v>17</v>
      </c>
      <c r="E66" s="23" t="s">
        <v>2190</v>
      </c>
      <c r="F66" s="31">
        <v>338</v>
      </c>
      <c r="G66" s="31">
        <v>-1700</v>
      </c>
      <c r="H66" s="31">
        <f>Cty_Nam_Khanh[[#This Row],[ĐƠN GIÁ]]*Cty_Nam_Khanh[[#This Row],[SỐ LƯỢNG]]</f>
        <v>-574600</v>
      </c>
      <c r="I66" s="31"/>
      <c r="J66" s="31">
        <f>J65+Cty_Nam_Khanh[[#This Row],[THÀNH TIỀN]]-Cty_Nam_Khanh[[#This Row],[THANH TOÁN]]</f>
        <v>1423707200</v>
      </c>
      <c r="K66" s="24"/>
    </row>
    <row r="67" spans="1:11" x14ac:dyDescent="0.25">
      <c r="A67" s="22">
        <v>9454</v>
      </c>
      <c r="B67" s="29">
        <v>46160</v>
      </c>
      <c r="C67" s="23" t="s">
        <v>49</v>
      </c>
      <c r="D67" s="37" t="s">
        <v>17</v>
      </c>
      <c r="E67" s="23" t="s">
        <v>913</v>
      </c>
      <c r="F67" s="31">
        <v>3628</v>
      </c>
      <c r="G67" s="31"/>
      <c r="H67" s="31">
        <f>Cty_Nam_Khanh[[#This Row],[ĐƠN GIÁ]]*Cty_Nam_Khanh[[#This Row],[SỐ LƯỢNG]]</f>
        <v>0</v>
      </c>
      <c r="I67" s="31"/>
      <c r="J67" s="31">
        <f>J66+Cty_Nam_Khanh[[#This Row],[THÀNH TIỀN]]-Cty_Nam_Khanh[[#This Row],[THANH TOÁN]]</f>
        <v>1423707200</v>
      </c>
      <c r="K67" s="24" t="s">
        <v>2202</v>
      </c>
    </row>
    <row r="68" spans="1:11" x14ac:dyDescent="0.25">
      <c r="A68" s="22">
        <v>2886</v>
      </c>
      <c r="B68" s="29">
        <v>46160</v>
      </c>
      <c r="C68" s="23" t="s">
        <v>84</v>
      </c>
      <c r="D68" s="37" t="s">
        <v>17</v>
      </c>
      <c r="E68" s="23" t="s">
        <v>41</v>
      </c>
      <c r="F68" s="31">
        <v>511</v>
      </c>
      <c r="G68" s="31">
        <v>-1800</v>
      </c>
      <c r="H68" s="31">
        <f>Cty_Nam_Khanh[[#This Row],[ĐƠN GIÁ]]*Cty_Nam_Khanh[[#This Row],[SỐ LƯỢNG]]</f>
        <v>-919800</v>
      </c>
      <c r="I68" s="31"/>
      <c r="J68" s="31">
        <f>J67+Cty_Nam_Khanh[[#This Row],[THÀNH TIỀN]]-Cty_Nam_Khanh[[#This Row],[THANH TOÁN]]</f>
        <v>1422787400</v>
      </c>
      <c r="K68" s="24" t="s">
        <v>2460</v>
      </c>
    </row>
    <row r="69" spans="1:11" x14ac:dyDescent="0.25">
      <c r="A69" s="22">
        <v>9513</v>
      </c>
      <c r="B69" s="29">
        <v>46162</v>
      </c>
      <c r="C69" s="23" t="s">
        <v>49</v>
      </c>
      <c r="D69" s="37" t="s">
        <v>17</v>
      </c>
      <c r="E69" s="23" t="s">
        <v>41</v>
      </c>
      <c r="F69" s="31">
        <v>1420</v>
      </c>
      <c r="G69" s="31"/>
      <c r="H69" s="31">
        <f>Cty_Nam_Khanh[[#This Row],[ĐƠN GIÁ]]*Cty_Nam_Khanh[[#This Row],[SỐ LƯỢNG]]</f>
        <v>0</v>
      </c>
      <c r="I69" s="31"/>
      <c r="J69" s="31">
        <f>J68+Cty_Nam_Khanh[[#This Row],[THÀNH TIỀN]]-Cty_Nam_Khanh[[#This Row],[THANH TOÁN]]</f>
        <v>1422787400</v>
      </c>
      <c r="K69" s="24" t="s">
        <v>2244</v>
      </c>
    </row>
    <row r="70" spans="1:11" x14ac:dyDescent="0.25">
      <c r="A70" s="22">
        <v>9513</v>
      </c>
      <c r="B70" s="29">
        <v>46162</v>
      </c>
      <c r="C70" s="23" t="s">
        <v>49</v>
      </c>
      <c r="D70" s="37" t="s">
        <v>17</v>
      </c>
      <c r="E70" s="23" t="s">
        <v>136</v>
      </c>
      <c r="F70" s="31">
        <v>1372</v>
      </c>
      <c r="G70" s="31"/>
      <c r="H70" s="31">
        <f>Cty_Nam_Khanh[[#This Row],[ĐƠN GIÁ]]*Cty_Nam_Khanh[[#This Row],[SỐ LƯỢNG]]</f>
        <v>0</v>
      </c>
      <c r="I70" s="31"/>
      <c r="J70" s="31">
        <f>J69+Cty_Nam_Khanh[[#This Row],[THÀNH TIỀN]]-Cty_Nam_Khanh[[#This Row],[THANH TOÁN]]</f>
        <v>1422787400</v>
      </c>
      <c r="K70" s="24" t="s">
        <v>2244</v>
      </c>
    </row>
    <row r="71" spans="1:11" x14ac:dyDescent="0.25">
      <c r="A71" s="22">
        <v>2896</v>
      </c>
      <c r="B71" s="29">
        <v>46163</v>
      </c>
      <c r="C71" s="23" t="s">
        <v>84</v>
      </c>
      <c r="D71" s="37" t="s">
        <v>17</v>
      </c>
      <c r="E71" s="23" t="s">
        <v>41</v>
      </c>
      <c r="F71" s="31">
        <v>306</v>
      </c>
      <c r="G71" s="31">
        <v>-2300</v>
      </c>
      <c r="H71" s="31">
        <f>Cty_Nam_Khanh[[#This Row],[ĐƠN GIÁ]]*Cty_Nam_Khanh[[#This Row],[SỐ LƯỢNG]]</f>
        <v>-703800</v>
      </c>
      <c r="I71" s="31"/>
      <c r="J71" s="31">
        <f>J70+Cty_Nam_Khanh[[#This Row],[THÀNH TIỀN]]-Cty_Nam_Khanh[[#This Row],[THANH TOÁN]]</f>
        <v>1422083600</v>
      </c>
      <c r="K71" s="24"/>
    </row>
    <row r="72" spans="1:11" x14ac:dyDescent="0.25">
      <c r="A72" s="22">
        <v>2896</v>
      </c>
      <c r="B72" s="29">
        <v>46163</v>
      </c>
      <c r="C72" s="23" t="s">
        <v>84</v>
      </c>
      <c r="D72" s="37" t="s">
        <v>17</v>
      </c>
      <c r="E72" s="23" t="s">
        <v>136</v>
      </c>
      <c r="F72" s="31">
        <v>290</v>
      </c>
      <c r="G72" s="31">
        <v>-1900</v>
      </c>
      <c r="H72" s="31">
        <f>Cty_Nam_Khanh[[#This Row],[ĐƠN GIÁ]]*Cty_Nam_Khanh[[#This Row],[SỐ LƯỢNG]]</f>
        <v>-551000</v>
      </c>
      <c r="I72" s="31"/>
      <c r="J72" s="31">
        <f>J71+Cty_Nam_Khanh[[#This Row],[THÀNH TIỀN]]-Cty_Nam_Khanh[[#This Row],[THANH TOÁN]]</f>
        <v>1421532600</v>
      </c>
      <c r="K72" s="24"/>
    </row>
    <row r="73" spans="1:11" x14ac:dyDescent="0.25">
      <c r="A73" s="22">
        <v>2896</v>
      </c>
      <c r="B73" s="29">
        <v>46163</v>
      </c>
      <c r="C73" s="23" t="s">
        <v>426</v>
      </c>
      <c r="D73" s="37" t="s">
        <v>17</v>
      </c>
      <c r="E73" s="23" t="s">
        <v>134</v>
      </c>
      <c r="F73" s="31">
        <v>904</v>
      </c>
      <c r="G73" s="31"/>
      <c r="H73" s="31">
        <f>Cty_Nam_Khanh[[#This Row],[ĐƠN GIÁ]]*Cty_Nam_Khanh[[#This Row],[SỐ LƯỢNG]]</f>
        <v>0</v>
      </c>
      <c r="I73" s="31"/>
      <c r="J73" s="31">
        <f>J72+Cty_Nam_Khanh[[#This Row],[THÀNH TIỀN]]-Cty_Nam_Khanh[[#This Row],[THANH TOÁN]]</f>
        <v>1421532600</v>
      </c>
      <c r="K73" s="24"/>
    </row>
    <row r="74" spans="1:11" x14ac:dyDescent="0.25">
      <c r="A74" s="22">
        <v>2896</v>
      </c>
      <c r="B74" s="29">
        <v>46163</v>
      </c>
      <c r="C74" s="23" t="s">
        <v>84</v>
      </c>
      <c r="D74" s="37" t="s">
        <v>17</v>
      </c>
      <c r="E74" s="23" t="s">
        <v>251</v>
      </c>
      <c r="F74" s="31">
        <v>3118</v>
      </c>
      <c r="G74" s="31"/>
      <c r="H74" s="31">
        <f>Cty_Nam_Khanh[[#This Row],[ĐƠN GIÁ]]*Cty_Nam_Khanh[[#This Row],[SỐ LƯỢNG]]</f>
        <v>0</v>
      </c>
      <c r="I74" s="31"/>
      <c r="J74" s="31">
        <f>J73+Cty_Nam_Khanh[[#This Row],[THÀNH TIỀN]]-Cty_Nam_Khanh[[#This Row],[THANH TOÁN]]</f>
        <v>1421532600</v>
      </c>
      <c r="K74" s="24"/>
    </row>
    <row r="75" spans="1:11" x14ac:dyDescent="0.25">
      <c r="A75" s="22">
        <v>2896</v>
      </c>
      <c r="B75" s="29">
        <v>46163</v>
      </c>
      <c r="C75" s="23" t="s">
        <v>84</v>
      </c>
      <c r="D75" s="37" t="s">
        <v>17</v>
      </c>
      <c r="E75" s="23" t="s">
        <v>41</v>
      </c>
      <c r="F75" s="31">
        <v>1420</v>
      </c>
      <c r="G75" s="31"/>
      <c r="H75" s="31">
        <f>Cty_Nam_Khanh[[#This Row],[ĐƠN GIÁ]]*Cty_Nam_Khanh[[#This Row],[SỐ LƯỢNG]]</f>
        <v>0</v>
      </c>
      <c r="I75" s="31"/>
      <c r="J75" s="31">
        <f>J74+Cty_Nam_Khanh[[#This Row],[THÀNH TIỀN]]-Cty_Nam_Khanh[[#This Row],[THANH TOÁN]]</f>
        <v>1421532600</v>
      </c>
      <c r="K75" s="24"/>
    </row>
    <row r="76" spans="1:11" x14ac:dyDescent="0.25">
      <c r="A76" s="22">
        <v>2896</v>
      </c>
      <c r="B76" s="29">
        <v>46163</v>
      </c>
      <c r="C76" s="23" t="s">
        <v>84</v>
      </c>
      <c r="D76" s="37" t="s">
        <v>17</v>
      </c>
      <c r="E76" s="23" t="s">
        <v>136</v>
      </c>
      <c r="F76" s="31">
        <v>1378</v>
      </c>
      <c r="G76" s="31"/>
      <c r="H76" s="31">
        <f>Cty_Nam_Khanh[[#This Row],[ĐƠN GIÁ]]*Cty_Nam_Khanh[[#This Row],[SỐ LƯỢNG]]</f>
        <v>0</v>
      </c>
      <c r="I76" s="31"/>
      <c r="J76" s="31">
        <f>J75+Cty_Nam_Khanh[[#This Row],[THÀNH TIỀN]]-Cty_Nam_Khanh[[#This Row],[THANH TOÁN]]</f>
        <v>1421532600</v>
      </c>
      <c r="K76" s="24"/>
    </row>
    <row r="77" spans="1:11" x14ac:dyDescent="0.25">
      <c r="A77" s="22">
        <v>9584</v>
      </c>
      <c r="B77" s="29">
        <v>46165</v>
      </c>
      <c r="C77" s="23" t="s">
        <v>13</v>
      </c>
      <c r="D77" s="37" t="s">
        <v>32</v>
      </c>
      <c r="E77" s="23" t="s">
        <v>78</v>
      </c>
      <c r="F77" s="31">
        <v>1546</v>
      </c>
      <c r="G77" s="31">
        <v>41000</v>
      </c>
      <c r="H77" s="31">
        <f>Cty_Nam_Khanh[[#This Row],[ĐƠN GIÁ]]*Cty_Nam_Khanh[[#This Row],[SỐ LƯỢNG]]</f>
        <v>63386000</v>
      </c>
      <c r="I77" s="31"/>
      <c r="J77" s="31">
        <f>J76+Cty_Nam_Khanh[[#This Row],[THÀNH TIỀN]]-Cty_Nam_Khanh[[#This Row],[THANH TOÁN]]</f>
        <v>1484918600</v>
      </c>
      <c r="K77" s="24"/>
    </row>
    <row r="78" spans="1:11" x14ac:dyDescent="0.25">
      <c r="A78" s="22">
        <v>9614</v>
      </c>
      <c r="B78" s="29">
        <v>46168</v>
      </c>
      <c r="C78" s="23" t="s">
        <v>13</v>
      </c>
      <c r="D78" s="37" t="s">
        <v>14</v>
      </c>
      <c r="E78" s="23" t="s">
        <v>78</v>
      </c>
      <c r="F78" s="31">
        <v>328</v>
      </c>
      <c r="G78" s="31">
        <v>45000</v>
      </c>
      <c r="H78" s="31">
        <f>Cty_Nam_Khanh[[#This Row],[ĐƠN GIÁ]]*Cty_Nam_Khanh[[#This Row],[SỐ LƯỢNG]]</f>
        <v>14760000</v>
      </c>
      <c r="I78" s="31"/>
      <c r="J78" s="31">
        <f>J77+Cty_Nam_Khanh[[#This Row],[THÀNH TIỀN]]-Cty_Nam_Khanh[[#This Row],[THANH TOÁN]]</f>
        <v>1499678600</v>
      </c>
      <c r="K78" s="24"/>
    </row>
    <row r="79" spans="1:11" x14ac:dyDescent="0.25">
      <c r="A79" s="22">
        <v>9614</v>
      </c>
      <c r="B79" s="29">
        <v>46168</v>
      </c>
      <c r="C79" s="23" t="s">
        <v>13</v>
      </c>
      <c r="D79" s="37" t="s">
        <v>43</v>
      </c>
      <c r="E79" s="23" t="s">
        <v>259</v>
      </c>
      <c r="F79" s="31">
        <v>72</v>
      </c>
      <c r="G79" s="31">
        <v>65000</v>
      </c>
      <c r="H79" s="31">
        <f>Cty_Nam_Khanh[[#This Row],[ĐƠN GIÁ]]*Cty_Nam_Khanh[[#This Row],[SỐ LƯỢNG]]</f>
        <v>4680000</v>
      </c>
      <c r="I79" s="31"/>
      <c r="J79" s="31">
        <f>J78+Cty_Nam_Khanh[[#This Row],[THÀNH TIỀN]]-Cty_Nam_Khanh[[#This Row],[THANH TOÁN]]</f>
        <v>1504358600</v>
      </c>
      <c r="K79" s="24"/>
    </row>
    <row r="80" spans="1:11" x14ac:dyDescent="0.25">
      <c r="A80" s="22">
        <v>9594</v>
      </c>
      <c r="B80" s="29">
        <v>46167</v>
      </c>
      <c r="C80" s="23" t="s">
        <v>13</v>
      </c>
      <c r="D80" s="37" t="s">
        <v>32</v>
      </c>
      <c r="E80" s="23" t="s">
        <v>78</v>
      </c>
      <c r="F80" s="31">
        <v>1854</v>
      </c>
      <c r="G80" s="31">
        <v>41000</v>
      </c>
      <c r="H80" s="31">
        <f>Cty_Nam_Khanh[[#This Row],[ĐƠN GIÁ]]*Cty_Nam_Khanh[[#This Row],[SỐ LƯỢNG]]</f>
        <v>76014000</v>
      </c>
      <c r="I80" s="31"/>
      <c r="J80" s="31">
        <f>J79+Cty_Nam_Khanh[[#This Row],[THÀNH TIỀN]]-Cty_Nam_Khanh[[#This Row],[THANH TOÁN]]</f>
        <v>1580372600</v>
      </c>
      <c r="K80" s="24"/>
    </row>
    <row r="81" spans="1:11" x14ac:dyDescent="0.25">
      <c r="A81" s="22">
        <v>9594</v>
      </c>
      <c r="B81" s="29">
        <v>46167</v>
      </c>
      <c r="C81" s="23" t="s">
        <v>13</v>
      </c>
      <c r="D81" s="37" t="s">
        <v>150</v>
      </c>
      <c r="E81" s="23" t="s">
        <v>73</v>
      </c>
      <c r="F81" s="31">
        <v>216</v>
      </c>
      <c r="G81" s="31">
        <v>36000</v>
      </c>
      <c r="H81" s="31">
        <f>Cty_Nam_Khanh[[#This Row],[ĐƠN GIÁ]]*Cty_Nam_Khanh[[#This Row],[SỐ LƯỢNG]]</f>
        <v>7776000</v>
      </c>
      <c r="I81" s="31"/>
      <c r="J81" s="31">
        <f>J80+Cty_Nam_Khanh[[#This Row],[THÀNH TIỀN]]-Cty_Nam_Khanh[[#This Row],[THANH TOÁN]]</f>
        <v>1588148600</v>
      </c>
      <c r="K81" s="24"/>
    </row>
    <row r="82" spans="1:11" x14ac:dyDescent="0.25">
      <c r="A82" s="22">
        <v>9594</v>
      </c>
      <c r="B82" s="29">
        <v>46167</v>
      </c>
      <c r="C82" s="23" t="s">
        <v>13</v>
      </c>
      <c r="D82" s="37" t="s">
        <v>43</v>
      </c>
      <c r="E82" s="23" t="s">
        <v>271</v>
      </c>
      <c r="F82" s="31">
        <v>898</v>
      </c>
      <c r="G82" s="31">
        <v>66000</v>
      </c>
      <c r="H82" s="31">
        <f>Cty_Nam_Khanh[[#This Row],[ĐƠN GIÁ]]*Cty_Nam_Khanh[[#This Row],[SỐ LƯỢNG]]</f>
        <v>59268000</v>
      </c>
      <c r="I82" s="31"/>
      <c r="J82" s="31">
        <f>J81+Cty_Nam_Khanh[[#This Row],[THÀNH TIỀN]]-Cty_Nam_Khanh[[#This Row],[THANH TOÁN]]</f>
        <v>1647416600</v>
      </c>
      <c r="K82" s="24"/>
    </row>
    <row r="83" spans="1:11" x14ac:dyDescent="0.25">
      <c r="A83" s="22">
        <v>9619</v>
      </c>
      <c r="B83" s="29">
        <v>46168</v>
      </c>
      <c r="C83" s="23" t="s">
        <v>49</v>
      </c>
      <c r="D83" s="37" t="s">
        <v>43</v>
      </c>
      <c r="E83" s="23" t="s">
        <v>146</v>
      </c>
      <c r="F83" s="31">
        <v>5242</v>
      </c>
      <c r="G83" s="31"/>
      <c r="H83" s="31">
        <f>Cty_Nam_Khanh[[#This Row],[ĐƠN GIÁ]]*Cty_Nam_Khanh[[#This Row],[SỐ LƯỢNG]]</f>
        <v>0</v>
      </c>
      <c r="I83" s="31"/>
      <c r="J83" s="31">
        <f>J82+Cty_Nam_Khanh[[#This Row],[THÀNH TIỀN]]-Cty_Nam_Khanh[[#This Row],[THANH TOÁN]]</f>
        <v>1647416600</v>
      </c>
      <c r="K83" s="24" t="s">
        <v>2358</v>
      </c>
    </row>
    <row r="84" spans="1:11" x14ac:dyDescent="0.25">
      <c r="A84" s="25">
        <v>3667</v>
      </c>
      <c r="B84" s="30">
        <v>46167</v>
      </c>
      <c r="C84" s="26" t="s">
        <v>426</v>
      </c>
      <c r="D84" s="38" t="s">
        <v>14</v>
      </c>
      <c r="E84" s="26" t="s">
        <v>78</v>
      </c>
      <c r="F84" s="28">
        <v>1546</v>
      </c>
      <c r="G84" s="28">
        <v>-41000</v>
      </c>
      <c r="H84" s="28">
        <f>Cty_Nam_Khanh[[#This Row],[ĐƠN GIÁ]]*Cty_Nam_Khanh[[#This Row],[SỐ LƯỢNG]]</f>
        <v>-63386000</v>
      </c>
      <c r="I84" s="28"/>
      <c r="J84" s="28">
        <f>J83+Cty_Nam_Khanh[[#This Row],[THÀNH TIỀN]]-Cty_Nam_Khanh[[#This Row],[THANH TOÁN]]</f>
        <v>1584030600</v>
      </c>
      <c r="K84" s="27"/>
    </row>
    <row r="85" spans="1:11" x14ac:dyDescent="0.25">
      <c r="A85" s="25">
        <v>3676</v>
      </c>
      <c r="B85" s="30">
        <v>46168</v>
      </c>
      <c r="C85" s="26" t="s">
        <v>84</v>
      </c>
      <c r="D85" s="38" t="s">
        <v>43</v>
      </c>
      <c r="E85" s="26" t="s">
        <v>146</v>
      </c>
      <c r="F85" s="28">
        <v>686</v>
      </c>
      <c r="G85" s="28">
        <v>-1700</v>
      </c>
      <c r="H85" s="28">
        <f>Cty_Nam_Khanh[[#This Row],[ĐƠN GIÁ]]*Cty_Nam_Khanh[[#This Row],[SỐ LƯỢNG]]</f>
        <v>-1166200</v>
      </c>
      <c r="I85" s="28"/>
      <c r="J85" s="28">
        <f>J84+Cty_Nam_Khanh[[#This Row],[THÀNH TIỀN]]-Cty_Nam_Khanh[[#This Row],[THANH TOÁN]]</f>
        <v>1582864400</v>
      </c>
      <c r="K85" s="27"/>
    </row>
    <row r="86" spans="1:11" x14ac:dyDescent="0.25">
      <c r="A86" s="22">
        <v>9678</v>
      </c>
      <c r="B86" s="29">
        <v>46170</v>
      </c>
      <c r="C86" s="23" t="s">
        <v>13</v>
      </c>
      <c r="D86" s="37" t="s">
        <v>103</v>
      </c>
      <c r="E86" s="23" t="s">
        <v>2508</v>
      </c>
      <c r="F86" s="31">
        <v>604</v>
      </c>
      <c r="G86" s="31">
        <v>37500</v>
      </c>
      <c r="H86" s="31">
        <f>Cty_Nam_Khanh[[#This Row],[ĐƠN GIÁ]]*Cty_Nam_Khanh[[#This Row],[SỐ LƯỢNG]]</f>
        <v>22650000</v>
      </c>
      <c r="I86" s="31"/>
      <c r="J86" s="31">
        <f>J85+Cty_Nam_Khanh[[#This Row],[THÀNH TIỀN]]-Cty_Nam_Khanh[[#This Row],[THANH TOÁN]]</f>
        <v>1605514400</v>
      </c>
      <c r="K86" s="24"/>
    </row>
    <row r="87" spans="1:11" x14ac:dyDescent="0.25">
      <c r="A87" s="22"/>
      <c r="B87" s="29">
        <v>46164</v>
      </c>
      <c r="C87" s="23" t="s">
        <v>21</v>
      </c>
      <c r="D87" s="37" t="s">
        <v>260</v>
      </c>
      <c r="E87" s="23" t="s">
        <v>261</v>
      </c>
      <c r="F87" s="31">
        <v>0</v>
      </c>
      <c r="G87" s="31"/>
      <c r="H87" s="31">
        <f>Cty_Nam_Khanh[[#This Row],[ĐƠN GIÁ]]*Cty_Nam_Khanh[[#This Row],[SỐ LƯỢNG]]</f>
        <v>0</v>
      </c>
      <c r="I87" s="31">
        <v>100000000</v>
      </c>
      <c r="J87" s="31">
        <f>J86+Cty_Nam_Khanh[[#This Row],[THÀNH TIỀN]]-Cty_Nam_Khanh[[#This Row],[THANH TOÁN]]</f>
        <v>1505514400</v>
      </c>
      <c r="K87" s="24"/>
    </row>
    <row r="88" spans="1:11" x14ac:dyDescent="0.25">
      <c r="A88" s="22"/>
      <c r="B88" s="29">
        <v>46171</v>
      </c>
      <c r="C88" s="23" t="s">
        <v>21</v>
      </c>
      <c r="D88" s="37" t="s">
        <v>260</v>
      </c>
      <c r="E88" s="23" t="s">
        <v>261</v>
      </c>
      <c r="F88" s="31">
        <v>0</v>
      </c>
      <c r="G88" s="31"/>
      <c r="H88" s="31">
        <f>Cty_Nam_Khanh[[#This Row],[ĐƠN GIÁ]]*Cty_Nam_Khanh[[#This Row],[SỐ LƯỢNG]]</f>
        <v>0</v>
      </c>
      <c r="I88" s="31">
        <v>100000000</v>
      </c>
      <c r="J88" s="31">
        <f>J87+Cty_Nam_Khanh[[#This Row],[THÀNH TIỀN]]-Cty_Nam_Khanh[[#This Row],[THANH TOÁN]]</f>
        <v>1405514400</v>
      </c>
      <c r="K88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071EC-277D-4968-B8BC-0796726B7F51}">
  <sheetPr codeName="Sheet25"/>
  <dimension ref="A5:K18"/>
  <sheetViews>
    <sheetView workbookViewId="0">
      <selection activeCell="I21" sqref="I21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24.85546875" style="1" bestFit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41585813</v>
      </c>
    </row>
    <row r="6" spans="1:11" ht="22.5" x14ac:dyDescent="0.25">
      <c r="D6" s="34" t="s">
        <v>427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Cty_Tan_Phat[[#This Row],[ĐƠN GIÁ]]*Cty_Tan_Phat[[#This Row],[SỐ LƯỢNG]]</f>
        <v>0</v>
      </c>
      <c r="I10" s="31"/>
      <c r="J10" s="31">
        <v>55739540</v>
      </c>
      <c r="K10" s="24"/>
    </row>
    <row r="11" spans="1:11" x14ac:dyDescent="0.25">
      <c r="A11" s="22">
        <v>7807</v>
      </c>
      <c r="B11" s="29">
        <v>46084</v>
      </c>
      <c r="C11" s="23" t="s">
        <v>13</v>
      </c>
      <c r="D11" s="37" t="s">
        <v>26</v>
      </c>
      <c r="E11" s="23" t="s">
        <v>78</v>
      </c>
      <c r="F11" s="31">
        <v>1617</v>
      </c>
      <c r="G11" s="31">
        <v>34500</v>
      </c>
      <c r="H11" s="31">
        <f>Cty_Tan_Phat[[#This Row],[ĐƠN GIÁ]]*Cty_Tan_Phat[[#This Row],[SỐ LƯỢNG]]</f>
        <v>55786500</v>
      </c>
      <c r="I11" s="31"/>
      <c r="J11" s="31">
        <f>J10+Cty_Tan_Phat[[#This Row],[THÀNH TIỀN]]-Cty_Tan_Phat[[#This Row],[THANH TOÁN]]</f>
        <v>111526040</v>
      </c>
      <c r="K11" s="24" t="s">
        <v>428</v>
      </c>
    </row>
    <row r="12" spans="1:11" x14ac:dyDescent="0.25">
      <c r="A12" s="22">
        <v>7910</v>
      </c>
      <c r="B12" s="29">
        <v>46087</v>
      </c>
      <c r="C12" s="23" t="s">
        <v>13</v>
      </c>
      <c r="D12" s="37" t="s">
        <v>77</v>
      </c>
      <c r="E12" s="23" t="s">
        <v>429</v>
      </c>
      <c r="F12" s="31">
        <f>1181+1202</f>
        <v>2383</v>
      </c>
      <c r="G12" s="31">
        <v>33000</v>
      </c>
      <c r="H12" s="31">
        <f>Cty_Tan_Phat[[#This Row],[ĐƠN GIÁ]]*Cty_Tan_Phat[[#This Row],[SỐ LƯỢNG]]</f>
        <v>78639000</v>
      </c>
      <c r="I12" s="31"/>
      <c r="J12" s="31">
        <f>J11+Cty_Tan_Phat[[#This Row],[THÀNH TIỀN]]-Cty_Tan_Phat[[#This Row],[THANH TOÁN]]</f>
        <v>190165040</v>
      </c>
      <c r="K12" s="24"/>
    </row>
    <row r="13" spans="1:11" x14ac:dyDescent="0.25">
      <c r="A13" s="22"/>
      <c r="B13" s="29">
        <v>46109</v>
      </c>
      <c r="C13" s="23" t="s">
        <v>21</v>
      </c>
      <c r="D13" s="37" t="s">
        <v>22</v>
      </c>
      <c r="E13" s="23" t="s">
        <v>147</v>
      </c>
      <c r="F13" s="31">
        <v>0</v>
      </c>
      <c r="G13" s="31">
        <v>0</v>
      </c>
      <c r="H13" s="31">
        <f>Cty_Tan_Phat[[#This Row],[ĐƠN GIÁ]]*Cty_Tan_Phat[[#This Row],[SỐ LƯỢNG]]</f>
        <v>0</v>
      </c>
      <c r="I13" s="31">
        <v>55739536</v>
      </c>
      <c r="J13" s="31">
        <f>J12+Cty_Tan_Phat[[#This Row],[THÀNH TIỀN]]-Cty_Tan_Phat[[#This Row],[THANH TOÁN]]</f>
        <v>134425504</v>
      </c>
      <c r="K13" s="24"/>
    </row>
    <row r="14" spans="1:11" x14ac:dyDescent="0.25">
      <c r="A14" s="22">
        <v>8534</v>
      </c>
      <c r="B14" s="29">
        <v>46115</v>
      </c>
      <c r="C14" s="23" t="s">
        <v>13</v>
      </c>
      <c r="D14" s="37" t="s">
        <v>26</v>
      </c>
      <c r="E14" s="23" t="s">
        <v>78</v>
      </c>
      <c r="F14" s="31">
        <v>1031</v>
      </c>
      <c r="G14" s="31">
        <v>36000</v>
      </c>
      <c r="H14" s="31">
        <f>Cty_Tan_Phat[[#This Row],[ĐƠN GIÁ]]*Cty_Tan_Phat[[#This Row],[SỐ LƯỢNG]]</f>
        <v>37116000</v>
      </c>
      <c r="I14" s="31"/>
      <c r="J14" s="31">
        <f>J13+Cty_Tan_Phat[[#This Row],[THÀNH TIỀN]]-Cty_Tan_Phat[[#This Row],[THANH TOÁN]]</f>
        <v>171541504</v>
      </c>
      <c r="K14" s="24"/>
    </row>
    <row r="15" spans="1:11" x14ac:dyDescent="0.25">
      <c r="A15" s="22"/>
      <c r="B15" s="29">
        <v>46130</v>
      </c>
      <c r="C15" s="23" t="s">
        <v>21</v>
      </c>
      <c r="D15" s="37" t="s">
        <v>22</v>
      </c>
      <c r="E15" s="23" t="s">
        <v>147</v>
      </c>
      <c r="F15" s="31">
        <v>0</v>
      </c>
      <c r="G15" s="31"/>
      <c r="H15" s="31">
        <f>Cty_Tan_Phat[[#This Row],[ĐƠN GIÁ]]*Cty_Tan_Phat[[#This Row],[SỐ LƯỢNG]]</f>
        <v>0</v>
      </c>
      <c r="I15" s="31">
        <v>70000000</v>
      </c>
      <c r="J15" s="31">
        <f>J14+Cty_Tan_Phat[[#This Row],[THÀNH TIỀN]]-Cty_Tan_Phat[[#This Row],[THANH TOÁN]]</f>
        <v>101541504</v>
      </c>
      <c r="K15" s="24"/>
    </row>
    <row r="16" spans="1:11" x14ac:dyDescent="0.25">
      <c r="A16" s="22"/>
      <c r="B16" s="29">
        <v>46125</v>
      </c>
      <c r="C16" s="23" t="s">
        <v>21</v>
      </c>
      <c r="D16" s="37" t="s">
        <v>22</v>
      </c>
      <c r="E16" s="23" t="s">
        <v>261</v>
      </c>
      <c r="F16" s="31">
        <v>0</v>
      </c>
      <c r="G16" s="31"/>
      <c r="H16" s="31">
        <f>Cty_Tan_Phat[[#This Row],[ĐƠN GIÁ]]*Cty_Tan_Phat[[#This Row],[SỐ LƯỢNG]]</f>
        <v>0</v>
      </c>
      <c r="I16" s="31">
        <v>70000000</v>
      </c>
      <c r="J16" s="31">
        <f>J15+Cty_Tan_Phat[[#This Row],[THÀNH TIỀN]]-Cty_Tan_Phat[[#This Row],[THANH TOÁN]]</f>
        <v>31541504</v>
      </c>
      <c r="K16" s="24"/>
    </row>
    <row r="17" spans="1:11" x14ac:dyDescent="0.25">
      <c r="A17" s="22">
        <v>9152</v>
      </c>
      <c r="B17" s="29">
        <v>46146</v>
      </c>
      <c r="C17" s="23" t="s">
        <v>13</v>
      </c>
      <c r="D17" s="37" t="s">
        <v>32</v>
      </c>
      <c r="E17" s="23" t="s">
        <v>230</v>
      </c>
      <c r="F17" s="31">
        <v>1048</v>
      </c>
      <c r="G17" s="31">
        <v>45000</v>
      </c>
      <c r="H17" s="31">
        <f>Cty_Tan_Phat[[#This Row],[ĐƠN GIÁ]]*Cty_Tan_Phat[[#This Row],[SỐ LƯỢNG]]</f>
        <v>47160000</v>
      </c>
      <c r="I17" s="31"/>
      <c r="J17" s="31">
        <f>J16+Cty_Tan_Phat[[#This Row],[THÀNH TIỀN]]-Cty_Tan_Phat[[#This Row],[THANH TOÁN]]</f>
        <v>78701504</v>
      </c>
      <c r="K17" s="24"/>
    </row>
    <row r="18" spans="1:11" x14ac:dyDescent="0.25">
      <c r="A18" s="22"/>
      <c r="B18" s="29">
        <v>46164</v>
      </c>
      <c r="C18" s="23" t="s">
        <v>21</v>
      </c>
      <c r="D18" s="37" t="s">
        <v>22</v>
      </c>
      <c r="E18" s="23" t="s">
        <v>147</v>
      </c>
      <c r="F18" s="31">
        <v>0</v>
      </c>
      <c r="G18" s="31"/>
      <c r="H18" s="31">
        <f>Cty_Tan_Phat[[#This Row],[ĐƠN GIÁ]]*Cty_Tan_Phat[[#This Row],[SỐ LƯỢNG]]</f>
        <v>0</v>
      </c>
      <c r="I18" s="31">
        <v>37115691</v>
      </c>
      <c r="J18" s="31">
        <f>J17+Cty_Tan_Phat[[#This Row],[THÀNH TIỀN]]-Cty_Tan_Phat[[#This Row],[THANH TOÁN]]</f>
        <v>41585813</v>
      </c>
      <c r="K18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1E2A3-65F9-4920-9769-DD1E191C1DB6}">
  <sheetPr codeName="Sheet26"/>
  <dimension ref="A5:P27"/>
  <sheetViews>
    <sheetView topLeftCell="A4" workbookViewId="0"/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24.85546875" style="1" bestFit="1" customWidth="1"/>
    <col min="12" max="14" width="9.140625" style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50324000</v>
      </c>
    </row>
    <row r="6" spans="1:16" ht="22.5" x14ac:dyDescent="0.25">
      <c r="D6" s="34" t="s">
        <v>430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/>
      <c r="C10" s="23" t="s">
        <v>12</v>
      </c>
      <c r="D10" s="37"/>
      <c r="E10" s="23"/>
      <c r="F10" s="31"/>
      <c r="G10" s="31"/>
      <c r="H10" s="31">
        <f t="shared" ref="H10:H17" si="0">F10*G10</f>
        <v>0</v>
      </c>
      <c r="I10" s="31"/>
      <c r="J10" s="31">
        <v>0</v>
      </c>
      <c r="K10" s="24"/>
    </row>
    <row r="11" spans="1:16" x14ac:dyDescent="0.25">
      <c r="A11" s="22">
        <v>7808</v>
      </c>
      <c r="B11" s="29">
        <v>46084</v>
      </c>
      <c r="C11" s="23" t="s">
        <v>13</v>
      </c>
      <c r="D11" s="37" t="s">
        <v>17</v>
      </c>
      <c r="E11" s="23" t="s">
        <v>62</v>
      </c>
      <c r="F11" s="31">
        <v>708</v>
      </c>
      <c r="G11" s="31">
        <v>59000</v>
      </c>
      <c r="H11" s="31">
        <f t="shared" si="0"/>
        <v>41772000</v>
      </c>
      <c r="I11" s="31"/>
      <c r="J11" s="31">
        <f>J10+A_Tung_HD[[#This Row],[THÀNH TIỀN]]-A_Tung_HD[[#This Row],[THANH TOÁN]]</f>
        <v>41772000</v>
      </c>
      <c r="K11" s="24"/>
    </row>
    <row r="12" spans="1:16" x14ac:dyDescent="0.25">
      <c r="A12" s="22">
        <v>7808</v>
      </c>
      <c r="B12" s="29">
        <v>46084</v>
      </c>
      <c r="C12" s="23" t="s">
        <v>13</v>
      </c>
      <c r="D12" s="37" t="s">
        <v>43</v>
      </c>
      <c r="E12" s="23" t="s">
        <v>136</v>
      </c>
      <c r="F12" s="31">
        <v>510</v>
      </c>
      <c r="G12" s="31">
        <v>56000</v>
      </c>
      <c r="H12" s="31">
        <f t="shared" si="0"/>
        <v>28560000</v>
      </c>
      <c r="I12" s="31"/>
      <c r="J12" s="31">
        <f>J11+A_Tung_HD[[#This Row],[THÀNH TIỀN]]-A_Tung_HD[[#This Row],[THANH TOÁN]]</f>
        <v>70332000</v>
      </c>
      <c r="K12" s="24"/>
    </row>
    <row r="13" spans="1:16" x14ac:dyDescent="0.25">
      <c r="A13" s="22">
        <v>7808</v>
      </c>
      <c r="B13" s="29">
        <v>46084</v>
      </c>
      <c r="C13" s="23" t="s">
        <v>13</v>
      </c>
      <c r="D13" s="37" t="s">
        <v>43</v>
      </c>
      <c r="E13" s="23" t="s">
        <v>256</v>
      </c>
      <c r="F13" s="31">
        <v>345</v>
      </c>
      <c r="G13" s="31">
        <v>56000</v>
      </c>
      <c r="H13" s="31">
        <f t="shared" si="0"/>
        <v>19320000</v>
      </c>
      <c r="I13" s="31"/>
      <c r="J13" s="31">
        <f>J12+A_Tung_HD[[#This Row],[THÀNH TIỀN]]-A_Tung_HD[[#This Row],[THANH TOÁN]]</f>
        <v>89652000</v>
      </c>
      <c r="K13" s="24"/>
    </row>
    <row r="14" spans="1:16" x14ac:dyDescent="0.25">
      <c r="A14" s="22">
        <v>7808</v>
      </c>
      <c r="B14" s="29">
        <v>46084</v>
      </c>
      <c r="C14" s="23" t="s">
        <v>13</v>
      </c>
      <c r="D14" s="37" t="s">
        <v>43</v>
      </c>
      <c r="E14" s="23" t="s">
        <v>431</v>
      </c>
      <c r="F14" s="31">
        <v>484</v>
      </c>
      <c r="G14" s="31">
        <v>57000</v>
      </c>
      <c r="H14" s="31">
        <f t="shared" si="0"/>
        <v>27588000</v>
      </c>
      <c r="I14" s="31"/>
      <c r="J14" s="31">
        <f>J13+A_Tung_HD[[#This Row],[THÀNH TIỀN]]-A_Tung_HD[[#This Row],[THANH TOÁN]]</f>
        <v>117240000</v>
      </c>
      <c r="K14" s="24"/>
      <c r="P14" s="35"/>
    </row>
    <row r="15" spans="1:16" x14ac:dyDescent="0.25">
      <c r="A15" s="22">
        <v>7808</v>
      </c>
      <c r="B15" s="29">
        <v>46084</v>
      </c>
      <c r="C15" s="23" t="s">
        <v>13</v>
      </c>
      <c r="D15" s="37" t="s">
        <v>43</v>
      </c>
      <c r="E15" s="26" t="s">
        <v>62</v>
      </c>
      <c r="F15" s="28">
        <v>502</v>
      </c>
      <c r="G15" s="31">
        <v>57000</v>
      </c>
      <c r="H15" s="28">
        <f t="shared" si="0"/>
        <v>28614000</v>
      </c>
      <c r="I15" s="28"/>
      <c r="J15" s="31">
        <f>J14+A_Tung_HD[[#This Row],[THÀNH TIỀN]]-A_Tung_HD[[#This Row],[THANH TOÁN]]</f>
        <v>145854000</v>
      </c>
      <c r="K15" s="27"/>
    </row>
    <row r="16" spans="1:16" x14ac:dyDescent="0.25">
      <c r="A16" s="22">
        <v>7808</v>
      </c>
      <c r="B16" s="29">
        <v>46084</v>
      </c>
      <c r="C16" s="23" t="s">
        <v>13</v>
      </c>
      <c r="D16" s="37" t="s">
        <v>14</v>
      </c>
      <c r="E16" s="23" t="s">
        <v>146</v>
      </c>
      <c r="F16" s="31">
        <v>424</v>
      </c>
      <c r="G16" s="31">
        <v>40000</v>
      </c>
      <c r="H16" s="31">
        <f t="shared" si="0"/>
        <v>16960000</v>
      </c>
      <c r="I16" s="31"/>
      <c r="J16" s="31">
        <f>J15+A_Tung_HD[[#This Row],[THÀNH TIỀN]]-A_Tung_HD[[#This Row],[THANH TOÁN]]</f>
        <v>162814000</v>
      </c>
      <c r="K16" s="24"/>
    </row>
    <row r="17" spans="1:11" x14ac:dyDescent="0.25">
      <c r="A17" s="22">
        <v>7868</v>
      </c>
      <c r="B17" s="29">
        <v>46086</v>
      </c>
      <c r="C17" s="23" t="s">
        <v>13</v>
      </c>
      <c r="D17" s="37" t="s">
        <v>36</v>
      </c>
      <c r="E17" s="23" t="s">
        <v>116</v>
      </c>
      <c r="F17" s="31">
        <v>774</v>
      </c>
      <c r="G17" s="31">
        <v>58000</v>
      </c>
      <c r="H17" s="31">
        <f t="shared" si="0"/>
        <v>44892000</v>
      </c>
      <c r="I17" s="31"/>
      <c r="J17" s="31">
        <f>J16+A_Tung_HD[[#This Row],[THÀNH TIỀN]]-A_Tung_HD[[#This Row],[THANH TOÁN]]</f>
        <v>207706000</v>
      </c>
      <c r="K17" s="24"/>
    </row>
    <row r="18" spans="1:11" x14ac:dyDescent="0.25">
      <c r="A18" s="25">
        <v>8029</v>
      </c>
      <c r="B18" s="30">
        <v>46093</v>
      </c>
      <c r="C18" s="26" t="s">
        <v>13</v>
      </c>
      <c r="D18" s="38" t="s">
        <v>361</v>
      </c>
      <c r="E18" s="26" t="s">
        <v>432</v>
      </c>
      <c r="F18" s="28">
        <v>65</v>
      </c>
      <c r="G18" s="28">
        <v>120000</v>
      </c>
      <c r="H18" s="28">
        <f t="shared" ref="H18:H24" si="1">F18*G18</f>
        <v>7800000</v>
      </c>
      <c r="I18" s="28"/>
      <c r="J18" s="28">
        <f>J17+A_Tung_HD[[#This Row],[THÀNH TIỀN]]-A_Tung_HD[[#This Row],[THANH TOÁN]]</f>
        <v>215506000</v>
      </c>
      <c r="K18" s="27"/>
    </row>
    <row r="19" spans="1:11" x14ac:dyDescent="0.25">
      <c r="A19" s="25">
        <v>8029</v>
      </c>
      <c r="B19" s="30">
        <v>46093</v>
      </c>
      <c r="C19" s="26" t="s">
        <v>13</v>
      </c>
      <c r="D19" s="38" t="s">
        <v>361</v>
      </c>
      <c r="E19" s="26" t="s">
        <v>433</v>
      </c>
      <c r="F19" s="28">
        <v>115</v>
      </c>
      <c r="G19" s="28">
        <v>190000</v>
      </c>
      <c r="H19" s="28">
        <f t="shared" si="1"/>
        <v>21850000</v>
      </c>
      <c r="I19" s="28"/>
      <c r="J19" s="28">
        <f>J18+A_Tung_HD[[#This Row],[THÀNH TIỀN]]-A_Tung_HD[[#This Row],[THANH TOÁN]]</f>
        <v>237356000</v>
      </c>
      <c r="K19" s="27"/>
    </row>
    <row r="20" spans="1:11" x14ac:dyDescent="0.25">
      <c r="A20" s="25">
        <v>8068</v>
      </c>
      <c r="B20" s="30">
        <v>46094</v>
      </c>
      <c r="C20" s="26" t="s">
        <v>13</v>
      </c>
      <c r="D20" s="38" t="s">
        <v>43</v>
      </c>
      <c r="E20" s="26" t="s">
        <v>255</v>
      </c>
      <c r="F20" s="28">
        <v>333</v>
      </c>
      <c r="G20" s="28">
        <v>58000</v>
      </c>
      <c r="H20" s="28">
        <f t="shared" si="1"/>
        <v>19314000</v>
      </c>
      <c r="I20" s="28"/>
      <c r="J20" s="28">
        <f>J19+A_Tung_HD[[#This Row],[THÀNH TIỀN]]-A_Tung_HD[[#This Row],[THANH TOÁN]]</f>
        <v>256670000</v>
      </c>
      <c r="K20" s="27"/>
    </row>
    <row r="21" spans="1:11" x14ac:dyDescent="0.25">
      <c r="A21" s="25">
        <v>8068</v>
      </c>
      <c r="B21" s="30">
        <v>46094</v>
      </c>
      <c r="C21" s="26" t="s">
        <v>13</v>
      </c>
      <c r="D21" s="38" t="s">
        <v>143</v>
      </c>
      <c r="E21" s="26" t="s">
        <v>146</v>
      </c>
      <c r="F21" s="28">
        <v>622</v>
      </c>
      <c r="G21" s="28">
        <v>57000</v>
      </c>
      <c r="H21" s="28">
        <f t="shared" si="1"/>
        <v>35454000</v>
      </c>
      <c r="I21" s="28"/>
      <c r="J21" s="28">
        <f>J20+A_Tung_HD[[#This Row],[THÀNH TIỀN]]-A_Tung_HD[[#This Row],[THANH TOÁN]]</f>
        <v>292124000</v>
      </c>
      <c r="K21" s="27"/>
    </row>
    <row r="22" spans="1:11" x14ac:dyDescent="0.25">
      <c r="A22" s="25">
        <v>8068</v>
      </c>
      <c r="B22" s="30">
        <v>46094</v>
      </c>
      <c r="C22" s="26" t="s">
        <v>13</v>
      </c>
      <c r="D22" s="38" t="s">
        <v>434</v>
      </c>
      <c r="E22" s="26" t="s">
        <v>134</v>
      </c>
      <c r="F22" s="28">
        <v>470</v>
      </c>
      <c r="G22" s="28">
        <v>56000</v>
      </c>
      <c r="H22" s="28">
        <f t="shared" si="1"/>
        <v>26320000</v>
      </c>
      <c r="I22" s="28"/>
      <c r="J22" s="28">
        <f>J21+A_Tung_HD[[#This Row],[THÀNH TIỀN]]-A_Tung_HD[[#This Row],[THANH TOÁN]]</f>
        <v>318444000</v>
      </c>
      <c r="K22" s="27"/>
    </row>
    <row r="23" spans="1:11" x14ac:dyDescent="0.25">
      <c r="A23" s="25">
        <v>8068</v>
      </c>
      <c r="B23" s="30">
        <v>46094</v>
      </c>
      <c r="C23" s="26" t="s">
        <v>13</v>
      </c>
      <c r="D23" s="38" t="s">
        <v>143</v>
      </c>
      <c r="E23" s="26" t="s">
        <v>256</v>
      </c>
      <c r="F23" s="28">
        <v>682</v>
      </c>
      <c r="G23" s="28">
        <v>61000</v>
      </c>
      <c r="H23" s="28">
        <f t="shared" si="1"/>
        <v>41602000</v>
      </c>
      <c r="I23" s="28"/>
      <c r="J23" s="28">
        <f>J22+A_Tung_HD[[#This Row],[THÀNH TIỀN]]-A_Tung_HD[[#This Row],[THANH TOÁN]]</f>
        <v>360046000</v>
      </c>
      <c r="K23" s="27"/>
    </row>
    <row r="24" spans="1:11" x14ac:dyDescent="0.25">
      <c r="A24" s="25">
        <v>8068</v>
      </c>
      <c r="B24" s="30">
        <v>46094</v>
      </c>
      <c r="C24" s="26" t="s">
        <v>13</v>
      </c>
      <c r="D24" s="38" t="s">
        <v>277</v>
      </c>
      <c r="E24" s="26" t="s">
        <v>435</v>
      </c>
      <c r="F24" s="28">
        <v>460</v>
      </c>
      <c r="G24" s="28">
        <v>57000</v>
      </c>
      <c r="H24" s="28">
        <f t="shared" si="1"/>
        <v>26220000</v>
      </c>
      <c r="I24" s="28"/>
      <c r="J24" s="28">
        <f>J23+A_Tung_HD[[#This Row],[THÀNH TIỀN]]-A_Tung_HD[[#This Row],[THANH TOÁN]]</f>
        <v>386266000</v>
      </c>
      <c r="K24" s="27"/>
    </row>
    <row r="25" spans="1:11" x14ac:dyDescent="0.25">
      <c r="A25" s="22"/>
      <c r="B25" s="29">
        <v>46120</v>
      </c>
      <c r="C25" s="23" t="s">
        <v>21</v>
      </c>
      <c r="D25" s="37" t="s">
        <v>22</v>
      </c>
      <c r="E25" s="23" t="s">
        <v>83</v>
      </c>
      <c r="F25" s="31">
        <v>0</v>
      </c>
      <c r="G25" s="31"/>
      <c r="H25" s="31">
        <f>F25*G25</f>
        <v>0</v>
      </c>
      <c r="I25" s="31">
        <v>150000000</v>
      </c>
      <c r="J25" s="31">
        <f>J24+A_Tung_HD[[#This Row],[THÀNH TIỀN]]-A_Tung_HD[[#This Row],[THANH TOÁN]]</f>
        <v>236266000</v>
      </c>
      <c r="K25" s="24"/>
    </row>
    <row r="26" spans="1:11" x14ac:dyDescent="0.25">
      <c r="A26" s="22"/>
      <c r="B26" s="29">
        <v>46157</v>
      </c>
      <c r="C26" s="23" t="s">
        <v>21</v>
      </c>
      <c r="D26" s="37" t="s">
        <v>22</v>
      </c>
      <c r="E26" s="23" t="s">
        <v>2155</v>
      </c>
      <c r="F26" s="31">
        <v>0</v>
      </c>
      <c r="G26" s="31"/>
      <c r="H26" s="31">
        <f>F26*G26</f>
        <v>0</v>
      </c>
      <c r="I26" s="31">
        <v>200000000</v>
      </c>
      <c r="J26" s="31">
        <f>J25+A_Tung_HD[[#This Row],[THÀNH TIỀN]]-A_Tung_HD[[#This Row],[THANH TOÁN]]</f>
        <v>36266000</v>
      </c>
      <c r="K26" s="24"/>
    </row>
    <row r="27" spans="1:11" x14ac:dyDescent="0.25">
      <c r="A27" s="22">
        <v>9527</v>
      </c>
      <c r="B27" s="29">
        <v>46163</v>
      </c>
      <c r="C27" s="23" t="s">
        <v>13</v>
      </c>
      <c r="D27" s="37" t="s">
        <v>192</v>
      </c>
      <c r="E27" s="23" t="s">
        <v>188</v>
      </c>
      <c r="F27" s="31">
        <v>426</v>
      </c>
      <c r="G27" s="31">
        <v>33000</v>
      </c>
      <c r="H27" s="31">
        <f>F27*G27</f>
        <v>14058000</v>
      </c>
      <c r="I27" s="31"/>
      <c r="J27" s="31">
        <f>J26+A_Tung_HD[[#This Row],[THÀNH TIỀN]]-A_Tung_HD[[#This Row],[THANH TOÁN]]</f>
        <v>50324000</v>
      </c>
      <c r="K27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A37BD-9FBC-4F4B-830B-49DE11B42E6D}">
  <sheetPr codeName="Sheet27"/>
  <dimension ref="A5:P80"/>
  <sheetViews>
    <sheetView topLeftCell="A55" workbookViewId="0">
      <selection activeCell="J83" sqref="J83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24.85546875" style="1" bestFit="1" customWidth="1"/>
    <col min="12" max="14" width="9.140625" style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573720500</v>
      </c>
    </row>
    <row r="6" spans="1:16" ht="22.5" x14ac:dyDescent="0.25">
      <c r="D6" s="34" t="s">
        <v>436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E_Kien_HD[[#This Row],[ĐƠN GIÁ]]*E_Kien_HD[[#This Row],[SỐ LƯỢNG]]</f>
        <v>0</v>
      </c>
      <c r="I10" s="31"/>
      <c r="J10" s="31">
        <v>87242000</v>
      </c>
      <c r="K10" s="24"/>
    </row>
    <row r="11" spans="1:16" x14ac:dyDescent="0.25">
      <c r="A11" s="22"/>
      <c r="B11" s="29">
        <v>46083</v>
      </c>
      <c r="C11" s="23" t="s">
        <v>21</v>
      </c>
      <c r="D11" s="37" t="s">
        <v>22</v>
      </c>
      <c r="E11" s="23" t="s">
        <v>23</v>
      </c>
      <c r="F11" s="31">
        <v>0</v>
      </c>
      <c r="G11" s="31">
        <v>0</v>
      </c>
      <c r="H11" s="31">
        <f>E_Kien_HD[[#This Row],[ĐƠN GIÁ]]*E_Kien_HD[[#This Row],[SỐ LƯỢNG]]</f>
        <v>0</v>
      </c>
      <c r="I11" s="31">
        <v>5600000</v>
      </c>
      <c r="J11" s="31">
        <f>J10+E_Kien_HD[[#This Row],[THÀNH TIỀN]]-E_Kien_HD[[#This Row],[THANH TOÁN]]</f>
        <v>81642000</v>
      </c>
      <c r="K11" s="24"/>
    </row>
    <row r="12" spans="1:16" x14ac:dyDescent="0.25">
      <c r="A12" s="22"/>
      <c r="B12" s="29">
        <v>46083</v>
      </c>
      <c r="C12" s="23" t="s">
        <v>21</v>
      </c>
      <c r="D12" s="37" t="s">
        <v>22</v>
      </c>
      <c r="E12" s="23" t="s">
        <v>23</v>
      </c>
      <c r="F12" s="31">
        <v>0</v>
      </c>
      <c r="G12" s="31">
        <v>0</v>
      </c>
      <c r="H12" s="31">
        <f>E_Kien_HD[[#This Row],[ĐƠN GIÁ]]*E_Kien_HD[[#This Row],[SỐ LƯỢNG]]</f>
        <v>0</v>
      </c>
      <c r="I12" s="31">
        <v>7500000</v>
      </c>
      <c r="J12" s="31">
        <f>J11+E_Kien_HD[[#This Row],[THÀNH TIỀN]]-E_Kien_HD[[#This Row],[THANH TOÁN]]</f>
        <v>74142000</v>
      </c>
      <c r="K12" s="24"/>
    </row>
    <row r="13" spans="1:16" x14ac:dyDescent="0.25">
      <c r="A13" s="22">
        <v>7809</v>
      </c>
      <c r="B13" s="29">
        <v>46084</v>
      </c>
      <c r="C13" s="23" t="s">
        <v>13</v>
      </c>
      <c r="D13" s="37" t="s">
        <v>103</v>
      </c>
      <c r="E13" s="23" t="s">
        <v>134</v>
      </c>
      <c r="F13" s="31">
        <v>528</v>
      </c>
      <c r="G13" s="31">
        <v>36000</v>
      </c>
      <c r="H13" s="31">
        <f>E_Kien_HD[[#This Row],[ĐƠN GIÁ]]*E_Kien_HD[[#This Row],[SỐ LƯỢNG]]</f>
        <v>19008000</v>
      </c>
      <c r="I13" s="31"/>
      <c r="J13" s="31">
        <f>J12+E_Kien_HD[[#This Row],[THÀNH TIỀN]]-E_Kien_HD[[#This Row],[THANH TOÁN]]</f>
        <v>93150000</v>
      </c>
      <c r="K13" s="24"/>
    </row>
    <row r="14" spans="1:16" x14ac:dyDescent="0.25">
      <c r="A14" s="22">
        <v>7809</v>
      </c>
      <c r="B14" s="29">
        <v>46084</v>
      </c>
      <c r="C14" s="23" t="s">
        <v>13</v>
      </c>
      <c r="D14" s="37" t="s">
        <v>103</v>
      </c>
      <c r="E14" s="23" t="s">
        <v>437</v>
      </c>
      <c r="F14" s="31">
        <v>234</v>
      </c>
      <c r="G14" s="31">
        <v>36000</v>
      </c>
      <c r="H14" s="31">
        <f>E_Kien_HD[[#This Row],[ĐƠN GIÁ]]*E_Kien_HD[[#This Row],[SỐ LƯỢNG]]</f>
        <v>8424000</v>
      </c>
      <c r="I14" s="31"/>
      <c r="J14" s="31">
        <f>J13+E_Kien_HD[[#This Row],[THÀNH TIỀN]]-E_Kien_HD[[#This Row],[THANH TOÁN]]</f>
        <v>101574000</v>
      </c>
      <c r="K14" s="24"/>
      <c r="P14" s="35"/>
    </row>
    <row r="15" spans="1:16" x14ac:dyDescent="0.25">
      <c r="A15" s="22">
        <v>7809</v>
      </c>
      <c r="B15" s="29">
        <v>46084</v>
      </c>
      <c r="C15" s="26" t="s">
        <v>13</v>
      </c>
      <c r="D15" s="37" t="s">
        <v>180</v>
      </c>
      <c r="E15" s="23" t="s">
        <v>438</v>
      </c>
      <c r="F15" s="31">
        <v>720</v>
      </c>
      <c r="G15" s="31">
        <v>54000</v>
      </c>
      <c r="H15" s="31">
        <f>E_Kien_HD[[#This Row],[ĐƠN GIÁ]]*E_Kien_HD[[#This Row],[SỐ LƯỢNG]]</f>
        <v>38880000</v>
      </c>
      <c r="I15" s="28"/>
      <c r="J15" s="31">
        <f>J14+E_Kien_HD[[#This Row],[THÀNH TIỀN]]-E_Kien_HD[[#This Row],[THANH TOÁN]]</f>
        <v>140454000</v>
      </c>
      <c r="K15" s="27"/>
    </row>
    <row r="16" spans="1:16" x14ac:dyDescent="0.25">
      <c r="A16" s="22">
        <v>7809</v>
      </c>
      <c r="B16" s="29">
        <v>46084</v>
      </c>
      <c r="C16" s="23" t="s">
        <v>13</v>
      </c>
      <c r="D16" s="37" t="s">
        <v>180</v>
      </c>
      <c r="E16" s="23" t="s">
        <v>439</v>
      </c>
      <c r="F16" s="31">
        <v>495</v>
      </c>
      <c r="G16" s="31">
        <v>54000</v>
      </c>
      <c r="H16" s="31">
        <f>E_Kien_HD[[#This Row],[ĐƠN GIÁ]]*E_Kien_HD[[#This Row],[SỐ LƯỢNG]]</f>
        <v>26730000</v>
      </c>
      <c r="I16" s="31"/>
      <c r="J16" s="31">
        <f>J15+E_Kien_HD[[#This Row],[THÀNH TIỀN]]-E_Kien_HD[[#This Row],[THANH TOÁN]]</f>
        <v>167184000</v>
      </c>
      <c r="K16" s="24"/>
    </row>
    <row r="17" spans="1:11" x14ac:dyDescent="0.25">
      <c r="A17" s="22">
        <v>7809</v>
      </c>
      <c r="B17" s="29">
        <v>46084</v>
      </c>
      <c r="C17" s="23" t="s">
        <v>84</v>
      </c>
      <c r="D17" s="37" t="s">
        <v>84</v>
      </c>
      <c r="E17" s="23" t="s">
        <v>84</v>
      </c>
      <c r="F17" s="31">
        <v>1215</v>
      </c>
      <c r="G17" s="31">
        <v>1500</v>
      </c>
      <c r="H17" s="31">
        <f>E_Kien_HD[[#This Row],[ĐƠN GIÁ]]*E_Kien_HD[[#This Row],[SỐ LƯỢNG]]</f>
        <v>1822500</v>
      </c>
      <c r="I17" s="31"/>
      <c r="J17" s="31">
        <f>J16+E_Kien_HD[[#This Row],[THÀNH TIỀN]]-E_Kien_HD[[#This Row],[THANH TOÁN]]</f>
        <v>169006500</v>
      </c>
      <c r="K17" s="24"/>
    </row>
    <row r="18" spans="1:11" x14ac:dyDescent="0.25">
      <c r="A18" s="22"/>
      <c r="B18" s="29">
        <v>46085</v>
      </c>
      <c r="C18" s="23" t="s">
        <v>21</v>
      </c>
      <c r="D18" s="37" t="s">
        <v>22</v>
      </c>
      <c r="E18" s="23" t="s">
        <v>23</v>
      </c>
      <c r="F18" s="31">
        <v>0</v>
      </c>
      <c r="G18" s="31">
        <v>0</v>
      </c>
      <c r="H18" s="31">
        <f>E_Kien_HD[[#This Row],[ĐƠN GIÁ]]*E_Kien_HD[[#This Row],[SỐ LƯỢNG]]</f>
        <v>0</v>
      </c>
      <c r="I18" s="31">
        <v>11600000</v>
      </c>
      <c r="J18" s="31">
        <f>J17+E_Kien_HD[[#This Row],[THÀNH TIỀN]]-E_Kien_HD[[#This Row],[THANH TOÁN]]</f>
        <v>157406500</v>
      </c>
      <c r="K18" s="24"/>
    </row>
    <row r="19" spans="1:11" x14ac:dyDescent="0.25">
      <c r="A19" s="22"/>
      <c r="B19" s="29">
        <v>46085</v>
      </c>
      <c r="C19" s="23" t="s">
        <v>21</v>
      </c>
      <c r="D19" s="37" t="s">
        <v>22</v>
      </c>
      <c r="E19" s="23" t="s">
        <v>23</v>
      </c>
      <c r="F19" s="31">
        <v>0</v>
      </c>
      <c r="G19" s="31">
        <v>0</v>
      </c>
      <c r="H19" s="31">
        <f>E_Kien_HD[[#This Row],[ĐƠN GIÁ]]*E_Kien_HD[[#This Row],[SỐ LƯỢNG]]</f>
        <v>0</v>
      </c>
      <c r="I19" s="31">
        <v>5100000</v>
      </c>
      <c r="J19" s="31">
        <f>J18+E_Kien_HD[[#This Row],[THÀNH TIỀN]]-E_Kien_HD[[#This Row],[THANH TOÁN]]</f>
        <v>152306500</v>
      </c>
      <c r="K19" s="24"/>
    </row>
    <row r="20" spans="1:11" x14ac:dyDescent="0.25">
      <c r="A20" s="22">
        <v>7870</v>
      </c>
      <c r="B20" s="29">
        <v>46086</v>
      </c>
      <c r="C20" s="23" t="s">
        <v>13</v>
      </c>
      <c r="D20" s="37" t="s">
        <v>17</v>
      </c>
      <c r="E20" s="23" t="s">
        <v>254</v>
      </c>
      <c r="F20" s="31">
        <v>627</v>
      </c>
      <c r="G20" s="31">
        <v>58000</v>
      </c>
      <c r="H20" s="31">
        <f>E_Kien_HD[[#This Row],[ĐƠN GIÁ]]*E_Kien_HD[[#This Row],[SỐ LƯỢNG]]</f>
        <v>36366000</v>
      </c>
      <c r="I20" s="31"/>
      <c r="J20" s="31">
        <f>J19+E_Kien_HD[[#This Row],[THÀNH TIỀN]]-E_Kien_HD[[#This Row],[THANH TOÁN]]</f>
        <v>188672500</v>
      </c>
      <c r="K20" s="24"/>
    </row>
    <row r="21" spans="1:11" x14ac:dyDescent="0.25">
      <c r="A21" s="25">
        <v>7870</v>
      </c>
      <c r="B21" s="30">
        <v>46086</v>
      </c>
      <c r="C21" s="26" t="s">
        <v>13</v>
      </c>
      <c r="D21" s="38" t="s">
        <v>43</v>
      </c>
      <c r="E21" s="26" t="s">
        <v>440</v>
      </c>
      <c r="F21" s="28">
        <v>628</v>
      </c>
      <c r="G21" s="28">
        <v>54000</v>
      </c>
      <c r="H21" s="28">
        <f>E_Kien_HD[[#This Row],[ĐƠN GIÁ]]*E_Kien_HD[[#This Row],[SỐ LƯỢNG]]</f>
        <v>33912000</v>
      </c>
      <c r="I21" s="28"/>
      <c r="J21" s="28">
        <f>J20+E_Kien_HD[[#This Row],[THÀNH TIỀN]]-E_Kien_HD[[#This Row],[THANH TOÁN]]</f>
        <v>222584500</v>
      </c>
      <c r="K21" s="27"/>
    </row>
    <row r="22" spans="1:11" x14ac:dyDescent="0.25">
      <c r="A22" s="25">
        <v>7870</v>
      </c>
      <c r="B22" s="30">
        <v>46086</v>
      </c>
      <c r="C22" s="26" t="s">
        <v>13</v>
      </c>
      <c r="D22" s="38" t="s">
        <v>17</v>
      </c>
      <c r="E22" s="26" t="s">
        <v>40</v>
      </c>
      <c r="F22" s="28">
        <f>532-14</f>
        <v>518</v>
      </c>
      <c r="G22" s="28">
        <v>62500</v>
      </c>
      <c r="H22" s="28">
        <f>E_Kien_HD[[#This Row],[ĐƠN GIÁ]]*E_Kien_HD[[#This Row],[SỐ LƯỢNG]]</f>
        <v>32375000</v>
      </c>
      <c r="I22" s="28"/>
      <c r="J22" s="28">
        <f>J21+E_Kien_HD[[#This Row],[THÀNH TIỀN]]-E_Kien_HD[[#This Row],[THANH TOÁN]]</f>
        <v>254959500</v>
      </c>
      <c r="K22" s="27"/>
    </row>
    <row r="23" spans="1:11" x14ac:dyDescent="0.25">
      <c r="A23" s="25"/>
      <c r="B23" s="30">
        <v>46087</v>
      </c>
      <c r="C23" s="26" t="s">
        <v>21</v>
      </c>
      <c r="D23" s="38" t="s">
        <v>22</v>
      </c>
      <c r="E23" s="26" t="s">
        <v>23</v>
      </c>
      <c r="F23" s="28">
        <v>0</v>
      </c>
      <c r="G23" s="28">
        <v>0</v>
      </c>
      <c r="H23" s="28">
        <f>E_Kien_HD[[#This Row],[ĐƠN GIÁ]]*E_Kien_HD[[#This Row],[SỐ LƯỢNG]]</f>
        <v>0</v>
      </c>
      <c r="I23" s="28">
        <v>10000000</v>
      </c>
      <c r="J23" s="28">
        <f>J22+E_Kien_HD[[#This Row],[THÀNH TIỀN]]-E_Kien_HD[[#This Row],[THANH TOÁN]]</f>
        <v>244959500</v>
      </c>
      <c r="K23" s="27"/>
    </row>
    <row r="24" spans="1:11" x14ac:dyDescent="0.25">
      <c r="A24" s="25"/>
      <c r="B24" s="30">
        <v>46087</v>
      </c>
      <c r="C24" s="26" t="s">
        <v>21</v>
      </c>
      <c r="D24" s="38" t="s">
        <v>22</v>
      </c>
      <c r="E24" s="26" t="s">
        <v>23</v>
      </c>
      <c r="F24" s="28">
        <v>0</v>
      </c>
      <c r="G24" s="28">
        <v>0</v>
      </c>
      <c r="H24" s="28">
        <f>E_Kien_HD[[#This Row],[ĐƠN GIÁ]]*E_Kien_HD[[#This Row],[SỐ LƯỢNG]]</f>
        <v>0</v>
      </c>
      <c r="I24" s="28">
        <v>4000000</v>
      </c>
      <c r="J24" s="28">
        <f>J23+E_Kien_HD[[#This Row],[THÀNH TIỀN]]-E_Kien_HD[[#This Row],[THANH TOÁN]]</f>
        <v>240959500</v>
      </c>
      <c r="K24" s="27"/>
    </row>
    <row r="25" spans="1:11" x14ac:dyDescent="0.25">
      <c r="A25" s="25">
        <v>7919</v>
      </c>
      <c r="B25" s="30">
        <v>46088</v>
      </c>
      <c r="C25" s="26" t="s">
        <v>13</v>
      </c>
      <c r="D25" s="38" t="s">
        <v>43</v>
      </c>
      <c r="E25" s="23" t="s">
        <v>248</v>
      </c>
      <c r="F25" s="31">
        <v>680</v>
      </c>
      <c r="G25" s="31">
        <v>56000</v>
      </c>
      <c r="H25" s="31">
        <f>E_Kien_HD[[#This Row],[ĐƠN GIÁ]]*E_Kien_HD[[#This Row],[SỐ LƯỢNG]]</f>
        <v>38080000</v>
      </c>
      <c r="I25" s="31"/>
      <c r="J25" s="31">
        <f>J24+E_Kien_HD[[#This Row],[THÀNH TIỀN]]-E_Kien_HD[[#This Row],[THANH TOÁN]]</f>
        <v>279039500</v>
      </c>
      <c r="K25" s="24"/>
    </row>
    <row r="26" spans="1:11" x14ac:dyDescent="0.25">
      <c r="A26" s="25">
        <v>7919</v>
      </c>
      <c r="B26" s="30">
        <v>46088</v>
      </c>
      <c r="C26" s="26" t="s">
        <v>13</v>
      </c>
      <c r="D26" s="38" t="s">
        <v>43</v>
      </c>
      <c r="E26" s="23" t="s">
        <v>146</v>
      </c>
      <c r="F26" s="31">
        <v>756</v>
      </c>
      <c r="G26" s="31">
        <v>56000</v>
      </c>
      <c r="H26" s="31">
        <f>E_Kien_HD[[#This Row],[ĐƠN GIÁ]]*E_Kien_HD[[#This Row],[SỐ LƯỢNG]]</f>
        <v>42336000</v>
      </c>
      <c r="I26" s="31"/>
      <c r="J26" s="31">
        <f>J25+E_Kien_HD[[#This Row],[THÀNH TIỀN]]-E_Kien_HD[[#This Row],[THANH TOÁN]]</f>
        <v>321375500</v>
      </c>
      <c r="K26" s="24"/>
    </row>
    <row r="27" spans="1:11" x14ac:dyDescent="0.25">
      <c r="A27" s="25"/>
      <c r="B27" s="30">
        <v>46091</v>
      </c>
      <c r="C27" s="26" t="s">
        <v>21</v>
      </c>
      <c r="D27" s="38" t="s">
        <v>260</v>
      </c>
      <c r="E27" s="26" t="s">
        <v>261</v>
      </c>
      <c r="F27" s="28">
        <v>0</v>
      </c>
      <c r="G27" s="28">
        <v>0</v>
      </c>
      <c r="H27" s="28">
        <f>E_Kien_HD[[#This Row],[ĐƠN GIÁ]]*E_Kien_HD[[#This Row],[SỐ LƯỢNG]]</f>
        <v>0</v>
      </c>
      <c r="I27" s="28">
        <v>50000000</v>
      </c>
      <c r="J27" s="28">
        <f>J26+E_Kien_HD[[#This Row],[THÀNH TIỀN]]-E_Kien_HD[[#This Row],[THANH TOÁN]]</f>
        <v>271375500</v>
      </c>
      <c r="K27" s="27"/>
    </row>
    <row r="28" spans="1:11" x14ac:dyDescent="0.25">
      <c r="A28" s="25"/>
      <c r="B28" s="30">
        <v>46092</v>
      </c>
      <c r="C28" s="26" t="s">
        <v>21</v>
      </c>
      <c r="D28" s="38" t="s">
        <v>22</v>
      </c>
      <c r="E28" s="26" t="s">
        <v>23</v>
      </c>
      <c r="F28" s="28">
        <v>0</v>
      </c>
      <c r="G28" s="28">
        <v>0</v>
      </c>
      <c r="H28" s="28">
        <f>E_Kien_HD[[#This Row],[ĐƠN GIÁ]]*E_Kien_HD[[#This Row],[SỐ LƯỢNG]]</f>
        <v>0</v>
      </c>
      <c r="I28" s="28">
        <v>793000</v>
      </c>
      <c r="J28" s="28">
        <f>J27+E_Kien_HD[[#This Row],[THÀNH TIỀN]]-E_Kien_HD[[#This Row],[THANH TOÁN]]</f>
        <v>270582500</v>
      </c>
      <c r="K28" s="27"/>
    </row>
    <row r="29" spans="1:11" x14ac:dyDescent="0.25">
      <c r="A29" s="25">
        <v>8027</v>
      </c>
      <c r="B29" s="30">
        <v>46093</v>
      </c>
      <c r="C29" s="26" t="s">
        <v>13</v>
      </c>
      <c r="D29" s="38" t="s">
        <v>43</v>
      </c>
      <c r="E29" s="26" t="s">
        <v>188</v>
      </c>
      <c r="F29" s="28">
        <v>520</v>
      </c>
      <c r="G29" s="28">
        <v>56000</v>
      </c>
      <c r="H29" s="28">
        <f>E_Kien_HD[[#This Row],[ĐƠN GIÁ]]*E_Kien_HD[[#This Row],[SỐ LƯỢNG]]</f>
        <v>29120000</v>
      </c>
      <c r="I29" s="28"/>
      <c r="J29" s="28">
        <f>J28+E_Kien_HD[[#This Row],[THÀNH TIỀN]]-E_Kien_HD[[#This Row],[THANH TOÁN]]</f>
        <v>299702500</v>
      </c>
      <c r="K29" s="27"/>
    </row>
    <row r="30" spans="1:11" x14ac:dyDescent="0.25">
      <c r="A30" s="25">
        <v>8027</v>
      </c>
      <c r="B30" s="30">
        <v>46093</v>
      </c>
      <c r="C30" s="26" t="s">
        <v>13</v>
      </c>
      <c r="D30" s="38" t="s">
        <v>103</v>
      </c>
      <c r="E30" s="26" t="s">
        <v>179</v>
      </c>
      <c r="F30" s="28">
        <v>176</v>
      </c>
      <c r="G30" s="28">
        <v>38000</v>
      </c>
      <c r="H30" s="28">
        <f>E_Kien_HD[[#This Row],[ĐƠN GIÁ]]*E_Kien_HD[[#This Row],[SỐ LƯỢNG]]</f>
        <v>6688000</v>
      </c>
      <c r="I30" s="28"/>
      <c r="J30" s="28">
        <f>J29+E_Kien_HD[[#This Row],[THÀNH TIỀN]]-E_Kien_HD[[#This Row],[THANH TOÁN]]</f>
        <v>306390500</v>
      </c>
      <c r="K30" s="27"/>
    </row>
    <row r="31" spans="1:11" x14ac:dyDescent="0.25">
      <c r="A31" s="25"/>
      <c r="B31" s="30">
        <v>46093</v>
      </c>
      <c r="C31" s="26" t="s">
        <v>21</v>
      </c>
      <c r="D31" s="38" t="s">
        <v>22</v>
      </c>
      <c r="E31" s="23" t="s">
        <v>23</v>
      </c>
      <c r="F31" s="31">
        <v>0</v>
      </c>
      <c r="G31" s="31">
        <v>0</v>
      </c>
      <c r="H31" s="31">
        <f>E_Kien_HD[[#This Row],[ĐƠN GIÁ]]*E_Kien_HD[[#This Row],[SỐ LƯỢNG]]</f>
        <v>0</v>
      </c>
      <c r="I31" s="31">
        <v>20000000</v>
      </c>
      <c r="J31" s="31">
        <f>J30+E_Kien_HD[[#This Row],[THÀNH TIỀN]]-E_Kien_HD[[#This Row],[THANH TOÁN]]</f>
        <v>286390500</v>
      </c>
      <c r="K31" s="24"/>
    </row>
    <row r="32" spans="1:11" x14ac:dyDescent="0.25">
      <c r="A32" s="25"/>
      <c r="B32" s="30">
        <v>46094</v>
      </c>
      <c r="C32" s="26" t="s">
        <v>21</v>
      </c>
      <c r="D32" s="38" t="s">
        <v>22</v>
      </c>
      <c r="E32" s="26" t="s">
        <v>23</v>
      </c>
      <c r="F32" s="28">
        <v>0</v>
      </c>
      <c r="G32" s="28">
        <v>0</v>
      </c>
      <c r="H32" s="28">
        <f>E_Kien_HD[[#This Row],[ĐƠN GIÁ]]*E_Kien_HD[[#This Row],[SỐ LƯỢNG]]</f>
        <v>0</v>
      </c>
      <c r="I32" s="28">
        <v>11000000</v>
      </c>
      <c r="J32" s="28">
        <f>J31+E_Kien_HD[[#This Row],[THÀNH TIỀN]]-E_Kien_HD[[#This Row],[THANH TOÁN]]</f>
        <v>275390500</v>
      </c>
      <c r="K32" s="27"/>
    </row>
    <row r="33" spans="1:11" x14ac:dyDescent="0.25">
      <c r="A33" s="25">
        <v>8080</v>
      </c>
      <c r="B33" s="30">
        <v>46095</v>
      </c>
      <c r="C33" s="26" t="s">
        <v>13</v>
      </c>
      <c r="D33" s="38" t="s">
        <v>169</v>
      </c>
      <c r="E33" s="26" t="s">
        <v>441</v>
      </c>
      <c r="F33" s="28">
        <v>518</v>
      </c>
      <c r="G33" s="28">
        <v>38000</v>
      </c>
      <c r="H33" s="28">
        <f>E_Kien_HD[[#This Row],[ĐƠN GIÁ]]*E_Kien_HD[[#This Row],[SỐ LƯỢNG]]</f>
        <v>19684000</v>
      </c>
      <c r="I33" s="28"/>
      <c r="J33" s="28">
        <f>J32+E_Kien_HD[[#This Row],[THÀNH TIỀN]]-E_Kien_HD[[#This Row],[THANH TOÁN]]</f>
        <v>295074500</v>
      </c>
      <c r="K33" s="27"/>
    </row>
    <row r="34" spans="1:11" x14ac:dyDescent="0.25">
      <c r="A34" s="25">
        <v>8080</v>
      </c>
      <c r="B34" s="30">
        <v>46095</v>
      </c>
      <c r="C34" s="26" t="s">
        <v>13</v>
      </c>
      <c r="D34" s="38" t="s">
        <v>17</v>
      </c>
      <c r="E34" s="26" t="s">
        <v>254</v>
      </c>
      <c r="F34" s="28">
        <v>800</v>
      </c>
      <c r="G34" s="28">
        <v>58000</v>
      </c>
      <c r="H34" s="28">
        <f>E_Kien_HD[[#This Row],[ĐƠN GIÁ]]*E_Kien_HD[[#This Row],[SỐ LƯỢNG]]</f>
        <v>46400000</v>
      </c>
      <c r="I34" s="28"/>
      <c r="J34" s="28">
        <f>J33+E_Kien_HD[[#This Row],[THÀNH TIỀN]]-E_Kien_HD[[#This Row],[THANH TOÁN]]</f>
        <v>341474500</v>
      </c>
      <c r="K34" s="27"/>
    </row>
    <row r="35" spans="1:11" x14ac:dyDescent="0.25">
      <c r="A35" s="25">
        <v>8080</v>
      </c>
      <c r="B35" s="30">
        <v>46095</v>
      </c>
      <c r="C35" s="26" t="s">
        <v>13</v>
      </c>
      <c r="D35" s="38" t="s">
        <v>17</v>
      </c>
      <c r="E35" s="26" t="s">
        <v>441</v>
      </c>
      <c r="F35" s="28">
        <v>950</v>
      </c>
      <c r="G35" s="28">
        <v>58000</v>
      </c>
      <c r="H35" s="28">
        <f>E_Kien_HD[[#This Row],[ĐƠN GIÁ]]*E_Kien_HD[[#This Row],[SỐ LƯỢNG]]</f>
        <v>55100000</v>
      </c>
      <c r="I35" s="28"/>
      <c r="J35" s="28">
        <f>J34+E_Kien_HD[[#This Row],[THÀNH TIỀN]]-E_Kien_HD[[#This Row],[THANH TOÁN]]</f>
        <v>396574500</v>
      </c>
      <c r="K35" s="27"/>
    </row>
    <row r="36" spans="1:11" x14ac:dyDescent="0.25">
      <c r="A36" s="25">
        <v>8080</v>
      </c>
      <c r="B36" s="30">
        <v>46095</v>
      </c>
      <c r="C36" s="26" t="s">
        <v>13</v>
      </c>
      <c r="D36" s="38" t="s">
        <v>17</v>
      </c>
      <c r="E36" s="26" t="s">
        <v>267</v>
      </c>
      <c r="F36" s="28">
        <v>929</v>
      </c>
      <c r="G36" s="28">
        <v>59000</v>
      </c>
      <c r="H36" s="28">
        <f>E_Kien_HD[[#This Row],[ĐƠN GIÁ]]*E_Kien_HD[[#This Row],[SỐ LƯỢNG]]</f>
        <v>54811000</v>
      </c>
      <c r="I36" s="28"/>
      <c r="J36" s="28">
        <f>J35+E_Kien_HD[[#This Row],[THÀNH TIỀN]]-E_Kien_HD[[#This Row],[THANH TOÁN]]</f>
        <v>451385500</v>
      </c>
      <c r="K36" s="27"/>
    </row>
    <row r="37" spans="1:11" x14ac:dyDescent="0.25">
      <c r="A37" s="25">
        <v>8080</v>
      </c>
      <c r="B37" s="30">
        <v>46095</v>
      </c>
      <c r="C37" s="26" t="s">
        <v>13</v>
      </c>
      <c r="D37" s="38" t="s">
        <v>43</v>
      </c>
      <c r="E37" s="26" t="s">
        <v>203</v>
      </c>
      <c r="F37" s="28">
        <v>104</v>
      </c>
      <c r="G37" s="28">
        <v>61000</v>
      </c>
      <c r="H37" s="28">
        <f>E_Kien_HD[[#This Row],[ĐƠN GIÁ]]*E_Kien_HD[[#This Row],[SỐ LƯỢNG]]</f>
        <v>6344000</v>
      </c>
      <c r="I37" s="28"/>
      <c r="J37" s="28">
        <f>J36+E_Kien_HD[[#This Row],[THÀNH TIỀN]]-E_Kien_HD[[#This Row],[THANH TOÁN]]</f>
        <v>457729500</v>
      </c>
      <c r="K37" s="27"/>
    </row>
    <row r="38" spans="1:11" x14ac:dyDescent="0.25">
      <c r="A38" s="25">
        <v>8080</v>
      </c>
      <c r="B38" s="30">
        <v>46095</v>
      </c>
      <c r="C38" s="26" t="s">
        <v>13</v>
      </c>
      <c r="D38" s="38" t="s">
        <v>442</v>
      </c>
      <c r="E38" s="26" t="s">
        <v>245</v>
      </c>
      <c r="F38" s="28">
        <v>550</v>
      </c>
      <c r="G38" s="28">
        <v>57000</v>
      </c>
      <c r="H38" s="28">
        <f>E_Kien_HD[[#This Row],[ĐƠN GIÁ]]*E_Kien_HD[[#This Row],[SỐ LƯỢNG]]</f>
        <v>31350000</v>
      </c>
      <c r="I38" s="28"/>
      <c r="J38" s="28">
        <f>J37+E_Kien_HD[[#This Row],[THÀNH TIỀN]]-E_Kien_HD[[#This Row],[THANH TOÁN]]</f>
        <v>489079500</v>
      </c>
      <c r="K38" s="27"/>
    </row>
    <row r="39" spans="1:11" x14ac:dyDescent="0.25">
      <c r="A39" s="25"/>
      <c r="B39" s="30">
        <v>46097</v>
      </c>
      <c r="C39" s="26" t="s">
        <v>21</v>
      </c>
      <c r="D39" s="38" t="s">
        <v>22</v>
      </c>
      <c r="E39" s="26" t="s">
        <v>23</v>
      </c>
      <c r="F39" s="28">
        <v>0</v>
      </c>
      <c r="G39" s="28">
        <v>0</v>
      </c>
      <c r="H39" s="28">
        <f>E_Kien_HD[[#This Row],[ĐƠN GIÁ]]*E_Kien_HD[[#This Row],[SỐ LƯỢNG]]</f>
        <v>0</v>
      </c>
      <c r="I39" s="28">
        <v>1505000</v>
      </c>
      <c r="J39" s="28">
        <f>J38+E_Kien_HD[[#This Row],[THÀNH TIỀN]]-E_Kien_HD[[#This Row],[THANH TOÁN]]</f>
        <v>487574500</v>
      </c>
      <c r="K39" s="27"/>
    </row>
    <row r="40" spans="1:11" x14ac:dyDescent="0.25">
      <c r="A40" s="25"/>
      <c r="B40" s="30">
        <v>46098</v>
      </c>
      <c r="C40" s="26" t="s">
        <v>21</v>
      </c>
      <c r="D40" s="38" t="s">
        <v>260</v>
      </c>
      <c r="E40" s="26" t="s">
        <v>261</v>
      </c>
      <c r="F40" s="28">
        <v>0</v>
      </c>
      <c r="G40" s="28">
        <v>0</v>
      </c>
      <c r="H40" s="28">
        <f>E_Kien_HD[[#This Row],[ĐƠN GIÁ]]*E_Kien_HD[[#This Row],[SỐ LƯỢNG]]</f>
        <v>0</v>
      </c>
      <c r="I40" s="28">
        <v>50000000</v>
      </c>
      <c r="J40" s="28">
        <f>J39+E_Kien_HD[[#This Row],[THÀNH TIỀN]]-E_Kien_HD[[#This Row],[THANH TOÁN]]</f>
        <v>437574500</v>
      </c>
      <c r="K40" s="27"/>
    </row>
    <row r="41" spans="1:11" x14ac:dyDescent="0.25">
      <c r="A41" s="25">
        <v>8182</v>
      </c>
      <c r="B41" s="30">
        <v>46099</v>
      </c>
      <c r="C41" s="26" t="s">
        <v>13</v>
      </c>
      <c r="D41" s="38" t="s">
        <v>26</v>
      </c>
      <c r="E41" s="26" t="s">
        <v>62</v>
      </c>
      <c r="F41" s="28">
        <v>613</v>
      </c>
      <c r="G41" s="28">
        <v>33000</v>
      </c>
      <c r="H41" s="28">
        <f>E_Kien_HD[[#This Row],[ĐƠN GIÁ]]*E_Kien_HD[[#This Row],[SỐ LƯỢNG]]</f>
        <v>20229000</v>
      </c>
      <c r="I41" s="28"/>
      <c r="J41" s="28">
        <f>J40+E_Kien_HD[[#This Row],[THÀNH TIỀN]]-E_Kien_HD[[#This Row],[THANH TOÁN]]</f>
        <v>457803500</v>
      </c>
      <c r="K41" s="27"/>
    </row>
    <row r="42" spans="1:11" x14ac:dyDescent="0.25">
      <c r="A42" s="22">
        <v>8182</v>
      </c>
      <c r="B42" s="30">
        <v>46099</v>
      </c>
      <c r="C42" s="26" t="s">
        <v>13</v>
      </c>
      <c r="D42" s="38" t="s">
        <v>43</v>
      </c>
      <c r="E42" s="26" t="s">
        <v>204</v>
      </c>
      <c r="F42" s="28">
        <v>488</v>
      </c>
      <c r="G42" s="28">
        <v>56500</v>
      </c>
      <c r="H42" s="31">
        <f>E_Kien_HD[[#This Row],[ĐƠN GIÁ]]*E_Kien_HD[[#This Row],[SỐ LƯỢNG]]</f>
        <v>27572000</v>
      </c>
      <c r="I42" s="31"/>
      <c r="J42" s="31">
        <f>J41+E_Kien_HD[[#This Row],[THÀNH TIỀN]]-E_Kien_HD[[#This Row],[THANH TOÁN]]</f>
        <v>485375500</v>
      </c>
      <c r="K42" s="24"/>
    </row>
    <row r="43" spans="1:11" x14ac:dyDescent="0.25">
      <c r="A43" s="25">
        <v>8182</v>
      </c>
      <c r="B43" s="30">
        <v>46099</v>
      </c>
      <c r="C43" s="26" t="s">
        <v>13</v>
      </c>
      <c r="D43" s="38" t="s">
        <v>43</v>
      </c>
      <c r="E43" s="26" t="s">
        <v>146</v>
      </c>
      <c r="F43" s="28">
        <v>620</v>
      </c>
      <c r="G43" s="28">
        <v>56500</v>
      </c>
      <c r="H43" s="28">
        <f>E_Kien_HD[[#This Row],[ĐƠN GIÁ]]*E_Kien_HD[[#This Row],[SỐ LƯỢNG]]</f>
        <v>35030000</v>
      </c>
      <c r="I43" s="28"/>
      <c r="J43" s="28">
        <f>J42+E_Kien_HD[[#This Row],[THÀNH TIỀN]]-E_Kien_HD[[#This Row],[THANH TOÁN]]</f>
        <v>520405500</v>
      </c>
      <c r="K43" s="27"/>
    </row>
    <row r="44" spans="1:11" x14ac:dyDescent="0.25">
      <c r="A44" s="22"/>
      <c r="B44" s="30">
        <v>46099</v>
      </c>
      <c r="C44" s="26" t="s">
        <v>21</v>
      </c>
      <c r="D44" s="38" t="s">
        <v>22</v>
      </c>
      <c r="E44" s="26" t="s">
        <v>23</v>
      </c>
      <c r="F44" s="28">
        <v>0</v>
      </c>
      <c r="G44" s="28">
        <v>0</v>
      </c>
      <c r="H44" s="31">
        <f>E_Kien_HD[[#This Row],[ĐƠN GIÁ]]*E_Kien_HD[[#This Row],[SỐ LƯỢNG]]</f>
        <v>0</v>
      </c>
      <c r="I44" s="31">
        <v>7000000</v>
      </c>
      <c r="J44" s="31">
        <f>J43+E_Kien_HD[[#This Row],[THÀNH TIỀN]]-E_Kien_HD[[#This Row],[THANH TOÁN]]</f>
        <v>513405500</v>
      </c>
      <c r="K44" s="24"/>
    </row>
    <row r="45" spans="1:11" x14ac:dyDescent="0.25">
      <c r="A45" s="25"/>
      <c r="B45" s="30">
        <v>46099</v>
      </c>
      <c r="C45" s="26" t="s">
        <v>21</v>
      </c>
      <c r="D45" s="38" t="s">
        <v>22</v>
      </c>
      <c r="E45" s="26" t="s">
        <v>23</v>
      </c>
      <c r="F45" s="28">
        <v>0</v>
      </c>
      <c r="G45" s="28">
        <v>0</v>
      </c>
      <c r="H45" s="28">
        <f>E_Kien_HD[[#This Row],[ĐƠN GIÁ]]*E_Kien_HD[[#This Row],[SỐ LƯỢNG]]</f>
        <v>0</v>
      </c>
      <c r="I45" s="28">
        <v>5000000</v>
      </c>
      <c r="J45" s="28">
        <f>J44+E_Kien_HD[[#This Row],[THÀNH TIỀN]]-E_Kien_HD[[#This Row],[THANH TOÁN]]</f>
        <v>508405500</v>
      </c>
      <c r="K45" s="27"/>
    </row>
    <row r="46" spans="1:11" x14ac:dyDescent="0.25">
      <c r="A46" s="25">
        <v>8254</v>
      </c>
      <c r="B46" s="30">
        <v>46100</v>
      </c>
      <c r="C46" s="26" t="s">
        <v>13</v>
      </c>
      <c r="D46" s="38" t="s">
        <v>135</v>
      </c>
      <c r="E46" s="26" t="s">
        <v>41</v>
      </c>
      <c r="F46" s="28">
        <v>914</v>
      </c>
      <c r="G46" s="28">
        <v>37000</v>
      </c>
      <c r="H46" s="28">
        <f>E_Kien_HD[[#This Row],[ĐƠN GIÁ]]*E_Kien_HD[[#This Row],[SỐ LƯỢNG]]</f>
        <v>33818000</v>
      </c>
      <c r="I46" s="28"/>
      <c r="J46" s="28">
        <f>J45+E_Kien_HD[[#This Row],[THÀNH TIỀN]]-E_Kien_HD[[#This Row],[THANH TOÁN]]</f>
        <v>542223500</v>
      </c>
      <c r="K46" s="27"/>
    </row>
    <row r="47" spans="1:11" x14ac:dyDescent="0.25">
      <c r="A47" s="25">
        <v>8254</v>
      </c>
      <c r="B47" s="30">
        <v>46100</v>
      </c>
      <c r="C47" s="26" t="s">
        <v>13</v>
      </c>
      <c r="D47" s="38" t="s">
        <v>43</v>
      </c>
      <c r="E47" s="26" t="s">
        <v>44</v>
      </c>
      <c r="F47" s="28">
        <v>610</v>
      </c>
      <c r="G47" s="28">
        <v>55500</v>
      </c>
      <c r="H47" s="28">
        <f>E_Kien_HD[[#This Row],[ĐƠN GIÁ]]*E_Kien_HD[[#This Row],[SỐ LƯỢNG]]</f>
        <v>33855000</v>
      </c>
      <c r="I47" s="28"/>
      <c r="J47" s="28">
        <f>J46+E_Kien_HD[[#This Row],[THÀNH TIỀN]]-E_Kien_HD[[#This Row],[THANH TOÁN]]</f>
        <v>576078500</v>
      </c>
      <c r="K47" s="27"/>
    </row>
    <row r="48" spans="1:11" x14ac:dyDescent="0.25">
      <c r="A48" s="22"/>
      <c r="B48" s="30">
        <v>46100</v>
      </c>
      <c r="C48" s="26" t="s">
        <v>21</v>
      </c>
      <c r="D48" s="38" t="s">
        <v>22</v>
      </c>
      <c r="E48" s="26" t="s">
        <v>23</v>
      </c>
      <c r="F48" s="28">
        <v>0</v>
      </c>
      <c r="G48" s="28">
        <v>0</v>
      </c>
      <c r="H48" s="28">
        <f>E_Kien_HD[[#This Row],[ĐƠN GIÁ]]*E_Kien_HD[[#This Row],[SỐ LƯỢNG]]</f>
        <v>0</v>
      </c>
      <c r="I48" s="31">
        <v>4000000</v>
      </c>
      <c r="J48" s="31">
        <f>J47+E_Kien_HD[[#This Row],[THÀNH TIỀN]]-E_Kien_HD[[#This Row],[THANH TOÁN]]</f>
        <v>572078500</v>
      </c>
      <c r="K48" s="24"/>
    </row>
    <row r="49" spans="1:11" x14ac:dyDescent="0.25">
      <c r="A49" s="25">
        <v>8216</v>
      </c>
      <c r="B49" s="30">
        <v>46104</v>
      </c>
      <c r="C49" s="26" t="s">
        <v>13</v>
      </c>
      <c r="D49" s="38" t="s">
        <v>14</v>
      </c>
      <c r="E49" s="26" t="s">
        <v>62</v>
      </c>
      <c r="F49" s="28">
        <v>634</v>
      </c>
      <c r="G49" s="28">
        <v>43000</v>
      </c>
      <c r="H49" s="28">
        <f>E_Kien_HD[[#This Row],[ĐƠN GIÁ]]*E_Kien_HD[[#This Row],[SỐ LƯỢNG]]</f>
        <v>27262000</v>
      </c>
      <c r="I49" s="28"/>
      <c r="J49" s="28">
        <f>J48+E_Kien_HD[[#This Row],[THÀNH TIỀN]]-E_Kien_HD[[#This Row],[THANH TOÁN]]</f>
        <v>599340500</v>
      </c>
      <c r="K49" s="27"/>
    </row>
    <row r="50" spans="1:11" x14ac:dyDescent="0.25">
      <c r="A50" s="25"/>
      <c r="B50" s="30">
        <v>46106</v>
      </c>
      <c r="C50" s="26" t="s">
        <v>21</v>
      </c>
      <c r="D50" s="38" t="s">
        <v>22</v>
      </c>
      <c r="E50" s="26" t="s">
        <v>23</v>
      </c>
      <c r="F50" s="28">
        <v>0</v>
      </c>
      <c r="G50" s="28">
        <v>0</v>
      </c>
      <c r="H50" s="28">
        <f>E_Kien_HD[[#This Row],[ĐƠN GIÁ]]*E_Kien_HD[[#This Row],[SỐ LƯỢNG]]</f>
        <v>0</v>
      </c>
      <c r="I50" s="28">
        <v>23742000</v>
      </c>
      <c r="J50" s="28">
        <f>J49+E_Kien_HD[[#This Row],[THÀNH TIỀN]]-E_Kien_HD[[#This Row],[THANH TOÁN]]</f>
        <v>575598500</v>
      </c>
      <c r="K50" s="27"/>
    </row>
    <row r="51" spans="1:11" x14ac:dyDescent="0.25">
      <c r="A51" s="25"/>
      <c r="B51" s="30">
        <v>46107</v>
      </c>
      <c r="C51" s="26" t="s">
        <v>21</v>
      </c>
      <c r="D51" s="38" t="s">
        <v>260</v>
      </c>
      <c r="E51" s="26" t="s">
        <v>261</v>
      </c>
      <c r="F51" s="28">
        <v>0</v>
      </c>
      <c r="G51" s="28">
        <v>0</v>
      </c>
      <c r="H51" s="28">
        <f>E_Kien_HD[[#This Row],[ĐƠN GIÁ]]*E_Kien_HD[[#This Row],[SỐ LƯỢNG]]</f>
        <v>0</v>
      </c>
      <c r="I51" s="28">
        <v>50000000</v>
      </c>
      <c r="J51" s="28">
        <f>J50+E_Kien_HD[[#This Row],[THÀNH TIỀN]]-E_Kien_HD[[#This Row],[THANH TOÁN]]</f>
        <v>525598500</v>
      </c>
      <c r="K51" s="27"/>
    </row>
    <row r="52" spans="1:11" x14ac:dyDescent="0.25">
      <c r="A52" s="25"/>
      <c r="B52" s="30">
        <v>46107</v>
      </c>
      <c r="C52" s="26" t="s">
        <v>21</v>
      </c>
      <c r="D52" s="38" t="s">
        <v>22</v>
      </c>
      <c r="E52" s="26" t="s">
        <v>23</v>
      </c>
      <c r="F52" s="28">
        <v>0</v>
      </c>
      <c r="G52" s="28">
        <v>0</v>
      </c>
      <c r="H52" s="28">
        <f>E_Kien_HD[[#This Row],[ĐƠN GIÁ]]*E_Kien_HD[[#This Row],[SỐ LƯỢNG]]</f>
        <v>0</v>
      </c>
      <c r="I52" s="28">
        <v>2665000</v>
      </c>
      <c r="J52" s="28">
        <f>J51+E_Kien_HD[[#This Row],[THÀNH TIỀN]]-E_Kien_HD[[#This Row],[THANH TOÁN]]</f>
        <v>522933500</v>
      </c>
      <c r="K52" s="27"/>
    </row>
    <row r="53" spans="1:11" x14ac:dyDescent="0.25">
      <c r="A53" s="25"/>
      <c r="B53" s="30">
        <v>46107</v>
      </c>
      <c r="C53" s="26" t="s">
        <v>21</v>
      </c>
      <c r="D53" s="38" t="s">
        <v>22</v>
      </c>
      <c r="E53" s="26" t="s">
        <v>23</v>
      </c>
      <c r="F53" s="28">
        <v>0</v>
      </c>
      <c r="G53" s="28">
        <v>0</v>
      </c>
      <c r="H53" s="28">
        <f>E_Kien_HD[[#This Row],[ĐƠN GIÁ]]*E_Kien_HD[[#This Row],[SỐ LƯỢNG]]</f>
        <v>0</v>
      </c>
      <c r="I53" s="28">
        <v>5000000</v>
      </c>
      <c r="J53" s="28">
        <f>J52+E_Kien_HD[[#This Row],[THÀNH TIỀN]]-E_Kien_HD[[#This Row],[THANH TOÁN]]</f>
        <v>517933500</v>
      </c>
      <c r="K53" s="27"/>
    </row>
    <row r="54" spans="1:11" x14ac:dyDescent="0.25">
      <c r="A54" s="25">
        <v>8375</v>
      </c>
      <c r="B54" s="30">
        <v>46108</v>
      </c>
      <c r="C54" s="26" t="s">
        <v>13</v>
      </c>
      <c r="D54" s="38" t="s">
        <v>17</v>
      </c>
      <c r="E54" s="26" t="s">
        <v>443</v>
      </c>
      <c r="F54" s="28">
        <v>1058</v>
      </c>
      <c r="G54" s="28">
        <v>60000</v>
      </c>
      <c r="H54" s="28">
        <f>E_Kien_HD[[#This Row],[ĐƠN GIÁ]]*E_Kien_HD[[#This Row],[SỐ LƯỢNG]]</f>
        <v>63480000</v>
      </c>
      <c r="I54" s="28"/>
      <c r="J54" s="28">
        <f>J53+E_Kien_HD[[#This Row],[THÀNH TIỀN]]-E_Kien_HD[[#This Row],[THANH TOÁN]]</f>
        <v>581413500</v>
      </c>
      <c r="K54" s="27"/>
    </row>
    <row r="55" spans="1:11" x14ac:dyDescent="0.25">
      <c r="A55" s="25">
        <v>8375</v>
      </c>
      <c r="B55" s="30">
        <v>46108</v>
      </c>
      <c r="C55" s="26" t="s">
        <v>13</v>
      </c>
      <c r="D55" s="38" t="s">
        <v>43</v>
      </c>
      <c r="E55" s="26" t="s">
        <v>211</v>
      </c>
      <c r="F55" s="28">
        <v>272</v>
      </c>
      <c r="G55" s="28">
        <v>60000</v>
      </c>
      <c r="H55" s="28">
        <f>E_Kien_HD[[#This Row],[ĐƠN GIÁ]]*E_Kien_HD[[#This Row],[SỐ LƯỢNG]]</f>
        <v>16320000</v>
      </c>
      <c r="I55" s="28"/>
      <c r="J55" s="28">
        <f>J54+E_Kien_HD[[#This Row],[THÀNH TIỀN]]-E_Kien_HD[[#This Row],[THANH TOÁN]]</f>
        <v>597733500</v>
      </c>
      <c r="K55" s="27"/>
    </row>
    <row r="56" spans="1:11" x14ac:dyDescent="0.25">
      <c r="A56" s="25"/>
      <c r="B56" s="30">
        <v>46112</v>
      </c>
      <c r="C56" s="26" t="s">
        <v>21</v>
      </c>
      <c r="D56" s="38" t="s">
        <v>22</v>
      </c>
      <c r="E56" s="26" t="s">
        <v>83</v>
      </c>
      <c r="F56" s="28">
        <v>0</v>
      </c>
      <c r="G56" s="28">
        <v>0</v>
      </c>
      <c r="H56" s="28">
        <f>E_Kien_HD[[#This Row],[ĐƠN GIÁ]]*E_Kien_HD[[#This Row],[SỐ LƯỢNG]]</f>
        <v>0</v>
      </c>
      <c r="I56" s="28">
        <v>50000000</v>
      </c>
      <c r="J56" s="28">
        <f>J55+E_Kien_HD[[#This Row],[THÀNH TIỀN]]-E_Kien_HD[[#This Row],[THANH TOÁN]]</f>
        <v>547733500</v>
      </c>
      <c r="K56" s="27"/>
    </row>
    <row r="57" spans="1:11" x14ac:dyDescent="0.25">
      <c r="A57" s="25"/>
      <c r="B57" s="30">
        <v>46112</v>
      </c>
      <c r="C57" s="26" t="s">
        <v>21</v>
      </c>
      <c r="D57" s="38" t="s">
        <v>22</v>
      </c>
      <c r="E57" s="26" t="s">
        <v>23</v>
      </c>
      <c r="F57" s="28">
        <v>0</v>
      </c>
      <c r="G57" s="28">
        <v>0</v>
      </c>
      <c r="H57" s="28">
        <f>E_Kien_HD[[#This Row],[ĐƠN GIÁ]]*E_Kien_HD[[#This Row],[SỐ LƯỢNG]]</f>
        <v>0</v>
      </c>
      <c r="I57" s="28">
        <v>3000000</v>
      </c>
      <c r="J57" s="28">
        <f>J56+E_Kien_HD[[#This Row],[THÀNH TIỀN]]-E_Kien_HD[[#This Row],[THANH TOÁN]]</f>
        <v>544733500</v>
      </c>
      <c r="K57" s="27"/>
    </row>
    <row r="58" spans="1:11" x14ac:dyDescent="0.25">
      <c r="A58" s="22">
        <v>8498</v>
      </c>
      <c r="B58" s="29">
        <v>46114</v>
      </c>
      <c r="C58" s="23" t="s">
        <v>13</v>
      </c>
      <c r="D58" s="37" t="s">
        <v>54</v>
      </c>
      <c r="E58" s="23" t="s">
        <v>117</v>
      </c>
      <c r="F58" s="31">
        <v>200</v>
      </c>
      <c r="G58" s="31">
        <v>36000</v>
      </c>
      <c r="H58" s="31">
        <f>E_Kien_HD[[#This Row],[ĐƠN GIÁ]]*E_Kien_HD[[#This Row],[SỐ LƯỢNG]]</f>
        <v>7200000</v>
      </c>
      <c r="I58" s="31"/>
      <c r="J58" s="31">
        <f>J57+E_Kien_HD[[#This Row],[THÀNH TIỀN]]-E_Kien_HD[[#This Row],[THANH TOÁN]]</f>
        <v>551933500</v>
      </c>
      <c r="K58" s="24"/>
    </row>
    <row r="59" spans="1:11" x14ac:dyDescent="0.25">
      <c r="A59" s="22">
        <v>8498</v>
      </c>
      <c r="B59" s="29">
        <v>46114</v>
      </c>
      <c r="C59" s="23" t="s">
        <v>13</v>
      </c>
      <c r="D59" s="37" t="s">
        <v>17</v>
      </c>
      <c r="E59" s="23" t="s">
        <v>41</v>
      </c>
      <c r="F59" s="31">
        <v>650</v>
      </c>
      <c r="G59" s="31">
        <v>61000</v>
      </c>
      <c r="H59" s="31">
        <f>E_Kien_HD[[#This Row],[ĐƠN GIÁ]]*E_Kien_HD[[#This Row],[SỐ LƯỢNG]]</f>
        <v>39650000</v>
      </c>
      <c r="I59" s="31"/>
      <c r="J59" s="31">
        <f>J58+E_Kien_HD[[#This Row],[THÀNH TIỀN]]-E_Kien_HD[[#This Row],[THANH TOÁN]]</f>
        <v>591583500</v>
      </c>
      <c r="K59" s="24"/>
    </row>
    <row r="60" spans="1:11" x14ac:dyDescent="0.25">
      <c r="A60" s="22">
        <v>8591</v>
      </c>
      <c r="B60" s="29">
        <v>46118</v>
      </c>
      <c r="C60" s="23" t="s">
        <v>13</v>
      </c>
      <c r="D60" s="37" t="s">
        <v>135</v>
      </c>
      <c r="E60" s="23" t="s">
        <v>146</v>
      </c>
      <c r="F60" s="31">
        <v>498</v>
      </c>
      <c r="G60" s="31">
        <v>37000</v>
      </c>
      <c r="H60" s="31">
        <f>E_Kien_HD[[#This Row],[ĐƠN GIÁ]]*E_Kien_HD[[#This Row],[SỐ LƯỢNG]]</f>
        <v>18426000</v>
      </c>
      <c r="I60" s="31"/>
      <c r="J60" s="31">
        <f>J59+E_Kien_HD[[#This Row],[THÀNH TIỀN]]-E_Kien_HD[[#This Row],[THANH TOÁN]]</f>
        <v>610009500</v>
      </c>
      <c r="K60" s="24"/>
    </row>
    <row r="61" spans="1:11" x14ac:dyDescent="0.25">
      <c r="A61" s="22">
        <v>8591</v>
      </c>
      <c r="B61" s="29">
        <v>46118</v>
      </c>
      <c r="C61" s="23" t="s">
        <v>13</v>
      </c>
      <c r="D61" s="37" t="s">
        <v>26</v>
      </c>
      <c r="E61" s="23" t="s">
        <v>134</v>
      </c>
      <c r="F61" s="31">
        <v>346</v>
      </c>
      <c r="G61" s="31">
        <v>36000</v>
      </c>
      <c r="H61" s="31">
        <f>E_Kien_HD[[#This Row],[ĐƠN GIÁ]]*E_Kien_HD[[#This Row],[SỐ LƯỢNG]]</f>
        <v>12456000</v>
      </c>
      <c r="I61" s="31"/>
      <c r="J61" s="31">
        <f>J60+E_Kien_HD[[#This Row],[THÀNH TIỀN]]-E_Kien_HD[[#This Row],[THANH TOÁN]]</f>
        <v>622465500</v>
      </c>
      <c r="K61" s="24"/>
    </row>
    <row r="62" spans="1:11" x14ac:dyDescent="0.25">
      <c r="A62" s="22">
        <v>8634</v>
      </c>
      <c r="B62" s="29">
        <v>46120</v>
      </c>
      <c r="C62" s="23" t="s">
        <v>13</v>
      </c>
      <c r="D62" s="37" t="s">
        <v>109</v>
      </c>
      <c r="E62" s="23" t="s">
        <v>151</v>
      </c>
      <c r="F62" s="31">
        <v>360</v>
      </c>
      <c r="G62" s="31">
        <v>59000</v>
      </c>
      <c r="H62" s="31">
        <f>E_Kien_HD[[#This Row],[ĐƠN GIÁ]]*E_Kien_HD[[#This Row],[SỐ LƯỢNG]]</f>
        <v>21240000</v>
      </c>
      <c r="I62" s="31"/>
      <c r="J62" s="31">
        <f>J61+E_Kien_HD[[#This Row],[THÀNH TIỀN]]-E_Kien_HD[[#This Row],[THANH TOÁN]]</f>
        <v>643705500</v>
      </c>
      <c r="K62" s="24"/>
    </row>
    <row r="63" spans="1:11" x14ac:dyDescent="0.25">
      <c r="A63" s="22">
        <v>8634</v>
      </c>
      <c r="B63" s="29">
        <v>46120</v>
      </c>
      <c r="C63" s="23" t="s">
        <v>13</v>
      </c>
      <c r="D63" s="37" t="s">
        <v>109</v>
      </c>
      <c r="E63" s="23" t="s">
        <v>73</v>
      </c>
      <c r="F63" s="31">
        <v>322</v>
      </c>
      <c r="G63" s="31">
        <v>59000</v>
      </c>
      <c r="H63" s="31">
        <f>E_Kien_HD[[#This Row],[ĐƠN GIÁ]]*E_Kien_HD[[#This Row],[SỐ LƯỢNG]]</f>
        <v>18998000</v>
      </c>
      <c r="I63" s="31"/>
      <c r="J63" s="31">
        <f>J62+E_Kien_HD[[#This Row],[THÀNH TIỀN]]-E_Kien_HD[[#This Row],[THANH TOÁN]]</f>
        <v>662703500</v>
      </c>
      <c r="K63" s="24"/>
    </row>
    <row r="64" spans="1:11" x14ac:dyDescent="0.25">
      <c r="A64" s="22">
        <v>8634</v>
      </c>
      <c r="B64" s="29">
        <v>46120</v>
      </c>
      <c r="C64" s="23" t="s">
        <v>13</v>
      </c>
      <c r="D64" s="37" t="s">
        <v>43</v>
      </c>
      <c r="E64" s="23" t="s">
        <v>444</v>
      </c>
      <c r="F64" s="31">
        <v>1076</v>
      </c>
      <c r="G64" s="31">
        <v>55000</v>
      </c>
      <c r="H64" s="31">
        <f>E_Kien_HD[[#This Row],[ĐƠN GIÁ]]*E_Kien_HD[[#This Row],[SỐ LƯỢNG]]</f>
        <v>59180000</v>
      </c>
      <c r="I64" s="31"/>
      <c r="J64" s="31">
        <f>J63+E_Kien_HD[[#This Row],[THÀNH TIỀN]]-E_Kien_HD[[#This Row],[THANH TOÁN]]</f>
        <v>721883500</v>
      </c>
      <c r="K64" s="24"/>
    </row>
    <row r="65" spans="1:11" x14ac:dyDescent="0.25">
      <c r="A65" s="22">
        <v>8634</v>
      </c>
      <c r="B65" s="29">
        <v>46120</v>
      </c>
      <c r="C65" s="23" t="s">
        <v>13</v>
      </c>
      <c r="D65" s="37" t="s">
        <v>43</v>
      </c>
      <c r="E65" s="23" t="s">
        <v>78</v>
      </c>
      <c r="F65" s="31">
        <v>303</v>
      </c>
      <c r="G65" s="31">
        <v>63000</v>
      </c>
      <c r="H65" s="31">
        <f>E_Kien_HD[[#This Row],[ĐƠN GIÁ]]*E_Kien_HD[[#This Row],[SỐ LƯỢNG]]</f>
        <v>19089000</v>
      </c>
      <c r="I65" s="31"/>
      <c r="J65" s="31">
        <f>J64+E_Kien_HD[[#This Row],[THÀNH TIỀN]]-E_Kien_HD[[#This Row],[THANH TOÁN]]</f>
        <v>740972500</v>
      </c>
      <c r="K65" s="24"/>
    </row>
    <row r="66" spans="1:11" x14ac:dyDescent="0.25">
      <c r="A66" s="22"/>
      <c r="B66" s="29">
        <v>46120</v>
      </c>
      <c r="C66" s="23" t="s">
        <v>21</v>
      </c>
      <c r="D66" s="37" t="s">
        <v>22</v>
      </c>
      <c r="E66" s="23" t="s">
        <v>83</v>
      </c>
      <c r="F66" s="31">
        <v>0</v>
      </c>
      <c r="G66" s="31"/>
      <c r="H66" s="31">
        <f>E_Kien_HD[[#This Row],[ĐƠN GIÁ]]*E_Kien_HD[[#This Row],[SỐ LƯỢNG]]</f>
        <v>0</v>
      </c>
      <c r="I66" s="31">
        <v>50000000</v>
      </c>
      <c r="J66" s="31">
        <f>J65+E_Kien_HD[[#This Row],[THÀNH TIỀN]]-E_Kien_HD[[#This Row],[THANH TOÁN]]</f>
        <v>690972500</v>
      </c>
      <c r="K66" s="24"/>
    </row>
    <row r="67" spans="1:11" x14ac:dyDescent="0.25">
      <c r="A67" s="22">
        <v>8686</v>
      </c>
      <c r="B67" s="29">
        <v>46122</v>
      </c>
      <c r="C67" s="23" t="s">
        <v>13</v>
      </c>
      <c r="D67" s="37" t="s">
        <v>14</v>
      </c>
      <c r="E67" s="23" t="s">
        <v>136</v>
      </c>
      <c r="F67" s="31">
        <v>550</v>
      </c>
      <c r="G67" s="31">
        <v>41500</v>
      </c>
      <c r="H67" s="31">
        <f>E_Kien_HD[[#This Row],[ĐƠN GIÁ]]*E_Kien_HD[[#This Row],[SỐ LƯỢNG]]</f>
        <v>22825000</v>
      </c>
      <c r="I67" s="31"/>
      <c r="J67" s="31">
        <f>J66+E_Kien_HD[[#This Row],[THÀNH TIỀN]]-E_Kien_HD[[#This Row],[THANH TOÁN]]</f>
        <v>713797500</v>
      </c>
      <c r="K67" s="24"/>
    </row>
    <row r="68" spans="1:11" x14ac:dyDescent="0.25">
      <c r="A68" s="22">
        <v>8686</v>
      </c>
      <c r="B68" s="29">
        <v>46122</v>
      </c>
      <c r="C68" s="23" t="s">
        <v>13</v>
      </c>
      <c r="D68" s="37" t="s">
        <v>43</v>
      </c>
      <c r="E68" s="23" t="s">
        <v>148</v>
      </c>
      <c r="F68" s="31">
        <v>610</v>
      </c>
      <c r="G68" s="31">
        <v>57000</v>
      </c>
      <c r="H68" s="31">
        <f>E_Kien_HD[[#This Row],[ĐƠN GIÁ]]*E_Kien_HD[[#This Row],[SỐ LƯỢNG]]</f>
        <v>34770000</v>
      </c>
      <c r="I68" s="31"/>
      <c r="J68" s="31">
        <f>J67+E_Kien_HD[[#This Row],[THÀNH TIỀN]]-E_Kien_HD[[#This Row],[THANH TOÁN]]</f>
        <v>748567500</v>
      </c>
      <c r="K68" s="24"/>
    </row>
    <row r="69" spans="1:11" x14ac:dyDescent="0.25">
      <c r="A69" s="22"/>
      <c r="B69" s="29">
        <v>46126</v>
      </c>
      <c r="C69" s="23" t="s">
        <v>21</v>
      </c>
      <c r="D69" s="37" t="s">
        <v>22</v>
      </c>
      <c r="E69" s="23" t="s">
        <v>83</v>
      </c>
      <c r="F69" s="31">
        <v>0</v>
      </c>
      <c r="G69" s="31"/>
      <c r="H69" s="31">
        <f>E_Kien_HD[[#This Row],[ĐƠN GIÁ]]*E_Kien_HD[[#This Row],[SỐ LƯỢNG]]</f>
        <v>0</v>
      </c>
      <c r="I69" s="31">
        <v>50000000</v>
      </c>
      <c r="J69" s="31">
        <f>J68+E_Kien_HD[[#This Row],[THÀNH TIỀN]]-E_Kien_HD[[#This Row],[THANH TOÁN]]</f>
        <v>698567500</v>
      </c>
      <c r="K69" s="24"/>
    </row>
    <row r="70" spans="1:11" x14ac:dyDescent="0.25">
      <c r="A70" s="22"/>
      <c r="B70" s="29">
        <v>46133</v>
      </c>
      <c r="C70" s="23" t="s">
        <v>21</v>
      </c>
      <c r="D70" s="37" t="s">
        <v>260</v>
      </c>
      <c r="E70" s="23" t="s">
        <v>261</v>
      </c>
      <c r="F70" s="31">
        <v>0</v>
      </c>
      <c r="G70" s="31"/>
      <c r="H70" s="31">
        <f>E_Kien_HD[[#This Row],[ĐƠN GIÁ]]*E_Kien_HD[[#This Row],[SỐ LƯỢNG]]</f>
        <v>0</v>
      </c>
      <c r="I70" s="31">
        <v>50000000</v>
      </c>
      <c r="J70" s="31">
        <f>J69+E_Kien_HD[[#This Row],[THÀNH TIỀN]]-E_Kien_HD[[#This Row],[THANH TOÁN]]</f>
        <v>648567500</v>
      </c>
      <c r="K70" s="24"/>
    </row>
    <row r="71" spans="1:11" x14ac:dyDescent="0.25">
      <c r="A71" s="22"/>
      <c r="B71" s="29">
        <v>46140</v>
      </c>
      <c r="C71" s="23" t="s">
        <v>21</v>
      </c>
      <c r="D71" s="37" t="s">
        <v>22</v>
      </c>
      <c r="E71" s="23" t="s">
        <v>83</v>
      </c>
      <c r="F71" s="31">
        <v>0</v>
      </c>
      <c r="G71" s="31"/>
      <c r="H71" s="31">
        <f>E_Kien_HD[[#This Row],[ĐƠN GIÁ]]*E_Kien_HD[[#This Row],[SỐ LƯỢNG]]</f>
        <v>0</v>
      </c>
      <c r="I71" s="31">
        <v>50000000</v>
      </c>
      <c r="J71" s="31">
        <f>J70+E_Kien_HD[[#This Row],[THÀNH TIỀN]]-E_Kien_HD[[#This Row],[THANH TOÁN]]</f>
        <v>598567500</v>
      </c>
      <c r="K71" s="24"/>
    </row>
    <row r="72" spans="1:11" x14ac:dyDescent="0.25">
      <c r="A72" s="22"/>
      <c r="B72" s="29">
        <v>46155</v>
      </c>
      <c r="C72" s="23" t="s">
        <v>21</v>
      </c>
      <c r="D72" s="37" t="s">
        <v>260</v>
      </c>
      <c r="E72" s="23" t="s">
        <v>261</v>
      </c>
      <c r="F72" s="31">
        <v>0</v>
      </c>
      <c r="G72" s="31"/>
      <c r="H72" s="31">
        <f>E_Kien_HD[[#This Row],[ĐƠN GIÁ]]*E_Kien_HD[[#This Row],[SỐ LƯỢNG]]</f>
        <v>0</v>
      </c>
      <c r="I72" s="31">
        <v>50000000</v>
      </c>
      <c r="J72" s="31">
        <f>J71+E_Kien_HD[[#This Row],[THÀNH TIỀN]]-E_Kien_HD[[#This Row],[THANH TOÁN]]</f>
        <v>548567500</v>
      </c>
      <c r="K72" s="24"/>
    </row>
    <row r="73" spans="1:11" x14ac:dyDescent="0.25">
      <c r="A73" s="22"/>
      <c r="B73" s="29">
        <v>46146</v>
      </c>
      <c r="C73" s="23" t="s">
        <v>21</v>
      </c>
      <c r="D73" s="37" t="s">
        <v>22</v>
      </c>
      <c r="E73" s="23" t="s">
        <v>83</v>
      </c>
      <c r="F73" s="31">
        <v>0</v>
      </c>
      <c r="G73" s="31"/>
      <c r="H73" s="31">
        <f>E_Kien_HD[[#This Row],[ĐƠN GIÁ]]*E_Kien_HD[[#This Row],[SỐ LƯỢNG]]</f>
        <v>0</v>
      </c>
      <c r="I73" s="31">
        <v>50000000</v>
      </c>
      <c r="J73" s="31">
        <f>J72+E_Kien_HD[[#This Row],[THÀNH TIỀN]]-E_Kien_HD[[#This Row],[THANH TOÁN]]</f>
        <v>498567500</v>
      </c>
      <c r="K73" s="24"/>
    </row>
    <row r="74" spans="1:11" x14ac:dyDescent="0.25">
      <c r="A74" s="22"/>
      <c r="B74" s="29">
        <v>46161</v>
      </c>
      <c r="C74" s="23" t="s">
        <v>21</v>
      </c>
      <c r="D74" s="37" t="s">
        <v>22</v>
      </c>
      <c r="E74" s="23" t="s">
        <v>83</v>
      </c>
      <c r="F74" s="31">
        <v>0</v>
      </c>
      <c r="G74" s="31"/>
      <c r="H74" s="31">
        <f>E_Kien_HD[[#This Row],[ĐƠN GIÁ]]*E_Kien_HD[[#This Row],[SỐ LƯỢNG]]</f>
        <v>0</v>
      </c>
      <c r="I74" s="31">
        <v>50000000</v>
      </c>
      <c r="J74" s="31">
        <f>J73+E_Kien_HD[[#This Row],[THÀNH TIỀN]]-E_Kien_HD[[#This Row],[THANH TOÁN]]</f>
        <v>448567500</v>
      </c>
      <c r="K74" s="24"/>
    </row>
    <row r="75" spans="1:11" x14ac:dyDescent="0.25">
      <c r="A75" s="22">
        <v>9631</v>
      </c>
      <c r="B75" s="29">
        <v>46168</v>
      </c>
      <c r="C75" s="23" t="s">
        <v>13</v>
      </c>
      <c r="D75" s="37" t="s">
        <v>17</v>
      </c>
      <c r="E75" s="23" t="s">
        <v>255</v>
      </c>
      <c r="F75" s="31">
        <v>521</v>
      </c>
      <c r="G75" s="31">
        <v>65000</v>
      </c>
      <c r="H75" s="31">
        <f>E_Kien_HD[[#This Row],[ĐƠN GIÁ]]*E_Kien_HD[[#This Row],[SỐ LƯỢNG]]</f>
        <v>33865000</v>
      </c>
      <c r="I75" s="31"/>
      <c r="J75" s="31">
        <f>J74+E_Kien_HD[[#This Row],[THÀNH TIỀN]]-E_Kien_HD[[#This Row],[THANH TOÁN]]</f>
        <v>482432500</v>
      </c>
      <c r="K75" s="24"/>
    </row>
    <row r="76" spans="1:11" x14ac:dyDescent="0.25">
      <c r="A76" s="22">
        <v>9685</v>
      </c>
      <c r="B76" s="29">
        <v>46171</v>
      </c>
      <c r="C76" s="23" t="s">
        <v>13</v>
      </c>
      <c r="D76" s="37" t="s">
        <v>43</v>
      </c>
      <c r="E76" s="23" t="s">
        <v>343</v>
      </c>
      <c r="F76" s="31">
        <v>994</v>
      </c>
      <c r="G76" s="31">
        <v>56000</v>
      </c>
      <c r="H76" s="31">
        <f>E_Kien_HD[[#This Row],[ĐƠN GIÁ]]*E_Kien_HD[[#This Row],[SỐ LƯỢNG]]</f>
        <v>55664000</v>
      </c>
      <c r="I76" s="31"/>
      <c r="J76" s="31">
        <f>J75+E_Kien_HD[[#This Row],[THÀNH TIỀN]]-E_Kien_HD[[#This Row],[THANH TOÁN]]</f>
        <v>538096500</v>
      </c>
      <c r="K76" s="24"/>
    </row>
    <row r="77" spans="1:11" x14ac:dyDescent="0.25">
      <c r="A77" s="22">
        <v>9739</v>
      </c>
      <c r="B77" s="29">
        <v>46174</v>
      </c>
      <c r="C77" s="23" t="s">
        <v>13</v>
      </c>
      <c r="D77" s="37" t="s">
        <v>43</v>
      </c>
      <c r="E77" s="23" t="s">
        <v>2544</v>
      </c>
      <c r="F77" s="31">
        <v>222</v>
      </c>
      <c r="G77" s="31">
        <v>61000</v>
      </c>
      <c r="H77" s="31">
        <f>E_Kien_HD[[#This Row],[ĐƠN GIÁ]]*E_Kien_HD[[#This Row],[SỐ LƯỢNG]]</f>
        <v>13542000</v>
      </c>
      <c r="I77" s="31"/>
      <c r="J77" s="31">
        <f>J76+E_Kien_HD[[#This Row],[THÀNH TIỀN]]-E_Kien_HD[[#This Row],[THANH TOÁN]]</f>
        <v>551638500</v>
      </c>
      <c r="K77" s="24"/>
    </row>
    <row r="78" spans="1:11" x14ac:dyDescent="0.25">
      <c r="A78" s="22">
        <v>9739</v>
      </c>
      <c r="B78" s="29">
        <v>46174</v>
      </c>
      <c r="C78" s="23" t="s">
        <v>13</v>
      </c>
      <c r="D78" s="37" t="s">
        <v>43</v>
      </c>
      <c r="E78" s="23" t="s">
        <v>248</v>
      </c>
      <c r="F78" s="31">
        <v>362</v>
      </c>
      <c r="G78" s="31">
        <v>61000</v>
      </c>
      <c r="H78" s="31">
        <f>E_Kien_HD[[#This Row],[ĐƠN GIÁ]]*E_Kien_HD[[#This Row],[SỐ LƯỢNG]]</f>
        <v>22082000</v>
      </c>
      <c r="I78" s="31"/>
      <c r="J78" s="31">
        <f>J77+E_Kien_HD[[#This Row],[THÀNH TIỀN]]-E_Kien_HD[[#This Row],[THANH TOÁN]]</f>
        <v>573720500</v>
      </c>
      <c r="K78" s="24"/>
    </row>
    <row r="79" spans="1:11" x14ac:dyDescent="0.25">
      <c r="A79" s="22"/>
      <c r="B79" s="29">
        <v>46168</v>
      </c>
      <c r="C79" s="23" t="s">
        <v>21</v>
      </c>
      <c r="D79" s="37" t="s">
        <v>260</v>
      </c>
      <c r="E79" s="23" t="s">
        <v>261</v>
      </c>
      <c r="F79" s="31">
        <v>0</v>
      </c>
      <c r="G79" s="31"/>
      <c r="H79" s="31">
        <f>E_Kien_HD[[#This Row],[ĐƠN GIÁ]]*E_Kien_HD[[#This Row],[SỐ LƯỢNG]]</f>
        <v>0</v>
      </c>
      <c r="I79" s="31">
        <v>50000000</v>
      </c>
      <c r="J79" s="31">
        <f>J78+E_Kien_HD[[#This Row],[THÀNH TIỀN]]-E_Kien_HD[[#This Row],[THANH TOÁN]]</f>
        <v>523720500</v>
      </c>
      <c r="K79" s="24"/>
    </row>
    <row r="80" spans="1:11" x14ac:dyDescent="0.25">
      <c r="A80" s="22"/>
      <c r="B80" s="29">
        <v>46177</v>
      </c>
      <c r="C80" s="23" t="s">
        <v>21</v>
      </c>
      <c r="D80" s="37" t="s">
        <v>22</v>
      </c>
      <c r="E80" s="23" t="s">
        <v>147</v>
      </c>
      <c r="F80" s="31">
        <v>0</v>
      </c>
      <c r="G80" s="31"/>
      <c r="H80" s="31">
        <f>E_Kien_HD[[#This Row],[ĐƠN GIÁ]]*E_Kien_HD[[#This Row],[SỐ LƯỢNG]]</f>
        <v>0</v>
      </c>
      <c r="I80" s="31">
        <v>50000000</v>
      </c>
      <c r="J80" s="31">
        <f>J79+E_Kien_HD[[#This Row],[THÀNH TIỀN]]-E_Kien_HD[[#This Row],[THANH TOÁN]]</f>
        <v>473720500</v>
      </c>
      <c r="K80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CE0AAC-194D-4D3F-8B94-DF5B03AE0855}">
  <sheetPr codeName="Sheet28"/>
  <dimension ref="A5:P26"/>
  <sheetViews>
    <sheetView workbookViewId="0"/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24.85546875" style="1" bestFit="1" customWidth="1"/>
    <col min="12" max="14" width="9.140625" style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198499025</v>
      </c>
    </row>
    <row r="6" spans="1:16" ht="22.5" x14ac:dyDescent="0.25">
      <c r="D6" s="34" t="s">
        <v>445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C_Ha_HY[[#This Row],[ĐƠN GIÁ]]*C_Ha_HY[[#This Row],[SỐ LƯỢNG]]</f>
        <v>0</v>
      </c>
      <c r="I10" s="31"/>
      <c r="J10" s="31">
        <v>21354449</v>
      </c>
      <c r="K10" s="24"/>
    </row>
    <row r="11" spans="1:16" x14ac:dyDescent="0.25">
      <c r="A11" s="22">
        <v>7810</v>
      </c>
      <c r="B11" s="29">
        <v>46084</v>
      </c>
      <c r="C11" s="23" t="s">
        <v>13</v>
      </c>
      <c r="D11" s="37" t="s">
        <v>43</v>
      </c>
      <c r="E11" s="23" t="s">
        <v>446</v>
      </c>
      <c r="F11" s="31">
        <v>998</v>
      </c>
      <c r="G11" s="31">
        <v>60000</v>
      </c>
      <c r="H11" s="31">
        <f>C_Ha_HY[[#This Row],[ĐƠN GIÁ]]*C_Ha_HY[[#This Row],[SỐ LƯỢNG]]</f>
        <v>59880000</v>
      </c>
      <c r="I11" s="31"/>
      <c r="J11" s="31">
        <f>J10+C_Ha_HY[[#This Row],[THÀNH TIỀN]]-C_Ha_HY[[#This Row],[THANH TOÁN]]</f>
        <v>81234449</v>
      </c>
      <c r="K11" s="24"/>
    </row>
    <row r="12" spans="1:16" x14ac:dyDescent="0.25">
      <c r="A12" s="22"/>
      <c r="B12" s="29">
        <v>46085</v>
      </c>
      <c r="C12" s="23" t="s">
        <v>21</v>
      </c>
      <c r="D12" s="37" t="s">
        <v>22</v>
      </c>
      <c r="E12" s="23" t="s">
        <v>261</v>
      </c>
      <c r="F12" s="31">
        <v>0</v>
      </c>
      <c r="G12" s="31">
        <v>0</v>
      </c>
      <c r="H12" s="31">
        <f>C_Ha_HY[[#This Row],[ĐƠN GIÁ]]*C_Ha_HY[[#This Row],[SỐ LƯỢNG]]</f>
        <v>0</v>
      </c>
      <c r="I12" s="31">
        <v>19907834</v>
      </c>
      <c r="J12" s="31">
        <f>J11+C_Ha_HY[[#This Row],[THÀNH TIỀN]]-C_Ha_HY[[#This Row],[THANH TOÁN]]</f>
        <v>61326615</v>
      </c>
      <c r="K12" s="24"/>
    </row>
    <row r="13" spans="1:16" x14ac:dyDescent="0.25">
      <c r="A13" s="25"/>
      <c r="B13" s="30">
        <v>46090</v>
      </c>
      <c r="C13" s="26" t="s">
        <v>21</v>
      </c>
      <c r="D13" s="38" t="s">
        <v>22</v>
      </c>
      <c r="E13" s="26" t="s">
        <v>261</v>
      </c>
      <c r="F13" s="28">
        <v>0</v>
      </c>
      <c r="G13" s="28">
        <v>0</v>
      </c>
      <c r="H13" s="28">
        <f>C_Ha_HY[[#This Row],[ĐƠN GIÁ]]*C_Ha_HY[[#This Row],[SỐ LƯỢNG]]</f>
        <v>0</v>
      </c>
      <c r="I13" s="28">
        <v>59879501</v>
      </c>
      <c r="J13" s="28">
        <f>J12+C_Ha_HY[[#This Row],[THÀNH TIỀN]]-C_Ha_HY[[#This Row],[THANH TOÁN]]</f>
        <v>1447114</v>
      </c>
      <c r="K13" s="27"/>
    </row>
    <row r="14" spans="1:16" x14ac:dyDescent="0.25">
      <c r="A14" s="25">
        <v>8030</v>
      </c>
      <c r="B14" s="30">
        <v>46093</v>
      </c>
      <c r="C14" s="26" t="s">
        <v>13</v>
      </c>
      <c r="D14" s="38" t="s">
        <v>103</v>
      </c>
      <c r="E14" s="26" t="s">
        <v>448</v>
      </c>
      <c r="F14" s="28">
        <v>154</v>
      </c>
      <c r="G14" s="28">
        <v>39000</v>
      </c>
      <c r="H14" s="28">
        <f>C_Ha_HY[[#This Row],[ĐƠN GIÁ]]*C_Ha_HY[[#This Row],[SỐ LƯỢNG]]</f>
        <v>6006000</v>
      </c>
      <c r="I14" s="28"/>
      <c r="J14" s="28">
        <f>J13+C_Ha_HY[[#This Row],[THÀNH TIỀN]]-C_Ha_HY[[#This Row],[THANH TOÁN]]</f>
        <v>7453114</v>
      </c>
      <c r="K14" s="27"/>
      <c r="P14" s="35"/>
    </row>
    <row r="15" spans="1:16" x14ac:dyDescent="0.25">
      <c r="A15" s="25">
        <v>8264</v>
      </c>
      <c r="B15" s="30">
        <v>46100</v>
      </c>
      <c r="C15" s="26" t="s">
        <v>13</v>
      </c>
      <c r="D15" s="38" t="s">
        <v>50</v>
      </c>
      <c r="E15" s="26" t="s">
        <v>449</v>
      </c>
      <c r="F15" s="28">
        <v>676</v>
      </c>
      <c r="G15" s="28">
        <v>61500</v>
      </c>
      <c r="H15" s="28">
        <f>C_Ha_HY[[#This Row],[ĐƠN GIÁ]]*C_Ha_HY[[#This Row],[SỐ LƯỢNG]]</f>
        <v>41574000</v>
      </c>
      <c r="I15" s="28"/>
      <c r="J15" s="28">
        <f>J14+C_Ha_HY[[#This Row],[THÀNH TIỀN]]-C_Ha_HY[[#This Row],[THANH TOÁN]]</f>
        <v>49027114</v>
      </c>
      <c r="K15" s="27"/>
    </row>
    <row r="16" spans="1:16" x14ac:dyDescent="0.25">
      <c r="A16" s="25"/>
      <c r="B16" s="30">
        <v>46101</v>
      </c>
      <c r="C16" s="26" t="s">
        <v>692</v>
      </c>
      <c r="D16" s="38" t="s">
        <v>2074</v>
      </c>
      <c r="E16" s="26" t="s">
        <v>254</v>
      </c>
      <c r="F16" s="28">
        <v>2854</v>
      </c>
      <c r="G16" s="28">
        <v>-32000</v>
      </c>
      <c r="H16" s="28">
        <f>C_Ha_HY[[#This Row],[ĐƠN GIÁ]]*C_Ha_HY[[#This Row],[SỐ LƯỢNG]]</f>
        <v>-91328000</v>
      </c>
      <c r="I16" s="28"/>
      <c r="J16" s="28">
        <f>J15+C_Ha_HY[[#This Row],[THÀNH TIỀN]]-C_Ha_HY[[#This Row],[THANH TOÁN]]</f>
        <v>-42300886</v>
      </c>
      <c r="K16" s="27"/>
    </row>
    <row r="17" spans="1:11" x14ac:dyDescent="0.25">
      <c r="A17" s="25">
        <v>8213</v>
      </c>
      <c r="B17" s="30">
        <v>46104</v>
      </c>
      <c r="C17" s="26" t="s">
        <v>13</v>
      </c>
      <c r="D17" s="38" t="s">
        <v>43</v>
      </c>
      <c r="E17" s="26" t="s">
        <v>450</v>
      </c>
      <c r="F17" s="28">
        <v>1838</v>
      </c>
      <c r="G17" s="28">
        <v>60000</v>
      </c>
      <c r="H17" s="28">
        <f>C_Ha_HY[[#This Row],[ĐƠN GIÁ]]*C_Ha_HY[[#This Row],[SỐ LƯỢNG]]</f>
        <v>110280000</v>
      </c>
      <c r="I17" s="28"/>
      <c r="J17" s="28">
        <f>J16+C_Ha_HY[[#This Row],[THÀNH TIỀN]]-C_Ha_HY[[#This Row],[THANH TOÁN]]</f>
        <v>67979114</v>
      </c>
      <c r="K17" s="27"/>
    </row>
    <row r="18" spans="1:11" x14ac:dyDescent="0.25">
      <c r="A18" s="22"/>
      <c r="B18" s="29">
        <v>46118</v>
      </c>
      <c r="C18" s="23" t="s">
        <v>21</v>
      </c>
      <c r="D18" s="37" t="s">
        <v>22</v>
      </c>
      <c r="E18" s="23" t="s">
        <v>261</v>
      </c>
      <c r="F18" s="31">
        <v>0</v>
      </c>
      <c r="G18" s="31"/>
      <c r="H18" s="31">
        <f>C_Ha_HY[[#This Row],[ĐƠN GIÁ]]*C_Ha_HY[[#This Row],[SỐ LƯỢNG]]</f>
        <v>0</v>
      </c>
      <c r="I18" s="31">
        <v>117234657</v>
      </c>
      <c r="J18" s="31">
        <f>J17+C_Ha_HY[[#This Row],[THÀNH TIỀN]]-C_Ha_HY[[#This Row],[THANH TOÁN]]</f>
        <v>-49255543</v>
      </c>
      <c r="K18" s="24"/>
    </row>
    <row r="19" spans="1:11" x14ac:dyDescent="0.25">
      <c r="A19" s="22">
        <v>7984</v>
      </c>
      <c r="B19" s="29">
        <v>46122</v>
      </c>
      <c r="C19" s="23" t="s">
        <v>13</v>
      </c>
      <c r="D19" s="37" t="s">
        <v>103</v>
      </c>
      <c r="E19" s="23" t="s">
        <v>447</v>
      </c>
      <c r="F19" s="31">
        <v>2494</v>
      </c>
      <c r="G19" s="31">
        <v>37000</v>
      </c>
      <c r="H19" s="31">
        <f>C_Ha_HY[[#This Row],[ĐƠN GIÁ]]*C_Ha_HY[[#This Row],[SỐ LƯỢNG]]</f>
        <v>92278000</v>
      </c>
      <c r="I19" s="31"/>
      <c r="J19" s="31">
        <f>J18+C_Ha_HY[[#This Row],[THÀNH TIỀN]]-C_Ha_HY[[#This Row],[THANH TOÁN]]</f>
        <v>43022457</v>
      </c>
      <c r="K19" s="24"/>
    </row>
    <row r="20" spans="1:11" x14ac:dyDescent="0.25">
      <c r="A20" s="25"/>
      <c r="B20" s="30">
        <v>46136</v>
      </c>
      <c r="C20" s="26" t="s">
        <v>21</v>
      </c>
      <c r="D20" s="38" t="s">
        <v>22</v>
      </c>
      <c r="E20" s="26" t="s">
        <v>147</v>
      </c>
      <c r="F20" s="28">
        <v>0</v>
      </c>
      <c r="G20" s="28"/>
      <c r="H20" s="28">
        <f>C_Ha_HY[[#This Row],[ĐƠN GIÁ]]*C_Ha_HY[[#This Row],[SỐ LƯỢNG]]</f>
        <v>0</v>
      </c>
      <c r="I20" s="28">
        <v>41573932</v>
      </c>
      <c r="J20" s="28">
        <f>J19+C_Ha_HY[[#This Row],[THÀNH TIỀN]]-C_Ha_HY[[#This Row],[THANH TOÁN]]</f>
        <v>1448525</v>
      </c>
      <c r="K20" s="27"/>
    </row>
    <row r="21" spans="1:11" x14ac:dyDescent="0.25">
      <c r="A21" s="22">
        <v>9431</v>
      </c>
      <c r="B21" s="29">
        <v>46158</v>
      </c>
      <c r="C21" s="23" t="s">
        <v>13</v>
      </c>
      <c r="D21" s="37" t="s">
        <v>17</v>
      </c>
      <c r="E21" s="23" t="s">
        <v>1082</v>
      </c>
      <c r="F21" s="31">
        <v>632</v>
      </c>
      <c r="G21" s="31">
        <v>64500</v>
      </c>
      <c r="H21" s="31">
        <f>C_Ha_HY[[#This Row],[ĐƠN GIÁ]]*C_Ha_HY[[#This Row],[SỐ LƯỢNG]]</f>
        <v>40764000</v>
      </c>
      <c r="I21" s="31"/>
      <c r="J21" s="31">
        <f>J20+C_Ha_HY[[#This Row],[THÀNH TIỀN]]-C_Ha_HY[[#This Row],[THANH TOÁN]]</f>
        <v>42212525</v>
      </c>
      <c r="K21" s="24"/>
    </row>
    <row r="22" spans="1:11" x14ac:dyDescent="0.25">
      <c r="A22" s="22">
        <v>9431</v>
      </c>
      <c r="B22" s="29">
        <v>46158</v>
      </c>
      <c r="C22" s="23" t="s">
        <v>13</v>
      </c>
      <c r="D22" s="37" t="s">
        <v>17</v>
      </c>
      <c r="E22" s="23" t="s">
        <v>446</v>
      </c>
      <c r="F22" s="31">
        <v>517</v>
      </c>
      <c r="G22" s="31">
        <v>65000</v>
      </c>
      <c r="H22" s="31">
        <f>C_Ha_HY[[#This Row],[ĐƠN GIÁ]]*C_Ha_HY[[#This Row],[SỐ LƯỢNG]]</f>
        <v>33605000</v>
      </c>
      <c r="I22" s="31"/>
      <c r="J22" s="31">
        <f>J21+C_Ha_HY[[#This Row],[THÀNH TIỀN]]-C_Ha_HY[[#This Row],[THANH TOÁN]]</f>
        <v>75817525</v>
      </c>
      <c r="K22" s="24"/>
    </row>
    <row r="23" spans="1:11" x14ac:dyDescent="0.25">
      <c r="A23" s="22">
        <v>9431</v>
      </c>
      <c r="B23" s="29">
        <v>46158</v>
      </c>
      <c r="C23" s="23" t="s">
        <v>13</v>
      </c>
      <c r="D23" s="37" t="s">
        <v>17</v>
      </c>
      <c r="E23" s="23" t="s">
        <v>136</v>
      </c>
      <c r="F23" s="31">
        <v>711</v>
      </c>
      <c r="G23" s="31">
        <v>61500</v>
      </c>
      <c r="H23" s="31">
        <f>C_Ha_HY[[#This Row],[ĐƠN GIÁ]]*C_Ha_HY[[#This Row],[SỐ LƯỢNG]]</f>
        <v>43726500</v>
      </c>
      <c r="I23" s="31"/>
      <c r="J23" s="31">
        <f>J22+C_Ha_HY[[#This Row],[THÀNH TIỀN]]-C_Ha_HY[[#This Row],[THANH TOÁN]]</f>
        <v>119544025</v>
      </c>
      <c r="K23" s="24"/>
    </row>
    <row r="24" spans="1:11" x14ac:dyDescent="0.25">
      <c r="A24" s="22">
        <v>9431</v>
      </c>
      <c r="B24" s="29">
        <v>46158</v>
      </c>
      <c r="C24" s="23" t="s">
        <v>13</v>
      </c>
      <c r="D24" s="37" t="s">
        <v>43</v>
      </c>
      <c r="E24" s="23" t="s">
        <v>148</v>
      </c>
      <c r="F24" s="31">
        <v>622</v>
      </c>
      <c r="G24" s="31">
        <v>60000</v>
      </c>
      <c r="H24" s="31">
        <f>C_Ha_HY[[#This Row],[ĐƠN GIÁ]]*C_Ha_HY[[#This Row],[SỐ LƯỢNG]]</f>
        <v>37320000</v>
      </c>
      <c r="I24" s="31"/>
      <c r="J24" s="31">
        <f>J23+C_Ha_HY[[#This Row],[THÀNH TIỀN]]-C_Ha_HY[[#This Row],[THANH TOÁN]]</f>
        <v>156864025</v>
      </c>
      <c r="K24" s="24"/>
    </row>
    <row r="25" spans="1:11" x14ac:dyDescent="0.25">
      <c r="A25" s="22">
        <v>9577</v>
      </c>
      <c r="B25" s="29">
        <v>46165</v>
      </c>
      <c r="C25" s="23" t="s">
        <v>13</v>
      </c>
      <c r="D25" s="37" t="s">
        <v>14</v>
      </c>
      <c r="E25" s="23" t="s">
        <v>146</v>
      </c>
      <c r="F25" s="31">
        <v>854</v>
      </c>
      <c r="G25" s="31">
        <v>42000</v>
      </c>
      <c r="H25" s="31">
        <f>C_Ha_HY[[#This Row],[ĐƠN GIÁ]]*C_Ha_HY[[#This Row],[SỐ LƯỢNG]]</f>
        <v>35868000</v>
      </c>
      <c r="I25" s="31"/>
      <c r="J25" s="31">
        <f>J24+C_Ha_HY[[#This Row],[THÀNH TIỀN]]-C_Ha_HY[[#This Row],[THANH TOÁN]]</f>
        <v>192732025</v>
      </c>
      <c r="K25" s="24">
        <v>856</v>
      </c>
    </row>
    <row r="26" spans="1:11" x14ac:dyDescent="0.25">
      <c r="A26" s="22">
        <v>9674</v>
      </c>
      <c r="B26" s="29">
        <v>46170</v>
      </c>
      <c r="C26" s="23" t="s">
        <v>13</v>
      </c>
      <c r="D26" s="37" t="s">
        <v>103</v>
      </c>
      <c r="E26" s="23" t="s">
        <v>1458</v>
      </c>
      <c r="F26" s="31">
        <v>146</v>
      </c>
      <c r="G26" s="31">
        <v>39500</v>
      </c>
      <c r="H26" s="31">
        <f>C_Ha_HY[[#This Row],[ĐƠN GIÁ]]*C_Ha_HY[[#This Row],[SỐ LƯỢNG]]</f>
        <v>5767000</v>
      </c>
      <c r="I26" s="31"/>
      <c r="J26" s="31">
        <f>J25+C_Ha_HY[[#This Row],[THÀNH TIỀN]]-C_Ha_HY[[#This Row],[THANH TOÁN]]</f>
        <v>198499025</v>
      </c>
      <c r="K26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1B13CE-6692-4D50-BE6A-34D3E38BF0D2}">
  <sheetPr codeName="Sheet29"/>
  <dimension ref="A5:P18"/>
  <sheetViews>
    <sheetView workbookViewId="0">
      <selection activeCell="I18" sqref="I18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24.85546875" style="1" bestFit="1" customWidth="1"/>
    <col min="12" max="14" width="9.140625" style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0</v>
      </c>
    </row>
    <row r="6" spans="1:16" ht="22.5" x14ac:dyDescent="0.25">
      <c r="D6" s="34" t="s">
        <v>451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Cty_Phu_Thanh[[#This Row],[ĐƠN GIÁ]]*Cty_Phu_Thanh[[#This Row],[SỐ LƯỢNG]]</f>
        <v>0</v>
      </c>
      <c r="I10" s="31"/>
      <c r="J10" s="31">
        <v>21181000</v>
      </c>
      <c r="K10" s="24"/>
    </row>
    <row r="11" spans="1:16" x14ac:dyDescent="0.25">
      <c r="A11" s="22">
        <v>7811</v>
      </c>
      <c r="B11" s="29">
        <v>46084</v>
      </c>
      <c r="C11" s="23" t="s">
        <v>13</v>
      </c>
      <c r="D11" s="37" t="s">
        <v>150</v>
      </c>
      <c r="E11" s="23" t="s">
        <v>452</v>
      </c>
      <c r="F11" s="31">
        <v>148</v>
      </c>
      <c r="G11" s="31">
        <v>38000</v>
      </c>
      <c r="H11" s="31">
        <f>Cty_Phu_Thanh[[#This Row],[ĐƠN GIÁ]]*Cty_Phu_Thanh[[#This Row],[SỐ LƯỢNG]]</f>
        <v>5624000</v>
      </c>
      <c r="I11" s="31"/>
      <c r="J11" s="31">
        <f>J10+Cty_Phu_Thanh[[#This Row],[THÀNH TIỀN]]-Cty_Phu_Thanh[[#This Row],[THANH TOÁN]]</f>
        <v>26805000</v>
      </c>
      <c r="K11" s="24"/>
    </row>
    <row r="12" spans="1:16" x14ac:dyDescent="0.25">
      <c r="A12" s="22">
        <v>7811</v>
      </c>
      <c r="B12" s="29">
        <v>46084</v>
      </c>
      <c r="C12" s="23" t="s">
        <v>13</v>
      </c>
      <c r="D12" s="37" t="s">
        <v>453</v>
      </c>
      <c r="E12" s="23" t="s">
        <v>454</v>
      </c>
      <c r="F12" s="31">
        <v>100</v>
      </c>
      <c r="G12" s="31">
        <v>38000</v>
      </c>
      <c r="H12" s="31">
        <f>Cty_Phu_Thanh[[#This Row],[ĐƠN GIÁ]]*Cty_Phu_Thanh[[#This Row],[SỐ LƯỢNG]]</f>
        <v>3800000</v>
      </c>
      <c r="I12" s="31"/>
      <c r="J12" s="31">
        <f>J11+Cty_Phu_Thanh[[#This Row],[THÀNH TIỀN]]-Cty_Phu_Thanh[[#This Row],[THANH TOÁN]]</f>
        <v>30605000</v>
      </c>
      <c r="K12" s="24"/>
    </row>
    <row r="13" spans="1:16" x14ac:dyDescent="0.25">
      <c r="A13" s="22">
        <v>7939</v>
      </c>
      <c r="B13" s="29">
        <v>46088</v>
      </c>
      <c r="C13" s="23" t="s">
        <v>13</v>
      </c>
      <c r="D13" s="37" t="s">
        <v>17</v>
      </c>
      <c r="E13" s="23" t="s">
        <v>211</v>
      </c>
      <c r="F13" s="31">
        <v>22</v>
      </c>
      <c r="G13" s="31">
        <v>70000</v>
      </c>
      <c r="H13" s="31">
        <f>Cty_Phu_Thanh[[#This Row],[ĐƠN GIÁ]]*Cty_Phu_Thanh[[#This Row],[SỐ LƯỢNG]]</f>
        <v>1540000</v>
      </c>
      <c r="I13" s="31"/>
      <c r="J13" s="31">
        <f>J12+Cty_Phu_Thanh[[#This Row],[THÀNH TIỀN]]-Cty_Phu_Thanh[[#This Row],[THANH TOÁN]]</f>
        <v>32145000</v>
      </c>
      <c r="K13" s="24"/>
    </row>
    <row r="14" spans="1:16" x14ac:dyDescent="0.25">
      <c r="A14" s="22">
        <v>8285</v>
      </c>
      <c r="B14" s="29">
        <v>46101</v>
      </c>
      <c r="C14" s="23" t="s">
        <v>13</v>
      </c>
      <c r="D14" s="37" t="s">
        <v>50</v>
      </c>
      <c r="E14" s="23" t="s">
        <v>455</v>
      </c>
      <c r="F14" s="31">
        <v>532</v>
      </c>
      <c r="G14" s="31">
        <v>59000</v>
      </c>
      <c r="H14" s="31">
        <f>Cty_Phu_Thanh[[#This Row],[ĐƠN GIÁ]]*Cty_Phu_Thanh[[#This Row],[SỐ LƯỢNG]]</f>
        <v>31388000</v>
      </c>
      <c r="I14" s="31"/>
      <c r="J14" s="31">
        <f>J13+Cty_Phu_Thanh[[#This Row],[THÀNH TIỀN]]-Cty_Phu_Thanh[[#This Row],[THANH TOÁN]]</f>
        <v>63533000</v>
      </c>
      <c r="K14" s="24"/>
      <c r="P14" s="35"/>
    </row>
    <row r="15" spans="1:16" x14ac:dyDescent="0.25">
      <c r="A15" s="25"/>
      <c r="B15" s="30">
        <v>46102</v>
      </c>
      <c r="C15" s="26" t="s">
        <v>21</v>
      </c>
      <c r="D15" s="38" t="s">
        <v>22</v>
      </c>
      <c r="E15" s="26" t="s">
        <v>83</v>
      </c>
      <c r="F15" s="28">
        <v>0</v>
      </c>
      <c r="G15" s="28">
        <v>0</v>
      </c>
      <c r="H15" s="28">
        <f>Cty_Phu_Thanh[[#This Row],[ĐƠN GIÁ]]*Cty_Phu_Thanh[[#This Row],[SỐ LƯỢNG]]</f>
        <v>0</v>
      </c>
      <c r="I15" s="28">
        <v>32144723</v>
      </c>
      <c r="J15" s="28">
        <f>J14+Cty_Phu_Thanh[[#This Row],[THÀNH TIỀN]]-Cty_Phu_Thanh[[#This Row],[THANH TOÁN]]</f>
        <v>31388277</v>
      </c>
      <c r="K15" s="27"/>
    </row>
    <row r="16" spans="1:16" x14ac:dyDescent="0.25">
      <c r="A16" s="22">
        <v>8563</v>
      </c>
      <c r="B16" s="29">
        <v>46116</v>
      </c>
      <c r="C16" s="23" t="s">
        <v>13</v>
      </c>
      <c r="D16" s="37" t="s">
        <v>50</v>
      </c>
      <c r="E16" s="23" t="s">
        <v>456</v>
      </c>
      <c r="F16" s="31">
        <v>812</v>
      </c>
      <c r="G16" s="31">
        <v>61000</v>
      </c>
      <c r="H16" s="31">
        <f>Cty_Phu_Thanh[[#This Row],[ĐƠN GIÁ]]*Cty_Phu_Thanh[[#This Row],[SỐ LƯỢNG]]</f>
        <v>49532000</v>
      </c>
      <c r="I16" s="31"/>
      <c r="J16" s="31">
        <f>J15+Cty_Phu_Thanh[[#This Row],[THÀNH TIỀN]]-Cty_Phu_Thanh[[#This Row],[THANH TOÁN]]</f>
        <v>80920277</v>
      </c>
      <c r="K16" s="24"/>
    </row>
    <row r="17" spans="1:11" x14ac:dyDescent="0.25">
      <c r="A17" s="22">
        <v>8734</v>
      </c>
      <c r="B17" s="29">
        <v>46125</v>
      </c>
      <c r="C17" s="23" t="s">
        <v>13</v>
      </c>
      <c r="D17" s="37" t="s">
        <v>17</v>
      </c>
      <c r="E17" s="23" t="s">
        <v>40</v>
      </c>
      <c r="F17" s="31">
        <v>132</v>
      </c>
      <c r="G17" s="31">
        <v>69000</v>
      </c>
      <c r="H17" s="31">
        <f>Cty_Phu_Thanh[[#This Row],[ĐƠN GIÁ]]*Cty_Phu_Thanh[[#This Row],[SỐ LƯỢNG]]</f>
        <v>9108000</v>
      </c>
      <c r="I17" s="31">
        <v>124</v>
      </c>
      <c r="J17" s="31">
        <f>J16+Cty_Phu_Thanh[[#This Row],[THÀNH TIỀN]]-Cty_Phu_Thanh[[#This Row],[THANH TOÁN]]</f>
        <v>90028153</v>
      </c>
      <c r="K17" s="24"/>
    </row>
    <row r="18" spans="1:11" x14ac:dyDescent="0.25">
      <c r="A18" s="22"/>
      <c r="B18" s="29">
        <v>46135</v>
      </c>
      <c r="C18" s="23" t="s">
        <v>21</v>
      </c>
      <c r="D18" s="37" t="s">
        <v>22</v>
      </c>
      <c r="E18" s="23" t="s">
        <v>83</v>
      </c>
      <c r="F18" s="31">
        <v>0</v>
      </c>
      <c r="G18" s="31"/>
      <c r="H18" s="31">
        <f>Cty_Phu_Thanh[[#This Row],[ĐƠN GIÁ]]*Cty_Phu_Thanh[[#This Row],[SỐ LƯỢNG]]</f>
        <v>0</v>
      </c>
      <c r="I18" s="31">
        <v>90028153</v>
      </c>
      <c r="J18" s="31">
        <f>J17+Cty_Phu_Thanh[[#This Row],[THÀNH TIỀN]]-Cty_Phu_Thanh[[#This Row],[THANH TOÁN]]</f>
        <v>0</v>
      </c>
      <c r="K18" s="24"/>
    </row>
  </sheetData>
  <phoneticPr fontId="9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5961CE-DB8D-46B0-B242-7BCF349DD16B}">
  <sheetPr codeName="Sheet30"/>
  <dimension ref="A5:P706"/>
  <sheetViews>
    <sheetView topLeftCell="A678" workbookViewId="0">
      <selection activeCell="C706" sqref="C706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23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31.8554687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77696200.000000015</v>
      </c>
    </row>
    <row r="6" spans="1:16" ht="22.5" x14ac:dyDescent="0.25">
      <c r="D6" s="34" t="s">
        <v>457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>
        <v>6903</v>
      </c>
      <c r="B10" s="29">
        <v>46024</v>
      </c>
      <c r="C10" s="23" t="s">
        <v>49</v>
      </c>
      <c r="D10" s="37" t="s">
        <v>17</v>
      </c>
      <c r="E10" s="23" t="s">
        <v>469</v>
      </c>
      <c r="F10" s="31">
        <v>8612</v>
      </c>
      <c r="G10" s="31"/>
      <c r="H10" s="31">
        <f>Cty_Viet_Anh[[#This Row],[ĐƠN GIÁ]]*Cty_Viet_Anh[[#This Row],[SỐ LƯỢNG]]</f>
        <v>0</v>
      </c>
      <c r="I10" s="31"/>
      <c r="J10" s="31">
        <f ca="1">N(INDIRECT("R[-1]C", FALSE)) + Cty_Viet_Anh[[#This Row],[THÀNH TIỀN]] - Cty_Viet_Anh[[#This Row],[THANH TOÁN]]</f>
        <v>0</v>
      </c>
      <c r="K10" s="24" t="s">
        <v>2366</v>
      </c>
    </row>
    <row r="11" spans="1:16" x14ac:dyDescent="0.25">
      <c r="A11" s="22">
        <v>6904</v>
      </c>
      <c r="B11" s="29">
        <v>46024</v>
      </c>
      <c r="C11" s="23" t="s">
        <v>49</v>
      </c>
      <c r="D11" s="37" t="s">
        <v>17</v>
      </c>
      <c r="E11" s="23" t="s">
        <v>230</v>
      </c>
      <c r="F11" s="31">
        <v>1346</v>
      </c>
      <c r="G11" s="31"/>
      <c r="H11" s="31">
        <f>Cty_Viet_Anh[[#This Row],[ĐƠN GIÁ]]*Cty_Viet_Anh[[#This Row],[SỐ LƯỢNG]]</f>
        <v>0</v>
      </c>
      <c r="I11" s="31"/>
      <c r="J11" s="31">
        <f ca="1">N(INDIRECT("R[-1]C", FALSE)) + Cty_Viet_Anh[[#This Row],[THÀNH TIỀN]] - Cty_Viet_Anh[[#This Row],[THANH TOÁN]]</f>
        <v>0</v>
      </c>
      <c r="K11" s="24" t="s">
        <v>2367</v>
      </c>
    </row>
    <row r="12" spans="1:16" x14ac:dyDescent="0.25">
      <c r="A12" s="22">
        <v>6904</v>
      </c>
      <c r="B12" s="29">
        <v>46024</v>
      </c>
      <c r="C12" s="23" t="s">
        <v>49</v>
      </c>
      <c r="D12" s="37" t="s">
        <v>17</v>
      </c>
      <c r="E12" s="23" t="s">
        <v>40</v>
      </c>
      <c r="F12" s="31">
        <v>714</v>
      </c>
      <c r="G12" s="31"/>
      <c r="H12" s="31">
        <f>Cty_Viet_Anh[[#This Row],[ĐƠN GIÁ]]*Cty_Viet_Anh[[#This Row],[SỐ LƯỢNG]]</f>
        <v>0</v>
      </c>
      <c r="I12" s="31"/>
      <c r="J12" s="31">
        <f ca="1">N(INDIRECT("R[-1]C", FALSE)) + Cty_Viet_Anh[[#This Row],[THÀNH TIỀN]] - Cty_Viet_Anh[[#This Row],[THANH TOÁN]]</f>
        <v>0</v>
      </c>
      <c r="K12" s="24" t="s">
        <v>2368</v>
      </c>
    </row>
    <row r="13" spans="1:16" x14ac:dyDescent="0.25">
      <c r="A13" s="22">
        <v>6904</v>
      </c>
      <c r="B13" s="29">
        <v>46024</v>
      </c>
      <c r="C13" s="23" t="s">
        <v>49</v>
      </c>
      <c r="D13" s="37" t="s">
        <v>17</v>
      </c>
      <c r="E13" s="23" t="s">
        <v>469</v>
      </c>
      <c r="F13" s="31">
        <v>822</v>
      </c>
      <c r="G13" s="31"/>
      <c r="H13" s="31">
        <f>Cty_Viet_Anh[[#This Row],[ĐƠN GIÁ]]*Cty_Viet_Anh[[#This Row],[SỐ LƯỢNG]]</f>
        <v>0</v>
      </c>
      <c r="I13" s="31"/>
      <c r="J13" s="31">
        <f ca="1">N(INDIRECT("R[-1]C", FALSE)) + Cty_Viet_Anh[[#This Row],[THÀNH TIỀN]] - Cty_Viet_Anh[[#This Row],[THANH TOÁN]]</f>
        <v>0</v>
      </c>
      <c r="K13" s="24" t="s">
        <v>565</v>
      </c>
    </row>
    <row r="14" spans="1:16" x14ac:dyDescent="0.25">
      <c r="A14" s="22">
        <v>6912</v>
      </c>
      <c r="B14" s="29">
        <v>46024</v>
      </c>
      <c r="C14" s="23" t="s">
        <v>49</v>
      </c>
      <c r="D14" s="37" t="s">
        <v>17</v>
      </c>
      <c r="E14" s="23" t="s">
        <v>251</v>
      </c>
      <c r="F14" s="31">
        <v>940</v>
      </c>
      <c r="G14" s="31"/>
      <c r="H14" s="31">
        <f>Cty_Viet_Anh[[#This Row],[ĐƠN GIÁ]]*Cty_Viet_Anh[[#This Row],[SỐ LƯỢNG]]</f>
        <v>0</v>
      </c>
      <c r="I14" s="31"/>
      <c r="J14" s="31">
        <f ca="1">N(INDIRECT("R[-1]C", FALSE)) + Cty_Viet_Anh[[#This Row],[THÀNH TIỀN]] - Cty_Viet_Anh[[#This Row],[THANH TOÁN]]</f>
        <v>0</v>
      </c>
      <c r="K14" s="24" t="s">
        <v>2369</v>
      </c>
      <c r="P14" s="35"/>
    </row>
    <row r="15" spans="1:16" x14ac:dyDescent="0.25">
      <c r="A15" s="22">
        <v>6912</v>
      </c>
      <c r="B15" s="29">
        <v>46024</v>
      </c>
      <c r="C15" s="23" t="s">
        <v>49</v>
      </c>
      <c r="D15" s="37" t="s">
        <v>17</v>
      </c>
      <c r="E15" s="23" t="s">
        <v>62</v>
      </c>
      <c r="F15" s="31">
        <v>5229</v>
      </c>
      <c r="G15" s="31"/>
      <c r="H15" s="31">
        <f>Cty_Viet_Anh[[#This Row],[ĐƠN GIÁ]]*Cty_Viet_Anh[[#This Row],[SỐ LƯỢNG]]</f>
        <v>0</v>
      </c>
      <c r="I15" s="28"/>
      <c r="J15" s="31">
        <f ca="1">N(INDIRECT("R[-1]C", FALSE)) + Cty_Viet_Anh[[#This Row],[THÀNH TIỀN]] - Cty_Viet_Anh[[#This Row],[THANH TOÁN]]</f>
        <v>0</v>
      </c>
      <c r="K15" s="27" t="s">
        <v>2369</v>
      </c>
    </row>
    <row r="16" spans="1:16" x14ac:dyDescent="0.25">
      <c r="A16" s="22">
        <v>6922</v>
      </c>
      <c r="B16" s="29">
        <v>46025</v>
      </c>
      <c r="C16" s="23" t="s">
        <v>49</v>
      </c>
      <c r="D16" s="37" t="s">
        <v>143</v>
      </c>
      <c r="E16" s="23" t="s">
        <v>146</v>
      </c>
      <c r="F16" s="31">
        <v>1083</v>
      </c>
      <c r="G16" s="31"/>
      <c r="H16" s="31">
        <f>Cty_Viet_Anh[[#This Row],[ĐƠN GIÁ]]*Cty_Viet_Anh[[#This Row],[SỐ LƯỢNG]]</f>
        <v>0</v>
      </c>
      <c r="I16" s="31"/>
      <c r="J16" s="31">
        <f ca="1">N(INDIRECT("R[-1]C", FALSE)) + Cty_Viet_Anh[[#This Row],[THÀNH TIỀN]] - Cty_Viet_Anh[[#This Row],[THANH TOÁN]]</f>
        <v>0</v>
      </c>
      <c r="K16" s="24" t="s">
        <v>1740</v>
      </c>
    </row>
    <row r="17" spans="1:11" x14ac:dyDescent="0.25">
      <c r="A17" s="22">
        <v>6922</v>
      </c>
      <c r="B17" s="29">
        <v>46025</v>
      </c>
      <c r="C17" s="23" t="s">
        <v>49</v>
      </c>
      <c r="D17" s="37" t="s">
        <v>43</v>
      </c>
      <c r="E17" s="23" t="s">
        <v>146</v>
      </c>
      <c r="F17" s="31">
        <v>748</v>
      </c>
      <c r="G17" s="31"/>
      <c r="H17" s="31">
        <f>Cty_Viet_Anh[[#This Row],[ĐƠN GIÁ]]*Cty_Viet_Anh[[#This Row],[SỐ LƯỢNG]]</f>
        <v>0</v>
      </c>
      <c r="I17" s="31"/>
      <c r="J17" s="31">
        <f ca="1">N(INDIRECT("R[-1]C", FALSE)) + Cty_Viet_Anh[[#This Row],[THÀNH TIỀN]] - Cty_Viet_Anh[[#This Row],[THANH TOÁN]]</f>
        <v>0</v>
      </c>
      <c r="K17" s="24"/>
    </row>
    <row r="18" spans="1:11" x14ac:dyDescent="0.25">
      <c r="A18" s="22">
        <v>6925</v>
      </c>
      <c r="B18" s="29">
        <v>46025</v>
      </c>
      <c r="C18" s="23" t="s">
        <v>49</v>
      </c>
      <c r="D18" s="37" t="s">
        <v>1048</v>
      </c>
      <c r="E18" s="23" t="s">
        <v>148</v>
      </c>
      <c r="F18" s="31">
        <v>5168</v>
      </c>
      <c r="G18" s="31"/>
      <c r="H18" s="31">
        <f>Cty_Viet_Anh[[#This Row],[ĐƠN GIÁ]]*Cty_Viet_Anh[[#This Row],[SỐ LƯỢNG]]</f>
        <v>0</v>
      </c>
      <c r="I18" s="31"/>
      <c r="J18" s="31">
        <f ca="1">N(INDIRECT("R[-1]C", FALSE)) + Cty_Viet_Anh[[#This Row],[THÀNH TIỀN]] - Cty_Viet_Anh[[#This Row],[THANH TOÁN]]</f>
        <v>0</v>
      </c>
      <c r="K18" s="24"/>
    </row>
    <row r="19" spans="1:11" x14ac:dyDescent="0.25">
      <c r="A19" s="22">
        <v>6950</v>
      </c>
      <c r="B19" s="29">
        <v>46027</v>
      </c>
      <c r="C19" s="23" t="s">
        <v>49</v>
      </c>
      <c r="D19" s="37" t="s">
        <v>43</v>
      </c>
      <c r="E19" s="23" t="s">
        <v>249</v>
      </c>
      <c r="F19" s="31">
        <v>2092</v>
      </c>
      <c r="G19" s="31"/>
      <c r="H19" s="31">
        <f>Cty_Viet_Anh[[#This Row],[ĐƠN GIÁ]]*Cty_Viet_Anh[[#This Row],[SỐ LƯỢNG]]</f>
        <v>0</v>
      </c>
      <c r="I19" s="31"/>
      <c r="J19" s="31">
        <f ca="1">N(INDIRECT("R[-1]C", FALSE)) + Cty_Viet_Anh[[#This Row],[THÀNH TIỀN]] - Cty_Viet_Anh[[#This Row],[THANH TOÁN]]</f>
        <v>0</v>
      </c>
      <c r="K19" s="24" t="s">
        <v>2371</v>
      </c>
    </row>
    <row r="20" spans="1:11" x14ac:dyDescent="0.25">
      <c r="A20" s="22">
        <v>7006</v>
      </c>
      <c r="B20" s="29">
        <v>46027</v>
      </c>
      <c r="C20" s="23" t="s">
        <v>49</v>
      </c>
      <c r="D20" s="37" t="s">
        <v>43</v>
      </c>
      <c r="E20" s="23" t="s">
        <v>2372</v>
      </c>
      <c r="F20" s="31">
        <v>237</v>
      </c>
      <c r="G20" s="31"/>
      <c r="H20" s="31">
        <f>Cty_Viet_Anh[[#This Row],[ĐƠN GIÁ]]*Cty_Viet_Anh[[#This Row],[SỐ LƯỢNG]]</f>
        <v>0</v>
      </c>
      <c r="I20" s="31"/>
      <c r="J20" s="31">
        <f ca="1">N(INDIRECT("R[-1]C", FALSE)) + Cty_Viet_Anh[[#This Row],[THÀNH TIỀN]] - Cty_Viet_Anh[[#This Row],[THANH TOÁN]]</f>
        <v>0</v>
      </c>
      <c r="K20" s="24" t="s">
        <v>2373</v>
      </c>
    </row>
    <row r="21" spans="1:11" x14ac:dyDescent="0.25">
      <c r="A21" s="22">
        <v>7006</v>
      </c>
      <c r="B21" s="29">
        <v>46027</v>
      </c>
      <c r="C21" s="23" t="s">
        <v>49</v>
      </c>
      <c r="D21" s="37" t="s">
        <v>17</v>
      </c>
      <c r="E21" s="23" t="s">
        <v>953</v>
      </c>
      <c r="F21" s="31">
        <v>669</v>
      </c>
      <c r="G21" s="31"/>
      <c r="H21" s="31">
        <f>Cty_Viet_Anh[[#This Row],[ĐƠN GIÁ]]*Cty_Viet_Anh[[#This Row],[SỐ LƯỢNG]]</f>
        <v>0</v>
      </c>
      <c r="I21" s="31"/>
      <c r="J21" s="31">
        <f ca="1">N(INDIRECT("R[-1]C", FALSE)) + Cty_Viet_Anh[[#This Row],[THÀNH TIỀN]] - Cty_Viet_Anh[[#This Row],[THANH TOÁN]]</f>
        <v>0</v>
      </c>
      <c r="K21" s="24" t="s">
        <v>2374</v>
      </c>
    </row>
    <row r="22" spans="1:11" x14ac:dyDescent="0.25">
      <c r="A22" s="22">
        <v>7009</v>
      </c>
      <c r="B22" s="29">
        <v>46027</v>
      </c>
      <c r="C22" s="23" t="s">
        <v>49</v>
      </c>
      <c r="D22" s="37" t="s">
        <v>32</v>
      </c>
      <c r="E22" s="23" t="s">
        <v>40</v>
      </c>
      <c r="F22" s="31">
        <v>1424</v>
      </c>
      <c r="G22" s="31"/>
      <c r="H22" s="31">
        <f>Cty_Viet_Anh[[#This Row],[ĐƠN GIÁ]]*Cty_Viet_Anh[[#This Row],[SỐ LƯỢNG]]</f>
        <v>0</v>
      </c>
      <c r="I22" s="31"/>
      <c r="J22" s="31">
        <f ca="1">N(INDIRECT("R[-1]C", FALSE)) + Cty_Viet_Anh[[#This Row],[THÀNH TIỀN]] - Cty_Viet_Anh[[#This Row],[THANH TOÁN]]</f>
        <v>0</v>
      </c>
      <c r="K22" s="24" t="s">
        <v>2375</v>
      </c>
    </row>
    <row r="23" spans="1:11" x14ac:dyDescent="0.25">
      <c r="A23" s="22">
        <v>7012</v>
      </c>
      <c r="B23" s="29">
        <v>46028</v>
      </c>
      <c r="C23" s="23" t="s">
        <v>49</v>
      </c>
      <c r="D23" s="37" t="s">
        <v>143</v>
      </c>
      <c r="E23" s="23" t="s">
        <v>469</v>
      </c>
      <c r="F23" s="31">
        <v>5223</v>
      </c>
      <c r="G23" s="31"/>
      <c r="H23" s="31">
        <f>Cty_Viet_Anh[[#This Row],[ĐƠN GIÁ]]*Cty_Viet_Anh[[#This Row],[SỐ LƯỢNG]]</f>
        <v>0</v>
      </c>
      <c r="I23" s="31"/>
      <c r="J23" s="31">
        <f ca="1">N(INDIRECT("R[-1]C", FALSE)) + Cty_Viet_Anh[[#This Row],[THÀNH TIỀN]] - Cty_Viet_Anh[[#This Row],[THANH TOÁN]]</f>
        <v>0</v>
      </c>
      <c r="K23" s="24" t="s">
        <v>565</v>
      </c>
    </row>
    <row r="24" spans="1:11" x14ac:dyDescent="0.25">
      <c r="A24" s="25">
        <v>7041</v>
      </c>
      <c r="B24" s="30">
        <v>46029</v>
      </c>
      <c r="C24" s="26" t="s">
        <v>49</v>
      </c>
      <c r="D24" s="38" t="s">
        <v>43</v>
      </c>
      <c r="E24" s="26" t="s">
        <v>259</v>
      </c>
      <c r="F24" s="28">
        <v>620</v>
      </c>
      <c r="G24" s="28"/>
      <c r="H24" s="28">
        <f>Cty_Viet_Anh[[#This Row],[ĐƠN GIÁ]]*Cty_Viet_Anh[[#This Row],[SỐ LƯỢNG]]</f>
        <v>0</v>
      </c>
      <c r="I24" s="28"/>
      <c r="J24" s="28">
        <f ca="1">N(INDIRECT("R[-1]C", FALSE)) + Cty_Viet_Anh[[#This Row],[THÀNH TIỀN]] - Cty_Viet_Anh[[#This Row],[THANH TOÁN]]</f>
        <v>0</v>
      </c>
      <c r="K24" s="27" t="s">
        <v>2388</v>
      </c>
    </row>
    <row r="25" spans="1:11" x14ac:dyDescent="0.25">
      <c r="A25" s="25">
        <v>7051</v>
      </c>
      <c r="B25" s="30">
        <v>46030</v>
      </c>
      <c r="C25" s="26" t="s">
        <v>49</v>
      </c>
      <c r="D25" s="38" t="s">
        <v>26</v>
      </c>
      <c r="E25" s="26" t="s">
        <v>1760</v>
      </c>
      <c r="F25" s="28">
        <v>6080</v>
      </c>
      <c r="G25" s="28"/>
      <c r="H25" s="28">
        <f>Cty_Viet_Anh[[#This Row],[ĐƠN GIÁ]]*Cty_Viet_Anh[[#This Row],[SỐ LƯỢNG]]</f>
        <v>0</v>
      </c>
      <c r="I25" s="28"/>
      <c r="J25" s="28">
        <f ca="1">N(INDIRECT("R[-1]C", FALSE)) + Cty_Viet_Anh[[#This Row],[THÀNH TIỀN]] - Cty_Viet_Anh[[#This Row],[THANH TOÁN]]</f>
        <v>0</v>
      </c>
      <c r="K25" s="27" t="s">
        <v>2395</v>
      </c>
    </row>
    <row r="26" spans="1:11" x14ac:dyDescent="0.25">
      <c r="A26" s="25">
        <v>7059</v>
      </c>
      <c r="B26" s="30">
        <v>46030</v>
      </c>
      <c r="C26" s="26" t="s">
        <v>49</v>
      </c>
      <c r="D26" s="38" t="s">
        <v>301</v>
      </c>
      <c r="E26" s="23" t="s">
        <v>2396</v>
      </c>
      <c r="F26" s="31">
        <v>5140</v>
      </c>
      <c r="G26" s="31"/>
      <c r="H26" s="31">
        <f>Cty_Viet_Anh[[#This Row],[ĐƠN GIÁ]]*Cty_Viet_Anh[[#This Row],[SỐ LƯỢNG]]</f>
        <v>0</v>
      </c>
      <c r="I26" s="31"/>
      <c r="J26" s="31">
        <f ca="1">N(INDIRECT("R[-1]C", FALSE)) + Cty_Viet_Anh[[#This Row],[THÀNH TIỀN]] - Cty_Viet_Anh[[#This Row],[THANH TOÁN]]</f>
        <v>0</v>
      </c>
      <c r="K26" s="24" t="s">
        <v>2397</v>
      </c>
    </row>
    <row r="27" spans="1:11" x14ac:dyDescent="0.25">
      <c r="A27" s="25">
        <v>7062</v>
      </c>
      <c r="B27" s="30">
        <v>46030</v>
      </c>
      <c r="C27" s="26" t="s">
        <v>49</v>
      </c>
      <c r="D27" s="38" t="s">
        <v>301</v>
      </c>
      <c r="E27" s="23" t="s">
        <v>2398</v>
      </c>
      <c r="F27" s="31">
        <v>3324</v>
      </c>
      <c r="G27" s="31"/>
      <c r="H27" s="31">
        <f>Cty_Viet_Anh[[#This Row],[ĐƠN GIÁ]]*Cty_Viet_Anh[[#This Row],[SỐ LƯỢNG]]</f>
        <v>0</v>
      </c>
      <c r="I27" s="31"/>
      <c r="J27" s="31">
        <f ca="1">N(INDIRECT("R[-1]C", FALSE)) + Cty_Viet_Anh[[#This Row],[THÀNH TIỀN]] - Cty_Viet_Anh[[#This Row],[THANH TOÁN]]</f>
        <v>0</v>
      </c>
      <c r="K27" s="24" t="s">
        <v>2397</v>
      </c>
    </row>
    <row r="28" spans="1:11" ht="31.5" x14ac:dyDescent="0.25">
      <c r="A28" s="25">
        <v>7082</v>
      </c>
      <c r="B28" s="30">
        <v>46031</v>
      </c>
      <c r="C28" s="26" t="s">
        <v>49</v>
      </c>
      <c r="D28" s="38" t="s">
        <v>301</v>
      </c>
      <c r="E28" s="23" t="s">
        <v>2407</v>
      </c>
      <c r="F28" s="31">
        <v>6644</v>
      </c>
      <c r="G28" s="31"/>
      <c r="H28" s="31">
        <f>Cty_Viet_Anh[[#This Row],[ĐƠN GIÁ]]*Cty_Viet_Anh[[#This Row],[SỐ LƯỢNG]]</f>
        <v>0</v>
      </c>
      <c r="I28" s="31"/>
      <c r="J28" s="31">
        <f ca="1">N(INDIRECT("R[-1]C", FALSE)) + Cty_Viet_Anh[[#This Row],[THÀNH TIỀN]] - Cty_Viet_Anh[[#This Row],[THANH TOÁN]]</f>
        <v>0</v>
      </c>
      <c r="K28" s="133" t="s">
        <v>2408</v>
      </c>
    </row>
    <row r="29" spans="1:11" x14ac:dyDescent="0.25">
      <c r="A29" s="25">
        <v>7084</v>
      </c>
      <c r="B29" s="30">
        <v>46031</v>
      </c>
      <c r="C29" s="26" t="s">
        <v>49</v>
      </c>
      <c r="D29" s="38" t="s">
        <v>43</v>
      </c>
      <c r="E29" s="26" t="s">
        <v>146</v>
      </c>
      <c r="F29" s="28">
        <v>1740</v>
      </c>
      <c r="G29" s="28"/>
      <c r="H29" s="28">
        <f>Cty_Viet_Anh[[#This Row],[ĐƠN GIÁ]]*Cty_Viet_Anh[[#This Row],[SỐ LƯỢNG]]</f>
        <v>0</v>
      </c>
      <c r="I29" s="28"/>
      <c r="J29" s="28">
        <f ca="1">N(INDIRECT("R[-1]C", FALSE)) + Cty_Viet_Anh[[#This Row],[THÀNH TIỀN]] - Cty_Viet_Anh[[#This Row],[THANH TOÁN]]</f>
        <v>0</v>
      </c>
      <c r="K29" s="153" t="s">
        <v>1740</v>
      </c>
    </row>
    <row r="30" spans="1:11" x14ac:dyDescent="0.25">
      <c r="A30" s="25">
        <v>7095</v>
      </c>
      <c r="B30" s="30">
        <v>46032</v>
      </c>
      <c r="C30" s="26" t="s">
        <v>49</v>
      </c>
      <c r="D30" s="38" t="s">
        <v>45</v>
      </c>
      <c r="E30" s="23" t="s">
        <v>487</v>
      </c>
      <c r="F30" s="31">
        <v>4202</v>
      </c>
      <c r="G30" s="31"/>
      <c r="H30" s="31">
        <f>Cty_Viet_Anh[[#This Row],[ĐƠN GIÁ]]*Cty_Viet_Anh[[#This Row],[SỐ LƯỢNG]]</f>
        <v>0</v>
      </c>
      <c r="I30" s="31"/>
      <c r="J30" s="31">
        <f ca="1">N(INDIRECT("R[-1]C", FALSE)) + Cty_Viet_Anh[[#This Row],[THÀNH TIỀN]] - Cty_Viet_Anh[[#This Row],[THANH TOÁN]]</f>
        <v>0</v>
      </c>
      <c r="K30" s="133" t="s">
        <v>2409</v>
      </c>
    </row>
    <row r="31" spans="1:11" x14ac:dyDescent="0.25">
      <c r="A31" s="25">
        <v>7095</v>
      </c>
      <c r="B31" s="30">
        <v>46032</v>
      </c>
      <c r="C31" s="26" t="s">
        <v>49</v>
      </c>
      <c r="D31" s="38" t="s">
        <v>45</v>
      </c>
      <c r="E31" s="23" t="s">
        <v>462</v>
      </c>
      <c r="F31" s="31">
        <v>3734</v>
      </c>
      <c r="G31" s="31"/>
      <c r="H31" s="31">
        <f>Cty_Viet_Anh[[#This Row],[ĐƠN GIÁ]]*Cty_Viet_Anh[[#This Row],[SỐ LƯỢNG]]</f>
        <v>0</v>
      </c>
      <c r="I31" s="31"/>
      <c r="J31" s="31">
        <f ca="1">N(INDIRECT("R[-1]C", FALSE)) + Cty_Viet_Anh[[#This Row],[THÀNH TIỀN]] - Cty_Viet_Anh[[#This Row],[THANH TOÁN]]</f>
        <v>0</v>
      </c>
      <c r="K31" s="133" t="s">
        <v>2410</v>
      </c>
    </row>
    <row r="32" spans="1:11" x14ac:dyDescent="0.25">
      <c r="A32" s="25">
        <v>7132</v>
      </c>
      <c r="B32" s="30">
        <v>46034</v>
      </c>
      <c r="C32" s="26" t="s">
        <v>49</v>
      </c>
      <c r="D32" s="38" t="s">
        <v>43</v>
      </c>
      <c r="E32" s="23" t="s">
        <v>41</v>
      </c>
      <c r="F32" s="31">
        <v>5398</v>
      </c>
      <c r="G32" s="31"/>
      <c r="H32" s="31">
        <f>Cty_Viet_Anh[[#This Row],[ĐƠN GIÁ]]*Cty_Viet_Anh[[#This Row],[SỐ LƯỢNG]]</f>
        <v>0</v>
      </c>
      <c r="I32" s="31"/>
      <c r="J32" s="31">
        <f ca="1">N(INDIRECT("R[-1]C", FALSE)) + Cty_Viet_Anh[[#This Row],[THÀNH TIỀN]] - Cty_Viet_Anh[[#This Row],[THANH TOÁN]]</f>
        <v>0</v>
      </c>
      <c r="K32" s="133" t="s">
        <v>2415</v>
      </c>
    </row>
    <row r="33" spans="1:11" x14ac:dyDescent="0.25">
      <c r="A33" s="25">
        <v>7153</v>
      </c>
      <c r="B33" s="30">
        <v>46035</v>
      </c>
      <c r="C33" s="26" t="s">
        <v>49</v>
      </c>
      <c r="D33" s="38" t="s">
        <v>45</v>
      </c>
      <c r="E33" s="26" t="s">
        <v>462</v>
      </c>
      <c r="F33" s="28">
        <v>3790</v>
      </c>
      <c r="G33" s="28"/>
      <c r="H33" s="28">
        <f>Cty_Viet_Anh[[#This Row],[ĐƠN GIÁ]]*Cty_Viet_Anh[[#This Row],[SỐ LƯỢNG]]</f>
        <v>0</v>
      </c>
      <c r="I33" s="28"/>
      <c r="J33" s="28">
        <f ca="1">N(INDIRECT("R[-1]C", FALSE)) + Cty_Viet_Anh[[#This Row],[THÀNH TIỀN]] - Cty_Viet_Anh[[#This Row],[THANH TOÁN]]</f>
        <v>0</v>
      </c>
      <c r="K33" s="153" t="s">
        <v>2416</v>
      </c>
    </row>
    <row r="34" spans="1:11" x14ac:dyDescent="0.25">
      <c r="A34" s="25">
        <v>7153</v>
      </c>
      <c r="B34" s="30">
        <v>46035</v>
      </c>
      <c r="C34" s="26" t="s">
        <v>49</v>
      </c>
      <c r="D34" s="38" t="s">
        <v>940</v>
      </c>
      <c r="E34" s="26" t="s">
        <v>2417</v>
      </c>
      <c r="F34" s="28">
        <v>2706</v>
      </c>
      <c r="G34" s="28"/>
      <c r="H34" s="28">
        <f>Cty_Viet_Anh[[#This Row],[ĐƠN GIÁ]]*Cty_Viet_Anh[[#This Row],[SỐ LƯỢNG]]</f>
        <v>0</v>
      </c>
      <c r="I34" s="28"/>
      <c r="J34" s="28">
        <f ca="1">N(INDIRECT("R[-1]C", FALSE)) + Cty_Viet_Anh[[#This Row],[THÀNH TIỀN]] - Cty_Viet_Anh[[#This Row],[THANH TOÁN]]</f>
        <v>0</v>
      </c>
      <c r="K34" s="153" t="s">
        <v>2418</v>
      </c>
    </row>
    <row r="35" spans="1:11" x14ac:dyDescent="0.25">
      <c r="A35" s="25">
        <v>7173</v>
      </c>
      <c r="B35" s="30">
        <v>46036</v>
      </c>
      <c r="C35" s="26" t="s">
        <v>49</v>
      </c>
      <c r="D35" s="38" t="s">
        <v>301</v>
      </c>
      <c r="E35" s="26" t="s">
        <v>2423</v>
      </c>
      <c r="F35" s="28">
        <v>5238</v>
      </c>
      <c r="G35" s="28"/>
      <c r="H35" s="28">
        <f>Cty_Viet_Anh[[#This Row],[ĐƠN GIÁ]]*Cty_Viet_Anh[[#This Row],[SỐ LƯỢNG]]</f>
        <v>0</v>
      </c>
      <c r="I35" s="28"/>
      <c r="J35" s="28">
        <f ca="1">N(INDIRECT("R[-1]C", FALSE)) + Cty_Viet_Anh[[#This Row],[THÀNH TIỀN]] - Cty_Viet_Anh[[#This Row],[THANH TOÁN]]</f>
        <v>0</v>
      </c>
      <c r="K35" s="153" t="s">
        <v>2424</v>
      </c>
    </row>
    <row r="36" spans="1:11" x14ac:dyDescent="0.25">
      <c r="A36" s="25">
        <v>7181</v>
      </c>
      <c r="B36" s="30">
        <v>46037</v>
      </c>
      <c r="C36" s="26" t="s">
        <v>49</v>
      </c>
      <c r="D36" s="38" t="s">
        <v>43</v>
      </c>
      <c r="E36" s="26" t="s">
        <v>251</v>
      </c>
      <c r="F36" s="28">
        <v>3310</v>
      </c>
      <c r="G36" s="28"/>
      <c r="H36" s="28">
        <f>Cty_Viet_Anh[[#This Row],[ĐƠN GIÁ]]*Cty_Viet_Anh[[#This Row],[SỐ LƯỢNG]]</f>
        <v>0</v>
      </c>
      <c r="I36" s="28"/>
      <c r="J36" s="28">
        <f ca="1">N(INDIRECT("R[-1]C", FALSE)) + Cty_Viet_Anh[[#This Row],[THÀNH TIỀN]] - Cty_Viet_Anh[[#This Row],[THANH TOÁN]]</f>
        <v>0</v>
      </c>
      <c r="K36" s="153" t="s">
        <v>2415</v>
      </c>
    </row>
    <row r="37" spans="1:11" x14ac:dyDescent="0.25">
      <c r="A37" s="25">
        <v>7188</v>
      </c>
      <c r="B37" s="30">
        <v>46037</v>
      </c>
      <c r="C37" s="26" t="s">
        <v>49</v>
      </c>
      <c r="D37" s="38" t="s">
        <v>17</v>
      </c>
      <c r="E37" s="26" t="s">
        <v>2426</v>
      </c>
      <c r="F37" s="28">
        <v>2588</v>
      </c>
      <c r="G37" s="28"/>
      <c r="H37" s="28">
        <f>Cty_Viet_Anh[[#This Row],[ĐƠN GIÁ]]*Cty_Viet_Anh[[#This Row],[SỐ LƯỢNG]]</f>
        <v>0</v>
      </c>
      <c r="I37" s="28"/>
      <c r="J37" s="28">
        <f ca="1">N(INDIRECT("R[-1]C", FALSE)) + Cty_Viet_Anh[[#This Row],[THÀNH TIỀN]] - Cty_Viet_Anh[[#This Row],[THANH TOÁN]]</f>
        <v>0</v>
      </c>
      <c r="K37" s="153" t="s">
        <v>2427</v>
      </c>
    </row>
    <row r="38" spans="1:11" ht="31.5" x14ac:dyDescent="0.25">
      <c r="A38" s="25">
        <v>7194</v>
      </c>
      <c r="B38" s="30">
        <v>46037</v>
      </c>
      <c r="C38" s="26" t="s">
        <v>49</v>
      </c>
      <c r="D38" s="38" t="s">
        <v>17</v>
      </c>
      <c r="E38" s="26" t="s">
        <v>78</v>
      </c>
      <c r="F38" s="28">
        <v>1517</v>
      </c>
      <c r="G38" s="28"/>
      <c r="H38" s="28">
        <f>Cty_Viet_Anh[[#This Row],[ĐƠN GIÁ]]*Cty_Viet_Anh[[#This Row],[SỐ LƯỢNG]]</f>
        <v>0</v>
      </c>
      <c r="I38" s="28"/>
      <c r="J38" s="28">
        <f ca="1">N(INDIRECT("R[-1]C", FALSE)) + Cty_Viet_Anh[[#This Row],[THÀNH TIỀN]] - Cty_Viet_Anh[[#This Row],[THANH TOÁN]]</f>
        <v>0</v>
      </c>
      <c r="K38" s="153" t="s">
        <v>2428</v>
      </c>
    </row>
    <row r="39" spans="1:11" x14ac:dyDescent="0.25">
      <c r="A39" s="25">
        <v>7194</v>
      </c>
      <c r="B39" s="30">
        <v>46037</v>
      </c>
      <c r="C39" s="26" t="s">
        <v>49</v>
      </c>
      <c r="D39" s="38" t="s">
        <v>17</v>
      </c>
      <c r="E39" s="26" t="s">
        <v>78</v>
      </c>
      <c r="F39" s="28">
        <v>1040</v>
      </c>
      <c r="G39" s="28"/>
      <c r="H39" s="28">
        <f>Cty_Viet_Anh[[#This Row],[ĐƠN GIÁ]]*Cty_Viet_Anh[[#This Row],[SỐ LƯỢNG]]</f>
        <v>0</v>
      </c>
      <c r="I39" s="28"/>
      <c r="J39" s="28">
        <f ca="1">N(INDIRECT("R[-1]C", FALSE)) + Cty_Viet_Anh[[#This Row],[THÀNH TIỀN]] - Cty_Viet_Anh[[#This Row],[THANH TOÁN]]</f>
        <v>0</v>
      </c>
      <c r="K39" s="153"/>
    </row>
    <row r="40" spans="1:11" x14ac:dyDescent="0.25">
      <c r="A40" s="25">
        <v>7199</v>
      </c>
      <c r="B40" s="30">
        <v>46037</v>
      </c>
      <c r="C40" s="26" t="s">
        <v>49</v>
      </c>
      <c r="D40" s="38" t="s">
        <v>45</v>
      </c>
      <c r="E40" s="26" t="s">
        <v>40</v>
      </c>
      <c r="F40" s="28">
        <v>2212</v>
      </c>
      <c r="G40" s="28"/>
      <c r="H40" s="28">
        <f>Cty_Viet_Anh[[#This Row],[ĐƠN GIÁ]]*Cty_Viet_Anh[[#This Row],[SỐ LƯỢNG]]</f>
        <v>0</v>
      </c>
      <c r="I40" s="28"/>
      <c r="J40" s="28">
        <f ca="1">N(INDIRECT("R[-1]C", FALSE)) + Cty_Viet_Anh[[#This Row],[THÀNH TIỀN]] - Cty_Viet_Anh[[#This Row],[THANH TOÁN]]</f>
        <v>0</v>
      </c>
      <c r="K40" s="153" t="s">
        <v>2429</v>
      </c>
    </row>
    <row r="41" spans="1:11" x14ac:dyDescent="0.25">
      <c r="A41" s="25">
        <v>7205</v>
      </c>
      <c r="B41" s="30">
        <v>46038</v>
      </c>
      <c r="C41" s="26" t="s">
        <v>49</v>
      </c>
      <c r="D41" s="38" t="s">
        <v>43</v>
      </c>
      <c r="E41" s="26" t="s">
        <v>134</v>
      </c>
      <c r="F41" s="28">
        <v>1068</v>
      </c>
      <c r="G41" s="28"/>
      <c r="H41" s="28">
        <f>Cty_Viet_Anh[[#This Row],[ĐƠN GIÁ]]*Cty_Viet_Anh[[#This Row],[SỐ LƯỢNG]]</f>
        <v>0</v>
      </c>
      <c r="I41" s="28"/>
      <c r="J41" s="28">
        <f ca="1">N(INDIRECT("R[-1]C", FALSE)) + Cty_Viet_Anh[[#This Row],[THÀNH TIỀN]] - Cty_Viet_Anh[[#This Row],[THANH TOÁN]]</f>
        <v>0</v>
      </c>
      <c r="K41" s="153" t="s">
        <v>1740</v>
      </c>
    </row>
    <row r="42" spans="1:11" x14ac:dyDescent="0.25">
      <c r="A42" s="25">
        <v>7246</v>
      </c>
      <c r="B42" s="30">
        <v>46039</v>
      </c>
      <c r="C42" s="26" t="s">
        <v>49</v>
      </c>
      <c r="D42" s="38" t="s">
        <v>301</v>
      </c>
      <c r="E42" s="23" t="s">
        <v>2430</v>
      </c>
      <c r="F42" s="31">
        <v>3426</v>
      </c>
      <c r="G42" s="31"/>
      <c r="H42" s="31">
        <f>Cty_Viet_Anh[[#This Row],[ĐƠN GIÁ]]*Cty_Viet_Anh[[#This Row],[SỐ LƯỢNG]]</f>
        <v>0</v>
      </c>
      <c r="I42" s="31"/>
      <c r="J42" s="31">
        <f ca="1">N(INDIRECT("R[-1]C", FALSE)) + Cty_Viet_Anh[[#This Row],[THÀNH TIỀN]] - Cty_Viet_Anh[[#This Row],[THANH TOÁN]]</f>
        <v>0</v>
      </c>
      <c r="K42" s="24" t="s">
        <v>2431</v>
      </c>
    </row>
    <row r="43" spans="1:11" x14ac:dyDescent="0.25">
      <c r="A43" s="25">
        <v>7246</v>
      </c>
      <c r="B43" s="30">
        <v>46039</v>
      </c>
      <c r="C43" s="26" t="s">
        <v>49</v>
      </c>
      <c r="D43" s="38" t="s">
        <v>17</v>
      </c>
      <c r="E43" s="26" t="s">
        <v>40</v>
      </c>
      <c r="F43" s="28">
        <v>6200</v>
      </c>
      <c r="G43" s="28"/>
      <c r="H43" s="28">
        <f>Cty_Viet_Anh[[#This Row],[ĐƠN GIÁ]]*Cty_Viet_Anh[[#This Row],[SỐ LƯỢNG]]</f>
        <v>0</v>
      </c>
      <c r="I43" s="28"/>
      <c r="J43" s="28">
        <f ca="1">N(INDIRECT("R[-1]C", FALSE)) + Cty_Viet_Anh[[#This Row],[THÀNH TIỀN]] - Cty_Viet_Anh[[#This Row],[THANH TOÁN]]</f>
        <v>0</v>
      </c>
      <c r="K43" s="27" t="s">
        <v>2432</v>
      </c>
    </row>
    <row r="44" spans="1:11" x14ac:dyDescent="0.25">
      <c r="A44" s="25">
        <v>7292</v>
      </c>
      <c r="B44" s="30">
        <v>46042</v>
      </c>
      <c r="C44" s="26" t="s">
        <v>49</v>
      </c>
      <c r="D44" s="38" t="s">
        <v>143</v>
      </c>
      <c r="E44" s="26" t="s">
        <v>251</v>
      </c>
      <c r="F44" s="28">
        <v>404</v>
      </c>
      <c r="G44" s="28"/>
      <c r="H44" s="28">
        <f>Cty_Viet_Anh[[#This Row],[ĐƠN GIÁ]]*Cty_Viet_Anh[[#This Row],[SỐ LƯỢNG]]</f>
        <v>0</v>
      </c>
      <c r="I44" s="28"/>
      <c r="J44" s="28">
        <f ca="1">N(INDIRECT("R[-1]C", FALSE)) + Cty_Viet_Anh[[#This Row],[THÀNH TIỀN]] - Cty_Viet_Anh[[#This Row],[THANH TOÁN]]</f>
        <v>0</v>
      </c>
      <c r="K44" s="27" t="s">
        <v>1740</v>
      </c>
    </row>
    <row r="45" spans="1:11" x14ac:dyDescent="0.25">
      <c r="A45" s="25">
        <v>7292</v>
      </c>
      <c r="B45" s="30">
        <v>46042</v>
      </c>
      <c r="C45" s="26" t="s">
        <v>49</v>
      </c>
      <c r="D45" s="38" t="s">
        <v>43</v>
      </c>
      <c r="E45" s="26" t="s">
        <v>41</v>
      </c>
      <c r="F45" s="28">
        <v>582</v>
      </c>
      <c r="G45" s="28"/>
      <c r="H45" s="28">
        <f>Cty_Viet_Anh[[#This Row],[ĐƠN GIÁ]]*Cty_Viet_Anh[[#This Row],[SỐ LƯỢNG]]</f>
        <v>0</v>
      </c>
      <c r="I45" s="28"/>
      <c r="J45" s="28">
        <f ca="1">N(INDIRECT("R[-1]C", FALSE)) + Cty_Viet_Anh[[#This Row],[THÀNH TIỀN]] - Cty_Viet_Anh[[#This Row],[THANH TOÁN]]</f>
        <v>0</v>
      </c>
      <c r="K45" s="27" t="s">
        <v>1740</v>
      </c>
    </row>
    <row r="46" spans="1:11" x14ac:dyDescent="0.25">
      <c r="A46" s="25">
        <v>7293</v>
      </c>
      <c r="B46" s="30">
        <v>46042</v>
      </c>
      <c r="C46" s="26" t="s">
        <v>49</v>
      </c>
      <c r="D46" s="38" t="s">
        <v>26</v>
      </c>
      <c r="E46" s="26" t="s">
        <v>40</v>
      </c>
      <c r="F46" s="28">
        <v>3818</v>
      </c>
      <c r="G46" s="28"/>
      <c r="H46" s="28">
        <f>Cty_Viet_Anh[[#This Row],[ĐƠN GIÁ]]*Cty_Viet_Anh[[#This Row],[SỐ LƯỢNG]]</f>
        <v>0</v>
      </c>
      <c r="I46" s="28"/>
      <c r="J46" s="28">
        <f ca="1">N(INDIRECT("R[-1]C", FALSE)) + Cty_Viet_Anh[[#This Row],[THÀNH TIỀN]] - Cty_Viet_Anh[[#This Row],[THANH TOÁN]]</f>
        <v>0</v>
      </c>
      <c r="K46" s="27" t="s">
        <v>2434</v>
      </c>
    </row>
    <row r="47" spans="1:11" x14ac:dyDescent="0.25">
      <c r="A47" s="25">
        <v>7306</v>
      </c>
      <c r="B47" s="30">
        <v>46043</v>
      </c>
      <c r="C47" s="26" t="s">
        <v>49</v>
      </c>
      <c r="D47" s="38" t="s">
        <v>43</v>
      </c>
      <c r="E47" s="26" t="s">
        <v>134</v>
      </c>
      <c r="F47" s="28">
        <v>940</v>
      </c>
      <c r="G47" s="28"/>
      <c r="H47" s="28">
        <f>Cty_Viet_Anh[[#This Row],[ĐƠN GIÁ]]*Cty_Viet_Anh[[#This Row],[SỐ LƯỢNG]]</f>
        <v>0</v>
      </c>
      <c r="I47" s="28"/>
      <c r="J47" s="28">
        <f ca="1">N(INDIRECT("R[-1]C", FALSE)) + Cty_Viet_Anh[[#This Row],[THÀNH TIỀN]] - Cty_Viet_Anh[[#This Row],[THANH TOÁN]]</f>
        <v>0</v>
      </c>
      <c r="K47" s="27" t="s">
        <v>1740</v>
      </c>
    </row>
    <row r="48" spans="1:11" x14ac:dyDescent="0.25">
      <c r="A48" s="25">
        <v>7306</v>
      </c>
      <c r="B48" s="30">
        <v>46043</v>
      </c>
      <c r="C48" s="26" t="s">
        <v>49</v>
      </c>
      <c r="D48" s="38" t="s">
        <v>43</v>
      </c>
      <c r="E48" s="23" t="s">
        <v>134</v>
      </c>
      <c r="F48" s="31">
        <v>2726</v>
      </c>
      <c r="G48" s="31"/>
      <c r="H48" s="31">
        <f>Cty_Viet_Anh[[#This Row],[ĐƠN GIÁ]]*Cty_Viet_Anh[[#This Row],[SỐ LƯỢNG]]</f>
        <v>0</v>
      </c>
      <c r="I48" s="31"/>
      <c r="J48" s="31">
        <f ca="1">N(INDIRECT("R[-1]C", FALSE)) + Cty_Viet_Anh[[#This Row],[THÀNH TIỀN]] - Cty_Viet_Anh[[#This Row],[THANH TOÁN]]</f>
        <v>0</v>
      </c>
      <c r="K48" s="24"/>
    </row>
    <row r="49" spans="1:11" x14ac:dyDescent="0.25">
      <c r="A49" s="25">
        <v>7310</v>
      </c>
      <c r="B49" s="30">
        <v>46043</v>
      </c>
      <c r="C49" s="26" t="s">
        <v>49</v>
      </c>
      <c r="D49" s="38" t="s">
        <v>26</v>
      </c>
      <c r="E49" s="26" t="s">
        <v>2437</v>
      </c>
      <c r="F49" s="28">
        <v>4750</v>
      </c>
      <c r="G49" s="28"/>
      <c r="H49" s="28">
        <f>Cty_Viet_Anh[[#This Row],[ĐƠN GIÁ]]*Cty_Viet_Anh[[#This Row],[SỐ LƯỢNG]]</f>
        <v>0</v>
      </c>
      <c r="I49" s="28"/>
      <c r="J49" s="28">
        <f ca="1">N(INDIRECT("R[-1]C", FALSE)) + Cty_Viet_Anh[[#This Row],[THÀNH TIỀN]] - Cty_Viet_Anh[[#This Row],[THANH TOÁN]]</f>
        <v>0</v>
      </c>
      <c r="K49" s="27" t="s">
        <v>2438</v>
      </c>
    </row>
    <row r="50" spans="1:11" x14ac:dyDescent="0.25">
      <c r="A50" s="25">
        <v>7313</v>
      </c>
      <c r="B50" s="30">
        <v>46044</v>
      </c>
      <c r="C50" s="26" t="s">
        <v>49</v>
      </c>
      <c r="D50" s="38" t="s">
        <v>17</v>
      </c>
      <c r="E50" s="26" t="s">
        <v>254</v>
      </c>
      <c r="F50" s="28">
        <v>1224</v>
      </c>
      <c r="G50" s="28"/>
      <c r="H50" s="28">
        <f>Cty_Viet_Anh[[#This Row],[ĐƠN GIÁ]]*Cty_Viet_Anh[[#This Row],[SỐ LƯỢNG]]</f>
        <v>0</v>
      </c>
      <c r="I50" s="28"/>
      <c r="J50" s="28">
        <f ca="1">N(INDIRECT("R[-1]C", FALSE)) + Cty_Viet_Anh[[#This Row],[THÀNH TIỀN]] - Cty_Viet_Anh[[#This Row],[THANH TOÁN]]</f>
        <v>0</v>
      </c>
      <c r="K50" s="27" t="s">
        <v>2439</v>
      </c>
    </row>
    <row r="51" spans="1:11" x14ac:dyDescent="0.25">
      <c r="A51" s="25">
        <v>7313</v>
      </c>
      <c r="B51" s="30">
        <v>46044</v>
      </c>
      <c r="C51" s="26" t="s">
        <v>49</v>
      </c>
      <c r="D51" s="38" t="s">
        <v>17</v>
      </c>
      <c r="E51" s="26" t="s">
        <v>2440</v>
      </c>
      <c r="F51" s="28">
        <v>1002</v>
      </c>
      <c r="G51" s="28"/>
      <c r="H51" s="28">
        <f>Cty_Viet_Anh[[#This Row],[ĐƠN GIÁ]]*Cty_Viet_Anh[[#This Row],[SỐ LƯỢNG]]</f>
        <v>0</v>
      </c>
      <c r="I51" s="28"/>
      <c r="J51" s="28">
        <f ca="1">N(INDIRECT("R[-1]C", FALSE)) + Cty_Viet_Anh[[#This Row],[THÀNH TIỀN]] - Cty_Viet_Anh[[#This Row],[THANH TOÁN]]</f>
        <v>0</v>
      </c>
      <c r="K51" s="27" t="s">
        <v>2441</v>
      </c>
    </row>
    <row r="52" spans="1:11" x14ac:dyDescent="0.25">
      <c r="A52" s="25">
        <v>7313</v>
      </c>
      <c r="B52" s="30">
        <v>46044</v>
      </c>
      <c r="C52" s="26" t="s">
        <v>49</v>
      </c>
      <c r="D52" s="38" t="s">
        <v>301</v>
      </c>
      <c r="E52" s="26" t="s">
        <v>2442</v>
      </c>
      <c r="F52" s="28">
        <v>2008</v>
      </c>
      <c r="G52" s="28"/>
      <c r="H52" s="28">
        <f>Cty_Viet_Anh[[#This Row],[ĐƠN GIÁ]]*Cty_Viet_Anh[[#This Row],[SỐ LƯỢNG]]</f>
        <v>0</v>
      </c>
      <c r="I52" s="28"/>
      <c r="J52" s="28">
        <f ca="1">N(INDIRECT("R[-1]C", FALSE)) + Cty_Viet_Anh[[#This Row],[THÀNH TIỀN]] - Cty_Viet_Anh[[#This Row],[THANH TOÁN]]</f>
        <v>0</v>
      </c>
      <c r="K52" s="27" t="s">
        <v>2443</v>
      </c>
    </row>
    <row r="53" spans="1:11" x14ac:dyDescent="0.25">
      <c r="A53" s="25">
        <v>7317</v>
      </c>
      <c r="B53" s="30">
        <v>46044</v>
      </c>
      <c r="C53" s="26" t="s">
        <v>49</v>
      </c>
      <c r="D53" s="38" t="s">
        <v>26</v>
      </c>
      <c r="E53" s="26" t="s">
        <v>41</v>
      </c>
      <c r="F53" s="28">
        <v>424</v>
      </c>
      <c r="G53" s="28"/>
      <c r="H53" s="28">
        <f>Cty_Viet_Anh[[#This Row],[ĐƠN GIÁ]]*Cty_Viet_Anh[[#This Row],[SỐ LƯỢNG]]</f>
        <v>0</v>
      </c>
      <c r="I53" s="28"/>
      <c r="J53" s="28">
        <f ca="1">N(INDIRECT("R[-1]C", FALSE)) + Cty_Viet_Anh[[#This Row],[THÀNH TIỀN]] - Cty_Viet_Anh[[#This Row],[THANH TOÁN]]</f>
        <v>0</v>
      </c>
      <c r="K53" s="27" t="s">
        <v>2444</v>
      </c>
    </row>
    <row r="54" spans="1:11" x14ac:dyDescent="0.25">
      <c r="A54" s="25">
        <v>7331</v>
      </c>
      <c r="B54" s="30">
        <v>46044</v>
      </c>
      <c r="C54" s="26" t="s">
        <v>49</v>
      </c>
      <c r="D54" s="38" t="s">
        <v>1048</v>
      </c>
      <c r="E54" s="26" t="s">
        <v>148</v>
      </c>
      <c r="F54" s="28">
        <v>6166</v>
      </c>
      <c r="G54" s="28"/>
      <c r="H54" s="28">
        <f>Cty_Viet_Anh[[#This Row],[ĐƠN GIÁ]]*Cty_Viet_Anh[[#This Row],[SỐ LƯỢNG]]</f>
        <v>0</v>
      </c>
      <c r="I54" s="28"/>
      <c r="J54" s="28">
        <f ca="1">N(INDIRECT("R[-1]C", FALSE)) + Cty_Viet_Anh[[#This Row],[THÀNH TIỀN]] - Cty_Viet_Anh[[#This Row],[THANH TOÁN]]</f>
        <v>0</v>
      </c>
      <c r="K54" s="27" t="s">
        <v>2445</v>
      </c>
    </row>
    <row r="55" spans="1:11" x14ac:dyDescent="0.25">
      <c r="A55" s="25">
        <v>7339</v>
      </c>
      <c r="B55" s="30">
        <v>46045</v>
      </c>
      <c r="C55" s="26" t="s">
        <v>49</v>
      </c>
      <c r="D55" s="38" t="s">
        <v>841</v>
      </c>
      <c r="E55" s="26" t="s">
        <v>2447</v>
      </c>
      <c r="F55" s="28">
        <v>330</v>
      </c>
      <c r="G55" s="28"/>
      <c r="H55" s="28">
        <f>Cty_Viet_Anh[[#This Row],[ĐƠN GIÁ]]*Cty_Viet_Anh[[#This Row],[SỐ LƯỢNG]]</f>
        <v>0</v>
      </c>
      <c r="I55" s="28"/>
      <c r="J55" s="28">
        <f ca="1">N(INDIRECT("R[-1]C", FALSE)) + Cty_Viet_Anh[[#This Row],[THÀNH TIỀN]] - Cty_Viet_Anh[[#This Row],[THANH TOÁN]]</f>
        <v>0</v>
      </c>
      <c r="K55" s="27" t="s">
        <v>2448</v>
      </c>
    </row>
    <row r="56" spans="1:11" x14ac:dyDescent="0.25">
      <c r="A56" s="25">
        <v>7339</v>
      </c>
      <c r="B56" s="30">
        <v>46045</v>
      </c>
      <c r="C56" s="26" t="s">
        <v>49</v>
      </c>
      <c r="D56" s="38" t="s">
        <v>17</v>
      </c>
      <c r="E56" s="26" t="s">
        <v>482</v>
      </c>
      <c r="F56" s="28">
        <v>5530</v>
      </c>
      <c r="G56" s="28"/>
      <c r="H56" s="28">
        <f>Cty_Viet_Anh[[#This Row],[ĐƠN GIÁ]]*Cty_Viet_Anh[[#This Row],[SỐ LƯỢNG]]</f>
        <v>0</v>
      </c>
      <c r="I56" s="28"/>
      <c r="J56" s="28">
        <f ca="1">N(INDIRECT("R[-1]C", FALSE)) + Cty_Viet_Anh[[#This Row],[THÀNH TIỀN]] - Cty_Viet_Anh[[#This Row],[THANH TOÁN]]</f>
        <v>0</v>
      </c>
      <c r="K56" s="27" t="s">
        <v>2449</v>
      </c>
    </row>
    <row r="57" spans="1:11" x14ac:dyDescent="0.25">
      <c r="A57" s="25">
        <v>7387</v>
      </c>
      <c r="B57" s="30">
        <v>46048</v>
      </c>
      <c r="C57" s="26" t="s">
        <v>49</v>
      </c>
      <c r="D57" s="38" t="s">
        <v>660</v>
      </c>
      <c r="E57" s="23" t="s">
        <v>793</v>
      </c>
      <c r="F57" s="31">
        <v>1282</v>
      </c>
      <c r="G57" s="31"/>
      <c r="H57" s="31">
        <f>Cty_Viet_Anh[[#This Row],[ĐƠN GIÁ]]*Cty_Viet_Anh[[#This Row],[SỐ LƯỢNG]]</f>
        <v>0</v>
      </c>
      <c r="I57" s="31"/>
      <c r="J57" s="31">
        <f ca="1">N(INDIRECT("R[-1]C", FALSE)) + Cty_Viet_Anh[[#This Row],[THÀNH TIỀN]] - Cty_Viet_Anh[[#This Row],[THANH TOÁN]]</f>
        <v>0</v>
      </c>
      <c r="K57" s="24" t="s">
        <v>2452</v>
      </c>
    </row>
    <row r="58" spans="1:11" x14ac:dyDescent="0.25">
      <c r="A58" s="25">
        <v>7387</v>
      </c>
      <c r="B58" s="30">
        <v>46048</v>
      </c>
      <c r="C58" s="26" t="s">
        <v>49</v>
      </c>
      <c r="D58" s="38" t="s">
        <v>841</v>
      </c>
      <c r="E58" s="26" t="s">
        <v>2453</v>
      </c>
      <c r="F58" s="28">
        <v>2987</v>
      </c>
      <c r="G58" s="28"/>
      <c r="H58" s="28">
        <f>Cty_Viet_Anh[[#This Row],[ĐƠN GIÁ]]*Cty_Viet_Anh[[#This Row],[SỐ LƯỢNG]]</f>
        <v>0</v>
      </c>
      <c r="I58" s="28"/>
      <c r="J58" s="28">
        <f ca="1">N(INDIRECT("R[-1]C", FALSE)) + Cty_Viet_Anh[[#This Row],[THÀNH TIỀN]] - Cty_Viet_Anh[[#This Row],[THANH TOÁN]]</f>
        <v>0</v>
      </c>
      <c r="K58" s="27" t="s">
        <v>2454</v>
      </c>
    </row>
    <row r="59" spans="1:11" x14ac:dyDescent="0.25">
      <c r="A59" s="25">
        <v>7401</v>
      </c>
      <c r="B59" s="30">
        <v>46048</v>
      </c>
      <c r="C59" s="26" t="s">
        <v>49</v>
      </c>
      <c r="D59" s="38" t="s">
        <v>43</v>
      </c>
      <c r="E59" s="23" t="s">
        <v>41</v>
      </c>
      <c r="F59" s="31">
        <v>882</v>
      </c>
      <c r="G59" s="31"/>
      <c r="H59" s="31">
        <f>Cty_Viet_Anh[[#This Row],[ĐƠN GIÁ]]*Cty_Viet_Anh[[#This Row],[SỐ LƯỢNG]]</f>
        <v>0</v>
      </c>
      <c r="I59" s="31"/>
      <c r="J59" s="31">
        <f ca="1">N(INDIRECT("R[-1]C", FALSE)) + Cty_Viet_Anh[[#This Row],[THÀNH TIỀN]] - Cty_Viet_Anh[[#This Row],[THANH TOÁN]]</f>
        <v>0</v>
      </c>
      <c r="K59" s="24" t="s">
        <v>1740</v>
      </c>
    </row>
    <row r="60" spans="1:11" x14ac:dyDescent="0.25">
      <c r="A60" s="25">
        <v>7406</v>
      </c>
      <c r="B60" s="30">
        <v>46049</v>
      </c>
      <c r="C60" s="26" t="s">
        <v>49</v>
      </c>
      <c r="D60" s="38" t="s">
        <v>26</v>
      </c>
      <c r="E60" s="26" t="s">
        <v>2457</v>
      </c>
      <c r="F60" s="28">
        <v>4697</v>
      </c>
      <c r="G60" s="28"/>
      <c r="H60" s="28">
        <f>Cty_Viet_Anh[[#This Row],[ĐƠN GIÁ]]*Cty_Viet_Anh[[#This Row],[SỐ LƯỢNG]]</f>
        <v>0</v>
      </c>
      <c r="I60" s="28"/>
      <c r="J60" s="28">
        <f ca="1">N(INDIRECT("R[-1]C", FALSE)) + Cty_Viet_Anh[[#This Row],[THÀNH TIỀN]] - Cty_Viet_Anh[[#This Row],[THANH TOÁN]]</f>
        <v>0</v>
      </c>
      <c r="K60" s="27" t="s">
        <v>2458</v>
      </c>
    </row>
    <row r="61" spans="1:11" x14ac:dyDescent="0.25">
      <c r="A61" s="25">
        <v>7414</v>
      </c>
      <c r="B61" s="30">
        <v>46049</v>
      </c>
      <c r="C61" s="26" t="s">
        <v>49</v>
      </c>
      <c r="D61" s="38" t="s">
        <v>17</v>
      </c>
      <c r="E61" s="26" t="s">
        <v>134</v>
      </c>
      <c r="F61" s="28">
        <v>2761</v>
      </c>
      <c r="G61" s="28"/>
      <c r="H61" s="28">
        <f>Cty_Viet_Anh[[#This Row],[ĐƠN GIÁ]]*Cty_Viet_Anh[[#This Row],[SỐ LƯỢNG]]</f>
        <v>0</v>
      </c>
      <c r="I61" s="28"/>
      <c r="J61" s="28">
        <f ca="1">N(INDIRECT("R[-1]C", FALSE)) + Cty_Viet_Anh[[#This Row],[THÀNH TIỀN]] - Cty_Viet_Anh[[#This Row],[THANH TOÁN]]</f>
        <v>0</v>
      </c>
      <c r="K61" s="27" t="s">
        <v>2459</v>
      </c>
    </row>
    <row r="62" spans="1:11" x14ac:dyDescent="0.25">
      <c r="A62" s="25">
        <v>7433</v>
      </c>
      <c r="B62" s="30">
        <v>46050</v>
      </c>
      <c r="C62" s="26" t="s">
        <v>49</v>
      </c>
      <c r="D62" s="38" t="s">
        <v>301</v>
      </c>
      <c r="E62" s="26" t="s">
        <v>2461</v>
      </c>
      <c r="F62" s="28">
        <v>1326</v>
      </c>
      <c r="G62" s="28"/>
      <c r="H62" s="28">
        <f>Cty_Viet_Anh[[#This Row],[ĐƠN GIÁ]]*Cty_Viet_Anh[[#This Row],[SỐ LƯỢNG]]</f>
        <v>0</v>
      </c>
      <c r="I62" s="28"/>
      <c r="J62" s="28">
        <f ca="1">N(INDIRECT("R[-1]C", FALSE)) + Cty_Viet_Anh[[#This Row],[THÀNH TIỀN]] - Cty_Viet_Anh[[#This Row],[THANH TOÁN]]</f>
        <v>0</v>
      </c>
      <c r="K62" s="27" t="s">
        <v>2462</v>
      </c>
    </row>
    <row r="63" spans="1:11" x14ac:dyDescent="0.25">
      <c r="A63" s="25">
        <v>7433</v>
      </c>
      <c r="B63" s="30">
        <v>46050</v>
      </c>
      <c r="C63" s="26" t="s">
        <v>49</v>
      </c>
      <c r="D63" s="38" t="s">
        <v>301</v>
      </c>
      <c r="E63" s="26" t="s">
        <v>2463</v>
      </c>
      <c r="F63" s="28">
        <v>1204</v>
      </c>
      <c r="G63" s="28"/>
      <c r="H63" s="28">
        <f>Cty_Viet_Anh[[#This Row],[ĐƠN GIÁ]]*Cty_Viet_Anh[[#This Row],[SỐ LƯỢNG]]</f>
        <v>0</v>
      </c>
      <c r="I63" s="28"/>
      <c r="J63" s="28">
        <f ca="1">N(INDIRECT("R[-1]C", FALSE)) + Cty_Viet_Anh[[#This Row],[THÀNH TIỀN]] - Cty_Viet_Anh[[#This Row],[THANH TOÁN]]</f>
        <v>0</v>
      </c>
      <c r="K63" s="27" t="s">
        <v>2464</v>
      </c>
    </row>
    <row r="64" spans="1:11" x14ac:dyDescent="0.25">
      <c r="A64" s="25">
        <v>7440</v>
      </c>
      <c r="B64" s="30">
        <v>46050</v>
      </c>
      <c r="C64" s="26" t="s">
        <v>49</v>
      </c>
      <c r="D64" s="38" t="s">
        <v>26</v>
      </c>
      <c r="E64" s="26" t="s">
        <v>782</v>
      </c>
      <c r="F64" s="28">
        <v>2401</v>
      </c>
      <c r="G64" s="28"/>
      <c r="H64" s="28">
        <f>Cty_Viet_Anh[[#This Row],[ĐƠN GIÁ]]*Cty_Viet_Anh[[#This Row],[SỐ LƯỢNG]]</f>
        <v>0</v>
      </c>
      <c r="I64" s="28"/>
      <c r="J64" s="28">
        <f ca="1">N(INDIRECT("R[-1]C", FALSE)) + Cty_Viet_Anh[[#This Row],[THÀNH TIỀN]] - Cty_Viet_Anh[[#This Row],[THANH TOÁN]]</f>
        <v>0</v>
      </c>
      <c r="K64" s="27" t="s">
        <v>2465</v>
      </c>
    </row>
    <row r="65" spans="1:11" x14ac:dyDescent="0.25">
      <c r="A65" s="25">
        <v>7440</v>
      </c>
      <c r="B65" s="30">
        <v>46050</v>
      </c>
      <c r="C65" s="26" t="s">
        <v>49</v>
      </c>
      <c r="D65" s="38" t="s">
        <v>17</v>
      </c>
      <c r="E65" s="26" t="s">
        <v>469</v>
      </c>
      <c r="F65" s="28">
        <v>6406</v>
      </c>
      <c r="G65" s="28"/>
      <c r="H65" s="28">
        <f>Cty_Viet_Anh[[#This Row],[ĐƠN GIÁ]]*Cty_Viet_Anh[[#This Row],[SỐ LƯỢNG]]</f>
        <v>0</v>
      </c>
      <c r="I65" s="28"/>
      <c r="J65" s="28">
        <f ca="1">N(INDIRECT("R[-1]C", FALSE)) + Cty_Viet_Anh[[#This Row],[THÀNH TIỀN]] - Cty_Viet_Anh[[#This Row],[THANH TOÁN]]</f>
        <v>0</v>
      </c>
      <c r="K65" s="27" t="s">
        <v>2466</v>
      </c>
    </row>
    <row r="66" spans="1:11" x14ac:dyDescent="0.25">
      <c r="A66" s="25">
        <v>7485</v>
      </c>
      <c r="B66" s="30">
        <v>46053</v>
      </c>
      <c r="C66" s="26" t="s">
        <v>49</v>
      </c>
      <c r="D66" s="38" t="s">
        <v>17</v>
      </c>
      <c r="E66" s="26" t="s">
        <v>25</v>
      </c>
      <c r="F66" s="28">
        <v>2000</v>
      </c>
      <c r="G66" s="28"/>
      <c r="H66" s="28">
        <f>Cty_Viet_Anh[[#This Row],[ĐƠN GIÁ]]*Cty_Viet_Anh[[#This Row],[SỐ LƯỢNG]]</f>
        <v>0</v>
      </c>
      <c r="I66" s="28"/>
      <c r="J66" s="28">
        <f ca="1">N(INDIRECT("R[-1]C", FALSE)) + Cty_Viet_Anh[[#This Row],[THÀNH TIỀN]] - Cty_Viet_Anh[[#This Row],[THANH TOÁN]]</f>
        <v>0</v>
      </c>
      <c r="K66" s="27" t="s">
        <v>2468</v>
      </c>
    </row>
    <row r="67" spans="1:11" x14ac:dyDescent="0.25">
      <c r="A67" s="25">
        <v>7485</v>
      </c>
      <c r="B67" s="30">
        <v>46053</v>
      </c>
      <c r="C67" s="26" t="s">
        <v>49</v>
      </c>
      <c r="D67" s="38" t="s">
        <v>17</v>
      </c>
      <c r="E67" s="26" t="s">
        <v>25</v>
      </c>
      <c r="F67" s="28">
        <v>970</v>
      </c>
      <c r="G67" s="28"/>
      <c r="H67" s="28">
        <f>Cty_Viet_Anh[[#This Row],[ĐƠN GIÁ]]*Cty_Viet_Anh[[#This Row],[SỐ LƯỢNG]]</f>
        <v>0</v>
      </c>
      <c r="I67" s="28"/>
      <c r="J67" s="28">
        <f ca="1">N(INDIRECT("R[-1]C", FALSE)) + Cty_Viet_Anh[[#This Row],[THÀNH TIỀN]] - Cty_Viet_Anh[[#This Row],[THANH TOÁN]]</f>
        <v>0</v>
      </c>
      <c r="K67" s="27" t="s">
        <v>2469</v>
      </c>
    </row>
    <row r="68" spans="1:11" x14ac:dyDescent="0.25">
      <c r="A68" s="25">
        <v>7485</v>
      </c>
      <c r="B68" s="30">
        <v>46053</v>
      </c>
      <c r="C68" s="26" t="s">
        <v>49</v>
      </c>
      <c r="D68" s="38" t="s">
        <v>17</v>
      </c>
      <c r="E68" s="26" t="s">
        <v>469</v>
      </c>
      <c r="F68" s="28">
        <v>15032</v>
      </c>
      <c r="G68" s="28"/>
      <c r="H68" s="28">
        <f>Cty_Viet_Anh[[#This Row],[ĐƠN GIÁ]]*Cty_Viet_Anh[[#This Row],[SỐ LƯỢNG]]</f>
        <v>0</v>
      </c>
      <c r="I68" s="28"/>
      <c r="J68" s="28">
        <f ca="1">N(INDIRECT("R[-1]C", FALSE)) + Cty_Viet_Anh[[#This Row],[THÀNH TIỀN]] - Cty_Viet_Anh[[#This Row],[THANH TOÁN]]</f>
        <v>0</v>
      </c>
      <c r="K68" s="27" t="s">
        <v>2470</v>
      </c>
    </row>
    <row r="69" spans="1:11" x14ac:dyDescent="0.25">
      <c r="A69" s="25">
        <v>7487</v>
      </c>
      <c r="B69" s="30">
        <v>46055</v>
      </c>
      <c r="C69" s="26" t="s">
        <v>49</v>
      </c>
      <c r="D69" s="38" t="s">
        <v>43</v>
      </c>
      <c r="E69" s="26" t="s">
        <v>41</v>
      </c>
      <c r="F69" s="28">
        <v>1777</v>
      </c>
      <c r="G69" s="28"/>
      <c r="H69" s="28">
        <f>Cty_Viet_Anh[[#This Row],[ĐƠN GIÁ]]*Cty_Viet_Anh[[#This Row],[SỐ LƯỢNG]]</f>
        <v>0</v>
      </c>
      <c r="I69" s="28"/>
      <c r="J69" s="28">
        <f ca="1">N(INDIRECT("R[-1]C", FALSE)) + Cty_Viet_Anh[[#This Row],[THÀNH TIỀN]] - Cty_Viet_Anh[[#This Row],[THANH TOÁN]]</f>
        <v>0</v>
      </c>
      <c r="K69" s="27"/>
    </row>
    <row r="70" spans="1:11" x14ac:dyDescent="0.25">
      <c r="A70" s="25">
        <v>7487</v>
      </c>
      <c r="B70" s="30">
        <v>46055</v>
      </c>
      <c r="C70" s="26" t="s">
        <v>49</v>
      </c>
      <c r="D70" s="38" t="s">
        <v>43</v>
      </c>
      <c r="E70" s="26" t="s">
        <v>146</v>
      </c>
      <c r="F70" s="28">
        <v>2336</v>
      </c>
      <c r="G70" s="28"/>
      <c r="H70" s="28">
        <f>Cty_Viet_Anh[[#This Row],[ĐƠN GIÁ]]*Cty_Viet_Anh[[#This Row],[SỐ LƯỢNG]]</f>
        <v>0</v>
      </c>
      <c r="I70" s="28"/>
      <c r="J70" s="28">
        <f ca="1">N(INDIRECT("R[-1]C", FALSE)) + Cty_Viet_Anh[[#This Row],[THÀNH TIỀN]] - Cty_Viet_Anh[[#This Row],[THANH TOÁN]]</f>
        <v>0</v>
      </c>
      <c r="K70" s="27"/>
    </row>
    <row r="71" spans="1:11" x14ac:dyDescent="0.25">
      <c r="A71" s="25">
        <v>7512</v>
      </c>
      <c r="B71" s="30">
        <v>46056</v>
      </c>
      <c r="C71" s="26" t="s">
        <v>49</v>
      </c>
      <c r="D71" s="38" t="s">
        <v>32</v>
      </c>
      <c r="E71" s="26" t="s">
        <v>40</v>
      </c>
      <c r="F71" s="28">
        <v>5040</v>
      </c>
      <c r="G71" s="28"/>
      <c r="H71" s="28">
        <f>Cty_Viet_Anh[[#This Row],[ĐƠN GIÁ]]*Cty_Viet_Anh[[#This Row],[SỐ LƯỢNG]]</f>
        <v>0</v>
      </c>
      <c r="I71" s="28"/>
      <c r="J71" s="28">
        <f ca="1">N(INDIRECT("R[-1]C", FALSE)) + Cty_Viet_Anh[[#This Row],[THÀNH TIỀN]] - Cty_Viet_Anh[[#This Row],[THANH TOÁN]]</f>
        <v>0</v>
      </c>
      <c r="K71" s="27"/>
    </row>
    <row r="72" spans="1:11" x14ac:dyDescent="0.25">
      <c r="A72" s="25"/>
      <c r="B72" s="30">
        <v>46081</v>
      </c>
      <c r="C72" s="26" t="s">
        <v>12</v>
      </c>
      <c r="D72" s="38"/>
      <c r="E72" s="26"/>
      <c r="F72" s="28">
        <v>1</v>
      </c>
      <c r="G72" s="28">
        <v>-78313000</v>
      </c>
      <c r="H72" s="28">
        <f>Cty_Viet_Anh[[#This Row],[ĐƠN GIÁ]]*Cty_Viet_Anh[[#This Row],[SỐ LƯỢNG]]</f>
        <v>-78313000</v>
      </c>
      <c r="I72" s="28"/>
      <c r="J72" s="28">
        <f ca="1">N(INDIRECT("R[-1]C", FALSE)) + Cty_Viet_Anh[[#This Row],[THÀNH TIỀN]] - Cty_Viet_Anh[[#This Row],[THANH TOÁN]]</f>
        <v>-78313000</v>
      </c>
      <c r="K72" s="27"/>
    </row>
    <row r="73" spans="1:11" x14ac:dyDescent="0.25">
      <c r="A73" s="25">
        <v>5030</v>
      </c>
      <c r="B73" s="30">
        <v>46084</v>
      </c>
      <c r="C73" s="26" t="s">
        <v>84</v>
      </c>
      <c r="D73" s="38" t="s">
        <v>93</v>
      </c>
      <c r="E73" s="26" t="s">
        <v>40</v>
      </c>
      <c r="F73" s="28">
        <v>1284</v>
      </c>
      <c r="G73" s="28">
        <v>-500</v>
      </c>
      <c r="H73" s="28">
        <f>Cty_Viet_Anh[[#This Row],[ĐƠN GIÁ]]*Cty_Viet_Anh[[#This Row],[SỐ LƯỢNG]]</f>
        <v>-642000</v>
      </c>
      <c r="I73" s="28"/>
      <c r="J73" s="28">
        <f ca="1">N(INDIRECT("R[-1]C", FALSE)) + Cty_Viet_Anh[[#This Row],[THÀNH TIỀN]] - Cty_Viet_Anh[[#This Row],[THANH TOÁN]]</f>
        <v>-78955000</v>
      </c>
      <c r="K73" s="27">
        <v>1248</v>
      </c>
    </row>
    <row r="74" spans="1:11" x14ac:dyDescent="0.25">
      <c r="A74" s="25">
        <v>5030</v>
      </c>
      <c r="B74" s="30">
        <v>46084</v>
      </c>
      <c r="C74" s="26" t="s">
        <v>426</v>
      </c>
      <c r="D74" s="38" t="s">
        <v>93</v>
      </c>
      <c r="E74" s="26" t="s">
        <v>40</v>
      </c>
      <c r="F74" s="28">
        <v>6796</v>
      </c>
      <c r="G74" s="28"/>
      <c r="H74" s="28">
        <f>Cty_Viet_Anh[[#This Row],[ĐƠN GIÁ]]*Cty_Viet_Anh[[#This Row],[SỐ LƯỢNG]]</f>
        <v>0</v>
      </c>
      <c r="I74" s="28"/>
      <c r="J74" s="28">
        <f ca="1">N(INDIRECT("R[-1]C", FALSE)) + Cty_Viet_Anh[[#This Row],[THÀNH TIỀN]] - Cty_Viet_Anh[[#This Row],[THANH TOÁN]]</f>
        <v>-78955000</v>
      </c>
      <c r="K74" s="27"/>
    </row>
    <row r="75" spans="1:11" x14ac:dyDescent="0.25">
      <c r="A75" s="25">
        <v>5032</v>
      </c>
      <c r="B75" s="30">
        <v>46084</v>
      </c>
      <c r="C75" s="26" t="s">
        <v>84</v>
      </c>
      <c r="D75" s="38" t="s">
        <v>93</v>
      </c>
      <c r="E75" s="115" t="s">
        <v>503</v>
      </c>
      <c r="F75" s="28">
        <v>556</v>
      </c>
      <c r="G75" s="28">
        <v>-500</v>
      </c>
      <c r="H75" s="28">
        <f>Cty_Viet_Anh[[#This Row],[ĐƠN GIÁ]]*Cty_Viet_Anh[[#This Row],[SỐ LƯỢNG]]</f>
        <v>-278000</v>
      </c>
      <c r="I75" s="28"/>
      <c r="J75" s="28">
        <f ca="1">N(INDIRECT("R[-1]C", FALSE)) + Cty_Viet_Anh[[#This Row],[THÀNH TIỀN]] - Cty_Viet_Anh[[#This Row],[THANH TOÁN]]</f>
        <v>-79233000</v>
      </c>
      <c r="K75" s="27"/>
    </row>
    <row r="76" spans="1:11" x14ac:dyDescent="0.25">
      <c r="A76" s="25">
        <v>7812</v>
      </c>
      <c r="B76" s="30">
        <v>46084</v>
      </c>
      <c r="C76" s="26" t="s">
        <v>49</v>
      </c>
      <c r="D76" s="38" t="s">
        <v>17</v>
      </c>
      <c r="E76" s="115" t="s">
        <v>458</v>
      </c>
      <c r="F76" s="28">
        <v>5790</v>
      </c>
      <c r="G76" s="28">
        <v>0</v>
      </c>
      <c r="H76" s="28">
        <f>Cty_Viet_Anh[[#This Row],[ĐƠN GIÁ]]*Cty_Viet_Anh[[#This Row],[SỐ LƯỢNG]]</f>
        <v>0</v>
      </c>
      <c r="I76" s="28"/>
      <c r="J76" s="28">
        <f ca="1">N(INDIRECT("R[-1]C", FALSE)) + Cty_Viet_Anh[[#This Row],[THÀNH TIỀN]] - Cty_Viet_Anh[[#This Row],[THANH TOÁN]]</f>
        <v>-79233000</v>
      </c>
      <c r="K76" s="27" t="s">
        <v>459</v>
      </c>
    </row>
    <row r="77" spans="1:11" x14ac:dyDescent="0.25">
      <c r="A77" s="25">
        <v>7812</v>
      </c>
      <c r="B77" s="30">
        <v>46084</v>
      </c>
      <c r="C77" s="26" t="s">
        <v>49</v>
      </c>
      <c r="D77" s="38" t="s">
        <v>26</v>
      </c>
      <c r="E77" s="115" t="s">
        <v>460</v>
      </c>
      <c r="F77" s="28">
        <v>3828</v>
      </c>
      <c r="G77" s="28">
        <v>0</v>
      </c>
      <c r="H77" s="28">
        <f>Cty_Viet_Anh[[#This Row],[ĐƠN GIÁ]]*Cty_Viet_Anh[[#This Row],[SỐ LƯỢNG]]</f>
        <v>0</v>
      </c>
      <c r="I77" s="28"/>
      <c r="J77" s="28">
        <f ca="1">N(INDIRECT("R[-1]C", FALSE)) + Cty_Viet_Anh[[#This Row],[THÀNH TIỀN]] - Cty_Viet_Anh[[#This Row],[THANH TOÁN]]</f>
        <v>-79233000</v>
      </c>
      <c r="K77" s="27" t="s">
        <v>461</v>
      </c>
    </row>
    <row r="78" spans="1:11" x14ac:dyDescent="0.25">
      <c r="A78" s="25">
        <v>7812</v>
      </c>
      <c r="B78" s="30">
        <v>46084</v>
      </c>
      <c r="C78" s="26" t="s">
        <v>49</v>
      </c>
      <c r="D78" s="38" t="s">
        <v>45</v>
      </c>
      <c r="E78" s="115" t="s">
        <v>462</v>
      </c>
      <c r="F78" s="28">
        <v>958</v>
      </c>
      <c r="G78" s="28">
        <v>0</v>
      </c>
      <c r="H78" s="28">
        <f>Cty_Viet_Anh[[#This Row],[ĐƠN GIÁ]]*Cty_Viet_Anh[[#This Row],[SỐ LƯỢNG]]</f>
        <v>0</v>
      </c>
      <c r="I78" s="28"/>
      <c r="J78" s="28">
        <f ca="1">N(INDIRECT("R[-1]C", FALSE)) + Cty_Viet_Anh[[#This Row],[THÀNH TIỀN]] - Cty_Viet_Anh[[#This Row],[THANH TOÁN]]</f>
        <v>-79233000</v>
      </c>
      <c r="K78" s="27" t="s">
        <v>463</v>
      </c>
    </row>
    <row r="79" spans="1:11" x14ac:dyDescent="0.25">
      <c r="A79" s="25">
        <v>7821</v>
      </c>
      <c r="B79" s="30">
        <v>46084</v>
      </c>
      <c r="C79" s="26" t="s">
        <v>49</v>
      </c>
      <c r="D79" s="38" t="s">
        <v>301</v>
      </c>
      <c r="E79" s="115" t="s">
        <v>464</v>
      </c>
      <c r="F79" s="28">
        <f>1030+1080</f>
        <v>2110</v>
      </c>
      <c r="G79" s="28">
        <v>0</v>
      </c>
      <c r="H79" s="28">
        <f>Cty_Viet_Anh[[#This Row],[ĐƠN GIÁ]]*Cty_Viet_Anh[[#This Row],[SỐ LƯỢNG]]</f>
        <v>0</v>
      </c>
      <c r="I79" s="28"/>
      <c r="J79" s="28">
        <f ca="1">N(INDIRECT("R[-1]C", FALSE)) + Cty_Viet_Anh[[#This Row],[THÀNH TIỀN]] - Cty_Viet_Anh[[#This Row],[THANH TOÁN]]</f>
        <v>-79233000</v>
      </c>
      <c r="K79" s="27"/>
    </row>
    <row r="80" spans="1:11" x14ac:dyDescent="0.25">
      <c r="A80" s="25">
        <v>7821</v>
      </c>
      <c r="B80" s="30">
        <v>46084</v>
      </c>
      <c r="C80" s="26" t="s">
        <v>49</v>
      </c>
      <c r="D80" s="38" t="s">
        <v>17</v>
      </c>
      <c r="E80" s="115" t="s">
        <v>40</v>
      </c>
      <c r="F80" s="28">
        <v>2001</v>
      </c>
      <c r="G80" s="28">
        <v>0</v>
      </c>
      <c r="H80" s="28">
        <f>Cty_Viet_Anh[[#This Row],[ĐƠN GIÁ]]*Cty_Viet_Anh[[#This Row],[SỐ LƯỢNG]]</f>
        <v>0</v>
      </c>
      <c r="I80" s="28"/>
      <c r="J80" s="28">
        <f ca="1">N(INDIRECT("R[-1]C", FALSE)) + Cty_Viet_Anh[[#This Row],[THÀNH TIỀN]] - Cty_Viet_Anh[[#This Row],[THANH TOÁN]]</f>
        <v>-79233000</v>
      </c>
      <c r="K80" s="27"/>
    </row>
    <row r="81" spans="1:11" x14ac:dyDescent="0.25">
      <c r="A81" s="25">
        <v>5035</v>
      </c>
      <c r="B81" s="30">
        <v>46085</v>
      </c>
      <c r="C81" s="26" t="s">
        <v>84</v>
      </c>
      <c r="D81" s="38" t="s">
        <v>504</v>
      </c>
      <c r="E81" s="26" t="s">
        <v>505</v>
      </c>
      <c r="F81" s="28">
        <v>934</v>
      </c>
      <c r="G81" s="28">
        <v>-500</v>
      </c>
      <c r="H81" s="28">
        <f>Cty_Viet_Anh[[#This Row],[ĐƠN GIÁ]]*Cty_Viet_Anh[[#This Row],[SỐ LƯỢNG]]</f>
        <v>-467000</v>
      </c>
      <c r="I81" s="28"/>
      <c r="J81" s="28">
        <f ca="1">N(INDIRECT("R[-1]C", FALSE)) + Cty_Viet_Anh[[#This Row],[THÀNH TIỀN]] - Cty_Viet_Anh[[#This Row],[THANH TOÁN]]</f>
        <v>-79700000</v>
      </c>
      <c r="K81" s="27"/>
    </row>
    <row r="82" spans="1:11" x14ac:dyDescent="0.25">
      <c r="A82" s="25">
        <v>5035</v>
      </c>
      <c r="B82" s="30">
        <v>46085</v>
      </c>
      <c r="C82" s="26" t="s">
        <v>84</v>
      </c>
      <c r="D82" s="38" t="s">
        <v>277</v>
      </c>
      <c r="E82" s="26" t="s">
        <v>506</v>
      </c>
      <c r="F82" s="28">
        <v>1508</v>
      </c>
      <c r="G82" s="28">
        <v>-500</v>
      </c>
      <c r="H82" s="28">
        <f>Cty_Viet_Anh[[#This Row],[ĐƠN GIÁ]]*Cty_Viet_Anh[[#This Row],[SỐ LƯỢNG]]</f>
        <v>-754000</v>
      </c>
      <c r="I82" s="28"/>
      <c r="J82" s="28">
        <f ca="1">N(INDIRECT("R[-1]C", FALSE)) + Cty_Viet_Anh[[#This Row],[THÀNH TIỀN]] - Cty_Viet_Anh[[#This Row],[THANH TOÁN]]</f>
        <v>-80454000</v>
      </c>
      <c r="K82" s="27"/>
    </row>
    <row r="83" spans="1:11" x14ac:dyDescent="0.25">
      <c r="A83" s="25">
        <v>5038</v>
      </c>
      <c r="B83" s="30">
        <v>46086</v>
      </c>
      <c r="C83" s="26" t="s">
        <v>84</v>
      </c>
      <c r="D83" s="38" t="s">
        <v>93</v>
      </c>
      <c r="E83" s="115" t="s">
        <v>40</v>
      </c>
      <c r="F83" s="28">
        <v>1940</v>
      </c>
      <c r="G83" s="28">
        <v>-500</v>
      </c>
      <c r="H83" s="28">
        <f>Cty_Viet_Anh[[#This Row],[ĐƠN GIÁ]]*Cty_Viet_Anh[[#This Row],[SỐ LƯỢNG]]</f>
        <v>-970000</v>
      </c>
      <c r="I83" s="28"/>
      <c r="J83" s="28">
        <f ca="1">N(INDIRECT("R[-1]C", FALSE)) + Cty_Viet_Anh[[#This Row],[THÀNH TIỀN]] - Cty_Viet_Anh[[#This Row],[THANH TOÁN]]</f>
        <v>-81424000</v>
      </c>
      <c r="K83" s="27"/>
    </row>
    <row r="84" spans="1:11" x14ac:dyDescent="0.25">
      <c r="A84" s="25">
        <v>5038</v>
      </c>
      <c r="B84" s="30">
        <v>46086</v>
      </c>
      <c r="C84" s="26" t="s">
        <v>84</v>
      </c>
      <c r="D84" s="38" t="s">
        <v>93</v>
      </c>
      <c r="E84" s="115" t="s">
        <v>465</v>
      </c>
      <c r="F84" s="28">
        <v>2410</v>
      </c>
      <c r="G84" s="28">
        <v>-1000</v>
      </c>
      <c r="H84" s="28">
        <f>Cty_Viet_Anh[[#This Row],[ĐƠN GIÁ]]*Cty_Viet_Anh[[#This Row],[SỐ LƯỢNG]]</f>
        <v>-2410000</v>
      </c>
      <c r="I84" s="28"/>
      <c r="J84" s="28">
        <f ca="1">N(INDIRECT("R[-1]C", FALSE)) + Cty_Viet_Anh[[#This Row],[THÀNH TIỀN]] - Cty_Viet_Anh[[#This Row],[THANH TOÁN]]</f>
        <v>-83834000</v>
      </c>
      <c r="K84" s="27"/>
    </row>
    <row r="85" spans="1:11" x14ac:dyDescent="0.25">
      <c r="A85" s="25">
        <v>5038</v>
      </c>
      <c r="B85" s="30">
        <v>46086</v>
      </c>
      <c r="C85" s="26" t="s">
        <v>84</v>
      </c>
      <c r="D85" s="38" t="s">
        <v>93</v>
      </c>
      <c r="E85" s="115">
        <v>0.5</v>
      </c>
      <c r="F85" s="28">
        <v>302</v>
      </c>
      <c r="G85" s="28">
        <v>-1000</v>
      </c>
      <c r="H85" s="28">
        <f>Cty_Viet_Anh[[#This Row],[ĐƠN GIÁ]]*Cty_Viet_Anh[[#This Row],[SỐ LƯỢNG]]</f>
        <v>-302000</v>
      </c>
      <c r="I85" s="28"/>
      <c r="J85" s="28">
        <f ca="1">N(INDIRECT("R[-1]C", FALSE)) + Cty_Viet_Anh[[#This Row],[THÀNH TIỀN]] - Cty_Viet_Anh[[#This Row],[THANH TOÁN]]</f>
        <v>-84136000</v>
      </c>
      <c r="K85" s="27"/>
    </row>
    <row r="86" spans="1:11" x14ac:dyDescent="0.25">
      <c r="A86" s="25">
        <v>5038</v>
      </c>
      <c r="B86" s="30">
        <v>46086</v>
      </c>
      <c r="C86" s="26" t="s">
        <v>84</v>
      </c>
      <c r="D86" s="38" t="s">
        <v>93</v>
      </c>
      <c r="E86" s="115">
        <v>0.5</v>
      </c>
      <c r="F86" s="28">
        <v>670</v>
      </c>
      <c r="G86" s="28">
        <v>-1000</v>
      </c>
      <c r="H86" s="28">
        <f>Cty_Viet_Anh[[#This Row],[ĐƠN GIÁ]]*Cty_Viet_Anh[[#This Row],[SỐ LƯỢNG]]</f>
        <v>-670000</v>
      </c>
      <c r="I86" s="28"/>
      <c r="J86" s="28">
        <f ca="1">N(INDIRECT("R[-1]C", FALSE)) + Cty_Viet_Anh[[#This Row],[THÀNH TIỀN]] - Cty_Viet_Anh[[#This Row],[THANH TOÁN]]</f>
        <v>-84806000</v>
      </c>
      <c r="K86" s="27"/>
    </row>
    <row r="87" spans="1:11" x14ac:dyDescent="0.25">
      <c r="A87" s="25">
        <v>5042</v>
      </c>
      <c r="B87" s="30">
        <v>46086</v>
      </c>
      <c r="C87" s="26" t="s">
        <v>84</v>
      </c>
      <c r="D87" s="38" t="s">
        <v>93</v>
      </c>
      <c r="E87" s="115">
        <v>0.4</v>
      </c>
      <c r="F87" s="28">
        <v>1162</v>
      </c>
      <c r="G87" s="28">
        <v>-500</v>
      </c>
      <c r="H87" s="28">
        <f>Cty_Viet_Anh[[#This Row],[ĐƠN GIÁ]]*Cty_Viet_Anh[[#This Row],[SỐ LƯỢNG]]</f>
        <v>-581000</v>
      </c>
      <c r="I87" s="28"/>
      <c r="J87" s="28">
        <f ca="1">N(INDIRECT("R[-1]C", FALSE)) + Cty_Viet_Anh[[#This Row],[THÀNH TIỀN]] - Cty_Viet_Anh[[#This Row],[THANH TOÁN]]</f>
        <v>-85387000</v>
      </c>
      <c r="K87" s="27"/>
    </row>
    <row r="88" spans="1:11" x14ac:dyDescent="0.25">
      <c r="A88" s="25">
        <v>5043</v>
      </c>
      <c r="B88" s="30">
        <v>46087</v>
      </c>
      <c r="C88" s="26" t="s">
        <v>84</v>
      </c>
      <c r="D88" s="38" t="s">
        <v>93</v>
      </c>
      <c r="E88" s="26" t="s">
        <v>506</v>
      </c>
      <c r="F88" s="28">
        <v>1508</v>
      </c>
      <c r="G88" s="28">
        <v>-500</v>
      </c>
      <c r="H88" s="28">
        <f>Cty_Viet_Anh[[#This Row],[ĐƠN GIÁ]]*Cty_Viet_Anh[[#This Row],[SỐ LƯỢNG]]</f>
        <v>-754000</v>
      </c>
      <c r="I88" s="28"/>
      <c r="J88" s="28">
        <f ca="1">N(INDIRECT("R[-1]C", FALSE)) + Cty_Viet_Anh[[#This Row],[THÀNH TIỀN]] - Cty_Viet_Anh[[#This Row],[THANH TOÁN]]</f>
        <v>-86141000</v>
      </c>
      <c r="K88" s="27"/>
    </row>
    <row r="89" spans="1:11" x14ac:dyDescent="0.25">
      <c r="A89" s="25">
        <v>5043</v>
      </c>
      <c r="B89" s="30">
        <v>46087</v>
      </c>
      <c r="C89" s="26" t="s">
        <v>84</v>
      </c>
      <c r="D89" s="38" t="s">
        <v>93</v>
      </c>
      <c r="E89" s="26" t="s">
        <v>506</v>
      </c>
      <c r="F89" s="28">
        <v>1496</v>
      </c>
      <c r="G89" s="28">
        <v>-500</v>
      </c>
      <c r="H89" s="28">
        <f>Cty_Viet_Anh[[#This Row],[ĐƠN GIÁ]]*Cty_Viet_Anh[[#This Row],[SỐ LƯỢNG]]</f>
        <v>-748000</v>
      </c>
      <c r="I89" s="28"/>
      <c r="J89" s="28">
        <f ca="1">N(INDIRECT("R[-1]C", FALSE)) + Cty_Viet_Anh[[#This Row],[THÀNH TIỀN]] - Cty_Viet_Anh[[#This Row],[THANH TOÁN]]</f>
        <v>-86889000</v>
      </c>
      <c r="K89" s="27"/>
    </row>
    <row r="90" spans="1:11" x14ac:dyDescent="0.25">
      <c r="A90" s="25">
        <v>5043</v>
      </c>
      <c r="B90" s="30">
        <v>46087</v>
      </c>
      <c r="C90" s="26" t="s">
        <v>84</v>
      </c>
      <c r="D90" s="38" t="s">
        <v>93</v>
      </c>
      <c r="E90" s="26" t="s">
        <v>506</v>
      </c>
      <c r="F90" s="28">
        <v>1216</v>
      </c>
      <c r="G90" s="28">
        <v>-500</v>
      </c>
      <c r="H90" s="28">
        <f>Cty_Viet_Anh[[#This Row],[ĐƠN GIÁ]]*Cty_Viet_Anh[[#This Row],[SỐ LƯỢNG]]</f>
        <v>-608000</v>
      </c>
      <c r="I90" s="28"/>
      <c r="J90" s="28">
        <f ca="1">N(INDIRECT("R[-1]C", FALSE)) + Cty_Viet_Anh[[#This Row],[THÀNH TIỀN]] - Cty_Viet_Anh[[#This Row],[THANH TOÁN]]</f>
        <v>-87497000</v>
      </c>
      <c r="K90" s="27"/>
    </row>
    <row r="91" spans="1:11" x14ac:dyDescent="0.25">
      <c r="A91" s="25">
        <v>5043</v>
      </c>
      <c r="B91" s="30">
        <v>46087</v>
      </c>
      <c r="C91" s="26" t="s">
        <v>84</v>
      </c>
      <c r="D91" s="38" t="s">
        <v>93</v>
      </c>
      <c r="E91" s="26" t="s">
        <v>507</v>
      </c>
      <c r="F91" s="28">
        <v>1164</v>
      </c>
      <c r="G91" s="28">
        <v>-500</v>
      </c>
      <c r="H91" s="28">
        <f>Cty_Viet_Anh[[#This Row],[ĐƠN GIÁ]]*Cty_Viet_Anh[[#This Row],[SỐ LƯỢNG]]</f>
        <v>-582000</v>
      </c>
      <c r="I91" s="28"/>
      <c r="J91" s="28">
        <f ca="1">N(INDIRECT("R[-1]C", FALSE)) + Cty_Viet_Anh[[#This Row],[THÀNH TIỀN]] - Cty_Viet_Anh[[#This Row],[THANH TOÁN]]</f>
        <v>-88079000</v>
      </c>
      <c r="K91" s="27"/>
    </row>
    <row r="92" spans="1:11" x14ac:dyDescent="0.25">
      <c r="A92" s="25">
        <v>5043</v>
      </c>
      <c r="B92" s="30">
        <v>46087</v>
      </c>
      <c r="C92" s="26" t="s">
        <v>84</v>
      </c>
      <c r="D92" s="38" t="s">
        <v>93</v>
      </c>
      <c r="E92" s="23" t="s">
        <v>507</v>
      </c>
      <c r="F92" s="31">
        <v>1028</v>
      </c>
      <c r="G92" s="31">
        <v>-500</v>
      </c>
      <c r="H92" s="31">
        <f>Cty_Viet_Anh[[#This Row],[ĐƠN GIÁ]]*Cty_Viet_Anh[[#This Row],[SỐ LƯỢNG]]</f>
        <v>-514000</v>
      </c>
      <c r="I92" s="31"/>
      <c r="J92" s="31">
        <f ca="1">N(INDIRECT("R[-1]C", FALSE)) + Cty_Viet_Anh[[#This Row],[THÀNH TIỀN]] - Cty_Viet_Anh[[#This Row],[THANH TOÁN]]</f>
        <v>-88593000</v>
      </c>
      <c r="K92" s="24"/>
    </row>
    <row r="93" spans="1:11" x14ac:dyDescent="0.25">
      <c r="A93" s="25">
        <v>5043</v>
      </c>
      <c r="B93" s="30">
        <v>46087</v>
      </c>
      <c r="C93" s="26" t="s">
        <v>84</v>
      </c>
      <c r="D93" s="38" t="s">
        <v>93</v>
      </c>
      <c r="E93" s="23" t="s">
        <v>507</v>
      </c>
      <c r="F93" s="31">
        <v>1202</v>
      </c>
      <c r="G93" s="31">
        <v>-500</v>
      </c>
      <c r="H93" s="31">
        <f>Cty_Viet_Anh[[#This Row],[ĐƠN GIÁ]]*Cty_Viet_Anh[[#This Row],[SỐ LƯỢNG]]</f>
        <v>-601000</v>
      </c>
      <c r="I93" s="31"/>
      <c r="J93" s="31">
        <f ca="1">N(INDIRECT("R[-1]C", FALSE)) + Cty_Viet_Anh[[#This Row],[THÀNH TIỀN]] - Cty_Viet_Anh[[#This Row],[THANH TOÁN]]</f>
        <v>-89194000</v>
      </c>
      <c r="K93" s="24"/>
    </row>
    <row r="94" spans="1:11" x14ac:dyDescent="0.25">
      <c r="A94" s="25">
        <v>5045</v>
      </c>
      <c r="B94" s="30">
        <v>46087</v>
      </c>
      <c r="C94" s="26" t="s">
        <v>84</v>
      </c>
      <c r="D94" s="38" t="s">
        <v>93</v>
      </c>
      <c r="E94" s="68" t="s">
        <v>636</v>
      </c>
      <c r="F94" s="31">
        <v>800</v>
      </c>
      <c r="G94" s="31">
        <v>-500</v>
      </c>
      <c r="H94" s="31">
        <f>Cty_Viet_Anh[[#This Row],[ĐƠN GIÁ]]*Cty_Viet_Anh[[#This Row],[SỐ LƯỢNG]]</f>
        <v>-400000</v>
      </c>
      <c r="I94" s="31"/>
      <c r="J94" s="31">
        <f ca="1">N(INDIRECT("R[-1]C", FALSE)) + Cty_Viet_Anh[[#This Row],[THÀNH TIỀN]] - Cty_Viet_Anh[[#This Row],[THANH TOÁN]]</f>
        <v>-89594000</v>
      </c>
      <c r="K94" s="133"/>
    </row>
    <row r="95" spans="1:11" x14ac:dyDescent="0.25">
      <c r="A95" s="25">
        <v>5045</v>
      </c>
      <c r="B95" s="30">
        <v>46087</v>
      </c>
      <c r="C95" s="26" t="s">
        <v>426</v>
      </c>
      <c r="D95" s="38" t="s">
        <v>93</v>
      </c>
      <c r="E95" s="67" t="s">
        <v>637</v>
      </c>
      <c r="F95" s="28">
        <v>800</v>
      </c>
      <c r="G95" s="28"/>
      <c r="H95" s="28">
        <f>Cty_Viet_Anh[[#This Row],[ĐƠN GIÁ]]*Cty_Viet_Anh[[#This Row],[SỐ LƯỢNG]]</f>
        <v>0</v>
      </c>
      <c r="I95" s="28"/>
      <c r="J95" s="28">
        <f ca="1">N(INDIRECT("R[-1]C", FALSE)) + Cty_Viet_Anh[[#This Row],[THÀNH TIỀN]] - Cty_Viet_Anh[[#This Row],[THANH TOÁN]]</f>
        <v>-89594000</v>
      </c>
      <c r="K95" s="153"/>
    </row>
    <row r="96" spans="1:11" x14ac:dyDescent="0.25">
      <c r="A96" s="25">
        <v>7884</v>
      </c>
      <c r="B96" s="30">
        <v>46087</v>
      </c>
      <c r="C96" s="26" t="s">
        <v>49</v>
      </c>
      <c r="D96" s="38" t="s">
        <v>301</v>
      </c>
      <c r="E96" s="115" t="s">
        <v>465</v>
      </c>
      <c r="F96" s="28">
        <f>840+828+842+828</f>
        <v>3338</v>
      </c>
      <c r="G96" s="28"/>
      <c r="H96" s="28">
        <f>Cty_Viet_Anh[[#This Row],[ĐƠN GIÁ]]*Cty_Viet_Anh[[#This Row],[SỐ LƯỢNG]]</f>
        <v>0</v>
      </c>
      <c r="I96" s="28"/>
      <c r="J96" s="28">
        <f ca="1">N(INDIRECT("R[-1]C", FALSE)) + Cty_Viet_Anh[[#This Row],[THÀNH TIỀN]] - Cty_Viet_Anh[[#This Row],[THANH TOÁN]]</f>
        <v>-89594000</v>
      </c>
      <c r="K96" s="27"/>
    </row>
    <row r="97" spans="1:11" x14ac:dyDescent="0.25">
      <c r="A97" s="25">
        <v>7884</v>
      </c>
      <c r="B97" s="30">
        <v>46087</v>
      </c>
      <c r="C97" s="26" t="s">
        <v>49</v>
      </c>
      <c r="D97" s="38" t="s">
        <v>301</v>
      </c>
      <c r="E97" s="49" t="s">
        <v>466</v>
      </c>
      <c r="F97" s="31">
        <f>840+844+856+860+768+774+852+850</f>
        <v>6644</v>
      </c>
      <c r="G97" s="31"/>
      <c r="H97" s="31">
        <f>Cty_Viet_Anh[[#This Row],[ĐƠN GIÁ]]*Cty_Viet_Anh[[#This Row],[SỐ LƯỢNG]]</f>
        <v>0</v>
      </c>
      <c r="I97" s="31"/>
      <c r="J97" s="31">
        <f ca="1">N(INDIRECT("R[-1]C", FALSE)) + Cty_Viet_Anh[[#This Row],[THÀNH TIỀN]] - Cty_Viet_Anh[[#This Row],[THANH TOÁN]]</f>
        <v>-89594000</v>
      </c>
      <c r="K97" s="24"/>
    </row>
    <row r="98" spans="1:11" x14ac:dyDescent="0.25">
      <c r="A98" s="25">
        <v>7896</v>
      </c>
      <c r="B98" s="30">
        <v>46087</v>
      </c>
      <c r="C98" s="26" t="s">
        <v>49</v>
      </c>
      <c r="D98" s="38" t="s">
        <v>77</v>
      </c>
      <c r="E98" s="115" t="s">
        <v>211</v>
      </c>
      <c r="F98" s="28">
        <v>1329</v>
      </c>
      <c r="G98" s="28"/>
      <c r="H98" s="28">
        <f>Cty_Viet_Anh[[#This Row],[ĐƠN GIÁ]]*Cty_Viet_Anh[[#This Row],[SỐ LƯỢNG]]</f>
        <v>0</v>
      </c>
      <c r="I98" s="28"/>
      <c r="J98" s="28">
        <f ca="1">N(INDIRECT("R[-1]C", FALSE)) + Cty_Viet_Anh[[#This Row],[THÀNH TIỀN]] - Cty_Viet_Anh[[#This Row],[THANH TOÁN]]</f>
        <v>-89594000</v>
      </c>
      <c r="K98" s="27"/>
    </row>
    <row r="99" spans="1:11" x14ac:dyDescent="0.25">
      <c r="A99" s="25">
        <v>7896</v>
      </c>
      <c r="B99" s="30">
        <v>46087</v>
      </c>
      <c r="C99" s="26" t="s">
        <v>49</v>
      </c>
      <c r="D99" s="38" t="s">
        <v>77</v>
      </c>
      <c r="E99" s="115" t="s">
        <v>211</v>
      </c>
      <c r="F99" s="31">
        <v>1896</v>
      </c>
      <c r="G99" s="31"/>
      <c r="H99" s="31">
        <f>Cty_Viet_Anh[[#This Row],[ĐƠN GIÁ]]*Cty_Viet_Anh[[#This Row],[SỐ LƯỢNG]]</f>
        <v>0</v>
      </c>
      <c r="I99" s="31"/>
      <c r="J99" s="31">
        <f ca="1">N(INDIRECT("R[-1]C", FALSE)) + Cty_Viet_Anh[[#This Row],[THÀNH TIỀN]] - Cty_Viet_Anh[[#This Row],[THANH TOÁN]]</f>
        <v>-89594000</v>
      </c>
      <c r="K99" s="24" t="s">
        <v>467</v>
      </c>
    </row>
    <row r="100" spans="1:11" x14ac:dyDescent="0.25">
      <c r="A100" s="25">
        <v>7903</v>
      </c>
      <c r="B100" s="30">
        <v>46087</v>
      </c>
      <c r="C100" s="26" t="s">
        <v>49</v>
      </c>
      <c r="D100" s="38" t="s">
        <v>17</v>
      </c>
      <c r="E100" s="115" t="s">
        <v>468</v>
      </c>
      <c r="F100" s="31">
        <v>5720</v>
      </c>
      <c r="G100" s="31"/>
      <c r="H100" s="31">
        <f>Cty_Viet_Anh[[#This Row],[ĐƠN GIÁ]]*Cty_Viet_Anh[[#This Row],[SỐ LƯỢNG]]</f>
        <v>0</v>
      </c>
      <c r="I100" s="31"/>
      <c r="J100" s="31">
        <f ca="1">N(INDIRECT("R[-1]C", FALSE)) + Cty_Viet_Anh[[#This Row],[THÀNH TIỀN]] - Cty_Viet_Anh[[#This Row],[THANH TOÁN]]</f>
        <v>-89594000</v>
      </c>
      <c r="K100" s="24"/>
    </row>
    <row r="101" spans="1:11" x14ac:dyDescent="0.25">
      <c r="A101" s="25">
        <v>7907</v>
      </c>
      <c r="B101" s="30">
        <v>46087</v>
      </c>
      <c r="C101" s="26" t="s">
        <v>49</v>
      </c>
      <c r="D101" s="38" t="s">
        <v>17</v>
      </c>
      <c r="E101" s="115" t="s">
        <v>469</v>
      </c>
      <c r="F101" s="31">
        <v>9355</v>
      </c>
      <c r="G101" s="31"/>
      <c r="H101" s="31">
        <f>Cty_Viet_Anh[[#This Row],[ĐƠN GIÁ]]*Cty_Viet_Anh[[#This Row],[SỐ LƯỢNG]]</f>
        <v>0</v>
      </c>
      <c r="I101" s="31"/>
      <c r="J101" s="31">
        <f ca="1">N(INDIRECT("R[-1]C", FALSE)) + Cty_Viet_Anh[[#This Row],[THÀNH TIỀN]] - Cty_Viet_Anh[[#This Row],[THANH TOÁN]]</f>
        <v>-89594000</v>
      </c>
      <c r="K101" s="24"/>
    </row>
    <row r="102" spans="1:11" x14ac:dyDescent="0.25">
      <c r="A102" s="25">
        <v>5046</v>
      </c>
      <c r="B102" s="30">
        <v>46088</v>
      </c>
      <c r="C102" s="26" t="s">
        <v>84</v>
      </c>
      <c r="D102" s="38" t="s">
        <v>277</v>
      </c>
      <c r="E102" s="26" t="s">
        <v>513</v>
      </c>
      <c r="F102" s="31">
        <v>1930</v>
      </c>
      <c r="G102" s="31">
        <v>-500</v>
      </c>
      <c r="H102" s="31">
        <f>Cty_Viet_Anh[[#This Row],[ĐƠN GIÁ]]*Cty_Viet_Anh[[#This Row],[SỐ LƯỢNG]]</f>
        <v>-965000</v>
      </c>
      <c r="I102" s="31"/>
      <c r="J102" s="31">
        <f ca="1">N(INDIRECT("R[-1]C", FALSE)) + Cty_Viet_Anh[[#This Row],[THÀNH TIỀN]] - Cty_Viet_Anh[[#This Row],[THANH TOÁN]]</f>
        <v>-90559000</v>
      </c>
      <c r="K102" s="24"/>
    </row>
    <row r="103" spans="1:11" x14ac:dyDescent="0.25">
      <c r="A103" s="25">
        <v>5046</v>
      </c>
      <c r="B103" s="30">
        <v>46088</v>
      </c>
      <c r="C103" s="26" t="s">
        <v>84</v>
      </c>
      <c r="D103" s="38" t="s">
        <v>77</v>
      </c>
      <c r="E103" s="26" t="s">
        <v>513</v>
      </c>
      <c r="F103" s="31">
        <v>1306</v>
      </c>
      <c r="G103" s="31">
        <v>-500</v>
      </c>
      <c r="H103" s="31">
        <f>Cty_Viet_Anh[[#This Row],[ĐƠN GIÁ]]*Cty_Viet_Anh[[#This Row],[SỐ LƯỢNG]]</f>
        <v>-653000</v>
      </c>
      <c r="I103" s="31"/>
      <c r="J103" s="31">
        <f ca="1">N(INDIRECT("R[-1]C", FALSE)) + Cty_Viet_Anh[[#This Row],[THÀNH TIỀN]] - Cty_Viet_Anh[[#This Row],[THANH TOÁN]]</f>
        <v>-91212000</v>
      </c>
      <c r="K103" s="24"/>
    </row>
    <row r="104" spans="1:11" x14ac:dyDescent="0.25">
      <c r="A104" s="25">
        <v>7913</v>
      </c>
      <c r="B104" s="30">
        <v>46088</v>
      </c>
      <c r="C104" s="26" t="s">
        <v>49</v>
      </c>
      <c r="D104" s="38" t="s">
        <v>470</v>
      </c>
      <c r="E104" s="115" t="s">
        <v>65</v>
      </c>
      <c r="F104" s="28">
        <f>708+432</f>
        <v>1140</v>
      </c>
      <c r="G104" s="28"/>
      <c r="H104" s="28">
        <f>Cty_Viet_Anh[[#This Row],[ĐƠN GIÁ]]*Cty_Viet_Anh[[#This Row],[SỐ LƯỢNG]]</f>
        <v>0</v>
      </c>
      <c r="I104" s="28"/>
      <c r="J104" s="28">
        <f ca="1">N(INDIRECT("R[-1]C", FALSE)) + Cty_Viet_Anh[[#This Row],[THÀNH TIỀN]] - Cty_Viet_Anh[[#This Row],[THANH TOÁN]]</f>
        <v>-91212000</v>
      </c>
      <c r="K104" s="27" t="s">
        <v>471</v>
      </c>
    </row>
    <row r="105" spans="1:11" x14ac:dyDescent="0.25">
      <c r="A105" s="25">
        <v>7928</v>
      </c>
      <c r="B105" s="30">
        <v>46088</v>
      </c>
      <c r="C105" s="26" t="s">
        <v>49</v>
      </c>
      <c r="D105" s="38" t="s">
        <v>472</v>
      </c>
      <c r="E105" s="115" t="s">
        <v>62</v>
      </c>
      <c r="F105" s="28">
        <v>1180</v>
      </c>
      <c r="G105" s="28"/>
      <c r="H105" s="28">
        <f>Cty_Viet_Anh[[#This Row],[ĐƠN GIÁ]]*Cty_Viet_Anh[[#This Row],[SỐ LƯỢNG]]</f>
        <v>0</v>
      </c>
      <c r="I105" s="28"/>
      <c r="J105" s="28">
        <f ca="1">N(INDIRECT("R[-1]C", FALSE)) + Cty_Viet_Anh[[#This Row],[THÀNH TIỀN]] - Cty_Viet_Anh[[#This Row],[THANH TOÁN]]</f>
        <v>-91212000</v>
      </c>
      <c r="K105" s="27" t="s">
        <v>473</v>
      </c>
    </row>
    <row r="106" spans="1:11" x14ac:dyDescent="0.25">
      <c r="A106" s="25">
        <v>5047</v>
      </c>
      <c r="B106" s="30">
        <v>46090</v>
      </c>
      <c r="C106" s="26" t="s">
        <v>84</v>
      </c>
      <c r="D106" s="38" t="s">
        <v>93</v>
      </c>
      <c r="E106" s="26" t="s">
        <v>511</v>
      </c>
      <c r="F106" s="31">
        <v>1180</v>
      </c>
      <c r="G106" s="31">
        <v>-500</v>
      </c>
      <c r="H106" s="31">
        <f>Cty_Viet_Anh[[#This Row],[ĐƠN GIÁ]]*Cty_Viet_Anh[[#This Row],[SỐ LƯỢNG]]</f>
        <v>-590000</v>
      </c>
      <c r="I106" s="31"/>
      <c r="J106" s="31">
        <f ca="1">N(INDIRECT("R[-1]C", FALSE)) + Cty_Viet_Anh[[#This Row],[THÀNH TIỀN]] - Cty_Viet_Anh[[#This Row],[THANH TOÁN]]</f>
        <v>-91802000</v>
      </c>
      <c r="K106" s="24"/>
    </row>
    <row r="107" spans="1:11" x14ac:dyDescent="0.25">
      <c r="A107" s="25">
        <v>5047</v>
      </c>
      <c r="B107" s="30">
        <v>46090</v>
      </c>
      <c r="C107" s="26" t="s">
        <v>84</v>
      </c>
      <c r="D107" s="38" t="s">
        <v>93</v>
      </c>
      <c r="E107" s="26" t="s">
        <v>512</v>
      </c>
      <c r="F107" s="28">
        <f>580+420</f>
        <v>1000</v>
      </c>
      <c r="G107" s="28">
        <v>-500</v>
      </c>
      <c r="H107" s="28">
        <f>Cty_Viet_Anh[[#This Row],[ĐƠN GIÁ]]*Cty_Viet_Anh[[#This Row],[SỐ LƯỢNG]]</f>
        <v>-500000</v>
      </c>
      <c r="I107" s="28"/>
      <c r="J107" s="28">
        <f ca="1">N(INDIRECT("R[-1]C", FALSE)) + Cty_Viet_Anh[[#This Row],[THÀNH TIỀN]] - Cty_Viet_Anh[[#This Row],[THANH TOÁN]]</f>
        <v>-92302000</v>
      </c>
      <c r="K107" s="27"/>
    </row>
    <row r="108" spans="1:11" x14ac:dyDescent="0.25">
      <c r="A108" s="25">
        <v>5047</v>
      </c>
      <c r="B108" s="30">
        <v>46090</v>
      </c>
      <c r="C108" s="26" t="s">
        <v>84</v>
      </c>
      <c r="D108" s="38" t="s">
        <v>93</v>
      </c>
      <c r="E108" s="26" t="s">
        <v>513</v>
      </c>
      <c r="F108" s="28">
        <f>1956+1774</f>
        <v>3730</v>
      </c>
      <c r="G108" s="28">
        <v>-500</v>
      </c>
      <c r="H108" s="28">
        <f>Cty_Viet_Anh[[#This Row],[ĐƠN GIÁ]]*Cty_Viet_Anh[[#This Row],[SỐ LƯỢNG]]</f>
        <v>-1865000</v>
      </c>
      <c r="I108" s="28"/>
      <c r="J108" s="28">
        <f ca="1">N(INDIRECT("R[-1]C", FALSE)) + Cty_Viet_Anh[[#This Row],[THÀNH TIỀN]] - Cty_Viet_Anh[[#This Row],[THANH TOÁN]]</f>
        <v>-94167000</v>
      </c>
      <c r="K108" s="27"/>
    </row>
    <row r="109" spans="1:11" x14ac:dyDescent="0.25">
      <c r="A109" s="25">
        <v>5048</v>
      </c>
      <c r="B109" s="30">
        <v>46090</v>
      </c>
      <c r="C109" s="26" t="s">
        <v>84</v>
      </c>
      <c r="D109" s="38" t="s">
        <v>93</v>
      </c>
      <c r="E109" s="26" t="s">
        <v>508</v>
      </c>
      <c r="F109" s="28">
        <v>1888</v>
      </c>
      <c r="G109" s="28">
        <v>-500</v>
      </c>
      <c r="H109" s="28">
        <f>Cty_Viet_Anh[[#This Row],[ĐƠN GIÁ]]*Cty_Viet_Anh[[#This Row],[SỐ LƯỢNG]]</f>
        <v>-944000</v>
      </c>
      <c r="I109" s="28"/>
      <c r="J109" s="28">
        <f ca="1">N(INDIRECT("R[-1]C", FALSE)) + Cty_Viet_Anh[[#This Row],[THÀNH TIỀN]] - Cty_Viet_Anh[[#This Row],[THANH TOÁN]]</f>
        <v>-95111000</v>
      </c>
      <c r="K109" s="27"/>
    </row>
    <row r="110" spans="1:11" x14ac:dyDescent="0.25">
      <c r="A110" s="25">
        <v>5049</v>
      </c>
      <c r="B110" s="30">
        <v>46090</v>
      </c>
      <c r="C110" s="26" t="s">
        <v>84</v>
      </c>
      <c r="D110" s="38" t="s">
        <v>93</v>
      </c>
      <c r="E110" s="26" t="s">
        <v>509</v>
      </c>
      <c r="F110" s="28">
        <f>1976+1724</f>
        <v>3700</v>
      </c>
      <c r="G110" s="28">
        <v>-500</v>
      </c>
      <c r="H110" s="28">
        <f>Cty_Viet_Anh[[#This Row],[ĐƠN GIÁ]]*Cty_Viet_Anh[[#This Row],[SỐ LƯỢNG]]</f>
        <v>-1850000</v>
      </c>
      <c r="I110" s="28"/>
      <c r="J110" s="28">
        <f ca="1">N(INDIRECT("R[-1]C", FALSE)) + Cty_Viet_Anh[[#This Row],[THÀNH TIỀN]] - Cty_Viet_Anh[[#This Row],[THANH TOÁN]]</f>
        <v>-96961000</v>
      </c>
      <c r="K110" s="27"/>
    </row>
    <row r="111" spans="1:11" x14ac:dyDescent="0.25">
      <c r="A111" s="25">
        <v>5049</v>
      </c>
      <c r="B111" s="30">
        <v>46090</v>
      </c>
      <c r="C111" s="26" t="s">
        <v>84</v>
      </c>
      <c r="D111" s="38" t="s">
        <v>93</v>
      </c>
      <c r="E111" s="26" t="s">
        <v>510</v>
      </c>
      <c r="F111" s="28">
        <v>3964</v>
      </c>
      <c r="G111" s="28">
        <v>-500</v>
      </c>
      <c r="H111" s="28">
        <f>Cty_Viet_Anh[[#This Row],[ĐƠN GIÁ]]*Cty_Viet_Anh[[#This Row],[SỐ LƯỢNG]]</f>
        <v>-1982000</v>
      </c>
      <c r="I111" s="28"/>
      <c r="J111" s="28">
        <f ca="1">N(INDIRECT("R[-1]C", FALSE)) + Cty_Viet_Anh[[#This Row],[THÀNH TIỀN]] - Cty_Viet_Anh[[#This Row],[THANH TOÁN]]</f>
        <v>-98943000</v>
      </c>
      <c r="K111" s="27"/>
    </row>
    <row r="112" spans="1:11" x14ac:dyDescent="0.25">
      <c r="A112" s="25">
        <v>7941</v>
      </c>
      <c r="B112" s="30">
        <v>46090</v>
      </c>
      <c r="C112" s="26" t="s">
        <v>49</v>
      </c>
      <c r="D112" s="38" t="s">
        <v>17</v>
      </c>
      <c r="E112" s="115" t="s">
        <v>415</v>
      </c>
      <c r="F112" s="28">
        <v>5730</v>
      </c>
      <c r="G112" s="28"/>
      <c r="H112" s="28">
        <f>Cty_Viet_Anh[[#This Row],[ĐƠN GIÁ]]*Cty_Viet_Anh[[#This Row],[SỐ LƯỢNG]]</f>
        <v>0</v>
      </c>
      <c r="I112" s="28"/>
      <c r="J112" s="28">
        <f ca="1">N(INDIRECT("R[-1]C", FALSE)) + Cty_Viet_Anh[[#This Row],[THÀNH TIỀN]] - Cty_Viet_Anh[[#This Row],[THANH TOÁN]]</f>
        <v>-98943000</v>
      </c>
      <c r="K112" s="27" t="s">
        <v>474</v>
      </c>
    </row>
    <row r="113" spans="1:11" x14ac:dyDescent="0.25">
      <c r="A113" s="25">
        <v>7957</v>
      </c>
      <c r="B113" s="30">
        <v>46090</v>
      </c>
      <c r="C113" s="26" t="s">
        <v>49</v>
      </c>
      <c r="D113" s="38" t="s">
        <v>26</v>
      </c>
      <c r="E113" s="115" t="s">
        <v>65</v>
      </c>
      <c r="F113" s="28">
        <v>1091</v>
      </c>
      <c r="G113" s="28"/>
      <c r="H113" s="28">
        <f>Cty_Viet_Anh[[#This Row],[ĐƠN GIÁ]]*Cty_Viet_Anh[[#This Row],[SỐ LƯỢNG]]</f>
        <v>0</v>
      </c>
      <c r="I113" s="28"/>
      <c r="J113" s="28">
        <f ca="1">N(INDIRECT("R[-1]C", FALSE)) + Cty_Viet_Anh[[#This Row],[THÀNH TIỀN]] - Cty_Viet_Anh[[#This Row],[THANH TOÁN]]</f>
        <v>-98943000</v>
      </c>
      <c r="K113" s="27" t="s">
        <v>475</v>
      </c>
    </row>
    <row r="114" spans="1:11" x14ac:dyDescent="0.25">
      <c r="A114" s="25">
        <v>7957</v>
      </c>
      <c r="B114" s="30">
        <v>46090</v>
      </c>
      <c r="C114" s="26" t="s">
        <v>49</v>
      </c>
      <c r="D114" s="38" t="s">
        <v>26</v>
      </c>
      <c r="E114" s="115" t="s">
        <v>65</v>
      </c>
      <c r="F114" s="28">
        <v>1717</v>
      </c>
      <c r="G114" s="28"/>
      <c r="H114" s="28">
        <f>Cty_Viet_Anh[[#This Row],[ĐƠN GIÁ]]*Cty_Viet_Anh[[#This Row],[SỐ LƯỢNG]]</f>
        <v>0</v>
      </c>
      <c r="I114" s="28"/>
      <c r="J114" s="28">
        <f ca="1">N(INDIRECT("R[-1]C", FALSE)) + Cty_Viet_Anh[[#This Row],[THÀNH TIỀN]] - Cty_Viet_Anh[[#This Row],[THANH TOÁN]]</f>
        <v>-98943000</v>
      </c>
      <c r="K114" s="27" t="s">
        <v>476</v>
      </c>
    </row>
    <row r="115" spans="1:11" x14ac:dyDescent="0.25">
      <c r="A115" s="25">
        <v>7957</v>
      </c>
      <c r="B115" s="30">
        <v>46090</v>
      </c>
      <c r="C115" s="26" t="s">
        <v>49</v>
      </c>
      <c r="D115" s="38" t="s">
        <v>26</v>
      </c>
      <c r="E115" s="115" t="s">
        <v>211</v>
      </c>
      <c r="F115" s="28">
        <v>1458</v>
      </c>
      <c r="G115" s="28"/>
      <c r="H115" s="28">
        <f>Cty_Viet_Anh[[#This Row],[ĐƠN GIÁ]]*Cty_Viet_Anh[[#This Row],[SỐ LƯỢNG]]</f>
        <v>0</v>
      </c>
      <c r="I115" s="28"/>
      <c r="J115" s="28">
        <f ca="1">N(INDIRECT("R[-1]C", FALSE)) + Cty_Viet_Anh[[#This Row],[THÀNH TIỀN]] - Cty_Viet_Anh[[#This Row],[THANH TOÁN]]</f>
        <v>-98943000</v>
      </c>
      <c r="K115" s="27" t="s">
        <v>475</v>
      </c>
    </row>
    <row r="116" spans="1:11" x14ac:dyDescent="0.25">
      <c r="A116" s="25">
        <v>7957</v>
      </c>
      <c r="B116" s="30">
        <v>46090</v>
      </c>
      <c r="C116" s="26" t="s">
        <v>49</v>
      </c>
      <c r="D116" s="38" t="s">
        <v>26</v>
      </c>
      <c r="E116" s="49" t="s">
        <v>477</v>
      </c>
      <c r="F116" s="31">
        <v>4177</v>
      </c>
      <c r="G116" s="31"/>
      <c r="H116" s="31">
        <f>Cty_Viet_Anh[[#This Row],[ĐƠN GIÁ]]*Cty_Viet_Anh[[#This Row],[SỐ LƯỢNG]]</f>
        <v>0</v>
      </c>
      <c r="I116" s="31"/>
      <c r="J116" s="31">
        <f ca="1">N(INDIRECT("R[-1]C", FALSE)) + Cty_Viet_Anh[[#This Row],[THÀNH TIỀN]] - Cty_Viet_Anh[[#This Row],[THANH TOÁN]]</f>
        <v>-98943000</v>
      </c>
      <c r="K116" s="24"/>
    </row>
    <row r="117" spans="1:11" x14ac:dyDescent="0.25">
      <c r="A117" s="25">
        <v>7960</v>
      </c>
      <c r="B117" s="30">
        <v>46090</v>
      </c>
      <c r="C117" s="26" t="s">
        <v>49</v>
      </c>
      <c r="D117" s="38" t="s">
        <v>77</v>
      </c>
      <c r="E117" s="49" t="s">
        <v>478</v>
      </c>
      <c r="F117" s="31">
        <f>338+338+338</f>
        <v>1014</v>
      </c>
      <c r="G117" s="31"/>
      <c r="H117" s="31">
        <f>Cty_Viet_Anh[[#This Row],[ĐƠN GIÁ]]*Cty_Viet_Anh[[#This Row],[SỐ LƯỢNG]]</f>
        <v>0</v>
      </c>
      <c r="I117" s="31"/>
      <c r="J117" s="31">
        <f ca="1">N(INDIRECT("R[-1]C", FALSE)) + Cty_Viet_Anh[[#This Row],[THÀNH TIỀN]] - Cty_Viet_Anh[[#This Row],[THANH TOÁN]]</f>
        <v>-98943000</v>
      </c>
      <c r="K117" s="24" t="s">
        <v>479</v>
      </c>
    </row>
    <row r="118" spans="1:11" x14ac:dyDescent="0.25">
      <c r="A118" s="25">
        <v>7960</v>
      </c>
      <c r="B118" s="30">
        <v>46090</v>
      </c>
      <c r="C118" s="26" t="s">
        <v>49</v>
      </c>
      <c r="D118" s="38" t="s">
        <v>77</v>
      </c>
      <c r="E118" s="49" t="s">
        <v>480</v>
      </c>
      <c r="F118" s="31">
        <f>918+938</f>
        <v>1856</v>
      </c>
      <c r="G118" s="31"/>
      <c r="H118" s="31">
        <f>Cty_Viet_Anh[[#This Row],[ĐƠN GIÁ]]*Cty_Viet_Anh[[#This Row],[SỐ LƯỢNG]]</f>
        <v>0</v>
      </c>
      <c r="I118" s="31"/>
      <c r="J118" s="31">
        <f ca="1">N(INDIRECT("R[-1]C", FALSE)) + Cty_Viet_Anh[[#This Row],[THÀNH TIỀN]] - Cty_Viet_Anh[[#This Row],[THANH TOÁN]]</f>
        <v>-98943000</v>
      </c>
      <c r="K118" s="24" t="s">
        <v>481</v>
      </c>
    </row>
    <row r="119" spans="1:11" x14ac:dyDescent="0.25">
      <c r="A119" s="25">
        <v>7960</v>
      </c>
      <c r="B119" s="30">
        <v>46090</v>
      </c>
      <c r="C119" s="26" t="s">
        <v>49</v>
      </c>
      <c r="D119" s="38" t="s">
        <v>17</v>
      </c>
      <c r="E119" s="115" t="s">
        <v>482</v>
      </c>
      <c r="F119" s="28">
        <v>5600</v>
      </c>
      <c r="G119" s="28"/>
      <c r="H119" s="28">
        <f>Cty_Viet_Anh[[#This Row],[ĐƠN GIÁ]]*Cty_Viet_Anh[[#This Row],[SỐ LƯỢNG]]</f>
        <v>0</v>
      </c>
      <c r="I119" s="28"/>
      <c r="J119" s="28">
        <f ca="1">N(INDIRECT("R[-1]C", FALSE)) + Cty_Viet_Anh[[#This Row],[THÀNH TIỀN]] - Cty_Viet_Anh[[#This Row],[THANH TOÁN]]</f>
        <v>-98943000</v>
      </c>
      <c r="K119" s="27" t="s">
        <v>483</v>
      </c>
    </row>
    <row r="120" spans="1:11" x14ac:dyDescent="0.25">
      <c r="A120" s="25">
        <v>7960</v>
      </c>
      <c r="B120" s="30">
        <v>46090</v>
      </c>
      <c r="C120" s="26" t="s">
        <v>49</v>
      </c>
      <c r="D120" s="38" t="s">
        <v>17</v>
      </c>
      <c r="E120" s="115" t="s">
        <v>484</v>
      </c>
      <c r="F120" s="28">
        <v>3146</v>
      </c>
      <c r="G120" s="28"/>
      <c r="H120" s="28">
        <f>Cty_Viet_Anh[[#This Row],[ĐƠN GIÁ]]*Cty_Viet_Anh[[#This Row],[SỐ LƯỢNG]]</f>
        <v>0</v>
      </c>
      <c r="I120" s="28"/>
      <c r="J120" s="28">
        <f ca="1">N(INDIRECT("R[-1]C", FALSE)) + Cty_Viet_Anh[[#This Row],[THÀNH TIỀN]] - Cty_Viet_Anh[[#This Row],[THANH TOÁN]]</f>
        <v>-98943000</v>
      </c>
      <c r="K120" s="27"/>
    </row>
    <row r="121" spans="1:11" x14ac:dyDescent="0.25">
      <c r="A121" s="25">
        <v>5056</v>
      </c>
      <c r="B121" s="30">
        <v>46091</v>
      </c>
      <c r="C121" s="26" t="s">
        <v>84</v>
      </c>
      <c r="D121" s="38" t="s">
        <v>93</v>
      </c>
      <c r="E121" s="26" t="s">
        <v>514</v>
      </c>
      <c r="F121" s="28">
        <v>620</v>
      </c>
      <c r="G121" s="28">
        <v>-500</v>
      </c>
      <c r="H121" s="28">
        <f>Cty_Viet_Anh[[#This Row],[ĐƠN GIÁ]]*Cty_Viet_Anh[[#This Row],[SỐ LƯỢNG]]</f>
        <v>-310000</v>
      </c>
      <c r="I121" s="28"/>
      <c r="J121" s="28">
        <f ca="1">N(INDIRECT("R[-1]C", FALSE)) + Cty_Viet_Anh[[#This Row],[THÀNH TIỀN]] - Cty_Viet_Anh[[#This Row],[THANH TOÁN]]</f>
        <v>-99253000</v>
      </c>
      <c r="K121" s="27"/>
    </row>
    <row r="122" spans="1:11" x14ac:dyDescent="0.25">
      <c r="A122" s="25">
        <v>5060</v>
      </c>
      <c r="B122" s="30">
        <v>46091</v>
      </c>
      <c r="C122" s="26" t="s">
        <v>84</v>
      </c>
      <c r="D122" s="38" t="s">
        <v>93</v>
      </c>
      <c r="E122" s="26" t="s">
        <v>516</v>
      </c>
      <c r="F122" s="28">
        <v>1972</v>
      </c>
      <c r="G122" s="28">
        <v>-500</v>
      </c>
      <c r="H122" s="28">
        <f>Cty_Viet_Anh[[#This Row],[ĐƠN GIÁ]]*Cty_Viet_Anh[[#This Row],[SỐ LƯỢNG]]</f>
        <v>-986000</v>
      </c>
      <c r="I122" s="28"/>
      <c r="J122" s="28">
        <f ca="1">N(INDIRECT("R[-1]C", FALSE)) + Cty_Viet_Anh[[#This Row],[THÀNH TIỀN]] - Cty_Viet_Anh[[#This Row],[THANH TOÁN]]</f>
        <v>-100239000</v>
      </c>
      <c r="K122" s="27"/>
    </row>
    <row r="123" spans="1:11" x14ac:dyDescent="0.25">
      <c r="A123" s="25">
        <v>5060</v>
      </c>
      <c r="B123" s="30">
        <v>46091</v>
      </c>
      <c r="C123" s="23" t="s">
        <v>84</v>
      </c>
      <c r="D123" s="37" t="s">
        <v>93</v>
      </c>
      <c r="E123" s="23" t="s">
        <v>517</v>
      </c>
      <c r="F123" s="31">
        <v>1456</v>
      </c>
      <c r="G123" s="31">
        <v>-500</v>
      </c>
      <c r="H123" s="31">
        <f>Cty_Viet_Anh[[#This Row],[ĐƠN GIÁ]]*Cty_Viet_Anh[[#This Row],[SỐ LƯỢNG]]</f>
        <v>-728000</v>
      </c>
      <c r="I123" s="31"/>
      <c r="J123" s="31">
        <f ca="1">N(INDIRECT("R[-1]C", FALSE)) + Cty_Viet_Anh[[#This Row],[THÀNH TIỀN]] - Cty_Viet_Anh[[#This Row],[THANH TOÁN]]</f>
        <v>-100967000</v>
      </c>
      <c r="K123" s="24"/>
    </row>
    <row r="124" spans="1:11" x14ac:dyDescent="0.25">
      <c r="A124" s="25">
        <v>5060</v>
      </c>
      <c r="B124" s="30">
        <v>46091</v>
      </c>
      <c r="C124" s="23" t="s">
        <v>84</v>
      </c>
      <c r="D124" s="37" t="s">
        <v>93</v>
      </c>
      <c r="E124" s="23" t="s">
        <v>518</v>
      </c>
      <c r="F124" s="31">
        <v>1712</v>
      </c>
      <c r="G124" s="31">
        <v>-500</v>
      </c>
      <c r="H124" s="31">
        <f>Cty_Viet_Anh[[#This Row],[ĐƠN GIÁ]]*Cty_Viet_Anh[[#This Row],[SỐ LƯỢNG]]</f>
        <v>-856000</v>
      </c>
      <c r="I124" s="31"/>
      <c r="J124" s="31">
        <f ca="1">N(INDIRECT("R[-1]C", FALSE)) + Cty_Viet_Anh[[#This Row],[THÀNH TIỀN]] - Cty_Viet_Anh[[#This Row],[THANH TOÁN]]</f>
        <v>-101823000</v>
      </c>
      <c r="K124" s="24"/>
    </row>
    <row r="125" spans="1:11" x14ac:dyDescent="0.25">
      <c r="A125" s="25">
        <v>5060</v>
      </c>
      <c r="B125" s="30">
        <v>46091</v>
      </c>
      <c r="C125" s="26" t="s">
        <v>84</v>
      </c>
      <c r="D125" s="38" t="s">
        <v>93</v>
      </c>
      <c r="E125" s="26" t="s">
        <v>519</v>
      </c>
      <c r="F125" s="28">
        <v>1090</v>
      </c>
      <c r="G125" s="28">
        <v>-500</v>
      </c>
      <c r="H125" s="28">
        <f>Cty_Viet_Anh[[#This Row],[ĐƠN GIÁ]]*Cty_Viet_Anh[[#This Row],[SỐ LƯỢNG]]</f>
        <v>-545000</v>
      </c>
      <c r="I125" s="28"/>
      <c r="J125" s="28">
        <f ca="1">N(INDIRECT("R[-1]C", FALSE)) + Cty_Viet_Anh[[#This Row],[THÀNH TIỀN]] - Cty_Viet_Anh[[#This Row],[THANH TOÁN]]</f>
        <v>-102368000</v>
      </c>
      <c r="K125" s="27"/>
    </row>
    <row r="126" spans="1:11" x14ac:dyDescent="0.25">
      <c r="A126" s="25">
        <v>5062</v>
      </c>
      <c r="B126" s="30">
        <v>46092</v>
      </c>
      <c r="C126" s="26" t="s">
        <v>84</v>
      </c>
      <c r="D126" s="38" t="s">
        <v>93</v>
      </c>
      <c r="E126" s="26" t="s">
        <v>522</v>
      </c>
      <c r="F126" s="28">
        <f>1888+1884+1768</f>
        <v>5540</v>
      </c>
      <c r="G126" s="28">
        <v>-500</v>
      </c>
      <c r="H126" s="28">
        <f>Cty_Viet_Anh[[#This Row],[ĐƠN GIÁ]]*Cty_Viet_Anh[[#This Row],[SỐ LƯỢNG]]</f>
        <v>-2770000</v>
      </c>
      <c r="I126" s="28"/>
      <c r="J126" s="28">
        <f ca="1">N(INDIRECT("R[-1]C", FALSE)) + Cty_Viet_Anh[[#This Row],[THÀNH TIỀN]] - Cty_Viet_Anh[[#This Row],[THANH TOÁN]]</f>
        <v>-105138000</v>
      </c>
      <c r="K126" s="27"/>
    </row>
    <row r="127" spans="1:11" x14ac:dyDescent="0.25">
      <c r="A127" s="25">
        <v>5062</v>
      </c>
      <c r="B127" s="30">
        <v>46092</v>
      </c>
      <c r="C127" s="26" t="s">
        <v>84</v>
      </c>
      <c r="D127" s="38" t="s">
        <v>520</v>
      </c>
      <c r="E127" s="26" t="s">
        <v>523</v>
      </c>
      <c r="F127" s="28">
        <v>2044</v>
      </c>
      <c r="G127" s="28">
        <v>-1000</v>
      </c>
      <c r="H127" s="28">
        <f>Cty_Viet_Anh[[#This Row],[ĐƠN GIÁ]]*Cty_Viet_Anh[[#This Row],[SỐ LƯỢNG]]</f>
        <v>-2044000</v>
      </c>
      <c r="I127" s="28"/>
      <c r="J127" s="28">
        <f ca="1">N(INDIRECT("R[-1]C", FALSE)) + Cty_Viet_Anh[[#This Row],[THÀNH TIỀN]] - Cty_Viet_Anh[[#This Row],[THANH TOÁN]]</f>
        <v>-107182000</v>
      </c>
      <c r="K127" s="27"/>
    </row>
    <row r="128" spans="1:11" x14ac:dyDescent="0.25">
      <c r="A128" s="25">
        <v>5062</v>
      </c>
      <c r="B128" s="30">
        <v>46092</v>
      </c>
      <c r="C128" s="26" t="s">
        <v>84</v>
      </c>
      <c r="D128" s="38" t="s">
        <v>520</v>
      </c>
      <c r="E128" s="26" t="s">
        <v>524</v>
      </c>
      <c r="F128" s="28">
        <v>774</v>
      </c>
      <c r="G128" s="28">
        <v>-1000</v>
      </c>
      <c r="H128" s="28">
        <f>Cty_Viet_Anh[[#This Row],[ĐƠN GIÁ]]*Cty_Viet_Anh[[#This Row],[SỐ LƯỢNG]]</f>
        <v>-774000</v>
      </c>
      <c r="I128" s="28"/>
      <c r="J128" s="28">
        <f ca="1">N(INDIRECT("R[-1]C", FALSE)) + Cty_Viet_Anh[[#This Row],[THÀNH TIỀN]] - Cty_Viet_Anh[[#This Row],[THANH TOÁN]]</f>
        <v>-107956000</v>
      </c>
      <c r="K128" s="27"/>
    </row>
    <row r="129" spans="1:11" x14ac:dyDescent="0.25">
      <c r="A129" s="25">
        <v>5062</v>
      </c>
      <c r="B129" s="30">
        <v>46092</v>
      </c>
      <c r="C129" s="26" t="s">
        <v>84</v>
      </c>
      <c r="D129" s="38" t="s">
        <v>520</v>
      </c>
      <c r="E129" s="26" t="s">
        <v>525</v>
      </c>
      <c r="F129" s="28">
        <v>1870</v>
      </c>
      <c r="G129" s="28">
        <v>-1000</v>
      </c>
      <c r="H129" s="28">
        <f>Cty_Viet_Anh[[#This Row],[ĐƠN GIÁ]]*Cty_Viet_Anh[[#This Row],[SỐ LƯỢNG]]</f>
        <v>-1870000</v>
      </c>
      <c r="I129" s="28"/>
      <c r="J129" s="28">
        <f ca="1">N(INDIRECT("R[-1]C", FALSE)) + Cty_Viet_Anh[[#This Row],[THÀNH TIỀN]] - Cty_Viet_Anh[[#This Row],[THANH TOÁN]]</f>
        <v>-109826000</v>
      </c>
      <c r="K129" s="27"/>
    </row>
    <row r="130" spans="1:11" x14ac:dyDescent="0.25">
      <c r="A130" s="25">
        <v>5062</v>
      </c>
      <c r="B130" s="30">
        <v>46092</v>
      </c>
      <c r="C130" s="26" t="s">
        <v>84</v>
      </c>
      <c r="D130" s="38" t="s">
        <v>526</v>
      </c>
      <c r="E130" s="26" t="s">
        <v>527</v>
      </c>
      <c r="F130" s="28">
        <v>274</v>
      </c>
      <c r="G130" s="28">
        <v>-1000</v>
      </c>
      <c r="H130" s="28">
        <f>Cty_Viet_Anh[[#This Row],[ĐƠN GIÁ]]*Cty_Viet_Anh[[#This Row],[SỐ LƯỢNG]]</f>
        <v>-274000</v>
      </c>
      <c r="I130" s="28"/>
      <c r="J130" s="28">
        <f ca="1">N(INDIRECT("R[-1]C", FALSE)) + Cty_Viet_Anh[[#This Row],[THÀNH TIỀN]] - Cty_Viet_Anh[[#This Row],[THANH TOÁN]]</f>
        <v>-110100000</v>
      </c>
      <c r="K130" s="27"/>
    </row>
    <row r="131" spans="1:11" x14ac:dyDescent="0.25">
      <c r="A131" s="25">
        <v>5063</v>
      </c>
      <c r="B131" s="30">
        <v>46092</v>
      </c>
      <c r="C131" s="26" t="s">
        <v>84</v>
      </c>
      <c r="D131" s="38" t="s">
        <v>520</v>
      </c>
      <c r="E131" s="26" t="s">
        <v>521</v>
      </c>
      <c r="F131" s="28">
        <v>2190</v>
      </c>
      <c r="G131" s="28">
        <v>-1000</v>
      </c>
      <c r="H131" s="28">
        <f>Cty_Viet_Anh[[#This Row],[ĐƠN GIÁ]]*Cty_Viet_Anh[[#This Row],[SỐ LƯỢNG]]</f>
        <v>-2190000</v>
      </c>
      <c r="I131" s="28"/>
      <c r="J131" s="28">
        <f ca="1">N(INDIRECT("R[-1]C", FALSE)) + Cty_Viet_Anh[[#This Row],[THÀNH TIỀN]] - Cty_Viet_Anh[[#This Row],[THANH TOÁN]]</f>
        <v>-112290000</v>
      </c>
      <c r="K131" s="27"/>
    </row>
    <row r="132" spans="1:11" x14ac:dyDescent="0.25">
      <c r="A132" s="25">
        <v>5065</v>
      </c>
      <c r="B132" s="30">
        <v>46092</v>
      </c>
      <c r="C132" s="26" t="s">
        <v>84</v>
      </c>
      <c r="D132" s="38" t="s">
        <v>520</v>
      </c>
      <c r="E132" s="26" t="s">
        <v>521</v>
      </c>
      <c r="F132" s="28">
        <v>2298</v>
      </c>
      <c r="G132" s="28">
        <v>-1000</v>
      </c>
      <c r="H132" s="28">
        <f>Cty_Viet_Anh[[#This Row],[ĐƠN GIÁ]]*Cty_Viet_Anh[[#This Row],[SỐ LƯỢNG]]</f>
        <v>-2298000</v>
      </c>
      <c r="I132" s="28"/>
      <c r="J132" s="28">
        <f ca="1">N(INDIRECT("R[-1]C", FALSE)) + Cty_Viet_Anh[[#This Row],[THÀNH TIỀN]] - Cty_Viet_Anh[[#This Row],[THANH TOÁN]]</f>
        <v>-114588000</v>
      </c>
      <c r="K132" s="27"/>
    </row>
    <row r="133" spans="1:11" x14ac:dyDescent="0.25">
      <c r="A133" s="25">
        <v>5066</v>
      </c>
      <c r="B133" s="30">
        <v>46092</v>
      </c>
      <c r="C133" s="26" t="s">
        <v>84</v>
      </c>
      <c r="D133" s="38" t="s">
        <v>93</v>
      </c>
      <c r="E133" s="26" t="s">
        <v>515</v>
      </c>
      <c r="F133" s="28">
        <f>1692+1888+1890</f>
        <v>5470</v>
      </c>
      <c r="G133" s="28">
        <v>-500</v>
      </c>
      <c r="H133" s="28">
        <f>Cty_Viet_Anh[[#This Row],[ĐƠN GIÁ]]*Cty_Viet_Anh[[#This Row],[SỐ LƯỢNG]]</f>
        <v>-2735000</v>
      </c>
      <c r="I133" s="28"/>
      <c r="J133" s="28">
        <f ca="1">N(INDIRECT("R[-1]C", FALSE)) + Cty_Viet_Anh[[#This Row],[THÀNH TIỀN]] - Cty_Viet_Anh[[#This Row],[THANH TOÁN]]</f>
        <v>-117323000</v>
      </c>
      <c r="K133" s="27"/>
    </row>
    <row r="134" spans="1:11" x14ac:dyDescent="0.25">
      <c r="A134" s="25">
        <v>5066</v>
      </c>
      <c r="B134" s="30">
        <v>46092</v>
      </c>
      <c r="C134" s="26" t="s">
        <v>84</v>
      </c>
      <c r="D134" s="37" t="s">
        <v>93</v>
      </c>
      <c r="E134" s="23" t="s">
        <v>506</v>
      </c>
      <c r="F134" s="31">
        <v>1888</v>
      </c>
      <c r="G134" s="31">
        <v>-500</v>
      </c>
      <c r="H134" s="31">
        <f>Cty_Viet_Anh[[#This Row],[ĐƠN GIÁ]]*Cty_Viet_Anh[[#This Row],[SỐ LƯỢNG]]</f>
        <v>-944000</v>
      </c>
      <c r="I134" s="31"/>
      <c r="J134" s="31">
        <f ca="1">N(INDIRECT("R[-1]C", FALSE)) + Cty_Viet_Anh[[#This Row],[THÀNH TIỀN]] - Cty_Viet_Anh[[#This Row],[THANH TOÁN]]</f>
        <v>-118267000</v>
      </c>
      <c r="K134" s="24"/>
    </row>
    <row r="135" spans="1:11" x14ac:dyDescent="0.25">
      <c r="A135" s="25">
        <v>5068</v>
      </c>
      <c r="B135" s="30">
        <v>46092</v>
      </c>
      <c r="C135" s="26" t="s">
        <v>84</v>
      </c>
      <c r="D135" s="38" t="s">
        <v>93</v>
      </c>
      <c r="E135" s="26" t="s">
        <v>506</v>
      </c>
      <c r="F135" s="28">
        <f>1182+1888</f>
        <v>3070</v>
      </c>
      <c r="G135" s="28">
        <v>-500</v>
      </c>
      <c r="H135" s="28">
        <f>Cty_Viet_Anh[[#This Row],[ĐƠN GIÁ]]*Cty_Viet_Anh[[#This Row],[SỐ LƯỢNG]]</f>
        <v>-1535000</v>
      </c>
      <c r="I135" s="28"/>
      <c r="J135" s="28">
        <f ca="1">N(INDIRECT("R[-1]C", FALSE)) + Cty_Viet_Anh[[#This Row],[THÀNH TIỀN]] - Cty_Viet_Anh[[#This Row],[THANH TOÁN]]</f>
        <v>-119802000</v>
      </c>
      <c r="K135" s="27"/>
    </row>
    <row r="136" spans="1:11" x14ac:dyDescent="0.25">
      <c r="A136" s="25">
        <v>5068</v>
      </c>
      <c r="B136" s="30">
        <v>46092</v>
      </c>
      <c r="C136" s="26" t="s">
        <v>426</v>
      </c>
      <c r="D136" s="38" t="s">
        <v>93</v>
      </c>
      <c r="E136" s="26" t="s">
        <v>148</v>
      </c>
      <c r="F136" s="28">
        <v>4860</v>
      </c>
      <c r="G136" s="28"/>
      <c r="H136" s="28">
        <f>Cty_Viet_Anh[[#This Row],[ĐƠN GIÁ]]*Cty_Viet_Anh[[#This Row],[SỐ LƯỢNG]]</f>
        <v>0</v>
      </c>
      <c r="I136" s="28"/>
      <c r="J136" s="28">
        <f ca="1">N(INDIRECT("R[-1]C", FALSE)) + Cty_Viet_Anh[[#This Row],[THÀNH TIỀN]] - Cty_Viet_Anh[[#This Row],[THANH TOÁN]]</f>
        <v>-119802000</v>
      </c>
      <c r="K136" s="27"/>
    </row>
    <row r="137" spans="1:11" x14ac:dyDescent="0.25">
      <c r="A137" s="25">
        <v>7997</v>
      </c>
      <c r="B137" s="30">
        <v>46092</v>
      </c>
      <c r="C137" s="26" t="s">
        <v>49</v>
      </c>
      <c r="D137" s="37" t="s">
        <v>17</v>
      </c>
      <c r="E137" s="49" t="s">
        <v>162</v>
      </c>
      <c r="F137" s="31">
        <v>1510</v>
      </c>
      <c r="G137" s="31"/>
      <c r="H137" s="31">
        <f>Cty_Viet_Anh[[#This Row],[ĐƠN GIÁ]]*Cty_Viet_Anh[[#This Row],[SỐ LƯỢNG]]</f>
        <v>0</v>
      </c>
      <c r="I137" s="31"/>
      <c r="J137" s="31">
        <f ca="1">N(INDIRECT("R[-1]C", FALSE)) + Cty_Viet_Anh[[#This Row],[THÀNH TIỀN]] - Cty_Viet_Anh[[#This Row],[THANH TOÁN]]</f>
        <v>-119802000</v>
      </c>
      <c r="K137" s="24" t="s">
        <v>485</v>
      </c>
    </row>
    <row r="138" spans="1:11" x14ac:dyDescent="0.25">
      <c r="A138" s="25">
        <v>7997</v>
      </c>
      <c r="B138" s="30">
        <v>46092</v>
      </c>
      <c r="C138" s="26" t="s">
        <v>49</v>
      </c>
      <c r="D138" s="37" t="s">
        <v>14</v>
      </c>
      <c r="E138" s="49" t="s">
        <v>141</v>
      </c>
      <c r="F138" s="31">
        <v>4856</v>
      </c>
      <c r="G138" s="31"/>
      <c r="H138" s="31">
        <f>Cty_Viet_Anh[[#This Row],[ĐƠN GIÁ]]*Cty_Viet_Anh[[#This Row],[SỐ LƯỢNG]]</f>
        <v>0</v>
      </c>
      <c r="I138" s="31"/>
      <c r="J138" s="31">
        <f ca="1">N(INDIRECT("R[-1]C", FALSE)) + Cty_Viet_Anh[[#This Row],[THÀNH TIỀN]] - Cty_Viet_Anh[[#This Row],[THANH TOÁN]]</f>
        <v>-119802000</v>
      </c>
      <c r="K138" s="24"/>
    </row>
    <row r="139" spans="1:11" x14ac:dyDescent="0.25">
      <c r="A139" s="25">
        <v>7997</v>
      </c>
      <c r="B139" s="30">
        <v>46092</v>
      </c>
      <c r="C139" s="26" t="s">
        <v>49</v>
      </c>
      <c r="D139" s="37" t="s">
        <v>17</v>
      </c>
      <c r="E139" s="49" t="s">
        <v>211</v>
      </c>
      <c r="F139" s="31">
        <v>5530</v>
      </c>
      <c r="G139" s="31"/>
      <c r="H139" s="31">
        <f>Cty_Viet_Anh[[#This Row],[ĐƠN GIÁ]]*Cty_Viet_Anh[[#This Row],[SỐ LƯỢNG]]</f>
        <v>0</v>
      </c>
      <c r="I139" s="31"/>
      <c r="J139" s="31">
        <f ca="1">N(INDIRECT("R[-1]C", FALSE)) + Cty_Viet_Anh[[#This Row],[THÀNH TIỀN]] - Cty_Viet_Anh[[#This Row],[THANH TOÁN]]</f>
        <v>-119802000</v>
      </c>
      <c r="K139" s="24"/>
    </row>
    <row r="140" spans="1:11" x14ac:dyDescent="0.25">
      <c r="A140" s="25">
        <v>8001</v>
      </c>
      <c r="B140" s="30">
        <v>46092</v>
      </c>
      <c r="C140" s="26" t="s">
        <v>49</v>
      </c>
      <c r="D140" s="38" t="s">
        <v>17</v>
      </c>
      <c r="E140" s="115" t="s">
        <v>211</v>
      </c>
      <c r="F140" s="28">
        <v>5410</v>
      </c>
      <c r="G140" s="28"/>
      <c r="H140" s="28">
        <f>Cty_Viet_Anh[[#This Row],[ĐƠN GIÁ]]*Cty_Viet_Anh[[#This Row],[SỐ LƯỢNG]]</f>
        <v>0</v>
      </c>
      <c r="I140" s="28"/>
      <c r="J140" s="28">
        <f ca="1">N(INDIRECT("R[-1]C", FALSE)) + Cty_Viet_Anh[[#This Row],[THÀNH TIỀN]] - Cty_Viet_Anh[[#This Row],[THANH TOÁN]]</f>
        <v>-119802000</v>
      </c>
      <c r="K140" s="27"/>
    </row>
    <row r="141" spans="1:11" x14ac:dyDescent="0.25">
      <c r="A141" s="25">
        <v>2433</v>
      </c>
      <c r="B141" s="30">
        <v>46093</v>
      </c>
      <c r="C141" s="26" t="s">
        <v>84</v>
      </c>
      <c r="D141" s="37" t="s">
        <v>277</v>
      </c>
      <c r="E141" s="23" t="s">
        <v>134</v>
      </c>
      <c r="F141" s="31">
        <v>1044</v>
      </c>
      <c r="G141" s="31">
        <v>-1300</v>
      </c>
      <c r="H141" s="31">
        <f>Cty_Viet_Anh[[#This Row],[ĐƠN GIÁ]]*Cty_Viet_Anh[[#This Row],[SỐ LƯỢNG]]</f>
        <v>-1357200</v>
      </c>
      <c r="I141" s="31"/>
      <c r="J141" s="31">
        <f ca="1">N(INDIRECT("R[-1]C", FALSE)) + Cty_Viet_Anh[[#This Row],[THÀNH TIỀN]] - Cty_Viet_Anh[[#This Row],[THANH TOÁN]]</f>
        <v>-121159200</v>
      </c>
      <c r="K141" s="24"/>
    </row>
    <row r="142" spans="1:11" x14ac:dyDescent="0.25">
      <c r="A142" s="25">
        <v>2438</v>
      </c>
      <c r="B142" s="30">
        <v>46093</v>
      </c>
      <c r="C142" s="26" t="s">
        <v>84</v>
      </c>
      <c r="D142" s="38" t="s">
        <v>270</v>
      </c>
      <c r="E142" s="26" t="s">
        <v>41</v>
      </c>
      <c r="F142" s="28">
        <v>544</v>
      </c>
      <c r="G142" s="28">
        <v>-3000</v>
      </c>
      <c r="H142" s="28">
        <f>Cty_Viet_Anh[[#This Row],[ĐƠN GIÁ]]*Cty_Viet_Anh[[#This Row],[SỐ LƯỢNG]]</f>
        <v>-1632000</v>
      </c>
      <c r="I142" s="28"/>
      <c r="J142" s="28">
        <f ca="1">N(INDIRECT("R[-1]C", FALSE)) + Cty_Viet_Anh[[#This Row],[THÀNH TIỀN]] - Cty_Viet_Anh[[#This Row],[THANH TOÁN]]</f>
        <v>-122791200</v>
      </c>
      <c r="K142" s="27"/>
    </row>
    <row r="143" spans="1:11" x14ac:dyDescent="0.25">
      <c r="A143" s="25">
        <v>8021</v>
      </c>
      <c r="B143" s="30">
        <v>46093</v>
      </c>
      <c r="C143" s="26" t="s">
        <v>49</v>
      </c>
      <c r="D143" s="38" t="s">
        <v>301</v>
      </c>
      <c r="E143" s="115" t="s">
        <v>486</v>
      </c>
      <c r="F143" s="28">
        <f>934+944</f>
        <v>1878</v>
      </c>
      <c r="G143" s="28"/>
      <c r="H143" s="28">
        <f>Cty_Viet_Anh[[#This Row],[ĐƠN GIÁ]]*Cty_Viet_Anh[[#This Row],[SỐ LƯỢNG]]</f>
        <v>0</v>
      </c>
      <c r="I143" s="28"/>
      <c r="J143" s="28">
        <f ca="1">N(INDIRECT("R[-1]C", FALSE)) + Cty_Viet_Anh[[#This Row],[THÀNH TIỀN]] - Cty_Viet_Anh[[#This Row],[THANH TOÁN]]</f>
        <v>-122791200</v>
      </c>
      <c r="K143" s="27"/>
    </row>
    <row r="144" spans="1:11" x14ac:dyDescent="0.25">
      <c r="A144" s="25">
        <v>8021</v>
      </c>
      <c r="B144" s="30">
        <v>46093</v>
      </c>
      <c r="C144" s="26" t="s">
        <v>49</v>
      </c>
      <c r="D144" s="38" t="s">
        <v>45</v>
      </c>
      <c r="E144" s="115" t="s">
        <v>487</v>
      </c>
      <c r="F144" s="28">
        <v>720</v>
      </c>
      <c r="G144" s="28"/>
      <c r="H144" s="28">
        <f>Cty_Viet_Anh[[#This Row],[ĐƠN GIÁ]]*Cty_Viet_Anh[[#This Row],[SỐ LƯỢNG]]</f>
        <v>0</v>
      </c>
      <c r="I144" s="28"/>
      <c r="J144" s="28">
        <f ca="1">N(INDIRECT("R[-1]C", FALSE)) + Cty_Viet_Anh[[#This Row],[THÀNH TIỀN]] - Cty_Viet_Anh[[#This Row],[THANH TOÁN]]</f>
        <v>-122791200</v>
      </c>
      <c r="K144" s="27"/>
    </row>
    <row r="145" spans="1:11" x14ac:dyDescent="0.25">
      <c r="A145" s="25">
        <v>8024</v>
      </c>
      <c r="B145" s="30">
        <v>46093</v>
      </c>
      <c r="C145" s="26" t="s">
        <v>49</v>
      </c>
      <c r="D145" s="38" t="s">
        <v>43</v>
      </c>
      <c r="E145" s="115" t="s">
        <v>161</v>
      </c>
      <c r="F145" s="28">
        <v>5004</v>
      </c>
      <c r="G145" s="28"/>
      <c r="H145" s="28">
        <f>Cty_Viet_Anh[[#This Row],[ĐƠN GIÁ]]*Cty_Viet_Anh[[#This Row],[SỐ LƯỢNG]]</f>
        <v>0</v>
      </c>
      <c r="I145" s="28"/>
      <c r="J145" s="28">
        <f ca="1">N(INDIRECT("R[-1]C", FALSE)) + Cty_Viet_Anh[[#This Row],[THÀNH TIỀN]] - Cty_Viet_Anh[[#This Row],[THANH TOÁN]]</f>
        <v>-122791200</v>
      </c>
      <c r="K145" s="27"/>
    </row>
    <row r="146" spans="1:11" x14ac:dyDescent="0.25">
      <c r="A146" s="25">
        <v>8046</v>
      </c>
      <c r="B146" s="30">
        <v>46093</v>
      </c>
      <c r="C146" s="26" t="s">
        <v>49</v>
      </c>
      <c r="D146" s="38" t="s">
        <v>253</v>
      </c>
      <c r="E146" s="115" t="s">
        <v>251</v>
      </c>
      <c r="F146" s="28">
        <v>1695</v>
      </c>
      <c r="G146" s="28"/>
      <c r="H146" s="28">
        <f>Cty_Viet_Anh[[#This Row],[ĐƠN GIÁ]]*Cty_Viet_Anh[[#This Row],[SỐ LƯỢNG]]</f>
        <v>0</v>
      </c>
      <c r="I146" s="28"/>
      <c r="J146" s="28">
        <f ca="1">N(INDIRECT("R[-1]C", FALSE)) + Cty_Viet_Anh[[#This Row],[THÀNH TIỀN]] - Cty_Viet_Anh[[#This Row],[THANH TOÁN]]</f>
        <v>-122791200</v>
      </c>
      <c r="K146" s="27"/>
    </row>
    <row r="147" spans="1:11" x14ac:dyDescent="0.25">
      <c r="A147" s="25">
        <v>5074</v>
      </c>
      <c r="B147" s="30">
        <v>46094</v>
      </c>
      <c r="C147" s="26" t="s">
        <v>84</v>
      </c>
      <c r="D147" s="38" t="s">
        <v>93</v>
      </c>
      <c r="E147" s="26" t="s">
        <v>529</v>
      </c>
      <c r="F147" s="28">
        <f>1230+1216</f>
        <v>2446</v>
      </c>
      <c r="G147" s="28">
        <v>-500</v>
      </c>
      <c r="H147" s="28">
        <f>Cty_Viet_Anh[[#This Row],[ĐƠN GIÁ]]*Cty_Viet_Anh[[#This Row],[SỐ LƯỢNG]]</f>
        <v>-1223000</v>
      </c>
      <c r="I147" s="28"/>
      <c r="J147" s="28">
        <f ca="1">N(INDIRECT("R[-1]C", FALSE)) + Cty_Viet_Anh[[#This Row],[THÀNH TIỀN]] - Cty_Viet_Anh[[#This Row],[THANH TOÁN]]</f>
        <v>-124014200</v>
      </c>
      <c r="K147" s="27"/>
    </row>
    <row r="148" spans="1:11" x14ac:dyDescent="0.25">
      <c r="A148" s="25">
        <v>5074</v>
      </c>
      <c r="B148" s="30">
        <v>46094</v>
      </c>
      <c r="C148" s="26" t="s">
        <v>84</v>
      </c>
      <c r="D148" s="38" t="s">
        <v>93</v>
      </c>
      <c r="E148" s="26" t="s">
        <v>530</v>
      </c>
      <c r="F148" s="28">
        <v>720</v>
      </c>
      <c r="G148" s="28">
        <v>-500</v>
      </c>
      <c r="H148" s="28">
        <f>Cty_Viet_Anh[[#This Row],[ĐƠN GIÁ]]*Cty_Viet_Anh[[#This Row],[SỐ LƯỢNG]]</f>
        <v>-360000</v>
      </c>
      <c r="I148" s="28"/>
      <c r="J148" s="28">
        <f ca="1">N(INDIRECT("R[-1]C", FALSE)) + Cty_Viet_Anh[[#This Row],[THÀNH TIỀN]] - Cty_Viet_Anh[[#This Row],[THANH TOÁN]]</f>
        <v>-124374200</v>
      </c>
      <c r="K148" s="27"/>
    </row>
    <row r="149" spans="1:11" x14ac:dyDescent="0.25">
      <c r="A149" s="25">
        <v>5075</v>
      </c>
      <c r="B149" s="30">
        <v>46094</v>
      </c>
      <c r="C149" s="26" t="s">
        <v>84</v>
      </c>
      <c r="D149" s="38" t="s">
        <v>520</v>
      </c>
      <c r="E149" s="26" t="s">
        <v>528</v>
      </c>
      <c r="F149" s="28">
        <f>756+254</f>
        <v>1010</v>
      </c>
      <c r="G149" s="28">
        <v>-1000</v>
      </c>
      <c r="H149" s="28">
        <f>Cty_Viet_Anh[[#This Row],[ĐƠN GIÁ]]*Cty_Viet_Anh[[#This Row],[SỐ LƯỢNG]]</f>
        <v>-1010000</v>
      </c>
      <c r="I149" s="28"/>
      <c r="J149" s="28">
        <f ca="1">N(INDIRECT("R[-1]C", FALSE)) + Cty_Viet_Anh[[#This Row],[THÀNH TIỀN]] - Cty_Viet_Anh[[#This Row],[THANH TOÁN]]</f>
        <v>-125384200</v>
      </c>
      <c r="K149" s="27"/>
    </row>
    <row r="150" spans="1:11" x14ac:dyDescent="0.25">
      <c r="A150" s="25">
        <v>5078</v>
      </c>
      <c r="B150" s="30">
        <v>46094</v>
      </c>
      <c r="C150" s="26" t="s">
        <v>84</v>
      </c>
      <c r="D150" s="38" t="s">
        <v>93</v>
      </c>
      <c r="E150" s="26" t="s">
        <v>529</v>
      </c>
      <c r="F150" s="31">
        <f>1512+1324</f>
        <v>2836</v>
      </c>
      <c r="G150" s="31">
        <v>-500</v>
      </c>
      <c r="H150" s="31">
        <f>Cty_Viet_Anh[[#This Row],[ĐƠN GIÁ]]*Cty_Viet_Anh[[#This Row],[SỐ LƯỢNG]]</f>
        <v>-1418000</v>
      </c>
      <c r="I150" s="31"/>
      <c r="J150" s="31">
        <f ca="1">N(INDIRECT("R[-1]C", FALSE)) + Cty_Viet_Anh[[#This Row],[THÀNH TIỀN]] - Cty_Viet_Anh[[#This Row],[THANH TOÁN]]</f>
        <v>-126802200</v>
      </c>
      <c r="K150" s="24"/>
    </row>
    <row r="151" spans="1:11" x14ac:dyDescent="0.25">
      <c r="A151" s="25">
        <v>5078</v>
      </c>
      <c r="B151" s="30">
        <v>46094</v>
      </c>
      <c r="C151" s="26" t="s">
        <v>84</v>
      </c>
      <c r="D151" s="38" t="s">
        <v>520</v>
      </c>
      <c r="E151" s="26" t="s">
        <v>531</v>
      </c>
      <c r="F151" s="28">
        <f>1420</f>
        <v>1420</v>
      </c>
      <c r="G151" s="28">
        <v>-1000</v>
      </c>
      <c r="H151" s="28">
        <f>Cty_Viet_Anh[[#This Row],[ĐƠN GIÁ]]*Cty_Viet_Anh[[#This Row],[SỐ LƯỢNG]]</f>
        <v>-1420000</v>
      </c>
      <c r="I151" s="28"/>
      <c r="J151" s="28">
        <f ca="1">N(INDIRECT("R[-1]C", FALSE)) + Cty_Viet_Anh[[#This Row],[THÀNH TIỀN]] - Cty_Viet_Anh[[#This Row],[THANH TOÁN]]</f>
        <v>-128222200</v>
      </c>
      <c r="K151" s="27"/>
    </row>
    <row r="152" spans="1:11" x14ac:dyDescent="0.25">
      <c r="A152" s="25">
        <v>5078</v>
      </c>
      <c r="B152" s="30">
        <v>46094</v>
      </c>
      <c r="C152" s="26" t="s">
        <v>84</v>
      </c>
      <c r="D152" s="38" t="s">
        <v>526</v>
      </c>
      <c r="E152" s="26" t="s">
        <v>527</v>
      </c>
      <c r="F152" s="31">
        <v>426</v>
      </c>
      <c r="G152" s="31">
        <v>-1000</v>
      </c>
      <c r="H152" s="31">
        <f>Cty_Viet_Anh[[#This Row],[ĐƠN GIÁ]]*Cty_Viet_Anh[[#This Row],[SỐ LƯỢNG]]</f>
        <v>-426000</v>
      </c>
      <c r="I152" s="31"/>
      <c r="J152" s="31">
        <f ca="1">N(INDIRECT("R[-1]C", FALSE)) + Cty_Viet_Anh[[#This Row],[THÀNH TIỀN]] - Cty_Viet_Anh[[#This Row],[THANH TOÁN]]</f>
        <v>-128648200</v>
      </c>
      <c r="K152" s="24"/>
    </row>
    <row r="153" spans="1:11" x14ac:dyDescent="0.25">
      <c r="A153" s="25">
        <v>5080</v>
      </c>
      <c r="B153" s="30">
        <v>46094</v>
      </c>
      <c r="C153" s="26" t="s">
        <v>84</v>
      </c>
      <c r="D153" s="38" t="s">
        <v>77</v>
      </c>
      <c r="E153" s="26" t="s">
        <v>506</v>
      </c>
      <c r="F153" s="28">
        <f>1412+1198</f>
        <v>2610</v>
      </c>
      <c r="G153" s="28">
        <v>-500</v>
      </c>
      <c r="H153" s="28">
        <f>Cty_Viet_Anh[[#This Row],[ĐƠN GIÁ]]*Cty_Viet_Anh[[#This Row],[SỐ LƯỢNG]]</f>
        <v>-1305000</v>
      </c>
      <c r="I153" s="28"/>
      <c r="J153" s="28">
        <f ca="1">N(INDIRECT("R[-1]C", FALSE)) + Cty_Viet_Anh[[#This Row],[THÀNH TIỀN]] - Cty_Viet_Anh[[#This Row],[THANH TOÁN]]</f>
        <v>-129953200</v>
      </c>
      <c r="K153" s="27"/>
    </row>
    <row r="154" spans="1:11" x14ac:dyDescent="0.25">
      <c r="A154" s="25">
        <v>8067</v>
      </c>
      <c r="B154" s="30">
        <v>46094</v>
      </c>
      <c r="C154" s="26" t="s">
        <v>13</v>
      </c>
      <c r="D154" s="38" t="s">
        <v>43</v>
      </c>
      <c r="E154" s="49" t="s">
        <v>488</v>
      </c>
      <c r="F154" s="31">
        <f>578+550</f>
        <v>1128</v>
      </c>
      <c r="G154" s="31">
        <v>56500</v>
      </c>
      <c r="H154" s="31">
        <f>Cty_Viet_Anh[[#This Row],[ĐƠN GIÁ]]*Cty_Viet_Anh[[#This Row],[SỐ LƯỢNG]]</f>
        <v>63732000</v>
      </c>
      <c r="I154" s="31"/>
      <c r="J154" s="31">
        <f ca="1">N(INDIRECT("R[-1]C", FALSE)) + Cty_Viet_Anh[[#This Row],[THÀNH TIỀN]] - Cty_Viet_Anh[[#This Row],[THANH TOÁN]]</f>
        <v>-66221200</v>
      </c>
      <c r="K154" s="24"/>
    </row>
    <row r="155" spans="1:11" x14ac:dyDescent="0.25">
      <c r="A155" s="25">
        <v>8067</v>
      </c>
      <c r="B155" s="30">
        <v>46094</v>
      </c>
      <c r="C155" s="26" t="s">
        <v>13</v>
      </c>
      <c r="D155" s="38" t="s">
        <v>43</v>
      </c>
      <c r="E155" s="115" t="s">
        <v>255</v>
      </c>
      <c r="F155" s="28">
        <v>264</v>
      </c>
      <c r="G155" s="28">
        <v>56500</v>
      </c>
      <c r="H155" s="28">
        <f>Cty_Viet_Anh[[#This Row],[ĐƠN GIÁ]]*Cty_Viet_Anh[[#This Row],[SỐ LƯỢNG]]</f>
        <v>14916000</v>
      </c>
      <c r="I155" s="28"/>
      <c r="J155" s="28">
        <f ca="1">N(INDIRECT("R[-1]C", FALSE)) + Cty_Viet_Anh[[#This Row],[THÀNH TIỀN]] - Cty_Viet_Anh[[#This Row],[THANH TOÁN]]</f>
        <v>-51305200</v>
      </c>
      <c r="K155" s="27"/>
    </row>
    <row r="156" spans="1:11" x14ac:dyDescent="0.25">
      <c r="A156" s="25">
        <v>8070</v>
      </c>
      <c r="B156" s="30">
        <v>46094</v>
      </c>
      <c r="C156" s="26" t="s">
        <v>49</v>
      </c>
      <c r="D156" s="38" t="s">
        <v>17</v>
      </c>
      <c r="E156" s="115" t="s">
        <v>40</v>
      </c>
      <c r="F156" s="28">
        <v>5730</v>
      </c>
      <c r="G156" s="28"/>
      <c r="H156" s="28">
        <f>Cty_Viet_Anh[[#This Row],[ĐƠN GIÁ]]*Cty_Viet_Anh[[#This Row],[SỐ LƯỢNG]]</f>
        <v>0</v>
      </c>
      <c r="I156" s="28"/>
      <c r="J156" s="28">
        <f ca="1">N(INDIRECT("R[-1]C", FALSE)) + Cty_Viet_Anh[[#This Row],[THÀNH TIỀN]] - Cty_Viet_Anh[[#This Row],[THANH TOÁN]]</f>
        <v>-51305200</v>
      </c>
      <c r="K156" s="27"/>
    </row>
    <row r="157" spans="1:11" x14ac:dyDescent="0.25">
      <c r="A157" s="25">
        <v>8071</v>
      </c>
      <c r="B157" s="30">
        <v>46094</v>
      </c>
      <c r="C157" s="26" t="s">
        <v>49</v>
      </c>
      <c r="D157" s="38" t="s">
        <v>32</v>
      </c>
      <c r="E157" s="115" t="s">
        <v>40</v>
      </c>
      <c r="F157" s="28">
        <v>2324</v>
      </c>
      <c r="G157" s="28"/>
      <c r="H157" s="28">
        <f>Cty_Viet_Anh[[#This Row],[ĐƠN GIÁ]]*Cty_Viet_Anh[[#This Row],[SỐ LƯỢNG]]</f>
        <v>0</v>
      </c>
      <c r="I157" s="28"/>
      <c r="J157" s="28">
        <f ca="1">N(INDIRECT("R[-1]C", FALSE)) + Cty_Viet_Anh[[#This Row],[THÀNH TIỀN]] - Cty_Viet_Anh[[#This Row],[THANH TOÁN]]</f>
        <v>-51305200</v>
      </c>
      <c r="K157" s="27"/>
    </row>
    <row r="158" spans="1:11" x14ac:dyDescent="0.25">
      <c r="A158" s="25">
        <v>3</v>
      </c>
      <c r="B158" s="30">
        <v>46095</v>
      </c>
      <c r="C158" s="26" t="s">
        <v>426</v>
      </c>
      <c r="D158" s="38" t="s">
        <v>93</v>
      </c>
      <c r="E158" s="26" t="s">
        <v>62</v>
      </c>
      <c r="F158" s="31">
        <v>2190</v>
      </c>
      <c r="G158" s="31"/>
      <c r="H158" s="31">
        <f>Cty_Viet_Anh[[#This Row],[ĐƠN GIÁ]]*Cty_Viet_Anh[[#This Row],[SỐ LƯỢNG]]</f>
        <v>0</v>
      </c>
      <c r="I158" s="31"/>
      <c r="J158" s="31">
        <f ca="1">N(INDIRECT("R[-1]C", FALSE)) + Cty_Viet_Anh[[#This Row],[THÀNH TIỀN]] - Cty_Viet_Anh[[#This Row],[THANH TOÁN]]</f>
        <v>-51305200</v>
      </c>
      <c r="K158" s="24"/>
    </row>
    <row r="159" spans="1:11" x14ac:dyDescent="0.25">
      <c r="A159" s="25">
        <v>2458</v>
      </c>
      <c r="B159" s="30">
        <v>46095</v>
      </c>
      <c r="C159" s="26" t="s">
        <v>84</v>
      </c>
      <c r="D159" s="38" t="s">
        <v>270</v>
      </c>
      <c r="E159" s="26" t="s">
        <v>41</v>
      </c>
      <c r="F159" s="28">
        <v>4495</v>
      </c>
      <c r="G159" s="28">
        <v>-3000</v>
      </c>
      <c r="H159" s="28">
        <f>Cty_Viet_Anh[[#This Row],[ĐƠN GIÁ]]*Cty_Viet_Anh[[#This Row],[SỐ LƯỢNG]]</f>
        <v>-13485000</v>
      </c>
      <c r="I159" s="28"/>
      <c r="J159" s="28">
        <f ca="1">N(INDIRECT("R[-1]C", FALSE)) + Cty_Viet_Anh[[#This Row],[THÀNH TIỀN]] - Cty_Viet_Anh[[#This Row],[THANH TOÁN]]</f>
        <v>-64790200</v>
      </c>
      <c r="K159" s="27"/>
    </row>
    <row r="160" spans="1:11" x14ac:dyDescent="0.25">
      <c r="A160" s="25">
        <v>2458</v>
      </c>
      <c r="B160" s="30">
        <v>46095</v>
      </c>
      <c r="C160" s="26" t="s">
        <v>84</v>
      </c>
      <c r="D160" s="38" t="s">
        <v>270</v>
      </c>
      <c r="E160" s="26" t="s">
        <v>255</v>
      </c>
      <c r="F160" s="31">
        <v>418</v>
      </c>
      <c r="G160" s="31">
        <v>-3200</v>
      </c>
      <c r="H160" s="31">
        <f>Cty_Viet_Anh[[#This Row],[ĐƠN GIÁ]]*Cty_Viet_Anh[[#This Row],[SỐ LƯỢNG]]</f>
        <v>-1337600</v>
      </c>
      <c r="I160" s="31"/>
      <c r="J160" s="31">
        <f ca="1">N(INDIRECT("R[-1]C", FALSE)) + Cty_Viet_Anh[[#This Row],[THÀNH TIỀN]] - Cty_Viet_Anh[[#This Row],[THANH TOÁN]]</f>
        <v>-66127800</v>
      </c>
      <c r="K160" s="24"/>
    </row>
    <row r="161" spans="1:11" x14ac:dyDescent="0.25">
      <c r="A161" s="25">
        <v>5084</v>
      </c>
      <c r="B161" s="30">
        <v>46095</v>
      </c>
      <c r="C161" s="26" t="s">
        <v>84</v>
      </c>
      <c r="D161" s="38" t="s">
        <v>93</v>
      </c>
      <c r="E161" s="26" t="s">
        <v>508</v>
      </c>
      <c r="F161" s="28">
        <f>1088+1972</f>
        <v>3060</v>
      </c>
      <c r="G161" s="28">
        <v>-500</v>
      </c>
      <c r="H161" s="28">
        <f>Cty_Viet_Anh[[#This Row],[ĐƠN GIÁ]]*Cty_Viet_Anh[[#This Row],[SỐ LƯỢNG]]</f>
        <v>-1530000</v>
      </c>
      <c r="I161" s="28"/>
      <c r="J161" s="28">
        <f ca="1">N(INDIRECT("R[-1]C", FALSE)) + Cty_Viet_Anh[[#This Row],[THÀNH TIỀN]] - Cty_Viet_Anh[[#This Row],[THANH TOÁN]]</f>
        <v>-67657800</v>
      </c>
      <c r="K161" s="27"/>
    </row>
    <row r="162" spans="1:11" x14ac:dyDescent="0.25">
      <c r="A162" s="25">
        <v>5084</v>
      </c>
      <c r="B162" s="30">
        <v>46095</v>
      </c>
      <c r="C162" s="26" t="s">
        <v>84</v>
      </c>
      <c r="D162" s="38" t="s">
        <v>93</v>
      </c>
      <c r="E162" s="23" t="s">
        <v>506</v>
      </c>
      <c r="F162" s="31">
        <v>880</v>
      </c>
      <c r="G162" s="31">
        <v>-500</v>
      </c>
      <c r="H162" s="31">
        <f>Cty_Viet_Anh[[#This Row],[ĐƠN GIÁ]]*Cty_Viet_Anh[[#This Row],[SỐ LƯỢNG]]</f>
        <v>-440000</v>
      </c>
      <c r="I162" s="31"/>
      <c r="J162" s="31">
        <f ca="1">N(INDIRECT("R[-1]C", FALSE)) + Cty_Viet_Anh[[#This Row],[THÀNH TIỀN]] - Cty_Viet_Anh[[#This Row],[THANH TOÁN]]</f>
        <v>-68097800</v>
      </c>
      <c r="K162" s="24"/>
    </row>
    <row r="163" spans="1:11" x14ac:dyDescent="0.25">
      <c r="A163" s="25">
        <v>5084</v>
      </c>
      <c r="B163" s="30">
        <v>46095</v>
      </c>
      <c r="C163" s="26" t="s">
        <v>84</v>
      </c>
      <c r="D163" s="38" t="s">
        <v>93</v>
      </c>
      <c r="E163" s="26" t="s">
        <v>507</v>
      </c>
      <c r="F163" s="28">
        <v>1618</v>
      </c>
      <c r="G163" s="28">
        <v>-500</v>
      </c>
      <c r="H163" s="28">
        <f>Cty_Viet_Anh[[#This Row],[ĐƠN GIÁ]]*Cty_Viet_Anh[[#This Row],[SỐ LƯỢNG]]</f>
        <v>-809000</v>
      </c>
      <c r="I163" s="28"/>
      <c r="J163" s="28">
        <f ca="1">N(INDIRECT("R[-1]C", FALSE)) + Cty_Viet_Anh[[#This Row],[THÀNH TIỀN]] - Cty_Viet_Anh[[#This Row],[THANH TOÁN]]</f>
        <v>-68906800</v>
      </c>
      <c r="K163" s="27"/>
    </row>
    <row r="164" spans="1:11" x14ac:dyDescent="0.25">
      <c r="A164" s="25">
        <v>5084</v>
      </c>
      <c r="B164" s="30">
        <v>46095</v>
      </c>
      <c r="C164" s="26" t="s">
        <v>84</v>
      </c>
      <c r="D164" s="37" t="s">
        <v>93</v>
      </c>
      <c r="E164" s="23" t="s">
        <v>532</v>
      </c>
      <c r="F164" s="31">
        <v>1536</v>
      </c>
      <c r="G164" s="31">
        <v>-500</v>
      </c>
      <c r="H164" s="31">
        <f>Cty_Viet_Anh[[#This Row],[ĐƠN GIÁ]]*Cty_Viet_Anh[[#This Row],[SỐ LƯỢNG]]</f>
        <v>-768000</v>
      </c>
      <c r="I164" s="31"/>
      <c r="J164" s="31">
        <f ca="1">N(INDIRECT("R[-1]C", FALSE)) + Cty_Viet_Anh[[#This Row],[THÀNH TIỀN]] - Cty_Viet_Anh[[#This Row],[THANH TOÁN]]</f>
        <v>-69674800</v>
      </c>
      <c r="K164" s="24"/>
    </row>
    <row r="165" spans="1:11" x14ac:dyDescent="0.25">
      <c r="A165" s="25">
        <v>8077</v>
      </c>
      <c r="B165" s="30">
        <v>46095</v>
      </c>
      <c r="C165" s="26" t="s">
        <v>49</v>
      </c>
      <c r="D165" s="37" t="s">
        <v>17</v>
      </c>
      <c r="E165" s="49" t="s">
        <v>489</v>
      </c>
      <c r="F165" s="31">
        <f>572+526+514</f>
        <v>1612</v>
      </c>
      <c r="G165" s="31"/>
      <c r="H165" s="31">
        <f>Cty_Viet_Anh[[#This Row],[ĐƠN GIÁ]]*Cty_Viet_Anh[[#This Row],[SỐ LƯỢNG]]</f>
        <v>0</v>
      </c>
      <c r="I165" s="31"/>
      <c r="J165" s="31">
        <f ca="1">N(INDIRECT("R[-1]C", FALSE)) + Cty_Viet_Anh[[#This Row],[THÀNH TIỀN]] - Cty_Viet_Anh[[#This Row],[THANH TOÁN]]</f>
        <v>-69674800</v>
      </c>
      <c r="K165" s="24"/>
    </row>
    <row r="166" spans="1:11" x14ac:dyDescent="0.25">
      <c r="A166" s="25">
        <v>8095</v>
      </c>
      <c r="B166" s="30">
        <v>46095</v>
      </c>
      <c r="C166" s="26" t="s">
        <v>49</v>
      </c>
      <c r="D166" s="37" t="s">
        <v>43</v>
      </c>
      <c r="E166" s="49" t="s">
        <v>251</v>
      </c>
      <c r="F166" s="31">
        <v>552</v>
      </c>
      <c r="G166" s="31"/>
      <c r="H166" s="31">
        <f>Cty_Viet_Anh[[#This Row],[ĐƠN GIÁ]]*Cty_Viet_Anh[[#This Row],[SỐ LƯỢNG]]</f>
        <v>0</v>
      </c>
      <c r="I166" s="31"/>
      <c r="J166" s="31">
        <f ca="1">N(INDIRECT("R[-1]C", FALSE)) + Cty_Viet_Anh[[#This Row],[THÀNH TIỀN]] - Cty_Viet_Anh[[#This Row],[THANH TOÁN]]</f>
        <v>-69674800</v>
      </c>
      <c r="K166" s="24"/>
    </row>
    <row r="167" spans="1:11" x14ac:dyDescent="0.25">
      <c r="A167" s="25">
        <v>2463</v>
      </c>
      <c r="B167" s="30">
        <v>46097</v>
      </c>
      <c r="C167" s="26" t="s">
        <v>84</v>
      </c>
      <c r="D167" s="38" t="s">
        <v>270</v>
      </c>
      <c r="E167" s="26" t="s">
        <v>134</v>
      </c>
      <c r="F167" s="28">
        <v>2582</v>
      </c>
      <c r="G167" s="28">
        <v>-1700</v>
      </c>
      <c r="H167" s="28">
        <f>Cty_Viet_Anh[[#This Row],[ĐƠN GIÁ]]*Cty_Viet_Anh[[#This Row],[SỐ LƯỢNG]]</f>
        <v>-4389400</v>
      </c>
      <c r="I167" s="28"/>
      <c r="J167" s="28">
        <f ca="1">N(INDIRECT("R[-1]C", FALSE)) + Cty_Viet_Anh[[#This Row],[THÀNH TIỀN]] - Cty_Viet_Anh[[#This Row],[THANH TOÁN]]</f>
        <v>-74064200</v>
      </c>
      <c r="K167" s="27"/>
    </row>
    <row r="168" spans="1:11" x14ac:dyDescent="0.25">
      <c r="A168" s="25">
        <v>2463</v>
      </c>
      <c r="B168" s="30">
        <v>46097</v>
      </c>
      <c r="C168" s="26" t="s">
        <v>84</v>
      </c>
      <c r="D168" s="38" t="s">
        <v>93</v>
      </c>
      <c r="E168" s="26" t="s">
        <v>2531</v>
      </c>
      <c r="F168" s="31">
        <v>1788</v>
      </c>
      <c r="G168" s="31"/>
      <c r="H168" s="31">
        <f>Cty_Viet_Anh[[#This Row],[ĐƠN GIÁ]]*Cty_Viet_Anh[[#This Row],[SỐ LƯỢNG]]</f>
        <v>0</v>
      </c>
      <c r="I168" s="31"/>
      <c r="J168" s="31">
        <f ca="1">N(INDIRECT("R[-1]C", FALSE)) + Cty_Viet_Anh[[#This Row],[THÀNH TIỀN]] - Cty_Viet_Anh[[#This Row],[THANH TOÁN]]</f>
        <v>-74064200</v>
      </c>
      <c r="K168" s="24"/>
    </row>
    <row r="169" spans="1:11" x14ac:dyDescent="0.25">
      <c r="A169" s="22">
        <v>2464</v>
      </c>
      <c r="B169" s="29">
        <v>46097</v>
      </c>
      <c r="C169" s="23" t="s">
        <v>84</v>
      </c>
      <c r="D169" s="37" t="s">
        <v>270</v>
      </c>
      <c r="E169" s="23" t="s">
        <v>251</v>
      </c>
      <c r="F169" s="31">
        <v>554</v>
      </c>
      <c r="G169" s="31">
        <v>-3200</v>
      </c>
      <c r="H169" s="31">
        <f>Cty_Viet_Anh[[#This Row],[ĐƠN GIÁ]]*Cty_Viet_Anh[[#This Row],[SỐ LƯỢNG]]</f>
        <v>-1772800</v>
      </c>
      <c r="I169" s="31"/>
      <c r="J169" s="31">
        <f ca="1">N(INDIRECT("R[-1]C", FALSE)) + Cty_Viet_Anh[[#This Row],[THÀNH TIỀN]] - Cty_Viet_Anh[[#This Row],[THANH TOÁN]]</f>
        <v>-75837000</v>
      </c>
      <c r="K169" s="24"/>
    </row>
    <row r="170" spans="1:11" x14ac:dyDescent="0.25">
      <c r="A170" s="25">
        <v>5085</v>
      </c>
      <c r="B170" s="30">
        <v>46097</v>
      </c>
      <c r="C170" s="26" t="s">
        <v>84</v>
      </c>
      <c r="D170" s="38" t="s">
        <v>93</v>
      </c>
      <c r="E170" s="26" t="s">
        <v>508</v>
      </c>
      <c r="F170" s="28">
        <f>1722+1972</f>
        <v>3694</v>
      </c>
      <c r="G170" s="28">
        <v>-500</v>
      </c>
      <c r="H170" s="28">
        <f>Cty_Viet_Anh[[#This Row],[ĐƠN GIÁ]]*Cty_Viet_Anh[[#This Row],[SỐ LƯỢNG]]</f>
        <v>-1847000</v>
      </c>
      <c r="I170" s="28"/>
      <c r="J170" s="28">
        <f ca="1">N(INDIRECT("R[-1]C", FALSE)) + Cty_Viet_Anh[[#This Row],[THÀNH TIỀN]] - Cty_Viet_Anh[[#This Row],[THANH TOÁN]]</f>
        <v>-77684000</v>
      </c>
      <c r="K170" s="27"/>
    </row>
    <row r="171" spans="1:11" x14ac:dyDescent="0.25">
      <c r="A171" s="25">
        <v>5090</v>
      </c>
      <c r="B171" s="30">
        <v>46097</v>
      </c>
      <c r="C171" s="26" t="s">
        <v>84</v>
      </c>
      <c r="D171" s="38" t="s">
        <v>93</v>
      </c>
      <c r="E171" s="23" t="s">
        <v>534</v>
      </c>
      <c r="F171" s="31">
        <f>1836+1930</f>
        <v>3766</v>
      </c>
      <c r="G171" s="31">
        <v>-500</v>
      </c>
      <c r="H171" s="31">
        <f>Cty_Viet_Anh[[#This Row],[ĐƠN GIÁ]]*Cty_Viet_Anh[[#This Row],[SỐ LƯỢNG]]</f>
        <v>-1883000</v>
      </c>
      <c r="I171" s="31"/>
      <c r="J171" s="31">
        <f ca="1">N(INDIRECT("R[-1]C", FALSE)) + Cty_Viet_Anh[[#This Row],[THÀNH TIỀN]] - Cty_Viet_Anh[[#This Row],[THANH TOÁN]]</f>
        <v>-79567000</v>
      </c>
      <c r="K171" s="24"/>
    </row>
    <row r="172" spans="1:11" x14ac:dyDescent="0.25">
      <c r="A172" s="22">
        <v>5090</v>
      </c>
      <c r="B172" s="29">
        <v>46097</v>
      </c>
      <c r="C172" s="23" t="s">
        <v>426</v>
      </c>
      <c r="D172" s="37" t="s">
        <v>93</v>
      </c>
      <c r="E172" s="23" t="s">
        <v>2531</v>
      </c>
      <c r="F172" s="31">
        <v>2528</v>
      </c>
      <c r="G172" s="31"/>
      <c r="H172" s="31">
        <f>Cty_Viet_Anh[[#This Row],[ĐƠN GIÁ]]*Cty_Viet_Anh[[#This Row],[SỐ LƯỢNG]]</f>
        <v>0</v>
      </c>
      <c r="I172" s="31"/>
      <c r="J172" s="31">
        <f ca="1">N(INDIRECT("R[-1]C", FALSE)) + Cty_Viet_Anh[[#This Row],[THÀNH TIỀN]] - Cty_Viet_Anh[[#This Row],[THANH TOÁN]]</f>
        <v>-79567000</v>
      </c>
      <c r="K172" s="24"/>
    </row>
    <row r="173" spans="1:11" x14ac:dyDescent="0.25">
      <c r="A173" s="22">
        <v>5092</v>
      </c>
      <c r="B173" s="29">
        <v>46097</v>
      </c>
      <c r="C173" s="23" t="s">
        <v>84</v>
      </c>
      <c r="D173" s="37" t="s">
        <v>93</v>
      </c>
      <c r="E173" s="23" t="s">
        <v>533</v>
      </c>
      <c r="F173" s="31">
        <v>2156</v>
      </c>
      <c r="G173" s="31">
        <v>-500</v>
      </c>
      <c r="H173" s="31">
        <f>Cty_Viet_Anh[[#This Row],[ĐƠN GIÁ]]*Cty_Viet_Anh[[#This Row],[SỐ LƯỢNG]]</f>
        <v>-1078000</v>
      </c>
      <c r="I173" s="31"/>
      <c r="J173" s="31">
        <f ca="1">N(INDIRECT("R[-1]C", FALSE)) + Cty_Viet_Anh[[#This Row],[THÀNH TIỀN]] - Cty_Viet_Anh[[#This Row],[THANH TOÁN]]</f>
        <v>-80645000</v>
      </c>
      <c r="K173" s="24"/>
    </row>
    <row r="174" spans="1:11" x14ac:dyDescent="0.25">
      <c r="A174" s="22">
        <v>5092</v>
      </c>
      <c r="B174" s="29">
        <v>46097</v>
      </c>
      <c r="C174" s="23" t="s">
        <v>84</v>
      </c>
      <c r="D174" s="37" t="s">
        <v>93</v>
      </c>
      <c r="E174" s="23" t="s">
        <v>2532</v>
      </c>
      <c r="F174" s="31">
        <v>1314</v>
      </c>
      <c r="G174" s="31">
        <v>-500</v>
      </c>
      <c r="H174" s="31">
        <f>Cty_Viet_Anh[[#This Row],[ĐƠN GIÁ]]*Cty_Viet_Anh[[#This Row],[SỐ LƯỢNG]]</f>
        <v>-657000</v>
      </c>
      <c r="I174" s="31"/>
      <c r="J174" s="31">
        <f ca="1">N(INDIRECT("R[-1]C", FALSE)) + Cty_Viet_Anh[[#This Row],[THÀNH TIỀN]] - Cty_Viet_Anh[[#This Row],[THANH TOÁN]]</f>
        <v>-81302000</v>
      </c>
      <c r="K174" s="24"/>
    </row>
    <row r="175" spans="1:11" x14ac:dyDescent="0.25">
      <c r="A175" s="22">
        <v>8103</v>
      </c>
      <c r="B175" s="29">
        <v>46097</v>
      </c>
      <c r="C175" s="23" t="s">
        <v>49</v>
      </c>
      <c r="D175" s="37" t="s">
        <v>17</v>
      </c>
      <c r="E175" s="49" t="s">
        <v>415</v>
      </c>
      <c r="F175" s="31">
        <v>3810</v>
      </c>
      <c r="G175" s="31"/>
      <c r="H175" s="31">
        <f>Cty_Viet_Anh[[#This Row],[ĐƠN GIÁ]]*Cty_Viet_Anh[[#This Row],[SỐ LƯỢNG]]</f>
        <v>0</v>
      </c>
      <c r="I175" s="31"/>
      <c r="J175" s="31">
        <f ca="1">N(INDIRECT("R[-1]C", FALSE)) + Cty_Viet_Anh[[#This Row],[THÀNH TIỀN]] - Cty_Viet_Anh[[#This Row],[THANH TOÁN]]</f>
        <v>-81302000</v>
      </c>
      <c r="K175" s="24"/>
    </row>
    <row r="176" spans="1:11" x14ac:dyDescent="0.25">
      <c r="A176" s="22">
        <v>8103</v>
      </c>
      <c r="B176" s="29">
        <v>46097</v>
      </c>
      <c r="C176" s="23" t="s">
        <v>49</v>
      </c>
      <c r="D176" s="37" t="s">
        <v>17</v>
      </c>
      <c r="E176" s="49" t="s">
        <v>490</v>
      </c>
      <c r="F176" s="31">
        <v>3508</v>
      </c>
      <c r="G176" s="31"/>
      <c r="H176" s="31">
        <f>Cty_Viet_Anh[[#This Row],[ĐƠN GIÁ]]*Cty_Viet_Anh[[#This Row],[SỐ LƯỢNG]]</f>
        <v>0</v>
      </c>
      <c r="I176" s="31"/>
      <c r="J176" s="31">
        <f ca="1">N(INDIRECT("R[-1]C", FALSE)) + Cty_Viet_Anh[[#This Row],[THÀNH TIỀN]] - Cty_Viet_Anh[[#This Row],[THANH TOÁN]]</f>
        <v>-81302000</v>
      </c>
      <c r="K176" s="24"/>
    </row>
    <row r="177" spans="1:11" x14ac:dyDescent="0.25">
      <c r="A177" s="22">
        <v>8116</v>
      </c>
      <c r="B177" s="29">
        <v>46097</v>
      </c>
      <c r="C177" s="23" t="s">
        <v>49</v>
      </c>
      <c r="D177" s="37" t="s">
        <v>43</v>
      </c>
      <c r="E177" s="49" t="s">
        <v>134</v>
      </c>
      <c r="F177" s="31">
        <v>4370</v>
      </c>
      <c r="G177" s="31"/>
      <c r="H177" s="31">
        <f>Cty_Viet_Anh[[#This Row],[ĐƠN GIÁ]]*Cty_Viet_Anh[[#This Row],[SỐ LƯỢNG]]</f>
        <v>0</v>
      </c>
      <c r="I177" s="31"/>
      <c r="J177" s="31">
        <f ca="1">N(INDIRECT("R[-1]C", FALSE)) + Cty_Viet_Anh[[#This Row],[THÀNH TIỀN]] - Cty_Viet_Anh[[#This Row],[THANH TOÁN]]</f>
        <v>-81302000</v>
      </c>
      <c r="K177" s="24"/>
    </row>
    <row r="178" spans="1:11" x14ac:dyDescent="0.25">
      <c r="A178" s="22">
        <v>5099</v>
      </c>
      <c r="B178" s="29">
        <v>46098</v>
      </c>
      <c r="C178" s="23" t="s">
        <v>84</v>
      </c>
      <c r="D178" s="37" t="s">
        <v>93</v>
      </c>
      <c r="E178" s="23" t="s">
        <v>230</v>
      </c>
      <c r="F178" s="31">
        <v>1320</v>
      </c>
      <c r="G178" s="31">
        <v>-500</v>
      </c>
      <c r="H178" s="31">
        <f>Cty_Viet_Anh[[#This Row],[ĐƠN GIÁ]]*Cty_Viet_Anh[[#This Row],[SỐ LƯỢNG]]</f>
        <v>-660000</v>
      </c>
      <c r="I178" s="31"/>
      <c r="J178" s="31">
        <f ca="1">N(INDIRECT("R[-1]C", FALSE)) + Cty_Viet_Anh[[#This Row],[THÀNH TIỀN]] - Cty_Viet_Anh[[#This Row],[THANH TOÁN]]</f>
        <v>-81962000</v>
      </c>
      <c r="K178" s="24"/>
    </row>
    <row r="179" spans="1:11" x14ac:dyDescent="0.25">
      <c r="A179" s="22">
        <v>5099</v>
      </c>
      <c r="B179" s="29">
        <v>46098</v>
      </c>
      <c r="C179" s="23" t="s">
        <v>426</v>
      </c>
      <c r="D179" s="37" t="s">
        <v>93</v>
      </c>
      <c r="E179" s="23" t="s">
        <v>2531</v>
      </c>
      <c r="F179" s="31">
        <v>1244</v>
      </c>
      <c r="G179" s="31"/>
      <c r="H179" s="31">
        <f>Cty_Viet_Anh[[#This Row],[ĐƠN GIÁ]]*Cty_Viet_Anh[[#This Row],[SỐ LƯỢNG]]</f>
        <v>0</v>
      </c>
      <c r="I179" s="31"/>
      <c r="J179" s="31">
        <f ca="1">N(INDIRECT("R[-1]C", FALSE)) + Cty_Viet_Anh[[#This Row],[THÀNH TIỀN]] - Cty_Viet_Anh[[#This Row],[THANH TOÁN]]</f>
        <v>-81962000</v>
      </c>
      <c r="K179" s="24"/>
    </row>
    <row r="180" spans="1:11" x14ac:dyDescent="0.25">
      <c r="A180" s="22">
        <v>8140</v>
      </c>
      <c r="B180" s="29">
        <v>46098</v>
      </c>
      <c r="C180" s="23" t="s">
        <v>49</v>
      </c>
      <c r="D180" s="37" t="s">
        <v>17</v>
      </c>
      <c r="E180" s="49" t="s">
        <v>230</v>
      </c>
      <c r="F180" s="31">
        <v>2540</v>
      </c>
      <c r="G180" s="31"/>
      <c r="H180" s="31">
        <f>Cty_Viet_Anh[[#This Row],[ĐƠN GIÁ]]*Cty_Viet_Anh[[#This Row],[SỐ LƯỢNG]]</f>
        <v>0</v>
      </c>
      <c r="I180" s="31"/>
      <c r="J180" s="31">
        <f ca="1">N(INDIRECT("R[-1]C", FALSE)) + Cty_Viet_Anh[[#This Row],[THÀNH TIỀN]] - Cty_Viet_Anh[[#This Row],[THANH TOÁN]]</f>
        <v>-81962000</v>
      </c>
      <c r="K180" s="24"/>
    </row>
    <row r="181" spans="1:11" x14ac:dyDescent="0.25">
      <c r="A181" s="22">
        <v>8148</v>
      </c>
      <c r="B181" s="29">
        <v>46098</v>
      </c>
      <c r="C181" s="23" t="s">
        <v>49</v>
      </c>
      <c r="D181" s="37" t="s">
        <v>17</v>
      </c>
      <c r="E181" s="49" t="s">
        <v>491</v>
      </c>
      <c r="F181" s="31">
        <f>405+447+427+498+445+377+433+463+553+474+462-13+490-13</f>
        <v>5448</v>
      </c>
      <c r="G181" s="31"/>
      <c r="H181" s="31">
        <f>Cty_Viet_Anh[[#This Row],[ĐƠN GIÁ]]*Cty_Viet_Anh[[#This Row],[SỐ LƯỢNG]]</f>
        <v>0</v>
      </c>
      <c r="I181" s="31"/>
      <c r="J181" s="31">
        <f ca="1">N(INDIRECT("R[-1]C", FALSE)) + Cty_Viet_Anh[[#This Row],[THÀNH TIỀN]] - Cty_Viet_Anh[[#This Row],[THANH TOÁN]]</f>
        <v>-81962000</v>
      </c>
      <c r="K181" s="24"/>
    </row>
    <row r="182" spans="1:11" x14ac:dyDescent="0.25">
      <c r="A182" s="22">
        <v>8156</v>
      </c>
      <c r="B182" s="29">
        <v>46098</v>
      </c>
      <c r="C182" s="23" t="s">
        <v>49</v>
      </c>
      <c r="D182" s="37" t="s">
        <v>355</v>
      </c>
      <c r="E182" s="49" t="s">
        <v>134</v>
      </c>
      <c r="F182" s="31">
        <v>1416</v>
      </c>
      <c r="G182" s="31"/>
      <c r="H182" s="31">
        <f>Cty_Viet_Anh[[#This Row],[ĐƠN GIÁ]]*Cty_Viet_Anh[[#This Row],[SỐ LƯỢNG]]</f>
        <v>0</v>
      </c>
      <c r="I182" s="31"/>
      <c r="J182" s="31">
        <f ca="1">N(INDIRECT("R[-1]C", FALSE)) + Cty_Viet_Anh[[#This Row],[THÀNH TIỀN]] - Cty_Viet_Anh[[#This Row],[THANH TOÁN]]</f>
        <v>-81962000</v>
      </c>
      <c r="K182" s="24"/>
    </row>
    <row r="183" spans="1:11" x14ac:dyDescent="0.25">
      <c r="A183" s="22">
        <v>8160</v>
      </c>
      <c r="B183" s="29">
        <v>46098</v>
      </c>
      <c r="C183" s="23" t="s">
        <v>49</v>
      </c>
      <c r="D183" s="37" t="s">
        <v>17</v>
      </c>
      <c r="E183" s="49" t="s">
        <v>492</v>
      </c>
      <c r="F183" s="31">
        <v>5670</v>
      </c>
      <c r="G183" s="31"/>
      <c r="H183" s="31">
        <f>Cty_Viet_Anh[[#This Row],[ĐƠN GIÁ]]*Cty_Viet_Anh[[#This Row],[SỐ LƯỢNG]]</f>
        <v>0</v>
      </c>
      <c r="I183" s="31"/>
      <c r="J183" s="31">
        <f ca="1">N(INDIRECT("R[-1]C", FALSE)) + Cty_Viet_Anh[[#This Row],[THÀNH TIỀN]] - Cty_Viet_Anh[[#This Row],[THANH TOÁN]]</f>
        <v>-81962000</v>
      </c>
      <c r="K183" s="24"/>
    </row>
    <row r="184" spans="1:11" x14ac:dyDescent="0.25">
      <c r="A184" s="22">
        <v>8165</v>
      </c>
      <c r="B184" s="29">
        <v>46098</v>
      </c>
      <c r="C184" s="23" t="s">
        <v>49</v>
      </c>
      <c r="D184" s="37" t="s">
        <v>26</v>
      </c>
      <c r="E184" s="49" t="s">
        <v>78</v>
      </c>
      <c r="F184" s="31">
        <v>851</v>
      </c>
      <c r="G184" s="31"/>
      <c r="H184" s="31">
        <f>Cty_Viet_Anh[[#This Row],[ĐƠN GIÁ]]*Cty_Viet_Anh[[#This Row],[SỐ LƯỢNG]]</f>
        <v>0</v>
      </c>
      <c r="I184" s="31"/>
      <c r="J184" s="31">
        <f ca="1">N(INDIRECT("R[-1]C", FALSE)) + Cty_Viet_Anh[[#This Row],[THÀNH TIỀN]] - Cty_Viet_Anh[[#This Row],[THANH TOÁN]]</f>
        <v>-81962000</v>
      </c>
      <c r="K184" s="24"/>
    </row>
    <row r="185" spans="1:11" x14ac:dyDescent="0.25">
      <c r="A185" s="22">
        <v>8165</v>
      </c>
      <c r="B185" s="29">
        <v>46098</v>
      </c>
      <c r="C185" s="23" t="s">
        <v>49</v>
      </c>
      <c r="D185" s="37" t="s">
        <v>43</v>
      </c>
      <c r="E185" s="49" t="s">
        <v>78</v>
      </c>
      <c r="F185" s="31">
        <v>1031</v>
      </c>
      <c r="G185" s="31"/>
      <c r="H185" s="31">
        <f>Cty_Viet_Anh[[#This Row],[ĐƠN GIÁ]]*Cty_Viet_Anh[[#This Row],[SỐ LƯỢNG]]</f>
        <v>0</v>
      </c>
      <c r="I185" s="31"/>
      <c r="J185" s="31">
        <f ca="1">N(INDIRECT("R[-1]C", FALSE)) + Cty_Viet_Anh[[#This Row],[THÀNH TIỀN]] - Cty_Viet_Anh[[#This Row],[THANH TOÁN]]</f>
        <v>-81962000</v>
      </c>
      <c r="K185" s="24"/>
    </row>
    <row r="186" spans="1:11" x14ac:dyDescent="0.25">
      <c r="A186" s="22">
        <v>2477</v>
      </c>
      <c r="B186" s="29">
        <v>46099</v>
      </c>
      <c r="C186" s="23" t="s">
        <v>84</v>
      </c>
      <c r="D186" s="37" t="s">
        <v>535</v>
      </c>
      <c r="E186" s="23" t="s">
        <v>134</v>
      </c>
      <c r="F186" s="31">
        <v>1416</v>
      </c>
      <c r="G186" s="31">
        <v>-1300</v>
      </c>
      <c r="H186" s="31">
        <f>Cty_Viet_Anh[[#This Row],[ĐƠN GIÁ]]*Cty_Viet_Anh[[#This Row],[SỐ LƯỢNG]]</f>
        <v>-1840800</v>
      </c>
      <c r="I186" s="31"/>
      <c r="J186" s="31">
        <f ca="1">N(INDIRECT("R[-1]C", FALSE)) + Cty_Viet_Anh[[#This Row],[THÀNH TIỀN]] - Cty_Viet_Anh[[#This Row],[THANH TOÁN]]</f>
        <v>-83802800</v>
      </c>
      <c r="K186" s="24"/>
    </row>
    <row r="187" spans="1:11" x14ac:dyDescent="0.25">
      <c r="A187" s="22">
        <v>8169</v>
      </c>
      <c r="B187" s="29">
        <v>46099</v>
      </c>
      <c r="C187" s="23" t="s">
        <v>49</v>
      </c>
      <c r="D187" s="37" t="s">
        <v>43</v>
      </c>
      <c r="E187" s="49" t="s">
        <v>134</v>
      </c>
      <c r="F187" s="31">
        <v>1788</v>
      </c>
      <c r="G187" s="31"/>
      <c r="H187" s="31">
        <f>Cty_Viet_Anh[[#This Row],[ĐƠN GIÁ]]*Cty_Viet_Anh[[#This Row],[SỐ LƯỢNG]]</f>
        <v>0</v>
      </c>
      <c r="I187" s="31"/>
      <c r="J187" s="31">
        <f ca="1">N(INDIRECT("R[-1]C", FALSE)) + Cty_Viet_Anh[[#This Row],[THÀNH TIỀN]] - Cty_Viet_Anh[[#This Row],[THANH TOÁN]]</f>
        <v>-83802800</v>
      </c>
      <c r="K187" s="24"/>
    </row>
    <row r="188" spans="1:11" x14ac:dyDescent="0.25">
      <c r="A188" s="22">
        <v>8169</v>
      </c>
      <c r="B188" s="29">
        <v>46099</v>
      </c>
      <c r="C188" s="23" t="s">
        <v>49</v>
      </c>
      <c r="D188" s="37" t="s">
        <v>43</v>
      </c>
      <c r="E188" s="49" t="s">
        <v>282</v>
      </c>
      <c r="F188" s="31">
        <v>1942</v>
      </c>
      <c r="G188" s="31"/>
      <c r="H188" s="31">
        <f>Cty_Viet_Anh[[#This Row],[ĐƠN GIÁ]]*Cty_Viet_Anh[[#This Row],[SỐ LƯỢNG]]</f>
        <v>0</v>
      </c>
      <c r="I188" s="31"/>
      <c r="J188" s="31">
        <f ca="1">N(INDIRECT("R[-1]C", FALSE)) + Cty_Viet_Anh[[#This Row],[THÀNH TIỀN]] - Cty_Viet_Anh[[#This Row],[THANH TOÁN]]</f>
        <v>-83802800</v>
      </c>
      <c r="K188" s="24"/>
    </row>
    <row r="189" spans="1:11" x14ac:dyDescent="0.25">
      <c r="A189" s="22">
        <v>8170</v>
      </c>
      <c r="B189" s="29">
        <v>46099</v>
      </c>
      <c r="C189" s="23" t="s">
        <v>49</v>
      </c>
      <c r="D189" s="37" t="s">
        <v>26</v>
      </c>
      <c r="E189" s="49" t="s">
        <v>446</v>
      </c>
      <c r="F189" s="31">
        <v>894</v>
      </c>
      <c r="G189" s="31"/>
      <c r="H189" s="31">
        <f>Cty_Viet_Anh[[#This Row],[ĐƠN GIÁ]]*Cty_Viet_Anh[[#This Row],[SỐ LƯỢNG]]</f>
        <v>0</v>
      </c>
      <c r="I189" s="31"/>
      <c r="J189" s="31">
        <f ca="1">N(INDIRECT("R[-1]C", FALSE)) + Cty_Viet_Anh[[#This Row],[THÀNH TIỀN]] - Cty_Viet_Anh[[#This Row],[THANH TOÁN]]</f>
        <v>-83802800</v>
      </c>
      <c r="K189" s="24"/>
    </row>
    <row r="190" spans="1:11" x14ac:dyDescent="0.25">
      <c r="A190" s="22">
        <v>8170</v>
      </c>
      <c r="B190" s="29">
        <v>46099</v>
      </c>
      <c r="C190" s="23" t="s">
        <v>49</v>
      </c>
      <c r="D190" s="37" t="s">
        <v>26</v>
      </c>
      <c r="E190" s="49" t="s">
        <v>446</v>
      </c>
      <c r="F190" s="31">
        <v>926</v>
      </c>
      <c r="G190" s="31"/>
      <c r="H190" s="31">
        <f>Cty_Viet_Anh[[#This Row],[ĐƠN GIÁ]]*Cty_Viet_Anh[[#This Row],[SỐ LƯỢNG]]</f>
        <v>0</v>
      </c>
      <c r="I190" s="31"/>
      <c r="J190" s="31">
        <f ca="1">N(INDIRECT("R[-1]C", FALSE)) + Cty_Viet_Anh[[#This Row],[THÀNH TIỀN]] - Cty_Viet_Anh[[#This Row],[THANH TOÁN]]</f>
        <v>-83802800</v>
      </c>
      <c r="K190" s="24"/>
    </row>
    <row r="191" spans="1:11" x14ac:dyDescent="0.25">
      <c r="A191" s="22">
        <v>2486</v>
      </c>
      <c r="B191" s="29">
        <v>46100</v>
      </c>
      <c r="C191" s="23" t="s">
        <v>84</v>
      </c>
      <c r="D191" s="37" t="s">
        <v>265</v>
      </c>
      <c r="E191" s="23" t="s">
        <v>134</v>
      </c>
      <c r="F191" s="31">
        <v>542</v>
      </c>
      <c r="G191" s="31">
        <v>-2800</v>
      </c>
      <c r="H191" s="31">
        <f>Cty_Viet_Anh[[#This Row],[ĐƠN GIÁ]]*Cty_Viet_Anh[[#This Row],[SỐ LƯỢNG]]</f>
        <v>-1517600</v>
      </c>
      <c r="I191" s="31"/>
      <c r="J191" s="31">
        <f ca="1">N(INDIRECT("R[-1]C", FALSE)) + Cty_Viet_Anh[[#This Row],[THÀNH TIỀN]] - Cty_Viet_Anh[[#This Row],[THANH TOÁN]]</f>
        <v>-85320400</v>
      </c>
      <c r="K191" s="24"/>
    </row>
    <row r="192" spans="1:11" x14ac:dyDescent="0.25">
      <c r="A192" s="22">
        <v>2486</v>
      </c>
      <c r="B192" s="29">
        <v>46100</v>
      </c>
      <c r="C192" s="23" t="s">
        <v>84</v>
      </c>
      <c r="D192" s="37" t="s">
        <v>265</v>
      </c>
      <c r="E192" s="23" t="s">
        <v>146</v>
      </c>
      <c r="F192" s="31">
        <v>534</v>
      </c>
      <c r="G192" s="31">
        <v>-3000</v>
      </c>
      <c r="H192" s="31">
        <f>Cty_Viet_Anh[[#This Row],[ĐƠN GIÁ]]*Cty_Viet_Anh[[#This Row],[SỐ LƯỢNG]]</f>
        <v>-1602000</v>
      </c>
      <c r="I192" s="31"/>
      <c r="J192" s="31">
        <f ca="1">N(INDIRECT("R[-1]C", FALSE)) + Cty_Viet_Anh[[#This Row],[THÀNH TIỀN]] - Cty_Viet_Anh[[#This Row],[THANH TOÁN]]</f>
        <v>-86922400</v>
      </c>
      <c r="K192" s="24"/>
    </row>
    <row r="193" spans="1:11" x14ac:dyDescent="0.25">
      <c r="A193" s="22">
        <v>2489</v>
      </c>
      <c r="B193" s="29">
        <v>46100</v>
      </c>
      <c r="C193" s="23" t="s">
        <v>84</v>
      </c>
      <c r="D193" s="37" t="s">
        <v>265</v>
      </c>
      <c r="E193" s="23" t="s">
        <v>134</v>
      </c>
      <c r="F193" s="31">
        <v>1244</v>
      </c>
      <c r="G193" s="31">
        <v>-2800</v>
      </c>
      <c r="H193" s="31">
        <f>Cty_Viet_Anh[[#This Row],[ĐƠN GIÁ]]*Cty_Viet_Anh[[#This Row],[SỐ LƯỢNG]]</f>
        <v>-3483200</v>
      </c>
      <c r="I193" s="31"/>
      <c r="J193" s="31">
        <f ca="1">N(INDIRECT("R[-1]C", FALSE)) + Cty_Viet_Anh[[#This Row],[THÀNH TIỀN]] - Cty_Viet_Anh[[#This Row],[THANH TOÁN]]</f>
        <v>-90405600</v>
      </c>
      <c r="K193" s="24"/>
    </row>
    <row r="194" spans="1:11" x14ac:dyDescent="0.25">
      <c r="A194" s="22">
        <v>2497</v>
      </c>
      <c r="B194" s="29">
        <v>46100</v>
      </c>
      <c r="C194" s="23" t="s">
        <v>84</v>
      </c>
      <c r="D194" s="37" t="s">
        <v>169</v>
      </c>
      <c r="E194" s="23" t="s">
        <v>148</v>
      </c>
      <c r="F194" s="31">
        <v>1032</v>
      </c>
      <c r="G194" s="31">
        <v>-2600</v>
      </c>
      <c r="H194" s="31">
        <f>Cty_Viet_Anh[[#This Row],[ĐƠN GIÁ]]*Cty_Viet_Anh[[#This Row],[SỐ LƯỢNG]]</f>
        <v>-2683200</v>
      </c>
      <c r="I194" s="31"/>
      <c r="J194" s="31">
        <f ca="1">N(INDIRECT("R[-1]C", FALSE)) + Cty_Viet_Anh[[#This Row],[THÀNH TIỀN]] - Cty_Viet_Anh[[#This Row],[THANH TOÁN]]</f>
        <v>-93088800</v>
      </c>
      <c r="K194" s="24"/>
    </row>
    <row r="195" spans="1:11" x14ac:dyDescent="0.25">
      <c r="A195" s="22">
        <v>2497</v>
      </c>
      <c r="B195" s="29">
        <v>46100</v>
      </c>
      <c r="C195" s="23" t="s">
        <v>84</v>
      </c>
      <c r="D195" s="37" t="s">
        <v>265</v>
      </c>
      <c r="E195" s="23" t="s">
        <v>136</v>
      </c>
      <c r="F195" s="31">
        <v>1038</v>
      </c>
      <c r="G195" s="31">
        <v>-3000</v>
      </c>
      <c r="H195" s="31">
        <f>Cty_Viet_Anh[[#This Row],[ĐƠN GIÁ]]*Cty_Viet_Anh[[#This Row],[SỐ LƯỢNG]]</f>
        <v>-3114000</v>
      </c>
      <c r="I195" s="31"/>
      <c r="J195" s="31">
        <f ca="1">N(INDIRECT("R[-1]C", FALSE)) + Cty_Viet_Anh[[#This Row],[THÀNH TIỀN]] - Cty_Viet_Anh[[#This Row],[THANH TOÁN]]</f>
        <v>-96202800</v>
      </c>
      <c r="K195" s="24"/>
    </row>
    <row r="196" spans="1:11" x14ac:dyDescent="0.25">
      <c r="A196" s="22">
        <v>5103</v>
      </c>
      <c r="B196" s="29">
        <v>46100</v>
      </c>
      <c r="C196" s="23" t="s">
        <v>84</v>
      </c>
      <c r="D196" s="37" t="s">
        <v>93</v>
      </c>
      <c r="E196" s="23" t="s">
        <v>536</v>
      </c>
      <c r="F196" s="31">
        <f>1478+1064+1356+1320</f>
        <v>5218</v>
      </c>
      <c r="G196" s="31">
        <v>-500</v>
      </c>
      <c r="H196" s="31">
        <f>Cty_Viet_Anh[[#This Row],[ĐƠN GIÁ]]*Cty_Viet_Anh[[#This Row],[SỐ LƯỢNG]]</f>
        <v>-2609000</v>
      </c>
      <c r="I196" s="31"/>
      <c r="J196" s="31">
        <f ca="1">N(INDIRECT("R[-1]C", FALSE)) + Cty_Viet_Anh[[#This Row],[THÀNH TIỀN]] - Cty_Viet_Anh[[#This Row],[THANH TOÁN]]</f>
        <v>-98811800</v>
      </c>
      <c r="K196" s="24"/>
    </row>
    <row r="197" spans="1:11" x14ac:dyDescent="0.25">
      <c r="A197" s="22">
        <v>5103</v>
      </c>
      <c r="B197" s="29">
        <v>46100</v>
      </c>
      <c r="C197" s="23" t="s">
        <v>84</v>
      </c>
      <c r="D197" s="37" t="s">
        <v>93</v>
      </c>
      <c r="E197" s="23" t="s">
        <v>537</v>
      </c>
      <c r="F197" s="31">
        <f>926+890</f>
        <v>1816</v>
      </c>
      <c r="G197" s="31">
        <v>-500</v>
      </c>
      <c r="H197" s="31">
        <f>Cty_Viet_Anh[[#This Row],[ĐƠN GIÁ]]*Cty_Viet_Anh[[#This Row],[SỐ LƯỢNG]]</f>
        <v>-908000</v>
      </c>
      <c r="I197" s="31"/>
      <c r="J197" s="31">
        <f ca="1">N(INDIRECT("R[-1]C", FALSE)) + Cty_Viet_Anh[[#This Row],[THÀNH TIỀN]] - Cty_Viet_Anh[[#This Row],[THANH TOÁN]]</f>
        <v>-99719800</v>
      </c>
      <c r="K197" s="24"/>
    </row>
    <row r="198" spans="1:11" x14ac:dyDescent="0.25">
      <c r="A198" s="22">
        <v>5105</v>
      </c>
      <c r="B198" s="29">
        <v>46100</v>
      </c>
      <c r="C198" s="23" t="s">
        <v>84</v>
      </c>
      <c r="D198" s="37" t="s">
        <v>93</v>
      </c>
      <c r="E198" s="23" t="s">
        <v>542</v>
      </c>
      <c r="F198" s="31">
        <f>1928+1760+1928</f>
        <v>5616</v>
      </c>
      <c r="G198" s="31">
        <v>-500</v>
      </c>
      <c r="H198" s="31">
        <f>Cty_Viet_Anh[[#This Row],[ĐƠN GIÁ]]*Cty_Viet_Anh[[#This Row],[SỐ LƯỢNG]]</f>
        <v>-2808000</v>
      </c>
      <c r="I198" s="31"/>
      <c r="J198" s="31">
        <f ca="1">N(INDIRECT("R[-1]C", FALSE)) + Cty_Viet_Anh[[#This Row],[THÀNH TIỀN]] - Cty_Viet_Anh[[#This Row],[THANH TOÁN]]</f>
        <v>-102527800</v>
      </c>
      <c r="K198" s="24"/>
    </row>
    <row r="199" spans="1:11" x14ac:dyDescent="0.25">
      <c r="A199" s="22">
        <v>5105</v>
      </c>
      <c r="B199" s="29">
        <v>46100</v>
      </c>
      <c r="C199" s="23" t="s">
        <v>84</v>
      </c>
      <c r="D199" s="37" t="s">
        <v>526</v>
      </c>
      <c r="E199" s="23" t="s">
        <v>543</v>
      </c>
      <c r="F199" s="31">
        <v>234</v>
      </c>
      <c r="G199" s="31">
        <v>-500</v>
      </c>
      <c r="H199" s="31">
        <f>Cty_Viet_Anh[[#This Row],[ĐƠN GIÁ]]*Cty_Viet_Anh[[#This Row],[SỐ LƯỢNG]]</f>
        <v>-117000</v>
      </c>
      <c r="I199" s="31"/>
      <c r="J199" s="31">
        <f ca="1">N(INDIRECT("R[-1]C", FALSE)) + Cty_Viet_Anh[[#This Row],[THÀNH TIỀN]] - Cty_Viet_Anh[[#This Row],[THANH TOÁN]]</f>
        <v>-102644800</v>
      </c>
      <c r="K199" s="24"/>
    </row>
    <row r="200" spans="1:11" x14ac:dyDescent="0.25">
      <c r="A200" s="22">
        <v>5105</v>
      </c>
      <c r="B200" s="29">
        <v>46100</v>
      </c>
      <c r="C200" s="23" t="s">
        <v>84</v>
      </c>
      <c r="D200" s="37" t="s">
        <v>2533</v>
      </c>
      <c r="E200" s="23"/>
      <c r="F200" s="31">
        <v>236</v>
      </c>
      <c r="G200" s="31"/>
      <c r="H200" s="31">
        <f>Cty_Viet_Anh[[#This Row],[ĐƠN GIÁ]]*Cty_Viet_Anh[[#This Row],[SỐ LƯỢNG]]</f>
        <v>0</v>
      </c>
      <c r="I200" s="31"/>
      <c r="J200" s="31">
        <f ca="1">N(INDIRECT("R[-1]C", FALSE)) + Cty_Viet_Anh[[#This Row],[THÀNH TIỀN]] - Cty_Viet_Anh[[#This Row],[THANH TOÁN]]</f>
        <v>-102644800</v>
      </c>
      <c r="K200" s="24"/>
    </row>
    <row r="201" spans="1:11" x14ac:dyDescent="0.25">
      <c r="A201" s="22">
        <v>8194</v>
      </c>
      <c r="B201" s="29">
        <v>46100</v>
      </c>
      <c r="C201" s="23" t="s">
        <v>49</v>
      </c>
      <c r="D201" s="37" t="s">
        <v>17</v>
      </c>
      <c r="E201" s="49" t="s">
        <v>469</v>
      </c>
      <c r="F201" s="31">
        <v>451</v>
      </c>
      <c r="G201" s="31"/>
      <c r="H201" s="31">
        <f>Cty_Viet_Anh[[#This Row],[ĐƠN GIÁ]]*Cty_Viet_Anh[[#This Row],[SỐ LƯỢNG]]</f>
        <v>0</v>
      </c>
      <c r="I201" s="31"/>
      <c r="J201" s="31">
        <f ca="1">N(INDIRECT("R[-1]C", FALSE)) + Cty_Viet_Anh[[#This Row],[THÀNH TIỀN]] - Cty_Viet_Anh[[#This Row],[THANH TOÁN]]</f>
        <v>-102644800</v>
      </c>
      <c r="K201" s="24"/>
    </row>
    <row r="202" spans="1:11" x14ac:dyDescent="0.25">
      <c r="A202" s="22">
        <v>8258</v>
      </c>
      <c r="B202" s="29">
        <v>46100</v>
      </c>
      <c r="C202" s="23" t="s">
        <v>49</v>
      </c>
      <c r="D202" s="37" t="s">
        <v>17</v>
      </c>
      <c r="E202" s="49" t="s">
        <v>40</v>
      </c>
      <c r="F202" s="31">
        <v>5670</v>
      </c>
      <c r="G202" s="31"/>
      <c r="H202" s="31">
        <f>Cty_Viet_Anh[[#This Row],[ĐƠN GIÁ]]*Cty_Viet_Anh[[#This Row],[SỐ LƯỢNG]]</f>
        <v>0</v>
      </c>
      <c r="I202" s="31"/>
      <c r="J202" s="31">
        <f ca="1">N(INDIRECT("R[-1]C", FALSE)) + Cty_Viet_Anh[[#This Row],[THÀNH TIỀN]] - Cty_Viet_Anh[[#This Row],[THANH TOÁN]]</f>
        <v>-102644800</v>
      </c>
      <c r="K202" s="24"/>
    </row>
    <row r="203" spans="1:11" x14ac:dyDescent="0.25">
      <c r="A203" s="22">
        <v>8260</v>
      </c>
      <c r="B203" s="29">
        <v>46100</v>
      </c>
      <c r="C203" s="23" t="s">
        <v>49</v>
      </c>
      <c r="D203" s="37" t="s">
        <v>135</v>
      </c>
      <c r="E203" s="49" t="s">
        <v>148</v>
      </c>
      <c r="F203" s="31">
        <v>2740</v>
      </c>
      <c r="G203" s="31"/>
      <c r="H203" s="31">
        <f>Cty_Viet_Anh[[#This Row],[ĐƠN GIÁ]]*Cty_Viet_Anh[[#This Row],[SỐ LƯỢNG]]</f>
        <v>0</v>
      </c>
      <c r="I203" s="31"/>
      <c r="J203" s="31">
        <f ca="1">N(INDIRECT("R[-1]C", FALSE)) + Cty_Viet_Anh[[#This Row],[THÀNH TIỀN]] - Cty_Viet_Anh[[#This Row],[THANH TOÁN]]</f>
        <v>-102644800</v>
      </c>
      <c r="K203" s="24"/>
    </row>
    <row r="204" spans="1:11" x14ac:dyDescent="0.25">
      <c r="A204" s="22">
        <v>186</v>
      </c>
      <c r="B204" s="29">
        <v>46101</v>
      </c>
      <c r="C204" s="23" t="s">
        <v>426</v>
      </c>
      <c r="D204" s="37" t="s">
        <v>540</v>
      </c>
      <c r="E204" s="23" t="s">
        <v>148</v>
      </c>
      <c r="F204" s="31">
        <v>1710</v>
      </c>
      <c r="G204" s="31">
        <v>0</v>
      </c>
      <c r="H204" s="31">
        <f>Cty_Viet_Anh[[#This Row],[ĐƠN GIÁ]]*Cty_Viet_Anh[[#This Row],[SỐ LƯỢNG]]</f>
        <v>0</v>
      </c>
      <c r="I204" s="31"/>
      <c r="J204" s="31">
        <f ca="1">N(INDIRECT("R[-1]C", FALSE)) + Cty_Viet_Anh[[#This Row],[THÀNH TIỀN]] - Cty_Viet_Anh[[#This Row],[THANH TOÁN]]</f>
        <v>-102644800</v>
      </c>
      <c r="K204" s="24" t="s">
        <v>541</v>
      </c>
    </row>
    <row r="205" spans="1:11" x14ac:dyDescent="0.25">
      <c r="A205" s="22">
        <v>2500</v>
      </c>
      <c r="B205" s="29">
        <v>46101</v>
      </c>
      <c r="C205" s="23" t="s">
        <v>84</v>
      </c>
      <c r="D205" s="37" t="s">
        <v>270</v>
      </c>
      <c r="E205" s="23" t="s">
        <v>136</v>
      </c>
      <c r="F205" s="31">
        <v>2128</v>
      </c>
      <c r="G205" s="31">
        <v>-3000</v>
      </c>
      <c r="H205" s="31">
        <f>Cty_Viet_Anh[[#This Row],[ĐƠN GIÁ]]*Cty_Viet_Anh[[#This Row],[SỐ LƯỢNG]]</f>
        <v>-6384000</v>
      </c>
      <c r="I205" s="31"/>
      <c r="J205" s="31">
        <f ca="1">N(INDIRECT("R[-1]C", FALSE)) + Cty_Viet_Anh[[#This Row],[THÀNH TIỀN]] - Cty_Viet_Anh[[#This Row],[THANH TOÁN]]</f>
        <v>-109028800</v>
      </c>
      <c r="K205" s="24"/>
    </row>
    <row r="206" spans="1:11" x14ac:dyDescent="0.25">
      <c r="A206" s="22">
        <v>2500</v>
      </c>
      <c r="B206" s="29">
        <v>46101</v>
      </c>
      <c r="C206" s="23" t="s">
        <v>84</v>
      </c>
      <c r="D206" s="37" t="s">
        <v>270</v>
      </c>
      <c r="E206" s="23" t="s">
        <v>146</v>
      </c>
      <c r="F206" s="31">
        <v>1408</v>
      </c>
      <c r="G206" s="31">
        <v>-3000</v>
      </c>
      <c r="H206" s="31">
        <f>Cty_Viet_Anh[[#This Row],[ĐƠN GIÁ]]*Cty_Viet_Anh[[#This Row],[SỐ LƯỢNG]]</f>
        <v>-4224000</v>
      </c>
      <c r="I206" s="31"/>
      <c r="J206" s="31">
        <f ca="1">N(INDIRECT("R[-1]C", FALSE)) + Cty_Viet_Anh[[#This Row],[THÀNH TIỀN]] - Cty_Viet_Anh[[#This Row],[THANH TOÁN]]</f>
        <v>-113252800</v>
      </c>
      <c r="K206" s="24"/>
    </row>
    <row r="207" spans="1:11" x14ac:dyDescent="0.25">
      <c r="A207" s="22">
        <v>5108</v>
      </c>
      <c r="B207" s="29">
        <v>46101</v>
      </c>
      <c r="C207" s="23" t="s">
        <v>84</v>
      </c>
      <c r="D207" s="37" t="s">
        <v>77</v>
      </c>
      <c r="E207" s="23" t="s">
        <v>538</v>
      </c>
      <c r="F207" s="31">
        <v>852</v>
      </c>
      <c r="G207" s="31">
        <v>-500</v>
      </c>
      <c r="H207" s="31">
        <f>Cty_Viet_Anh[[#This Row],[ĐƠN GIÁ]]*Cty_Viet_Anh[[#This Row],[SỐ LƯỢNG]]</f>
        <v>-426000</v>
      </c>
      <c r="I207" s="31"/>
      <c r="J207" s="31">
        <f ca="1">N(INDIRECT("R[-1]C", FALSE)) + Cty_Viet_Anh[[#This Row],[THÀNH TIỀN]] - Cty_Viet_Anh[[#This Row],[THANH TOÁN]]</f>
        <v>-113678800</v>
      </c>
      <c r="K207" s="24"/>
    </row>
    <row r="208" spans="1:11" x14ac:dyDescent="0.25">
      <c r="A208" s="22">
        <v>5108</v>
      </c>
      <c r="B208" s="29">
        <v>46101</v>
      </c>
      <c r="C208" s="23" t="s">
        <v>84</v>
      </c>
      <c r="D208" s="37" t="s">
        <v>277</v>
      </c>
      <c r="E208" s="23" t="s">
        <v>539</v>
      </c>
      <c r="F208" s="31">
        <v>1032</v>
      </c>
      <c r="G208" s="31">
        <v>-500</v>
      </c>
      <c r="H208" s="31">
        <f>Cty_Viet_Anh[[#This Row],[ĐƠN GIÁ]]*Cty_Viet_Anh[[#This Row],[SỐ LƯỢNG]]</f>
        <v>-516000</v>
      </c>
      <c r="I208" s="31"/>
      <c r="J208" s="31">
        <f ca="1">N(INDIRECT("R[-1]C", FALSE)) + Cty_Viet_Anh[[#This Row],[THÀNH TIỀN]] - Cty_Viet_Anh[[#This Row],[THANH TOÁN]]</f>
        <v>-114194800</v>
      </c>
      <c r="K208" s="24"/>
    </row>
    <row r="209" spans="1:11" x14ac:dyDescent="0.25">
      <c r="A209" s="22">
        <v>8272</v>
      </c>
      <c r="B209" s="29">
        <v>46101</v>
      </c>
      <c r="C209" s="23" t="s">
        <v>49</v>
      </c>
      <c r="D209" s="37" t="s">
        <v>17</v>
      </c>
      <c r="E209" s="49" t="s">
        <v>493</v>
      </c>
      <c r="F209" s="31">
        <v>8320</v>
      </c>
      <c r="G209" s="31"/>
      <c r="H209" s="31">
        <f>Cty_Viet_Anh[[#This Row],[ĐƠN GIÁ]]*Cty_Viet_Anh[[#This Row],[SỐ LƯỢNG]]</f>
        <v>0</v>
      </c>
      <c r="I209" s="31"/>
      <c r="J209" s="31">
        <f ca="1">N(INDIRECT("R[-1]C", FALSE)) + Cty_Viet_Anh[[#This Row],[THÀNH TIỀN]] - Cty_Viet_Anh[[#This Row],[THANH TOÁN]]</f>
        <v>-114194800</v>
      </c>
      <c r="K209" s="24"/>
    </row>
    <row r="210" spans="1:11" x14ac:dyDescent="0.25">
      <c r="A210" s="22"/>
      <c r="B210" s="29">
        <v>46101</v>
      </c>
      <c r="C210" s="23" t="s">
        <v>2214</v>
      </c>
      <c r="D210" s="37" t="s">
        <v>24</v>
      </c>
      <c r="E210" s="23"/>
      <c r="F210" s="31">
        <v>0</v>
      </c>
      <c r="G210" s="31"/>
      <c r="H210" s="31">
        <f>Cty_Viet_Anh[[#This Row],[ĐƠN GIÁ]]*Cty_Viet_Anh[[#This Row],[SỐ LƯỢNG]]</f>
        <v>0</v>
      </c>
      <c r="I210" s="31">
        <v>-78310000</v>
      </c>
      <c r="J210" s="31">
        <f ca="1">N(INDIRECT("R[-1]C", FALSE)) + Cty_Viet_Anh[[#This Row],[THÀNH TIỀN]] - Cty_Viet_Anh[[#This Row],[THANH TOÁN]]</f>
        <v>-35884800</v>
      </c>
      <c r="K210" s="24"/>
    </row>
    <row r="211" spans="1:11" x14ac:dyDescent="0.25">
      <c r="A211" s="22">
        <v>5113</v>
      </c>
      <c r="B211" s="29">
        <v>46102</v>
      </c>
      <c r="C211" s="23" t="s">
        <v>84</v>
      </c>
      <c r="D211" s="37" t="s">
        <v>93</v>
      </c>
      <c r="E211" s="23" t="s">
        <v>544</v>
      </c>
      <c r="F211" s="31">
        <v>2108</v>
      </c>
      <c r="G211" s="31">
        <v>-500</v>
      </c>
      <c r="H211" s="31">
        <f>Cty_Viet_Anh[[#This Row],[ĐƠN GIÁ]]*Cty_Viet_Anh[[#This Row],[SỐ LƯỢNG]]</f>
        <v>-1054000</v>
      </c>
      <c r="I211" s="31"/>
      <c r="J211" s="31">
        <f ca="1">N(INDIRECT("R[-1]C", FALSE)) + Cty_Viet_Anh[[#This Row],[THÀNH TIỀN]] - Cty_Viet_Anh[[#This Row],[THANH TOÁN]]</f>
        <v>-36938800</v>
      </c>
      <c r="K211" s="24"/>
    </row>
    <row r="212" spans="1:11" x14ac:dyDescent="0.25">
      <c r="A212" s="22">
        <v>5113</v>
      </c>
      <c r="B212" s="29">
        <v>46102</v>
      </c>
      <c r="C212" s="23" t="s">
        <v>84</v>
      </c>
      <c r="D212" s="37" t="s">
        <v>93</v>
      </c>
      <c r="E212" s="23" t="s">
        <v>545</v>
      </c>
      <c r="F212" s="31">
        <f>1750+1568</f>
        <v>3318</v>
      </c>
      <c r="G212" s="31">
        <v>-500</v>
      </c>
      <c r="H212" s="31">
        <f>Cty_Viet_Anh[[#This Row],[ĐƠN GIÁ]]*Cty_Viet_Anh[[#This Row],[SỐ LƯỢNG]]</f>
        <v>-1659000</v>
      </c>
      <c r="I212" s="31"/>
      <c r="J212" s="31">
        <f ca="1">N(INDIRECT("R[-1]C", FALSE)) + Cty_Viet_Anh[[#This Row],[THÀNH TIỀN]] - Cty_Viet_Anh[[#This Row],[THANH TOÁN]]</f>
        <v>-38597800</v>
      </c>
      <c r="K212" s="24"/>
    </row>
    <row r="213" spans="1:11" x14ac:dyDescent="0.25">
      <c r="A213" s="22">
        <v>5113</v>
      </c>
      <c r="B213" s="29">
        <v>46102</v>
      </c>
      <c r="C213" s="23" t="s">
        <v>84</v>
      </c>
      <c r="D213" s="37" t="s">
        <v>93</v>
      </c>
      <c r="E213" s="23" t="s">
        <v>510</v>
      </c>
      <c r="F213" s="31">
        <v>448</v>
      </c>
      <c r="G213" s="31">
        <f>-300000/448</f>
        <v>-669.64285714285711</v>
      </c>
      <c r="H213" s="31">
        <f>Cty_Viet_Anh[[#This Row],[ĐƠN GIÁ]]*Cty_Viet_Anh[[#This Row],[SỐ LƯỢNG]]</f>
        <v>-300000</v>
      </c>
      <c r="I213" s="31"/>
      <c r="J213" s="31">
        <f ca="1">N(INDIRECT("R[-1]C", FALSE)) + Cty_Viet_Anh[[#This Row],[THÀNH TIỀN]] - Cty_Viet_Anh[[#This Row],[THANH TOÁN]]</f>
        <v>-38897800</v>
      </c>
      <c r="K213" s="24"/>
    </row>
    <row r="214" spans="1:11" x14ac:dyDescent="0.25">
      <c r="A214" s="22">
        <v>5113</v>
      </c>
      <c r="B214" s="29">
        <v>46102</v>
      </c>
      <c r="C214" s="23" t="s">
        <v>84</v>
      </c>
      <c r="D214" s="37" t="s">
        <v>93</v>
      </c>
      <c r="E214" s="23" t="s">
        <v>546</v>
      </c>
      <c r="F214" s="31">
        <v>1046</v>
      </c>
      <c r="G214" s="31">
        <v>-500</v>
      </c>
      <c r="H214" s="31">
        <f>Cty_Viet_Anh[[#This Row],[ĐƠN GIÁ]]*Cty_Viet_Anh[[#This Row],[SỐ LƯỢNG]]</f>
        <v>-523000</v>
      </c>
      <c r="I214" s="31"/>
      <c r="J214" s="31">
        <f ca="1">N(INDIRECT("R[-1]C", FALSE)) + Cty_Viet_Anh[[#This Row],[THÀNH TIỀN]] - Cty_Viet_Anh[[#This Row],[THANH TOÁN]]</f>
        <v>-39420800</v>
      </c>
      <c r="K214" s="24"/>
    </row>
    <row r="215" spans="1:11" x14ac:dyDescent="0.25">
      <c r="A215" s="22">
        <v>5113</v>
      </c>
      <c r="B215" s="29">
        <v>46102</v>
      </c>
      <c r="C215" s="23" t="s">
        <v>84</v>
      </c>
      <c r="D215" s="37" t="s">
        <v>93</v>
      </c>
      <c r="E215" s="23" t="s">
        <v>547</v>
      </c>
      <c r="F215" s="31">
        <v>1252</v>
      </c>
      <c r="G215" s="31">
        <v>-500</v>
      </c>
      <c r="H215" s="31">
        <f>Cty_Viet_Anh[[#This Row],[ĐƠN GIÁ]]*Cty_Viet_Anh[[#This Row],[SỐ LƯỢNG]]</f>
        <v>-626000</v>
      </c>
      <c r="I215" s="31"/>
      <c r="J215" s="31">
        <f ca="1">N(INDIRECT("R[-1]C", FALSE)) + Cty_Viet_Anh[[#This Row],[THÀNH TIỀN]] - Cty_Viet_Anh[[#This Row],[THANH TOÁN]]</f>
        <v>-40046800</v>
      </c>
      <c r="K215" s="24"/>
    </row>
    <row r="216" spans="1:11" x14ac:dyDescent="0.25">
      <c r="A216" s="22">
        <v>5116</v>
      </c>
      <c r="B216" s="29">
        <v>46104</v>
      </c>
      <c r="C216" s="23" t="s">
        <v>84</v>
      </c>
      <c r="D216" s="37" t="s">
        <v>93</v>
      </c>
      <c r="E216" s="23" t="s">
        <v>548</v>
      </c>
      <c r="F216" s="31">
        <v>6120</v>
      </c>
      <c r="G216" s="31">
        <v>-500</v>
      </c>
      <c r="H216" s="31">
        <f>Cty_Viet_Anh[[#This Row],[ĐƠN GIÁ]]*Cty_Viet_Anh[[#This Row],[SỐ LƯỢNG]]</f>
        <v>-3060000</v>
      </c>
      <c r="I216" s="31"/>
      <c r="J216" s="31">
        <f ca="1">N(INDIRECT("R[-1]C", FALSE)) + Cty_Viet_Anh[[#This Row],[THÀNH TIỀN]] - Cty_Viet_Anh[[#This Row],[THANH TOÁN]]</f>
        <v>-43106800</v>
      </c>
      <c r="K216" s="24"/>
    </row>
    <row r="217" spans="1:11" x14ac:dyDescent="0.25">
      <c r="A217" s="22">
        <v>8220</v>
      </c>
      <c r="B217" s="29">
        <v>46104</v>
      </c>
      <c r="C217" s="23" t="s">
        <v>49</v>
      </c>
      <c r="D217" s="37" t="s">
        <v>17</v>
      </c>
      <c r="E217" s="49" t="s">
        <v>494</v>
      </c>
      <c r="F217" s="31">
        <v>2952</v>
      </c>
      <c r="G217" s="31"/>
      <c r="H217" s="31">
        <f>Cty_Viet_Anh[[#This Row],[ĐƠN GIÁ]]*Cty_Viet_Anh[[#This Row],[SỐ LƯỢNG]]</f>
        <v>0</v>
      </c>
      <c r="I217" s="31"/>
      <c r="J217" s="31">
        <f ca="1">N(INDIRECT("R[-1]C", FALSE)) + Cty_Viet_Anh[[#This Row],[THÀNH TIỀN]] - Cty_Viet_Anh[[#This Row],[THANH TOÁN]]</f>
        <v>-43106800</v>
      </c>
      <c r="K217" s="24"/>
    </row>
    <row r="218" spans="1:11" x14ac:dyDescent="0.25">
      <c r="A218" s="22">
        <v>8231</v>
      </c>
      <c r="B218" s="29">
        <v>46104</v>
      </c>
      <c r="C218" s="23" t="s">
        <v>49</v>
      </c>
      <c r="D218" s="37" t="s">
        <v>77</v>
      </c>
      <c r="E218" s="49" t="s">
        <v>469</v>
      </c>
      <c r="F218" s="31">
        <v>1274</v>
      </c>
      <c r="G218" s="31"/>
      <c r="H218" s="31">
        <f>Cty_Viet_Anh[[#This Row],[ĐƠN GIÁ]]*Cty_Viet_Anh[[#This Row],[SỐ LƯỢNG]]</f>
        <v>0</v>
      </c>
      <c r="I218" s="31"/>
      <c r="J218" s="31">
        <f ca="1">N(INDIRECT("R[-1]C", FALSE)) + Cty_Viet_Anh[[#This Row],[THÀNH TIỀN]] - Cty_Viet_Anh[[#This Row],[THANH TOÁN]]</f>
        <v>-43106800</v>
      </c>
      <c r="K218" s="24"/>
    </row>
    <row r="219" spans="1:11" x14ac:dyDescent="0.25">
      <c r="A219" s="22">
        <v>8231</v>
      </c>
      <c r="B219" s="29">
        <v>46104</v>
      </c>
      <c r="C219" s="23" t="s">
        <v>49</v>
      </c>
      <c r="D219" s="37" t="s">
        <v>77</v>
      </c>
      <c r="E219" s="49" t="s">
        <v>40</v>
      </c>
      <c r="F219" s="31">
        <v>733</v>
      </c>
      <c r="G219" s="31"/>
      <c r="H219" s="31">
        <f>Cty_Viet_Anh[[#This Row],[ĐƠN GIÁ]]*Cty_Viet_Anh[[#This Row],[SỐ LƯỢNG]]</f>
        <v>0</v>
      </c>
      <c r="I219" s="31"/>
      <c r="J219" s="31">
        <f ca="1">N(INDIRECT("R[-1]C", FALSE)) + Cty_Viet_Anh[[#This Row],[THÀNH TIỀN]] - Cty_Viet_Anh[[#This Row],[THANH TOÁN]]</f>
        <v>-43106800</v>
      </c>
      <c r="K219" s="24"/>
    </row>
    <row r="220" spans="1:11" x14ac:dyDescent="0.25">
      <c r="A220" s="22">
        <v>8231</v>
      </c>
      <c r="B220" s="29">
        <v>46104</v>
      </c>
      <c r="C220" s="23" t="s">
        <v>49</v>
      </c>
      <c r="D220" s="37" t="s">
        <v>277</v>
      </c>
      <c r="E220" s="49" t="s">
        <v>495</v>
      </c>
      <c r="F220" s="31">
        <v>2564</v>
      </c>
      <c r="G220" s="31"/>
      <c r="H220" s="31">
        <f>Cty_Viet_Anh[[#This Row],[ĐƠN GIÁ]]*Cty_Viet_Anh[[#This Row],[SỐ LƯỢNG]]</f>
        <v>0</v>
      </c>
      <c r="I220" s="31"/>
      <c r="J220" s="31">
        <f ca="1">N(INDIRECT("R[-1]C", FALSE)) + Cty_Viet_Anh[[#This Row],[THÀNH TIỀN]] - Cty_Viet_Anh[[#This Row],[THANH TOÁN]]</f>
        <v>-43106800</v>
      </c>
      <c r="K220" s="24"/>
    </row>
    <row r="221" spans="1:11" x14ac:dyDescent="0.25">
      <c r="A221" s="22">
        <v>8231</v>
      </c>
      <c r="B221" s="29">
        <v>46104</v>
      </c>
      <c r="C221" s="23" t="s">
        <v>49</v>
      </c>
      <c r="D221" s="37" t="s">
        <v>277</v>
      </c>
      <c r="E221" s="49" t="s">
        <v>496</v>
      </c>
      <c r="F221" s="31">
        <v>5158</v>
      </c>
      <c r="G221" s="31"/>
      <c r="H221" s="31">
        <f>Cty_Viet_Anh[[#This Row],[ĐƠN GIÁ]]*Cty_Viet_Anh[[#This Row],[SỐ LƯỢNG]]</f>
        <v>0</v>
      </c>
      <c r="I221" s="31"/>
      <c r="J221" s="31">
        <f ca="1">N(INDIRECT("R[-1]C", FALSE)) + Cty_Viet_Anh[[#This Row],[THÀNH TIỀN]] - Cty_Viet_Anh[[#This Row],[THANH TOÁN]]</f>
        <v>-43106800</v>
      </c>
      <c r="K221" s="24"/>
    </row>
    <row r="222" spans="1:11" x14ac:dyDescent="0.25">
      <c r="A222" s="22">
        <v>2538</v>
      </c>
      <c r="B222" s="29">
        <v>46105</v>
      </c>
      <c r="C222" s="23" t="s">
        <v>84</v>
      </c>
      <c r="D222" s="37" t="s">
        <v>265</v>
      </c>
      <c r="E222" s="23" t="s">
        <v>148</v>
      </c>
      <c r="F222" s="31">
        <v>3549</v>
      </c>
      <c r="G222" s="31">
        <v>-2800</v>
      </c>
      <c r="H222" s="31">
        <f>Cty_Viet_Anh[[#This Row],[ĐƠN GIÁ]]*Cty_Viet_Anh[[#This Row],[SỐ LƯỢNG]]</f>
        <v>-9937200</v>
      </c>
      <c r="I222" s="31"/>
      <c r="J222" s="31">
        <f ca="1">N(INDIRECT("R[-1]C", FALSE)) + Cty_Viet_Anh[[#This Row],[THÀNH TIỀN]] - Cty_Viet_Anh[[#This Row],[THANH TOÁN]]</f>
        <v>-53044000</v>
      </c>
      <c r="K222" s="24"/>
    </row>
    <row r="223" spans="1:11" x14ac:dyDescent="0.25">
      <c r="A223" s="22">
        <v>2538</v>
      </c>
      <c r="B223" s="29">
        <v>46105</v>
      </c>
      <c r="C223" s="23" t="s">
        <v>84</v>
      </c>
      <c r="D223" s="37" t="s">
        <v>93</v>
      </c>
      <c r="E223" s="23" t="s">
        <v>2531</v>
      </c>
      <c r="F223" s="31">
        <v>2417</v>
      </c>
      <c r="G223" s="31"/>
      <c r="H223" s="31">
        <f>Cty_Viet_Anh[[#This Row],[ĐƠN GIÁ]]*Cty_Viet_Anh[[#This Row],[SỐ LƯỢNG]]</f>
        <v>0</v>
      </c>
      <c r="I223" s="31"/>
      <c r="J223" s="31">
        <f ca="1">N(INDIRECT("R[-1]C", FALSE)) + Cty_Viet_Anh[[#This Row],[THÀNH TIỀN]] - Cty_Viet_Anh[[#This Row],[THANH TOÁN]]</f>
        <v>-53044000</v>
      </c>
      <c r="K223" s="24"/>
    </row>
    <row r="224" spans="1:11" x14ac:dyDescent="0.25">
      <c r="A224" s="22">
        <v>5125</v>
      </c>
      <c r="B224" s="29">
        <v>46105</v>
      </c>
      <c r="C224" s="23" t="s">
        <v>84</v>
      </c>
      <c r="D224" s="37" t="s">
        <v>77</v>
      </c>
      <c r="E224" s="23" t="s">
        <v>549</v>
      </c>
      <c r="F224" s="31">
        <v>624</v>
      </c>
      <c r="G224" s="31">
        <v>-500</v>
      </c>
      <c r="H224" s="31">
        <f>Cty_Viet_Anh[[#This Row],[ĐƠN GIÁ]]*Cty_Viet_Anh[[#This Row],[SỐ LƯỢNG]]</f>
        <v>-312000</v>
      </c>
      <c r="I224" s="31"/>
      <c r="J224" s="31">
        <f ca="1">N(INDIRECT("R[-1]C", FALSE)) + Cty_Viet_Anh[[#This Row],[THÀNH TIỀN]] - Cty_Viet_Anh[[#This Row],[THANH TOÁN]]</f>
        <v>-53356000</v>
      </c>
      <c r="K224" s="24"/>
    </row>
    <row r="225" spans="1:11" x14ac:dyDescent="0.25">
      <c r="A225" s="22">
        <v>5127</v>
      </c>
      <c r="B225" s="29">
        <v>46105</v>
      </c>
      <c r="C225" s="23" t="s">
        <v>84</v>
      </c>
      <c r="D225" s="37" t="s">
        <v>93</v>
      </c>
      <c r="E225" s="23" t="s">
        <v>542</v>
      </c>
      <c r="F225" s="31">
        <v>5093</v>
      </c>
      <c r="G225" s="31">
        <v>-500</v>
      </c>
      <c r="H225" s="31">
        <f>Cty_Viet_Anh[[#This Row],[ĐƠN GIÁ]]*Cty_Viet_Anh[[#This Row],[SỐ LƯỢNG]]</f>
        <v>-2546500</v>
      </c>
      <c r="I225" s="31"/>
      <c r="J225" s="31">
        <f ca="1">N(INDIRECT("R[-1]C", FALSE)) + Cty_Viet_Anh[[#This Row],[THÀNH TIỀN]] - Cty_Viet_Anh[[#This Row],[THANH TOÁN]]</f>
        <v>-55902500</v>
      </c>
      <c r="K225" s="24"/>
    </row>
    <row r="226" spans="1:11" x14ac:dyDescent="0.25">
      <c r="A226" s="22">
        <v>5127</v>
      </c>
      <c r="B226" s="29">
        <v>46105</v>
      </c>
      <c r="C226" s="23" t="s">
        <v>84</v>
      </c>
      <c r="D226" s="37" t="s">
        <v>93</v>
      </c>
      <c r="E226" s="23" t="s">
        <v>507</v>
      </c>
      <c r="F226" s="31">
        <v>1016</v>
      </c>
      <c r="G226" s="31">
        <v>-500</v>
      </c>
      <c r="H226" s="31">
        <f>Cty_Viet_Anh[[#This Row],[ĐƠN GIÁ]]*Cty_Viet_Anh[[#This Row],[SỐ LƯỢNG]]</f>
        <v>-508000</v>
      </c>
      <c r="I226" s="31"/>
      <c r="J226" s="31">
        <f ca="1">N(INDIRECT("R[-1]C", FALSE)) + Cty_Viet_Anh[[#This Row],[THÀNH TIỀN]] - Cty_Viet_Anh[[#This Row],[THANH TOÁN]]</f>
        <v>-56410500</v>
      </c>
      <c r="K226" s="24"/>
    </row>
    <row r="227" spans="1:11" x14ac:dyDescent="0.25">
      <c r="A227" s="22">
        <v>5127</v>
      </c>
      <c r="B227" s="29">
        <v>46105</v>
      </c>
      <c r="C227" s="23" t="s">
        <v>84</v>
      </c>
      <c r="D227" s="37" t="s">
        <v>93</v>
      </c>
      <c r="E227" s="23" t="s">
        <v>542</v>
      </c>
      <c r="F227" s="31">
        <v>1512</v>
      </c>
      <c r="G227" s="31">
        <v>-500</v>
      </c>
      <c r="H227" s="31">
        <f>Cty_Viet_Anh[[#This Row],[ĐƠN GIÁ]]*Cty_Viet_Anh[[#This Row],[SỐ LƯỢNG]]</f>
        <v>-756000</v>
      </c>
      <c r="I227" s="31"/>
      <c r="J227" s="31">
        <f ca="1">N(INDIRECT("R[-1]C", FALSE)) + Cty_Viet_Anh[[#This Row],[THÀNH TIỀN]] - Cty_Viet_Anh[[#This Row],[THANH TOÁN]]</f>
        <v>-57166500</v>
      </c>
      <c r="K227" s="24"/>
    </row>
    <row r="228" spans="1:11" x14ac:dyDescent="0.25">
      <c r="A228" s="22">
        <v>8236</v>
      </c>
      <c r="B228" s="29">
        <v>46105</v>
      </c>
      <c r="C228" s="23" t="s">
        <v>49</v>
      </c>
      <c r="D228" s="37" t="s">
        <v>43</v>
      </c>
      <c r="E228" s="49" t="s">
        <v>148</v>
      </c>
      <c r="F228" s="31">
        <v>5991</v>
      </c>
      <c r="G228" s="31"/>
      <c r="H228" s="31">
        <f>Cty_Viet_Anh[[#This Row],[ĐƠN GIÁ]]*Cty_Viet_Anh[[#This Row],[SỐ LƯỢNG]]</f>
        <v>0</v>
      </c>
      <c r="I228" s="31"/>
      <c r="J228" s="31">
        <f ca="1">N(INDIRECT("R[-1]C", FALSE)) + Cty_Viet_Anh[[#This Row],[THÀNH TIỀN]] - Cty_Viet_Anh[[#This Row],[THANH TOÁN]]</f>
        <v>-57166500</v>
      </c>
      <c r="K228" s="24"/>
    </row>
    <row r="229" spans="1:11" x14ac:dyDescent="0.25">
      <c r="A229" s="22">
        <v>8312</v>
      </c>
      <c r="B229" s="29">
        <v>46105</v>
      </c>
      <c r="C229" s="23" t="s">
        <v>49</v>
      </c>
      <c r="D229" s="37" t="s">
        <v>17</v>
      </c>
      <c r="E229" s="49" t="s">
        <v>161</v>
      </c>
      <c r="F229" s="31">
        <v>886</v>
      </c>
      <c r="G229" s="31"/>
      <c r="H229" s="31">
        <f>Cty_Viet_Anh[[#This Row],[ĐƠN GIÁ]]*Cty_Viet_Anh[[#This Row],[SỐ LƯỢNG]]</f>
        <v>0</v>
      </c>
      <c r="I229" s="31"/>
      <c r="J229" s="31">
        <f ca="1">N(INDIRECT("R[-1]C", FALSE)) + Cty_Viet_Anh[[#This Row],[THÀNH TIỀN]] - Cty_Viet_Anh[[#This Row],[THANH TOÁN]]</f>
        <v>-57166500</v>
      </c>
      <c r="K229" s="24"/>
    </row>
    <row r="230" spans="1:11" x14ac:dyDescent="0.25">
      <c r="A230" s="22">
        <v>2543</v>
      </c>
      <c r="B230" s="29">
        <v>46106</v>
      </c>
      <c r="C230" s="23" t="s">
        <v>84</v>
      </c>
      <c r="D230" s="37" t="s">
        <v>535</v>
      </c>
      <c r="E230" s="23" t="s">
        <v>41</v>
      </c>
      <c r="F230" s="31">
        <v>542</v>
      </c>
      <c r="G230" s="31">
        <v>-1800</v>
      </c>
      <c r="H230" s="31">
        <f>Cty_Viet_Anh[[#This Row],[ĐƠN GIÁ]]*Cty_Viet_Anh[[#This Row],[SỐ LƯỢNG]]</f>
        <v>-975600</v>
      </c>
      <c r="I230" s="31"/>
      <c r="J230" s="31">
        <f ca="1">N(INDIRECT("R[-1]C", FALSE)) + Cty_Viet_Anh[[#This Row],[THÀNH TIỀN]] - Cty_Viet_Anh[[#This Row],[THANH TOÁN]]</f>
        <v>-58142100</v>
      </c>
      <c r="K230" s="24"/>
    </row>
    <row r="231" spans="1:11" x14ac:dyDescent="0.25">
      <c r="A231" s="22">
        <v>5129</v>
      </c>
      <c r="B231" s="29">
        <v>46106</v>
      </c>
      <c r="C231" s="23" t="s">
        <v>84</v>
      </c>
      <c r="D231" s="37" t="s">
        <v>93</v>
      </c>
      <c r="E231" s="23" t="s">
        <v>550</v>
      </c>
      <c r="F231" s="31">
        <v>2202</v>
      </c>
      <c r="G231" s="31">
        <v>-500</v>
      </c>
      <c r="H231" s="31">
        <f>Cty_Viet_Anh[[#This Row],[ĐƠN GIÁ]]*Cty_Viet_Anh[[#This Row],[SỐ LƯỢNG]]</f>
        <v>-1101000</v>
      </c>
      <c r="I231" s="31"/>
      <c r="J231" s="31">
        <f ca="1">N(INDIRECT("R[-1]C", FALSE)) + Cty_Viet_Anh[[#This Row],[THÀNH TIỀN]] - Cty_Viet_Anh[[#This Row],[THANH TOÁN]]</f>
        <v>-59243100</v>
      </c>
      <c r="K231" s="24"/>
    </row>
    <row r="232" spans="1:11" x14ac:dyDescent="0.25">
      <c r="A232" s="22">
        <v>5129</v>
      </c>
      <c r="B232" s="29">
        <v>46106</v>
      </c>
      <c r="C232" s="23" t="s">
        <v>84</v>
      </c>
      <c r="D232" s="37" t="s">
        <v>93</v>
      </c>
      <c r="E232" s="23" t="s">
        <v>513</v>
      </c>
      <c r="F232" s="31">
        <v>1070</v>
      </c>
      <c r="G232" s="31">
        <v>-500</v>
      </c>
      <c r="H232" s="31">
        <f>Cty_Viet_Anh[[#This Row],[ĐƠN GIÁ]]*Cty_Viet_Anh[[#This Row],[SỐ LƯỢNG]]</f>
        <v>-535000</v>
      </c>
      <c r="I232" s="31"/>
      <c r="J232" s="31">
        <f ca="1">N(INDIRECT("R[-1]C", FALSE)) + Cty_Viet_Anh[[#This Row],[THÀNH TIỀN]] - Cty_Viet_Anh[[#This Row],[THANH TOÁN]]</f>
        <v>-59778100</v>
      </c>
      <c r="K232" s="24"/>
    </row>
    <row r="233" spans="1:11" x14ac:dyDescent="0.25">
      <c r="A233" s="22">
        <v>5129</v>
      </c>
      <c r="B233" s="29">
        <v>46106</v>
      </c>
      <c r="C233" s="23" t="s">
        <v>84</v>
      </c>
      <c r="D233" s="37" t="s">
        <v>93</v>
      </c>
      <c r="E233" s="23" t="s">
        <v>469</v>
      </c>
      <c r="F233" s="31">
        <v>252</v>
      </c>
      <c r="G233" s="31"/>
      <c r="H233" s="31">
        <f>Cty_Viet_Anh[[#This Row],[ĐƠN GIÁ]]*Cty_Viet_Anh[[#This Row],[SỐ LƯỢNG]]</f>
        <v>0</v>
      </c>
      <c r="I233" s="31"/>
      <c r="J233" s="31">
        <f ca="1">N(INDIRECT("R[-1]C", FALSE)) + Cty_Viet_Anh[[#This Row],[THÀNH TIỀN]] - Cty_Viet_Anh[[#This Row],[THANH TOÁN]]</f>
        <v>-59778100</v>
      </c>
      <c r="K233" s="24"/>
    </row>
    <row r="234" spans="1:11" x14ac:dyDescent="0.25">
      <c r="A234" s="22">
        <v>5129</v>
      </c>
      <c r="B234" s="29">
        <v>46106</v>
      </c>
      <c r="C234" s="23" t="s">
        <v>84</v>
      </c>
      <c r="D234" s="37" t="s">
        <v>93</v>
      </c>
      <c r="E234" s="23" t="s">
        <v>2531</v>
      </c>
      <c r="F234" s="31">
        <v>748</v>
      </c>
      <c r="G234" s="31"/>
      <c r="H234" s="31">
        <f>Cty_Viet_Anh[[#This Row],[ĐƠN GIÁ]]*Cty_Viet_Anh[[#This Row],[SỐ LƯỢNG]]</f>
        <v>0</v>
      </c>
      <c r="I234" s="31"/>
      <c r="J234" s="31">
        <f ca="1">N(INDIRECT("R[-1]C", FALSE)) + Cty_Viet_Anh[[#This Row],[THÀNH TIỀN]] - Cty_Viet_Anh[[#This Row],[THANH TOÁN]]</f>
        <v>-59778100</v>
      </c>
      <c r="K234" s="24"/>
    </row>
    <row r="235" spans="1:11" x14ac:dyDescent="0.25">
      <c r="A235" s="22">
        <v>5129</v>
      </c>
      <c r="B235" s="29">
        <v>46106</v>
      </c>
      <c r="C235" s="23" t="s">
        <v>84</v>
      </c>
      <c r="D235" s="37" t="s">
        <v>93</v>
      </c>
      <c r="E235" s="23" t="s">
        <v>40</v>
      </c>
      <c r="F235" s="31">
        <v>56</v>
      </c>
      <c r="G235" s="31"/>
      <c r="H235" s="31">
        <f>Cty_Viet_Anh[[#This Row],[ĐƠN GIÁ]]*Cty_Viet_Anh[[#This Row],[SỐ LƯỢNG]]</f>
        <v>0</v>
      </c>
      <c r="I235" s="31"/>
      <c r="J235" s="31">
        <f ca="1">N(INDIRECT("R[-1]C", FALSE)) + Cty_Viet_Anh[[#This Row],[THÀNH TIỀN]] - Cty_Viet_Anh[[#This Row],[THANH TOÁN]]</f>
        <v>-59778100</v>
      </c>
      <c r="K235" s="24"/>
    </row>
    <row r="236" spans="1:11" x14ac:dyDescent="0.25">
      <c r="A236" s="22">
        <v>5130</v>
      </c>
      <c r="B236" s="29">
        <v>46106</v>
      </c>
      <c r="C236" s="23" t="s">
        <v>84</v>
      </c>
      <c r="D236" s="37" t="s">
        <v>93</v>
      </c>
      <c r="E236" s="23" t="s">
        <v>551</v>
      </c>
      <c r="F236" s="31">
        <v>3760</v>
      </c>
      <c r="G236" s="31">
        <v>-500</v>
      </c>
      <c r="H236" s="31">
        <f>Cty_Viet_Anh[[#This Row],[ĐƠN GIÁ]]*Cty_Viet_Anh[[#This Row],[SỐ LƯỢNG]]</f>
        <v>-1880000</v>
      </c>
      <c r="I236" s="31"/>
      <c r="J236" s="31">
        <f ca="1">N(INDIRECT("R[-1]C", FALSE)) + Cty_Viet_Anh[[#This Row],[THÀNH TIỀN]] - Cty_Viet_Anh[[#This Row],[THANH TOÁN]]</f>
        <v>-61658100</v>
      </c>
      <c r="K236" s="24"/>
    </row>
    <row r="237" spans="1:11" x14ac:dyDescent="0.25">
      <c r="A237" s="22">
        <v>8318</v>
      </c>
      <c r="B237" s="29">
        <v>46106</v>
      </c>
      <c r="C237" s="23" t="s">
        <v>49</v>
      </c>
      <c r="D237" s="172" t="s">
        <v>17</v>
      </c>
      <c r="E237" s="188" t="s">
        <v>415</v>
      </c>
      <c r="F237" s="173">
        <v>5480</v>
      </c>
      <c r="G237" s="31"/>
      <c r="H237" s="31">
        <f>Cty_Viet_Anh[[#This Row],[ĐƠN GIÁ]]*Cty_Viet_Anh[[#This Row],[SỐ LƯỢNG]]</f>
        <v>0</v>
      </c>
      <c r="I237" s="31"/>
      <c r="J237" s="31">
        <f ca="1">N(INDIRECT("R[-1]C", FALSE)) + Cty_Viet_Anh[[#This Row],[THÀNH TIỀN]] - Cty_Viet_Anh[[#This Row],[THANH TOÁN]]</f>
        <v>-61658100</v>
      </c>
      <c r="K237" s="24"/>
    </row>
    <row r="238" spans="1:11" x14ac:dyDescent="0.25">
      <c r="A238" s="22">
        <v>8318</v>
      </c>
      <c r="B238" s="29">
        <v>46106</v>
      </c>
      <c r="C238" s="23" t="s">
        <v>49</v>
      </c>
      <c r="D238" s="37" t="s">
        <v>17</v>
      </c>
      <c r="E238" s="49" t="s">
        <v>492</v>
      </c>
      <c r="F238" s="31">
        <v>5320</v>
      </c>
      <c r="G238" s="31"/>
      <c r="H238" s="31">
        <f>Cty_Viet_Anh[[#This Row],[ĐƠN GIÁ]]*Cty_Viet_Anh[[#This Row],[SỐ LƯỢNG]]</f>
        <v>0</v>
      </c>
      <c r="I238" s="31"/>
      <c r="J238" s="31">
        <f ca="1">N(INDIRECT("R[-1]C", FALSE)) + Cty_Viet_Anh[[#This Row],[THÀNH TIỀN]] - Cty_Viet_Anh[[#This Row],[THANH TOÁN]]</f>
        <v>-61658100</v>
      </c>
      <c r="K238" s="24"/>
    </row>
    <row r="239" spans="1:11" x14ac:dyDescent="0.25">
      <c r="A239" s="22">
        <v>8322</v>
      </c>
      <c r="B239" s="29">
        <v>46106</v>
      </c>
      <c r="C239" s="23" t="s">
        <v>49</v>
      </c>
      <c r="D239" s="37" t="s">
        <v>17</v>
      </c>
      <c r="E239" s="49" t="s">
        <v>469</v>
      </c>
      <c r="F239" s="31">
        <v>4104</v>
      </c>
      <c r="G239" s="31"/>
      <c r="H239" s="31">
        <f>Cty_Viet_Anh[[#This Row],[ĐƠN GIÁ]]*Cty_Viet_Anh[[#This Row],[SỐ LƯỢNG]]</f>
        <v>0</v>
      </c>
      <c r="I239" s="31"/>
      <c r="J239" s="31">
        <f ca="1">N(INDIRECT("R[-1]C", FALSE)) + Cty_Viet_Anh[[#This Row],[THÀNH TIỀN]] - Cty_Viet_Anh[[#This Row],[THANH TOÁN]]</f>
        <v>-61658100</v>
      </c>
      <c r="K239" s="24"/>
    </row>
    <row r="240" spans="1:11" x14ac:dyDescent="0.25">
      <c r="A240" s="22">
        <v>5132</v>
      </c>
      <c r="B240" s="29">
        <v>46107</v>
      </c>
      <c r="C240" s="23" t="s">
        <v>84</v>
      </c>
      <c r="D240" s="37" t="s">
        <v>17</v>
      </c>
      <c r="E240" s="23" t="s">
        <v>550</v>
      </c>
      <c r="F240" s="31">
        <v>4048</v>
      </c>
      <c r="G240" s="31">
        <v>-500</v>
      </c>
      <c r="H240" s="31">
        <f>Cty_Viet_Anh[[#This Row],[ĐƠN GIÁ]]*Cty_Viet_Anh[[#This Row],[SỐ LƯỢNG]]</f>
        <v>-2024000</v>
      </c>
      <c r="I240" s="31"/>
      <c r="J240" s="31">
        <f ca="1">N(INDIRECT("R[-1]C", FALSE)) + Cty_Viet_Anh[[#This Row],[THÀNH TIỀN]] - Cty_Viet_Anh[[#This Row],[THANH TOÁN]]</f>
        <v>-63682100</v>
      </c>
      <c r="K240" s="24"/>
    </row>
    <row r="241" spans="1:11" x14ac:dyDescent="0.25">
      <c r="A241" s="22">
        <v>5132</v>
      </c>
      <c r="B241" s="29">
        <v>46107</v>
      </c>
      <c r="C241" s="23" t="s">
        <v>84</v>
      </c>
      <c r="D241" s="37" t="s">
        <v>17</v>
      </c>
      <c r="E241" s="23" t="s">
        <v>551</v>
      </c>
      <c r="F241" s="31">
        <v>1510</v>
      </c>
      <c r="G241" s="31">
        <v>-500</v>
      </c>
      <c r="H241" s="31">
        <f>Cty_Viet_Anh[[#This Row],[ĐƠN GIÁ]]*Cty_Viet_Anh[[#This Row],[SỐ LƯỢNG]]</f>
        <v>-755000</v>
      </c>
      <c r="I241" s="31"/>
      <c r="J241" s="31">
        <f ca="1">N(INDIRECT("R[-1]C", FALSE)) + Cty_Viet_Anh[[#This Row],[THÀNH TIỀN]] - Cty_Viet_Anh[[#This Row],[THANH TOÁN]]</f>
        <v>-64437100</v>
      </c>
      <c r="K241" s="24"/>
    </row>
    <row r="242" spans="1:11" x14ac:dyDescent="0.25">
      <c r="A242" s="22">
        <v>8344</v>
      </c>
      <c r="B242" s="29">
        <v>46107</v>
      </c>
      <c r="C242" s="23" t="s">
        <v>49</v>
      </c>
      <c r="D242" s="37" t="s">
        <v>17</v>
      </c>
      <c r="E242" s="49" t="s">
        <v>497</v>
      </c>
      <c r="F242" s="31">
        <v>1570</v>
      </c>
      <c r="G242" s="31"/>
      <c r="H242" s="31">
        <f>Cty_Viet_Anh[[#This Row],[ĐƠN GIÁ]]*Cty_Viet_Anh[[#This Row],[SỐ LƯỢNG]]</f>
        <v>0</v>
      </c>
      <c r="I242" s="31"/>
      <c r="J242" s="31">
        <f ca="1">N(INDIRECT("R[-1]C", FALSE)) + Cty_Viet_Anh[[#This Row],[THÀNH TIỀN]] - Cty_Viet_Anh[[#This Row],[THANH TOÁN]]</f>
        <v>-64437100</v>
      </c>
      <c r="K242" s="24"/>
    </row>
    <row r="243" spans="1:11" x14ac:dyDescent="0.25">
      <c r="A243" s="22">
        <v>8344</v>
      </c>
      <c r="B243" s="29">
        <v>46107</v>
      </c>
      <c r="C243" s="23" t="s">
        <v>49</v>
      </c>
      <c r="D243" s="37" t="s">
        <v>77</v>
      </c>
      <c r="E243" s="49" t="s">
        <v>498</v>
      </c>
      <c r="F243" s="31">
        <v>858</v>
      </c>
      <c r="G243" s="31"/>
      <c r="H243" s="31">
        <f>Cty_Viet_Anh[[#This Row],[ĐƠN GIÁ]]*Cty_Viet_Anh[[#This Row],[SỐ LƯỢNG]]</f>
        <v>0</v>
      </c>
      <c r="I243" s="31"/>
      <c r="J243" s="31">
        <f ca="1">N(INDIRECT("R[-1]C", FALSE)) + Cty_Viet_Anh[[#This Row],[THÀNH TIỀN]] - Cty_Viet_Anh[[#This Row],[THANH TOÁN]]</f>
        <v>-64437100</v>
      </c>
      <c r="K243" s="24"/>
    </row>
    <row r="244" spans="1:11" x14ac:dyDescent="0.25">
      <c r="A244" s="22">
        <v>3136</v>
      </c>
      <c r="B244" s="29">
        <v>46108</v>
      </c>
      <c r="C244" s="23" t="s">
        <v>84</v>
      </c>
      <c r="D244" s="37" t="s">
        <v>77</v>
      </c>
      <c r="E244" s="23" t="s">
        <v>553</v>
      </c>
      <c r="F244" s="31">
        <v>860</v>
      </c>
      <c r="G244" s="31">
        <v>-500</v>
      </c>
      <c r="H244" s="31">
        <f>Cty_Viet_Anh[[#This Row],[ĐƠN GIÁ]]*Cty_Viet_Anh[[#This Row],[SỐ LƯỢNG]]</f>
        <v>-430000</v>
      </c>
      <c r="I244" s="31"/>
      <c r="J244" s="31">
        <f ca="1">N(INDIRECT("R[-1]C", FALSE)) + Cty_Viet_Anh[[#This Row],[THÀNH TIỀN]] - Cty_Viet_Anh[[#This Row],[THANH TOÁN]]</f>
        <v>-64867100</v>
      </c>
      <c r="K244" s="24"/>
    </row>
    <row r="245" spans="1:11" x14ac:dyDescent="0.25">
      <c r="A245" s="22">
        <v>3136</v>
      </c>
      <c r="B245" s="29">
        <v>46108</v>
      </c>
      <c r="C245" s="23" t="s">
        <v>84</v>
      </c>
      <c r="D245" s="37" t="s">
        <v>93</v>
      </c>
      <c r="E245" s="23" t="s">
        <v>554</v>
      </c>
      <c r="F245" s="31">
        <v>1542</v>
      </c>
      <c r="G245" s="31">
        <v>-500</v>
      </c>
      <c r="H245" s="31">
        <f>Cty_Viet_Anh[[#This Row],[ĐƠN GIÁ]]*Cty_Viet_Anh[[#This Row],[SỐ LƯỢNG]]</f>
        <v>-771000</v>
      </c>
      <c r="I245" s="31"/>
      <c r="J245" s="31">
        <f ca="1">N(INDIRECT("R[-1]C", FALSE)) + Cty_Viet_Anh[[#This Row],[THÀNH TIỀN]] - Cty_Viet_Anh[[#This Row],[THANH TOÁN]]</f>
        <v>-65638100</v>
      </c>
      <c r="K245" s="24"/>
    </row>
    <row r="246" spans="1:11" x14ac:dyDescent="0.25">
      <c r="A246" s="22">
        <v>5139</v>
      </c>
      <c r="B246" s="29">
        <v>46108</v>
      </c>
      <c r="C246" s="23" t="s">
        <v>84</v>
      </c>
      <c r="D246" s="37" t="s">
        <v>93</v>
      </c>
      <c r="E246" s="23" t="s">
        <v>552</v>
      </c>
      <c r="F246" s="31">
        <v>1324</v>
      </c>
      <c r="G246" s="31">
        <v>-500</v>
      </c>
      <c r="H246" s="31">
        <f>Cty_Viet_Anh[[#This Row],[ĐƠN GIÁ]]*Cty_Viet_Anh[[#This Row],[SỐ LƯỢNG]]</f>
        <v>-662000</v>
      </c>
      <c r="I246" s="31"/>
      <c r="J246" s="31">
        <f ca="1">N(INDIRECT("R[-1]C", FALSE)) + Cty_Viet_Anh[[#This Row],[THÀNH TIỀN]] - Cty_Viet_Anh[[#This Row],[THANH TOÁN]]</f>
        <v>-66300100</v>
      </c>
      <c r="K246" s="24"/>
    </row>
    <row r="247" spans="1:11" x14ac:dyDescent="0.25">
      <c r="A247" s="22">
        <v>8364</v>
      </c>
      <c r="B247" s="29">
        <v>46108</v>
      </c>
      <c r="C247" s="23" t="s">
        <v>49</v>
      </c>
      <c r="D247" s="37" t="s">
        <v>17</v>
      </c>
      <c r="E247" s="49" t="s">
        <v>499</v>
      </c>
      <c r="F247" s="31">
        <v>1323</v>
      </c>
      <c r="G247" s="31"/>
      <c r="H247" s="31">
        <f>Cty_Viet_Anh[[#This Row],[ĐƠN GIÁ]]*Cty_Viet_Anh[[#This Row],[SỐ LƯỢNG]]</f>
        <v>0</v>
      </c>
      <c r="I247" s="31"/>
      <c r="J247" s="31">
        <f ca="1">N(INDIRECT("R[-1]C", FALSE)) + Cty_Viet_Anh[[#This Row],[THÀNH TIỀN]] - Cty_Viet_Anh[[#This Row],[THANH TOÁN]]</f>
        <v>-66300100</v>
      </c>
      <c r="K247" s="24"/>
    </row>
    <row r="248" spans="1:11" x14ac:dyDescent="0.25">
      <c r="A248" s="22">
        <v>8364</v>
      </c>
      <c r="B248" s="29">
        <v>46108</v>
      </c>
      <c r="C248" s="23" t="s">
        <v>49</v>
      </c>
      <c r="D248" s="37" t="s">
        <v>17</v>
      </c>
      <c r="E248" s="49" t="s">
        <v>243</v>
      </c>
      <c r="F248" s="31">
        <v>2149</v>
      </c>
      <c r="G248" s="31"/>
      <c r="H248" s="31">
        <f>Cty_Viet_Anh[[#This Row],[ĐƠN GIÁ]]*Cty_Viet_Anh[[#This Row],[SỐ LƯỢNG]]</f>
        <v>0</v>
      </c>
      <c r="I248" s="31"/>
      <c r="J248" s="31">
        <f ca="1">N(INDIRECT("R[-1]C", FALSE)) + Cty_Viet_Anh[[#This Row],[THÀNH TIỀN]] - Cty_Viet_Anh[[#This Row],[THANH TOÁN]]</f>
        <v>-66300100</v>
      </c>
      <c r="K248" s="24"/>
    </row>
    <row r="249" spans="1:11" x14ac:dyDescent="0.25">
      <c r="A249" s="22">
        <v>5141</v>
      </c>
      <c r="B249" s="29">
        <v>46109</v>
      </c>
      <c r="C249" s="23" t="s">
        <v>84</v>
      </c>
      <c r="D249" s="37" t="s">
        <v>93</v>
      </c>
      <c r="E249" s="23" t="s">
        <v>555</v>
      </c>
      <c r="F249" s="31">
        <v>2520</v>
      </c>
      <c r="G249" s="31">
        <v>-500</v>
      </c>
      <c r="H249" s="31">
        <f>Cty_Viet_Anh[[#This Row],[ĐƠN GIÁ]]*Cty_Viet_Anh[[#This Row],[SỐ LƯỢNG]]</f>
        <v>-1260000</v>
      </c>
      <c r="I249" s="31"/>
      <c r="J249" s="31">
        <f ca="1">N(INDIRECT("R[-1]C", FALSE)) + Cty_Viet_Anh[[#This Row],[THÀNH TIỀN]] - Cty_Viet_Anh[[#This Row],[THANH TOÁN]]</f>
        <v>-67560100</v>
      </c>
      <c r="K249" s="24"/>
    </row>
    <row r="250" spans="1:11" x14ac:dyDescent="0.25">
      <c r="A250" s="22">
        <v>5141</v>
      </c>
      <c r="B250" s="29">
        <v>46109</v>
      </c>
      <c r="C250" s="23" t="s">
        <v>84</v>
      </c>
      <c r="D250" s="37" t="s">
        <v>93</v>
      </c>
      <c r="E250" s="23" t="s">
        <v>556</v>
      </c>
      <c r="F250" s="31">
        <v>426</v>
      </c>
      <c r="G250" s="31">
        <v>-704.22535211269997</v>
      </c>
      <c r="H250" s="31">
        <f>Cty_Viet_Anh[[#This Row],[ĐƠN GIÁ]]*Cty_Viet_Anh[[#This Row],[SỐ LƯỢNG]]</f>
        <v>-300000.00000001019</v>
      </c>
      <c r="I250" s="31"/>
      <c r="J250" s="31">
        <f ca="1">N(INDIRECT("R[-1]C", FALSE)) + Cty_Viet_Anh[[#This Row],[THÀNH TIỀN]] - Cty_Viet_Anh[[#This Row],[THANH TOÁN]]</f>
        <v>-67860100.000000015</v>
      </c>
      <c r="K250" s="24"/>
    </row>
    <row r="251" spans="1:11" x14ac:dyDescent="0.25">
      <c r="A251" s="22">
        <v>5141</v>
      </c>
      <c r="B251" s="29">
        <v>46109</v>
      </c>
      <c r="C251" s="23" t="s">
        <v>84</v>
      </c>
      <c r="D251" s="37" t="s">
        <v>93</v>
      </c>
      <c r="E251" s="23" t="s">
        <v>557</v>
      </c>
      <c r="F251" s="31">
        <v>2766</v>
      </c>
      <c r="G251" s="31">
        <v>-500</v>
      </c>
      <c r="H251" s="31">
        <f>Cty_Viet_Anh[[#This Row],[ĐƠN GIÁ]]*Cty_Viet_Anh[[#This Row],[SỐ LƯỢNG]]</f>
        <v>-1383000</v>
      </c>
      <c r="I251" s="31"/>
      <c r="J251" s="31">
        <f ca="1">N(INDIRECT("R[-1]C", FALSE)) + Cty_Viet_Anh[[#This Row],[THÀNH TIỀN]] - Cty_Viet_Anh[[#This Row],[THANH TOÁN]]</f>
        <v>-69243100.000000015</v>
      </c>
      <c r="K251" s="24"/>
    </row>
    <row r="252" spans="1:11" x14ac:dyDescent="0.25">
      <c r="A252" s="22">
        <v>8386</v>
      </c>
      <c r="B252" s="29">
        <v>46109</v>
      </c>
      <c r="C252" s="23" t="s">
        <v>49</v>
      </c>
      <c r="D252" s="37" t="s">
        <v>17</v>
      </c>
      <c r="E252" s="49" t="s">
        <v>134</v>
      </c>
      <c r="F252" s="31">
        <v>2776</v>
      </c>
      <c r="G252" s="31"/>
      <c r="H252" s="31">
        <f>Cty_Viet_Anh[[#This Row],[ĐƠN GIÁ]]*Cty_Viet_Anh[[#This Row],[SỐ LƯỢNG]]</f>
        <v>0</v>
      </c>
      <c r="I252" s="31"/>
      <c r="J252" s="31">
        <f ca="1">N(INDIRECT("R[-1]C", FALSE)) + Cty_Viet_Anh[[#This Row],[THÀNH TIỀN]] - Cty_Viet_Anh[[#This Row],[THANH TOÁN]]</f>
        <v>-69243100.000000015</v>
      </c>
      <c r="K252" s="24"/>
    </row>
    <row r="253" spans="1:11" x14ac:dyDescent="0.25">
      <c r="A253" s="22">
        <v>8386</v>
      </c>
      <c r="B253" s="29">
        <v>46109</v>
      </c>
      <c r="C253" s="23" t="s">
        <v>49</v>
      </c>
      <c r="D253" s="37" t="s">
        <v>17</v>
      </c>
      <c r="E253" s="49" t="s">
        <v>211</v>
      </c>
      <c r="F253" s="31">
        <v>1242</v>
      </c>
      <c r="G253" s="31"/>
      <c r="H253" s="31">
        <f>Cty_Viet_Anh[[#This Row],[ĐƠN GIÁ]]*Cty_Viet_Anh[[#This Row],[SỐ LƯỢNG]]</f>
        <v>0</v>
      </c>
      <c r="I253" s="31"/>
      <c r="J253" s="31">
        <f ca="1">N(INDIRECT("R[-1]C", FALSE)) + Cty_Viet_Anh[[#This Row],[THÀNH TIỀN]] - Cty_Viet_Anh[[#This Row],[THANH TOÁN]]</f>
        <v>-69243100.000000015</v>
      </c>
      <c r="K253" s="24"/>
    </row>
    <row r="254" spans="1:11" x14ac:dyDescent="0.25">
      <c r="A254" s="22">
        <v>8386</v>
      </c>
      <c r="B254" s="29">
        <v>46109</v>
      </c>
      <c r="C254" s="23" t="s">
        <v>49</v>
      </c>
      <c r="D254" s="37" t="s">
        <v>500</v>
      </c>
      <c r="E254" s="49" t="s">
        <v>501</v>
      </c>
      <c r="F254" s="31">
        <v>1688</v>
      </c>
      <c r="G254" s="31"/>
      <c r="H254" s="31">
        <f>Cty_Viet_Anh[[#This Row],[ĐƠN GIÁ]]*Cty_Viet_Anh[[#This Row],[SỐ LƯỢNG]]</f>
        <v>0</v>
      </c>
      <c r="I254" s="31"/>
      <c r="J254" s="31">
        <f ca="1">N(INDIRECT("R[-1]C", FALSE)) + Cty_Viet_Anh[[#This Row],[THÀNH TIỀN]] - Cty_Viet_Anh[[#This Row],[THANH TOÁN]]</f>
        <v>-69243100.000000015</v>
      </c>
      <c r="K254" s="24"/>
    </row>
    <row r="255" spans="1:11" x14ac:dyDescent="0.25">
      <c r="A255" s="22">
        <v>8404</v>
      </c>
      <c r="B255" s="29">
        <v>46109</v>
      </c>
      <c r="C255" s="23" t="s">
        <v>49</v>
      </c>
      <c r="D255" s="37" t="s">
        <v>43</v>
      </c>
      <c r="E255" s="49" t="s">
        <v>146</v>
      </c>
      <c r="F255" s="31">
        <v>1444</v>
      </c>
      <c r="G255" s="31"/>
      <c r="H255" s="31">
        <f>Cty_Viet_Anh[[#This Row],[ĐƠN GIÁ]]*Cty_Viet_Anh[[#This Row],[SỐ LƯỢNG]]</f>
        <v>0</v>
      </c>
      <c r="I255" s="31"/>
      <c r="J255" s="31">
        <f ca="1">N(INDIRECT("R[-1]C", FALSE)) + Cty_Viet_Anh[[#This Row],[THÀNH TIỀN]] - Cty_Viet_Anh[[#This Row],[THANH TOÁN]]</f>
        <v>-69243100.000000015</v>
      </c>
      <c r="K255" s="24"/>
    </row>
    <row r="256" spans="1:11" x14ac:dyDescent="0.25">
      <c r="A256" s="22">
        <v>8404</v>
      </c>
      <c r="B256" s="29">
        <v>46109</v>
      </c>
      <c r="C256" s="23" t="s">
        <v>49</v>
      </c>
      <c r="D256" s="37" t="s">
        <v>43</v>
      </c>
      <c r="E256" s="49" t="s">
        <v>41</v>
      </c>
      <c r="F256" s="31">
        <v>4796</v>
      </c>
      <c r="G256" s="31"/>
      <c r="H256" s="31">
        <f>Cty_Viet_Anh[[#This Row],[ĐƠN GIÁ]]*Cty_Viet_Anh[[#This Row],[SỐ LƯỢNG]]</f>
        <v>0</v>
      </c>
      <c r="I256" s="31"/>
      <c r="J256" s="31">
        <f ca="1">N(INDIRECT("R[-1]C", FALSE)) + Cty_Viet_Anh[[#This Row],[THÀNH TIỀN]] - Cty_Viet_Anh[[#This Row],[THANH TOÁN]]</f>
        <v>-69243100.000000015</v>
      </c>
      <c r="K256" s="24"/>
    </row>
    <row r="257" spans="1:11" x14ac:dyDescent="0.25">
      <c r="A257" s="22">
        <v>2579</v>
      </c>
      <c r="B257" s="29">
        <v>46111</v>
      </c>
      <c r="C257" s="23" t="s">
        <v>84</v>
      </c>
      <c r="D257" s="37" t="s">
        <v>265</v>
      </c>
      <c r="E257" s="23" t="s">
        <v>146</v>
      </c>
      <c r="F257" s="31">
        <v>5204</v>
      </c>
      <c r="G257" s="31">
        <v>-3000</v>
      </c>
      <c r="H257" s="31">
        <f>Cty_Viet_Anh[[#This Row],[ĐƠN GIÁ]]*Cty_Viet_Anh[[#This Row],[SỐ LƯỢNG]]</f>
        <v>-15612000</v>
      </c>
      <c r="I257" s="31"/>
      <c r="J257" s="31">
        <f ca="1">N(INDIRECT("R[-1]C", FALSE)) + Cty_Viet_Anh[[#This Row],[THÀNH TIỀN]] - Cty_Viet_Anh[[#This Row],[THANH TOÁN]]</f>
        <v>-84855100.000000015</v>
      </c>
      <c r="K257" s="24"/>
    </row>
    <row r="258" spans="1:11" x14ac:dyDescent="0.25">
      <c r="A258" s="22">
        <v>5144</v>
      </c>
      <c r="B258" s="29">
        <v>46111</v>
      </c>
      <c r="C258" s="23" t="s">
        <v>84</v>
      </c>
      <c r="D258" s="37" t="s">
        <v>93</v>
      </c>
      <c r="E258" s="23" t="s">
        <v>558</v>
      </c>
      <c r="F258" s="31">
        <v>4498</v>
      </c>
      <c r="G258" s="31">
        <v>-500</v>
      </c>
      <c r="H258" s="31">
        <f>Cty_Viet_Anh[[#This Row],[ĐƠN GIÁ]]*Cty_Viet_Anh[[#This Row],[SỐ LƯỢNG]]</f>
        <v>-2249000</v>
      </c>
      <c r="I258" s="31"/>
      <c r="J258" s="31">
        <f ca="1">N(INDIRECT("R[-1]C", FALSE)) + Cty_Viet_Anh[[#This Row],[THÀNH TIỀN]] - Cty_Viet_Anh[[#This Row],[THANH TOÁN]]</f>
        <v>-87104100.000000015</v>
      </c>
      <c r="K258" s="24"/>
    </row>
    <row r="259" spans="1:11" x14ac:dyDescent="0.25">
      <c r="A259" s="22">
        <v>5144</v>
      </c>
      <c r="B259" s="29">
        <v>46111</v>
      </c>
      <c r="C259" s="23" t="s">
        <v>84</v>
      </c>
      <c r="D259" s="37" t="s">
        <v>93</v>
      </c>
      <c r="E259" s="23" t="s">
        <v>506</v>
      </c>
      <c r="F259" s="31">
        <v>1206</v>
      </c>
      <c r="G259" s="31">
        <v>-500</v>
      </c>
      <c r="H259" s="31">
        <f>Cty_Viet_Anh[[#This Row],[ĐƠN GIÁ]]*Cty_Viet_Anh[[#This Row],[SỐ LƯỢNG]]</f>
        <v>-603000</v>
      </c>
      <c r="I259" s="31"/>
      <c r="J259" s="31">
        <f ca="1">N(INDIRECT("R[-1]C", FALSE)) + Cty_Viet_Anh[[#This Row],[THÀNH TIỀN]] - Cty_Viet_Anh[[#This Row],[THANH TOÁN]]</f>
        <v>-87707100.000000015</v>
      </c>
      <c r="K259" s="24"/>
    </row>
    <row r="260" spans="1:11" x14ac:dyDescent="0.25">
      <c r="A260" s="22">
        <v>5147</v>
      </c>
      <c r="B260" s="29">
        <v>46111</v>
      </c>
      <c r="C260" s="23" t="s">
        <v>84</v>
      </c>
      <c r="D260" s="37" t="s">
        <v>93</v>
      </c>
      <c r="E260" s="23" t="s">
        <v>560</v>
      </c>
      <c r="F260" s="31">
        <v>3834</v>
      </c>
      <c r="G260" s="31">
        <v>-500</v>
      </c>
      <c r="H260" s="31">
        <f>Cty_Viet_Anh[[#This Row],[ĐƠN GIÁ]]*Cty_Viet_Anh[[#This Row],[SỐ LƯỢNG]]</f>
        <v>-1917000</v>
      </c>
      <c r="I260" s="31"/>
      <c r="J260" s="31">
        <f ca="1">N(INDIRECT("R[-1]C", FALSE)) + Cty_Viet_Anh[[#This Row],[THÀNH TIỀN]] - Cty_Viet_Anh[[#This Row],[THANH TOÁN]]</f>
        <v>-89624100.000000015</v>
      </c>
      <c r="K260" s="24"/>
    </row>
    <row r="261" spans="1:11" x14ac:dyDescent="0.25">
      <c r="A261" s="22">
        <v>5147</v>
      </c>
      <c r="B261" s="29">
        <v>46111</v>
      </c>
      <c r="C261" s="23" t="s">
        <v>84</v>
      </c>
      <c r="D261" s="37" t="s">
        <v>93</v>
      </c>
      <c r="E261" s="23" t="s">
        <v>2531</v>
      </c>
      <c r="F261" s="31">
        <v>1314</v>
      </c>
      <c r="G261" s="31"/>
      <c r="H261" s="31">
        <f>Cty_Viet_Anh[[#This Row],[ĐƠN GIÁ]]*Cty_Viet_Anh[[#This Row],[SỐ LƯỢNG]]</f>
        <v>0</v>
      </c>
      <c r="I261" s="31"/>
      <c r="J261" s="31">
        <f ca="1">N(INDIRECT("R[-1]C", FALSE)) + Cty_Viet_Anh[[#This Row],[THÀNH TIỀN]] - Cty_Viet_Anh[[#This Row],[THANH TOÁN]]</f>
        <v>-89624100.000000015</v>
      </c>
      <c r="K261" s="24"/>
    </row>
    <row r="262" spans="1:11" x14ac:dyDescent="0.25">
      <c r="A262" s="22">
        <v>5148</v>
      </c>
      <c r="B262" s="29">
        <v>46111</v>
      </c>
      <c r="C262" s="23" t="s">
        <v>84</v>
      </c>
      <c r="D262" s="37" t="s">
        <v>93</v>
      </c>
      <c r="E262" s="23" t="s">
        <v>559</v>
      </c>
      <c r="F262" s="31">
        <v>4042</v>
      </c>
      <c r="G262" s="31">
        <v>-500</v>
      </c>
      <c r="H262" s="31">
        <f>Cty_Viet_Anh[[#This Row],[ĐƠN GIÁ]]*Cty_Viet_Anh[[#This Row],[SỐ LƯỢNG]]</f>
        <v>-2021000</v>
      </c>
      <c r="I262" s="31"/>
      <c r="J262" s="31">
        <f ca="1">N(INDIRECT("R[-1]C", FALSE)) + Cty_Viet_Anh[[#This Row],[THÀNH TIỀN]] - Cty_Viet_Anh[[#This Row],[THANH TOÁN]]</f>
        <v>-91645100.000000015</v>
      </c>
      <c r="K262" s="24"/>
    </row>
    <row r="263" spans="1:11" x14ac:dyDescent="0.25">
      <c r="A263" s="22">
        <v>8405</v>
      </c>
      <c r="B263" s="29">
        <v>46111</v>
      </c>
      <c r="C263" s="23" t="s">
        <v>49</v>
      </c>
      <c r="D263" s="37" t="s">
        <v>17</v>
      </c>
      <c r="E263" s="49" t="s">
        <v>502</v>
      </c>
      <c r="F263" s="31">
        <v>6740</v>
      </c>
      <c r="G263" s="31"/>
      <c r="H263" s="31">
        <f>Cty_Viet_Anh[[#This Row],[ĐƠN GIÁ]]*Cty_Viet_Anh[[#This Row],[SỐ LƯỢNG]]</f>
        <v>0</v>
      </c>
      <c r="I263" s="31"/>
      <c r="J263" s="31">
        <f ca="1">N(INDIRECT("R[-1]C", FALSE)) + Cty_Viet_Anh[[#This Row],[THÀNH TIỀN]] - Cty_Viet_Anh[[#This Row],[THANH TOÁN]]</f>
        <v>-91645100.000000015</v>
      </c>
      <c r="K263" s="24"/>
    </row>
    <row r="264" spans="1:11" x14ac:dyDescent="0.25">
      <c r="A264" s="22">
        <v>8407</v>
      </c>
      <c r="B264" s="29">
        <v>46111</v>
      </c>
      <c r="C264" s="23" t="s">
        <v>49</v>
      </c>
      <c r="D264" s="37" t="s">
        <v>43</v>
      </c>
      <c r="E264" s="49" t="s">
        <v>146</v>
      </c>
      <c r="F264" s="31">
        <v>5117</v>
      </c>
      <c r="G264" s="31"/>
      <c r="H264" s="31">
        <f>Cty_Viet_Anh[[#This Row],[ĐƠN GIÁ]]*Cty_Viet_Anh[[#This Row],[SỐ LƯỢNG]]</f>
        <v>0</v>
      </c>
      <c r="I264" s="31"/>
      <c r="J264" s="31">
        <f ca="1">N(INDIRECT("R[-1]C", FALSE)) + Cty_Viet_Anh[[#This Row],[THÀNH TIỀN]] - Cty_Viet_Anh[[#This Row],[THANH TOÁN]]</f>
        <v>-91645100.000000015</v>
      </c>
      <c r="K264" s="24"/>
    </row>
    <row r="265" spans="1:11" x14ac:dyDescent="0.25">
      <c r="A265" s="22">
        <v>8419</v>
      </c>
      <c r="B265" s="29">
        <v>46111</v>
      </c>
      <c r="C265" s="23" t="s">
        <v>49</v>
      </c>
      <c r="D265" s="37" t="s">
        <v>17</v>
      </c>
      <c r="E265" s="49" t="s">
        <v>502</v>
      </c>
      <c r="F265" s="31">
        <v>1900</v>
      </c>
      <c r="G265" s="31"/>
      <c r="H265" s="31">
        <f>Cty_Viet_Anh[[#This Row],[ĐƠN GIÁ]]*Cty_Viet_Anh[[#This Row],[SỐ LƯỢNG]]</f>
        <v>0</v>
      </c>
      <c r="I265" s="31"/>
      <c r="J265" s="31">
        <f ca="1">N(INDIRECT("R[-1]C", FALSE)) + Cty_Viet_Anh[[#This Row],[THÀNH TIỀN]] - Cty_Viet_Anh[[#This Row],[THANH TOÁN]]</f>
        <v>-91645100.000000015</v>
      </c>
      <c r="K265" s="24"/>
    </row>
    <row r="266" spans="1:11" x14ac:dyDescent="0.25">
      <c r="A266" s="22">
        <v>8419</v>
      </c>
      <c r="B266" s="29">
        <v>46111</v>
      </c>
      <c r="C266" s="23" t="s">
        <v>49</v>
      </c>
      <c r="D266" s="37" t="s">
        <v>192</v>
      </c>
      <c r="E266" s="49" t="s">
        <v>134</v>
      </c>
      <c r="F266" s="31">
        <v>5160</v>
      </c>
      <c r="G266" s="31"/>
      <c r="H266" s="31">
        <f>Cty_Viet_Anh[[#This Row],[ĐƠN GIÁ]]*Cty_Viet_Anh[[#This Row],[SỐ LƯỢNG]]</f>
        <v>0</v>
      </c>
      <c r="I266" s="31"/>
      <c r="J266" s="31">
        <f ca="1">N(INDIRECT("R[-1]C", FALSE)) + Cty_Viet_Anh[[#This Row],[THÀNH TIỀN]] - Cty_Viet_Anh[[#This Row],[THANH TOÁN]]</f>
        <v>-91645100.000000015</v>
      </c>
      <c r="K266" s="24"/>
    </row>
    <row r="267" spans="1:11" x14ac:dyDescent="0.25">
      <c r="A267" s="22">
        <v>2585</v>
      </c>
      <c r="B267" s="29">
        <v>46112</v>
      </c>
      <c r="C267" s="23" t="s">
        <v>84</v>
      </c>
      <c r="D267" s="37" t="s">
        <v>265</v>
      </c>
      <c r="E267" s="68" t="s">
        <v>41</v>
      </c>
      <c r="F267" s="31">
        <v>534</v>
      </c>
      <c r="G267" s="31">
        <v>-3000</v>
      </c>
      <c r="H267" s="31">
        <f>Cty_Viet_Anh[[#This Row],[ĐƠN GIÁ]]*Cty_Viet_Anh[[#This Row],[SỐ LƯỢNG]]</f>
        <v>-1602000</v>
      </c>
      <c r="I267" s="31"/>
      <c r="J267" s="31">
        <f ca="1">N(INDIRECT("R[-1]C", FALSE)) + Cty_Viet_Anh[[#This Row],[THÀNH TIỀN]] - Cty_Viet_Anh[[#This Row],[THANH TOÁN]]</f>
        <v>-93247100.000000015</v>
      </c>
      <c r="K267" s="133"/>
    </row>
    <row r="268" spans="1:11" x14ac:dyDescent="0.25">
      <c r="A268" s="22">
        <v>2593</v>
      </c>
      <c r="B268" s="29">
        <v>46112</v>
      </c>
      <c r="C268" s="23" t="s">
        <v>84</v>
      </c>
      <c r="D268" s="37" t="s">
        <v>265</v>
      </c>
      <c r="E268" s="68" t="s">
        <v>41</v>
      </c>
      <c r="F268" s="31">
        <v>4278</v>
      </c>
      <c r="G268" s="31">
        <v>-3000</v>
      </c>
      <c r="H268" s="31">
        <f>Cty_Viet_Anh[[#This Row],[ĐƠN GIÁ]]*Cty_Viet_Anh[[#This Row],[SỐ LƯỢNG]]</f>
        <v>-12834000</v>
      </c>
      <c r="I268" s="31"/>
      <c r="J268" s="31">
        <f ca="1">N(INDIRECT("R[-1]C", FALSE)) + Cty_Viet_Anh[[#This Row],[THÀNH TIỀN]] - Cty_Viet_Anh[[#This Row],[THANH TOÁN]]</f>
        <v>-106081100.00000001</v>
      </c>
      <c r="K268" s="133"/>
    </row>
    <row r="269" spans="1:11" x14ac:dyDescent="0.25">
      <c r="A269" s="22">
        <v>2593</v>
      </c>
      <c r="B269" s="29">
        <v>46112</v>
      </c>
      <c r="C269" s="23" t="s">
        <v>426</v>
      </c>
      <c r="D269" s="37" t="s">
        <v>17</v>
      </c>
      <c r="E269" s="68" t="s">
        <v>41</v>
      </c>
      <c r="F269" s="31">
        <v>348</v>
      </c>
      <c r="G269" s="31"/>
      <c r="H269" s="31">
        <f>Cty_Viet_Anh[[#This Row],[ĐƠN GIÁ]]*Cty_Viet_Anh[[#This Row],[SỐ LƯỢNG]]</f>
        <v>0</v>
      </c>
      <c r="I269" s="31"/>
      <c r="J269" s="31">
        <f ca="1">N(INDIRECT("R[-1]C", FALSE)) + Cty_Viet_Anh[[#This Row],[THÀNH TIỀN]] - Cty_Viet_Anh[[#This Row],[THANH TOÁN]]</f>
        <v>-106081100.00000001</v>
      </c>
      <c r="K269" s="133"/>
    </row>
    <row r="270" spans="1:11" x14ac:dyDescent="0.25">
      <c r="A270" s="22">
        <v>2593</v>
      </c>
      <c r="B270" s="29">
        <v>46112</v>
      </c>
      <c r="C270" s="23" t="s">
        <v>426</v>
      </c>
      <c r="D270" s="37" t="s">
        <v>43</v>
      </c>
      <c r="E270" s="68" t="s">
        <v>146</v>
      </c>
      <c r="F270" s="31">
        <v>1444</v>
      </c>
      <c r="G270" s="31"/>
      <c r="H270" s="31">
        <f>Cty_Viet_Anh[[#This Row],[ĐƠN GIÁ]]*Cty_Viet_Anh[[#This Row],[SỐ LƯỢNG]]</f>
        <v>0</v>
      </c>
      <c r="I270" s="31"/>
      <c r="J270" s="31">
        <f ca="1">N(INDIRECT("R[-1]C", FALSE)) + Cty_Viet_Anh[[#This Row],[THÀNH TIỀN]] - Cty_Viet_Anh[[#This Row],[THANH TOÁN]]</f>
        <v>-106081100.00000001</v>
      </c>
      <c r="K270" s="133"/>
    </row>
    <row r="271" spans="1:11" x14ac:dyDescent="0.25">
      <c r="A271" s="22">
        <v>5149</v>
      </c>
      <c r="B271" s="29">
        <v>46112</v>
      </c>
      <c r="C271" s="23" t="s">
        <v>84</v>
      </c>
      <c r="D271" s="37" t="s">
        <v>93</v>
      </c>
      <c r="E271" s="23" t="s">
        <v>561</v>
      </c>
      <c r="F271" s="31">
        <v>4956</v>
      </c>
      <c r="G271" s="31">
        <v>-500</v>
      </c>
      <c r="H271" s="31">
        <f>Cty_Viet_Anh[[#This Row],[ĐƠN GIÁ]]*Cty_Viet_Anh[[#This Row],[SỐ LƯỢNG]]</f>
        <v>-2478000</v>
      </c>
      <c r="I271" s="31"/>
      <c r="J271" s="31">
        <f ca="1">N(INDIRECT("R[-1]C", FALSE)) + Cty_Viet_Anh[[#This Row],[THÀNH TIỀN]] - Cty_Viet_Anh[[#This Row],[THANH TOÁN]]</f>
        <v>-108559100.00000001</v>
      </c>
      <c r="K271" s="24"/>
    </row>
    <row r="272" spans="1:11" x14ac:dyDescent="0.25">
      <c r="A272" s="22">
        <v>5149</v>
      </c>
      <c r="B272" s="29">
        <v>46112</v>
      </c>
      <c r="C272" s="23" t="s">
        <v>84</v>
      </c>
      <c r="D272" s="37" t="s">
        <v>93</v>
      </c>
      <c r="E272" s="23" t="s">
        <v>2531</v>
      </c>
      <c r="F272" s="31">
        <v>660</v>
      </c>
      <c r="G272" s="31"/>
      <c r="H272" s="31">
        <f>Cty_Viet_Anh[[#This Row],[ĐƠN GIÁ]]*Cty_Viet_Anh[[#This Row],[SỐ LƯỢNG]]</f>
        <v>0</v>
      </c>
      <c r="I272" s="31"/>
      <c r="J272" s="31">
        <f ca="1">N(INDIRECT("R[-1]C", FALSE)) + Cty_Viet_Anh[[#This Row],[THÀNH TIỀN]] - Cty_Viet_Anh[[#This Row],[THANH TOÁN]]</f>
        <v>-108559100.00000001</v>
      </c>
      <c r="K272" s="24"/>
    </row>
    <row r="273" spans="1:11" x14ac:dyDescent="0.25">
      <c r="A273" s="22">
        <v>5152</v>
      </c>
      <c r="B273" s="29">
        <v>46112</v>
      </c>
      <c r="C273" s="23" t="s">
        <v>84</v>
      </c>
      <c r="D273" s="37" t="s">
        <v>93</v>
      </c>
      <c r="E273" s="68" t="s">
        <v>638</v>
      </c>
      <c r="F273" s="31">
        <v>2014</v>
      </c>
      <c r="G273" s="31">
        <v>-500</v>
      </c>
      <c r="H273" s="31">
        <f>Cty_Viet_Anh[[#This Row],[ĐƠN GIÁ]]*Cty_Viet_Anh[[#This Row],[SỐ LƯỢNG]]</f>
        <v>-1007000</v>
      </c>
      <c r="I273" s="31"/>
      <c r="J273" s="31">
        <f ca="1">N(INDIRECT("R[-1]C", FALSE)) + Cty_Viet_Anh[[#This Row],[THÀNH TIỀN]] - Cty_Viet_Anh[[#This Row],[THANH TOÁN]]</f>
        <v>-109566100.00000001</v>
      </c>
      <c r="K273" s="133"/>
    </row>
    <row r="274" spans="1:11" x14ac:dyDescent="0.25">
      <c r="A274" s="22">
        <v>8429</v>
      </c>
      <c r="B274" s="29">
        <v>46112</v>
      </c>
      <c r="C274" s="23" t="s">
        <v>49</v>
      </c>
      <c r="D274" s="37" t="s">
        <v>45</v>
      </c>
      <c r="E274" s="49" t="s">
        <v>462</v>
      </c>
      <c r="F274" s="31">
        <v>5706</v>
      </c>
      <c r="G274" s="31"/>
      <c r="H274" s="31">
        <f>Cty_Viet_Anh[[#This Row],[ĐƠN GIÁ]]*Cty_Viet_Anh[[#This Row],[SỐ LƯỢNG]]</f>
        <v>0</v>
      </c>
      <c r="I274" s="31"/>
      <c r="J274" s="31">
        <f ca="1">N(INDIRECT("R[-1]C", FALSE)) + Cty_Viet_Anh[[#This Row],[THÀNH TIỀN]] - Cty_Viet_Anh[[#This Row],[THANH TOÁN]]</f>
        <v>-109566100.00000001</v>
      </c>
      <c r="K274" s="24"/>
    </row>
    <row r="275" spans="1:11" x14ac:dyDescent="0.25">
      <c r="A275" s="22">
        <v>8438</v>
      </c>
      <c r="B275" s="29">
        <v>46112</v>
      </c>
      <c r="C275" s="23" t="s">
        <v>49</v>
      </c>
      <c r="D275" s="37" t="s">
        <v>26</v>
      </c>
      <c r="E275" s="49" t="s">
        <v>148</v>
      </c>
      <c r="F275" s="31">
        <v>7433</v>
      </c>
      <c r="G275" s="31"/>
      <c r="H275" s="31">
        <f>Cty_Viet_Anh[[#This Row],[ĐƠN GIÁ]]*Cty_Viet_Anh[[#This Row],[SỐ LƯỢNG]]</f>
        <v>0</v>
      </c>
      <c r="I275" s="31"/>
      <c r="J275" s="31">
        <f ca="1">N(INDIRECT("R[-1]C", FALSE)) + Cty_Viet_Anh[[#This Row],[THÀNH TIỀN]] - Cty_Viet_Anh[[#This Row],[THANH TOÁN]]</f>
        <v>-109566100.00000001</v>
      </c>
      <c r="K275" s="24"/>
    </row>
    <row r="276" spans="1:11" x14ac:dyDescent="0.25">
      <c r="A276" s="22">
        <v>8443</v>
      </c>
      <c r="B276" s="29">
        <v>46112</v>
      </c>
      <c r="C276" s="23" t="s">
        <v>49</v>
      </c>
      <c r="D276" s="37" t="s">
        <v>26</v>
      </c>
      <c r="E276" s="49" t="s">
        <v>78</v>
      </c>
      <c r="F276" s="31">
        <v>5078</v>
      </c>
      <c r="G276" s="31"/>
      <c r="H276" s="31">
        <f>Cty_Viet_Anh[[#This Row],[ĐƠN GIÁ]]*Cty_Viet_Anh[[#This Row],[SỐ LƯỢNG]]</f>
        <v>0</v>
      </c>
      <c r="I276" s="31"/>
      <c r="J276" s="31">
        <f ca="1">N(INDIRECT("R[-1]C", FALSE)) + Cty_Viet_Anh[[#This Row],[THÀNH TIỀN]] - Cty_Viet_Anh[[#This Row],[THANH TOÁN]]</f>
        <v>-109566100.00000001</v>
      </c>
      <c r="K276" s="24"/>
    </row>
    <row r="277" spans="1:11" x14ac:dyDescent="0.25">
      <c r="A277" s="22">
        <v>5156</v>
      </c>
      <c r="B277" s="29">
        <v>46113</v>
      </c>
      <c r="C277" s="23" t="s">
        <v>84</v>
      </c>
      <c r="D277" s="37" t="s">
        <v>93</v>
      </c>
      <c r="E277" s="23" t="s">
        <v>1994</v>
      </c>
      <c r="F277" s="31">
        <v>2864</v>
      </c>
      <c r="G277" s="31">
        <v>-500</v>
      </c>
      <c r="H277" s="31">
        <f>Cty_Viet_Anh[[#This Row],[ĐƠN GIÁ]]*Cty_Viet_Anh[[#This Row],[SỐ LƯỢNG]]</f>
        <v>-1432000</v>
      </c>
      <c r="I277" s="31"/>
      <c r="J277" s="31">
        <f ca="1">N(INDIRECT("R[-1]C", FALSE)) + Cty_Viet_Anh[[#This Row],[THÀNH TIỀN]] - Cty_Viet_Anh[[#This Row],[THANH TOÁN]]</f>
        <v>-110998100.00000001</v>
      </c>
      <c r="K277" s="24"/>
    </row>
    <row r="278" spans="1:11" x14ac:dyDescent="0.25">
      <c r="A278" s="22">
        <v>5157</v>
      </c>
      <c r="B278" s="29">
        <v>46113</v>
      </c>
      <c r="C278" s="23" t="s">
        <v>426</v>
      </c>
      <c r="D278" s="37" t="s">
        <v>93</v>
      </c>
      <c r="E278" s="68" t="s">
        <v>78</v>
      </c>
      <c r="F278" s="31">
        <v>2238</v>
      </c>
      <c r="G278" s="31"/>
      <c r="H278" s="31">
        <f>Cty_Viet_Anh[[#This Row],[ĐƠN GIÁ]]*Cty_Viet_Anh[[#This Row],[SỐ LƯỢNG]]</f>
        <v>0</v>
      </c>
      <c r="I278" s="31"/>
      <c r="J278" s="31">
        <f ca="1">N(INDIRECT("R[-1]C", FALSE)) + Cty_Viet_Anh[[#This Row],[THÀNH TIỀN]] - Cty_Viet_Anh[[#This Row],[THANH TOÁN]]</f>
        <v>-110998100.00000001</v>
      </c>
      <c r="K278" s="133"/>
    </row>
    <row r="279" spans="1:11" x14ac:dyDescent="0.25">
      <c r="A279" s="22">
        <v>8462</v>
      </c>
      <c r="B279" s="29">
        <v>46113</v>
      </c>
      <c r="C279" s="23" t="s">
        <v>49</v>
      </c>
      <c r="D279" s="37" t="s">
        <v>17</v>
      </c>
      <c r="E279" s="23" t="s">
        <v>562</v>
      </c>
      <c r="F279" s="31">
        <v>5480</v>
      </c>
      <c r="G279" s="31"/>
      <c r="H279" s="31">
        <f>Cty_Viet_Anh[[#This Row],[ĐƠN GIÁ]]*Cty_Viet_Anh[[#This Row],[SỐ LƯỢNG]]</f>
        <v>0</v>
      </c>
      <c r="I279" s="31"/>
      <c r="J279" s="31">
        <f ca="1">N(INDIRECT("R[-1]C", FALSE)) + Cty_Viet_Anh[[#This Row],[THÀNH TIỀN]] - Cty_Viet_Anh[[#This Row],[THANH TOÁN]]</f>
        <v>-110998100.00000001</v>
      </c>
      <c r="K279" s="24" t="s">
        <v>563</v>
      </c>
    </row>
    <row r="280" spans="1:11" x14ac:dyDescent="0.25">
      <c r="A280" s="22">
        <v>8484</v>
      </c>
      <c r="B280" s="29">
        <v>46113</v>
      </c>
      <c r="C280" s="23" t="s">
        <v>49</v>
      </c>
      <c r="D280" s="37" t="s">
        <v>43</v>
      </c>
      <c r="E280" s="23" t="s">
        <v>148</v>
      </c>
      <c r="F280" s="31">
        <v>4546</v>
      </c>
      <c r="G280" s="31"/>
      <c r="H280" s="31">
        <f>Cty_Viet_Anh[[#This Row],[ĐƠN GIÁ]]*Cty_Viet_Anh[[#This Row],[SỐ LƯỢNG]]</f>
        <v>0</v>
      </c>
      <c r="I280" s="31"/>
      <c r="J280" s="31">
        <f ca="1">N(INDIRECT("R[-1]C", FALSE)) + Cty_Viet_Anh[[#This Row],[THÀNH TIỀN]] - Cty_Viet_Anh[[#This Row],[THANH TOÁN]]</f>
        <v>-110998100.00000001</v>
      </c>
      <c r="K280" s="24" t="s">
        <v>564</v>
      </c>
    </row>
    <row r="281" spans="1:11" x14ac:dyDescent="0.25">
      <c r="A281" s="22">
        <v>8484</v>
      </c>
      <c r="B281" s="29">
        <v>46113</v>
      </c>
      <c r="C281" s="23" t="s">
        <v>49</v>
      </c>
      <c r="D281" s="37" t="s">
        <v>17</v>
      </c>
      <c r="E281" s="23" t="s">
        <v>469</v>
      </c>
      <c r="F281" s="31">
        <v>560</v>
      </c>
      <c r="G281" s="31"/>
      <c r="H281" s="31">
        <f>Cty_Viet_Anh[[#This Row],[ĐƠN GIÁ]]*Cty_Viet_Anh[[#This Row],[SỐ LƯỢNG]]</f>
        <v>0</v>
      </c>
      <c r="I281" s="31"/>
      <c r="J281" s="31">
        <f ca="1">N(INDIRECT("R[-1]C", FALSE)) + Cty_Viet_Anh[[#This Row],[THÀNH TIỀN]] - Cty_Viet_Anh[[#This Row],[THANH TOÁN]]</f>
        <v>-110998100.00000001</v>
      </c>
      <c r="K281" s="24" t="s">
        <v>565</v>
      </c>
    </row>
    <row r="282" spans="1:11" x14ac:dyDescent="0.25">
      <c r="A282" s="22">
        <v>31</v>
      </c>
      <c r="B282" s="29">
        <v>46114</v>
      </c>
      <c r="C282" s="23" t="s">
        <v>426</v>
      </c>
      <c r="D282" s="37" t="s">
        <v>277</v>
      </c>
      <c r="E282" s="68" t="s">
        <v>148</v>
      </c>
      <c r="F282" s="31">
        <v>4546</v>
      </c>
      <c r="G282" s="31"/>
      <c r="H282" s="31">
        <f>Cty_Viet_Anh[[#This Row],[ĐƠN GIÁ]]*Cty_Viet_Anh[[#This Row],[SỐ LƯỢNG]]</f>
        <v>0</v>
      </c>
      <c r="I282" s="31"/>
      <c r="J282" s="31">
        <f ca="1">N(INDIRECT("R[-1]C", FALSE)) + Cty_Viet_Anh[[#This Row],[THÀNH TIỀN]] - Cty_Viet_Anh[[#This Row],[THANH TOÁN]]</f>
        <v>-110998100.00000001</v>
      </c>
      <c r="K282" s="133"/>
    </row>
    <row r="283" spans="1:11" x14ac:dyDescent="0.25">
      <c r="A283" s="22">
        <v>5163</v>
      </c>
      <c r="B283" s="29">
        <v>46114</v>
      </c>
      <c r="C283" s="23" t="s">
        <v>84</v>
      </c>
      <c r="D283" s="37" t="s">
        <v>93</v>
      </c>
      <c r="E283" s="68" t="s">
        <v>39</v>
      </c>
      <c r="F283" s="31">
        <v>2110</v>
      </c>
      <c r="G283" s="31">
        <v>-500</v>
      </c>
      <c r="H283" s="31">
        <f>Cty_Viet_Anh[[#This Row],[ĐƠN GIÁ]]*Cty_Viet_Anh[[#This Row],[SỐ LƯỢNG]]</f>
        <v>-1055000</v>
      </c>
      <c r="I283" s="31"/>
      <c r="J283" s="31">
        <f ca="1">N(INDIRECT("R[-1]C", FALSE)) + Cty_Viet_Anh[[#This Row],[THÀNH TIỀN]] - Cty_Viet_Anh[[#This Row],[THANH TOÁN]]</f>
        <v>-112053100.00000001</v>
      </c>
      <c r="K283" s="133"/>
    </row>
    <row r="284" spans="1:11" x14ac:dyDescent="0.25">
      <c r="A284" s="22">
        <v>5165</v>
      </c>
      <c r="B284" s="29">
        <v>46114</v>
      </c>
      <c r="C284" s="23" t="s">
        <v>84</v>
      </c>
      <c r="D284" s="37" t="s">
        <v>93</v>
      </c>
      <c r="E284" s="68" t="s">
        <v>31</v>
      </c>
      <c r="F284" s="31">
        <v>1360</v>
      </c>
      <c r="G284" s="31">
        <v>-500</v>
      </c>
      <c r="H284" s="31">
        <f>Cty_Viet_Anh[[#This Row],[ĐƠN GIÁ]]*Cty_Viet_Anh[[#This Row],[SỐ LƯỢNG]]</f>
        <v>-680000</v>
      </c>
      <c r="I284" s="31"/>
      <c r="J284" s="31">
        <f ca="1">N(INDIRECT("R[-1]C", FALSE)) + Cty_Viet_Anh[[#This Row],[THÀNH TIỀN]] - Cty_Viet_Anh[[#This Row],[THANH TOÁN]]</f>
        <v>-112733100.00000001</v>
      </c>
      <c r="K284" s="133"/>
    </row>
    <row r="285" spans="1:11" x14ac:dyDescent="0.25">
      <c r="A285" s="22">
        <v>5166</v>
      </c>
      <c r="B285" s="29">
        <v>46114</v>
      </c>
      <c r="C285" s="23" t="s">
        <v>84</v>
      </c>
      <c r="D285" s="37" t="s">
        <v>93</v>
      </c>
      <c r="E285" s="68" t="s">
        <v>31</v>
      </c>
      <c r="F285" s="31">
        <v>532</v>
      </c>
      <c r="G285" s="31">
        <v>-563.90977443609995</v>
      </c>
      <c r="H285" s="31">
        <f>Cty_Viet_Anh[[#This Row],[ĐƠN GIÁ]]*Cty_Viet_Anh[[#This Row],[SỐ LƯỢNG]]</f>
        <v>-300000.00000000518</v>
      </c>
      <c r="I285" s="31"/>
      <c r="J285" s="31">
        <f ca="1">N(INDIRECT("R[-1]C", FALSE)) + Cty_Viet_Anh[[#This Row],[THÀNH TIỀN]] - Cty_Viet_Anh[[#This Row],[THANH TOÁN]]</f>
        <v>-113033100.00000001</v>
      </c>
      <c r="K285" s="133"/>
    </row>
    <row r="286" spans="1:11" x14ac:dyDescent="0.25">
      <c r="A286" s="22">
        <v>5166</v>
      </c>
      <c r="B286" s="29">
        <v>46114</v>
      </c>
      <c r="C286" s="23" t="s">
        <v>84</v>
      </c>
      <c r="D286" s="37" t="s">
        <v>93</v>
      </c>
      <c r="E286" s="68" t="s">
        <v>33</v>
      </c>
      <c r="F286" s="31">
        <v>1836</v>
      </c>
      <c r="G286" s="31">
        <v>-500</v>
      </c>
      <c r="H286" s="31">
        <f>Cty_Viet_Anh[[#This Row],[ĐƠN GIÁ]]*Cty_Viet_Anh[[#This Row],[SỐ LƯỢNG]]</f>
        <v>-918000</v>
      </c>
      <c r="I286" s="31"/>
      <c r="J286" s="31">
        <f ca="1">N(INDIRECT("R[-1]C", FALSE)) + Cty_Viet_Anh[[#This Row],[THÀNH TIỀN]] - Cty_Viet_Anh[[#This Row],[THANH TOÁN]]</f>
        <v>-113951100.00000001</v>
      </c>
      <c r="K286" s="133"/>
    </row>
    <row r="287" spans="1:11" x14ac:dyDescent="0.25">
      <c r="A287" s="22">
        <v>8492</v>
      </c>
      <c r="B287" s="29">
        <v>46114</v>
      </c>
      <c r="C287" s="23" t="s">
        <v>49</v>
      </c>
      <c r="D287" s="37" t="s">
        <v>17</v>
      </c>
      <c r="E287" s="23" t="s">
        <v>469</v>
      </c>
      <c r="F287" s="31">
        <v>4064</v>
      </c>
      <c r="G287" s="31"/>
      <c r="H287" s="31">
        <f>Cty_Viet_Anh[[#This Row],[ĐƠN GIÁ]]*Cty_Viet_Anh[[#This Row],[SỐ LƯỢNG]]</f>
        <v>0</v>
      </c>
      <c r="I287" s="31"/>
      <c r="J287" s="31">
        <f ca="1">N(INDIRECT("R[-1]C", FALSE)) + Cty_Viet_Anh[[#This Row],[THÀNH TIỀN]] - Cty_Viet_Anh[[#This Row],[THANH TOÁN]]</f>
        <v>-113951100.00000001</v>
      </c>
      <c r="K287" s="24" t="s">
        <v>566</v>
      </c>
    </row>
    <row r="288" spans="1:11" x14ac:dyDescent="0.25">
      <c r="A288" s="22">
        <v>8494</v>
      </c>
      <c r="B288" s="29">
        <v>46114</v>
      </c>
      <c r="C288" s="23" t="s">
        <v>49</v>
      </c>
      <c r="D288" s="37" t="s">
        <v>43</v>
      </c>
      <c r="E288" s="23" t="s">
        <v>141</v>
      </c>
      <c r="F288" s="31">
        <v>4546</v>
      </c>
      <c r="G288" s="31"/>
      <c r="H288" s="31">
        <f>Cty_Viet_Anh[[#This Row],[ĐƠN GIÁ]]*Cty_Viet_Anh[[#This Row],[SỐ LƯỢNG]]</f>
        <v>0</v>
      </c>
      <c r="I288" s="31"/>
      <c r="J288" s="31">
        <f ca="1">N(INDIRECT("R[-1]C", FALSE)) + Cty_Viet_Anh[[#This Row],[THÀNH TIỀN]] - Cty_Viet_Anh[[#This Row],[THANH TOÁN]]</f>
        <v>-113951100.00000001</v>
      </c>
      <c r="K288" s="24" t="s">
        <v>567</v>
      </c>
    </row>
    <row r="289" spans="1:11" x14ac:dyDescent="0.25">
      <c r="A289" s="22">
        <v>8494</v>
      </c>
      <c r="B289" s="29">
        <v>46114</v>
      </c>
      <c r="C289" s="23" t="s">
        <v>49</v>
      </c>
      <c r="D289" s="37" t="s">
        <v>26</v>
      </c>
      <c r="E289" s="23" t="s">
        <v>141</v>
      </c>
      <c r="F289" s="31">
        <v>4560</v>
      </c>
      <c r="G289" s="31"/>
      <c r="H289" s="31">
        <f>Cty_Viet_Anh[[#This Row],[ĐƠN GIÁ]]*Cty_Viet_Anh[[#This Row],[SỐ LƯỢNG]]</f>
        <v>0</v>
      </c>
      <c r="I289" s="31"/>
      <c r="J289" s="31">
        <f ca="1">N(INDIRECT("R[-1]C", FALSE)) + Cty_Viet_Anh[[#This Row],[THÀNH TIỀN]] - Cty_Viet_Anh[[#This Row],[THANH TOÁN]]</f>
        <v>-113951100.00000001</v>
      </c>
      <c r="K289" s="24" t="s">
        <v>568</v>
      </c>
    </row>
    <row r="290" spans="1:11" x14ac:dyDescent="0.25">
      <c r="A290" s="22">
        <v>8502</v>
      </c>
      <c r="B290" s="29">
        <v>46114</v>
      </c>
      <c r="C290" s="23" t="s">
        <v>49</v>
      </c>
      <c r="D290" s="37" t="s">
        <v>26</v>
      </c>
      <c r="E290" s="23" t="s">
        <v>148</v>
      </c>
      <c r="F290" s="31">
        <v>4560</v>
      </c>
      <c r="G290" s="31"/>
      <c r="H290" s="31">
        <f>Cty_Viet_Anh[[#This Row],[ĐƠN GIÁ]]*Cty_Viet_Anh[[#This Row],[SỐ LƯỢNG]]</f>
        <v>0</v>
      </c>
      <c r="I290" s="31"/>
      <c r="J290" s="31">
        <f ca="1">N(INDIRECT("R[-1]C", FALSE)) + Cty_Viet_Anh[[#This Row],[THÀNH TIỀN]] - Cty_Viet_Anh[[#This Row],[THANH TOÁN]]</f>
        <v>-113951100.00000001</v>
      </c>
      <c r="K290" s="24" t="s">
        <v>569</v>
      </c>
    </row>
    <row r="291" spans="1:11" x14ac:dyDescent="0.25">
      <c r="A291" s="22">
        <v>8506</v>
      </c>
      <c r="B291" s="29">
        <v>46114</v>
      </c>
      <c r="C291" s="23" t="s">
        <v>49</v>
      </c>
      <c r="D291" s="37" t="s">
        <v>26</v>
      </c>
      <c r="E291" s="23" t="s">
        <v>148</v>
      </c>
      <c r="F291" s="31">
        <v>6294</v>
      </c>
      <c r="G291" s="31"/>
      <c r="H291" s="31">
        <f>Cty_Viet_Anh[[#This Row],[ĐƠN GIÁ]]*Cty_Viet_Anh[[#This Row],[SỐ LƯỢNG]]</f>
        <v>0</v>
      </c>
      <c r="I291" s="31"/>
      <c r="J291" s="31">
        <f ca="1">N(INDIRECT("R[-1]C", FALSE)) + Cty_Viet_Anh[[#This Row],[THÀNH TIỀN]] - Cty_Viet_Anh[[#This Row],[THANH TOÁN]]</f>
        <v>-113951100.00000001</v>
      </c>
      <c r="K291" s="24" t="s">
        <v>570</v>
      </c>
    </row>
    <row r="292" spans="1:11" x14ac:dyDescent="0.25">
      <c r="A292" s="22">
        <v>8513</v>
      </c>
      <c r="B292" s="29">
        <v>46114</v>
      </c>
      <c r="C292" s="23" t="s">
        <v>49</v>
      </c>
      <c r="D292" s="37" t="s">
        <v>32</v>
      </c>
      <c r="E292" s="23" t="s">
        <v>211</v>
      </c>
      <c r="F292" s="31">
        <v>4362</v>
      </c>
      <c r="G292" s="31"/>
      <c r="H292" s="31">
        <f>Cty_Viet_Anh[[#This Row],[ĐƠN GIÁ]]*Cty_Viet_Anh[[#This Row],[SỐ LƯỢNG]]</f>
        <v>0</v>
      </c>
      <c r="I292" s="31"/>
      <c r="J292" s="31">
        <f ca="1">N(INDIRECT("R[-1]C", FALSE)) + Cty_Viet_Anh[[#This Row],[THÀNH TIỀN]] - Cty_Viet_Anh[[#This Row],[THANH TOÁN]]</f>
        <v>-113951100.00000001</v>
      </c>
      <c r="K292" s="24" t="s">
        <v>571</v>
      </c>
    </row>
    <row r="293" spans="1:11" x14ac:dyDescent="0.25">
      <c r="A293" s="22">
        <v>32</v>
      </c>
      <c r="B293" s="29">
        <v>46115</v>
      </c>
      <c r="C293" s="23" t="s">
        <v>426</v>
      </c>
      <c r="D293" s="37" t="s">
        <v>540</v>
      </c>
      <c r="E293" s="68" t="s">
        <v>637</v>
      </c>
      <c r="F293" s="31">
        <v>2340</v>
      </c>
      <c r="G293" s="31"/>
      <c r="H293" s="31">
        <f>Cty_Viet_Anh[[#This Row],[ĐƠN GIÁ]]*Cty_Viet_Anh[[#This Row],[SỐ LƯỢNG]]</f>
        <v>0</v>
      </c>
      <c r="I293" s="31"/>
      <c r="J293" s="31">
        <f ca="1">N(INDIRECT("R[-1]C", FALSE)) + Cty_Viet_Anh[[#This Row],[THÀNH TIỀN]] - Cty_Viet_Anh[[#This Row],[THANH TOÁN]]</f>
        <v>-113951100.00000001</v>
      </c>
      <c r="K293" s="133"/>
    </row>
    <row r="294" spans="1:11" x14ac:dyDescent="0.25">
      <c r="A294" s="22">
        <v>33</v>
      </c>
      <c r="B294" s="29">
        <v>46115</v>
      </c>
      <c r="C294" s="23" t="s">
        <v>426</v>
      </c>
      <c r="D294" s="37" t="s">
        <v>135</v>
      </c>
      <c r="E294" s="68" t="s">
        <v>148</v>
      </c>
      <c r="F294" s="31">
        <v>5375</v>
      </c>
      <c r="G294" s="31"/>
      <c r="H294" s="31">
        <f>Cty_Viet_Anh[[#This Row],[ĐƠN GIÁ]]*Cty_Viet_Anh[[#This Row],[SỐ LƯỢNG]]</f>
        <v>0</v>
      </c>
      <c r="I294" s="31"/>
      <c r="J294" s="31">
        <f ca="1">N(INDIRECT("R[-1]C", FALSE)) + Cty_Viet_Anh[[#This Row],[THÀNH TIỀN]] - Cty_Viet_Anh[[#This Row],[THANH TOÁN]]</f>
        <v>-113951100.00000001</v>
      </c>
      <c r="K294" s="133"/>
    </row>
    <row r="295" spans="1:11" x14ac:dyDescent="0.25">
      <c r="A295" s="22">
        <v>2611</v>
      </c>
      <c r="B295" s="29">
        <v>46115</v>
      </c>
      <c r="C295" s="23" t="s">
        <v>84</v>
      </c>
      <c r="D295" s="37" t="s">
        <v>26</v>
      </c>
      <c r="E295" s="68" t="s">
        <v>148</v>
      </c>
      <c r="F295" s="31">
        <v>4090</v>
      </c>
      <c r="G295" s="31">
        <v>-500</v>
      </c>
      <c r="H295" s="31">
        <f>Cty_Viet_Anh[[#This Row],[ĐƠN GIÁ]]*Cty_Viet_Anh[[#This Row],[SỐ LƯỢNG]]</f>
        <v>-2045000</v>
      </c>
      <c r="I295" s="31"/>
      <c r="J295" s="31">
        <f ca="1">N(INDIRECT("R[-1]C", FALSE)) + Cty_Viet_Anh[[#This Row],[THÀNH TIỀN]] - Cty_Viet_Anh[[#This Row],[THANH TOÁN]]</f>
        <v>-115996100.00000001</v>
      </c>
      <c r="K295" s="133"/>
    </row>
    <row r="296" spans="1:11" x14ac:dyDescent="0.25">
      <c r="A296" s="22">
        <v>2611</v>
      </c>
      <c r="B296" s="29">
        <v>46115</v>
      </c>
      <c r="C296" s="23" t="s">
        <v>426</v>
      </c>
      <c r="D296" s="37" t="s">
        <v>26</v>
      </c>
      <c r="E296" s="68" t="s">
        <v>148</v>
      </c>
      <c r="F296" s="31">
        <v>2204</v>
      </c>
      <c r="G296" s="31"/>
      <c r="H296" s="31">
        <f>Cty_Viet_Anh[[#This Row],[ĐƠN GIÁ]]*Cty_Viet_Anh[[#This Row],[SỐ LƯỢNG]]</f>
        <v>0</v>
      </c>
      <c r="I296" s="31"/>
      <c r="J296" s="31">
        <f ca="1">N(INDIRECT("R[-1]C", FALSE)) + Cty_Viet_Anh[[#This Row],[THÀNH TIỀN]] - Cty_Viet_Anh[[#This Row],[THANH TOÁN]]</f>
        <v>-115996100.00000001</v>
      </c>
      <c r="K296" s="133"/>
    </row>
    <row r="297" spans="1:11" x14ac:dyDescent="0.25">
      <c r="A297" s="22">
        <v>2618</v>
      </c>
      <c r="B297" s="29">
        <v>46115</v>
      </c>
      <c r="C297" s="23" t="s">
        <v>84</v>
      </c>
      <c r="D297" s="37" t="s">
        <v>639</v>
      </c>
      <c r="E297" s="68" t="s">
        <v>148</v>
      </c>
      <c r="F297" s="31">
        <v>2434</v>
      </c>
      <c r="G297" s="31">
        <v>-500</v>
      </c>
      <c r="H297" s="31">
        <f>Cty_Viet_Anh[[#This Row],[ĐƠN GIÁ]]*Cty_Viet_Anh[[#This Row],[SỐ LƯỢNG]]</f>
        <v>-1217000</v>
      </c>
      <c r="I297" s="31"/>
      <c r="J297" s="31">
        <f ca="1">N(INDIRECT("R[-1]C", FALSE)) + Cty_Viet_Anh[[#This Row],[THÀNH TIỀN]] - Cty_Viet_Anh[[#This Row],[THANH TOÁN]]</f>
        <v>-117213100.00000001</v>
      </c>
      <c r="K297" s="133"/>
    </row>
    <row r="298" spans="1:11" x14ac:dyDescent="0.25">
      <c r="A298" s="22">
        <v>2618</v>
      </c>
      <c r="B298" s="29">
        <v>46115</v>
      </c>
      <c r="C298" s="23" t="s">
        <v>426</v>
      </c>
      <c r="D298" s="37" t="s">
        <v>26</v>
      </c>
      <c r="E298" s="68" t="s">
        <v>148</v>
      </c>
      <c r="F298" s="31">
        <v>2127</v>
      </c>
      <c r="G298" s="31"/>
      <c r="H298" s="31">
        <f>Cty_Viet_Anh[[#This Row],[ĐƠN GIÁ]]*Cty_Viet_Anh[[#This Row],[SỐ LƯỢNG]]</f>
        <v>0</v>
      </c>
      <c r="I298" s="31"/>
      <c r="J298" s="31">
        <f ca="1">N(INDIRECT("R[-1]C", FALSE)) + Cty_Viet_Anh[[#This Row],[THÀNH TIỀN]] - Cty_Viet_Anh[[#This Row],[THANH TOÁN]]</f>
        <v>-117213100.00000001</v>
      </c>
      <c r="K298" s="133"/>
    </row>
    <row r="299" spans="1:11" x14ac:dyDescent="0.25">
      <c r="A299" s="22">
        <v>2620</v>
      </c>
      <c r="B299" s="29">
        <v>46115</v>
      </c>
      <c r="C299" s="23" t="s">
        <v>84</v>
      </c>
      <c r="D299" s="37" t="s">
        <v>43</v>
      </c>
      <c r="E299" s="68" t="s">
        <v>148</v>
      </c>
      <c r="F299" s="31">
        <v>2070</v>
      </c>
      <c r="G299" s="31">
        <v>-500</v>
      </c>
      <c r="H299" s="31">
        <f>Cty_Viet_Anh[[#This Row],[ĐƠN GIÁ]]*Cty_Viet_Anh[[#This Row],[SỐ LƯỢNG]]</f>
        <v>-1035000</v>
      </c>
      <c r="I299" s="31"/>
      <c r="J299" s="31">
        <f ca="1">N(INDIRECT("R[-1]C", FALSE)) + Cty_Viet_Anh[[#This Row],[THÀNH TIỀN]] - Cty_Viet_Anh[[#This Row],[THANH TOÁN]]</f>
        <v>-118248100.00000001</v>
      </c>
      <c r="K299" s="133"/>
    </row>
    <row r="300" spans="1:11" x14ac:dyDescent="0.25">
      <c r="A300" s="22">
        <v>2620</v>
      </c>
      <c r="B300" s="29">
        <v>46115</v>
      </c>
      <c r="C300" s="23" t="s">
        <v>426</v>
      </c>
      <c r="D300" s="37" t="s">
        <v>43</v>
      </c>
      <c r="E300" s="68" t="s">
        <v>148</v>
      </c>
      <c r="F300" s="31">
        <v>2476</v>
      </c>
      <c r="G300" s="31"/>
      <c r="H300" s="31">
        <f>Cty_Viet_Anh[[#This Row],[ĐƠN GIÁ]]*Cty_Viet_Anh[[#This Row],[SỐ LƯỢNG]]</f>
        <v>0</v>
      </c>
      <c r="I300" s="31"/>
      <c r="J300" s="31">
        <f ca="1">N(INDIRECT("R[-1]C", FALSE)) + Cty_Viet_Anh[[#This Row],[THÀNH TIỀN]] - Cty_Viet_Anh[[#This Row],[THANH TOÁN]]</f>
        <v>-118248100.00000001</v>
      </c>
      <c r="K300" s="133"/>
    </row>
    <row r="301" spans="1:11" x14ac:dyDescent="0.25">
      <c r="A301" s="22">
        <v>5169</v>
      </c>
      <c r="B301" s="29">
        <v>46115</v>
      </c>
      <c r="C301" s="23" t="s">
        <v>84</v>
      </c>
      <c r="D301" s="37" t="s">
        <v>93</v>
      </c>
      <c r="E301" s="68" t="s">
        <v>46</v>
      </c>
      <c r="F301" s="31">
        <v>2006</v>
      </c>
      <c r="G301" s="31">
        <v>-500</v>
      </c>
      <c r="H301" s="31">
        <f>Cty_Viet_Anh[[#This Row],[ĐƠN GIÁ]]*Cty_Viet_Anh[[#This Row],[SỐ LƯỢNG]]</f>
        <v>-1003000</v>
      </c>
      <c r="I301" s="31"/>
      <c r="J301" s="31">
        <f ca="1">N(INDIRECT("R[-1]C", FALSE)) + Cty_Viet_Anh[[#This Row],[THÀNH TIỀN]] - Cty_Viet_Anh[[#This Row],[THANH TOÁN]]</f>
        <v>-119251100.00000001</v>
      </c>
      <c r="K301" s="133"/>
    </row>
    <row r="302" spans="1:11" x14ac:dyDescent="0.25">
      <c r="A302" s="22">
        <v>5169</v>
      </c>
      <c r="B302" s="29">
        <v>46115</v>
      </c>
      <c r="C302" s="23" t="s">
        <v>84</v>
      </c>
      <c r="D302" s="37" t="s">
        <v>93</v>
      </c>
      <c r="E302" s="68" t="s">
        <v>39</v>
      </c>
      <c r="F302" s="31">
        <v>1568</v>
      </c>
      <c r="G302" s="31">
        <v>-500</v>
      </c>
      <c r="H302" s="31">
        <f>Cty_Viet_Anh[[#This Row],[ĐƠN GIÁ]]*Cty_Viet_Anh[[#This Row],[SỐ LƯỢNG]]</f>
        <v>-784000</v>
      </c>
      <c r="I302" s="31"/>
      <c r="J302" s="31">
        <f ca="1">N(INDIRECT("R[-1]C", FALSE)) + Cty_Viet_Anh[[#This Row],[THÀNH TIỀN]] - Cty_Viet_Anh[[#This Row],[THANH TOÁN]]</f>
        <v>-120035100.00000001</v>
      </c>
      <c r="K302" s="133"/>
    </row>
    <row r="303" spans="1:11" x14ac:dyDescent="0.25">
      <c r="A303" s="22">
        <v>8520</v>
      </c>
      <c r="B303" s="29">
        <v>46115</v>
      </c>
      <c r="C303" s="23" t="s">
        <v>49</v>
      </c>
      <c r="D303" s="37" t="s">
        <v>43</v>
      </c>
      <c r="E303" s="23" t="s">
        <v>148</v>
      </c>
      <c r="F303" s="31">
        <v>4540</v>
      </c>
      <c r="G303" s="31"/>
      <c r="H303" s="31">
        <f>Cty_Viet_Anh[[#This Row],[ĐƠN GIÁ]]*Cty_Viet_Anh[[#This Row],[SỐ LƯỢNG]]</f>
        <v>0</v>
      </c>
      <c r="I303" s="31"/>
      <c r="J303" s="31">
        <f ca="1">N(INDIRECT("R[-1]C", FALSE)) + Cty_Viet_Anh[[#This Row],[THÀNH TIỀN]] - Cty_Viet_Anh[[#This Row],[THANH TOÁN]]</f>
        <v>-120035100.00000001</v>
      </c>
      <c r="K303" s="24" t="s">
        <v>572</v>
      </c>
    </row>
    <row r="304" spans="1:11" x14ac:dyDescent="0.25">
      <c r="A304" s="22">
        <v>8520</v>
      </c>
      <c r="B304" s="29">
        <v>46115</v>
      </c>
      <c r="C304" s="23" t="s">
        <v>49</v>
      </c>
      <c r="D304" s="37" t="s">
        <v>135</v>
      </c>
      <c r="E304" s="23" t="s">
        <v>148</v>
      </c>
      <c r="F304" s="31">
        <v>5202</v>
      </c>
      <c r="G304" s="31"/>
      <c r="H304" s="31">
        <f>Cty_Viet_Anh[[#This Row],[ĐƠN GIÁ]]*Cty_Viet_Anh[[#This Row],[SỐ LƯỢNG]]</f>
        <v>0</v>
      </c>
      <c r="I304" s="31"/>
      <c r="J304" s="31">
        <f ca="1">N(INDIRECT("R[-1]C", FALSE)) + Cty_Viet_Anh[[#This Row],[THÀNH TIỀN]] - Cty_Viet_Anh[[#This Row],[THANH TOÁN]]</f>
        <v>-120035100.00000001</v>
      </c>
      <c r="K304" s="24" t="s">
        <v>572</v>
      </c>
    </row>
    <row r="305" spans="1:11" x14ac:dyDescent="0.25">
      <c r="A305" s="22">
        <v>8535</v>
      </c>
      <c r="B305" s="29">
        <v>46115</v>
      </c>
      <c r="C305" s="23" t="s">
        <v>49</v>
      </c>
      <c r="D305" s="37" t="s">
        <v>43</v>
      </c>
      <c r="E305" s="23" t="s">
        <v>243</v>
      </c>
      <c r="F305" s="31">
        <v>5070</v>
      </c>
      <c r="G305" s="31"/>
      <c r="H305" s="31">
        <f>Cty_Viet_Anh[[#This Row],[ĐƠN GIÁ]]*Cty_Viet_Anh[[#This Row],[SỐ LƯỢNG]]</f>
        <v>0</v>
      </c>
      <c r="I305" s="31"/>
      <c r="J305" s="31">
        <f ca="1">N(INDIRECT("R[-1]C", FALSE)) + Cty_Viet_Anh[[#This Row],[THÀNH TIỀN]] - Cty_Viet_Anh[[#This Row],[THANH TOÁN]]</f>
        <v>-120035100.00000001</v>
      </c>
      <c r="K305" s="24" t="s">
        <v>573</v>
      </c>
    </row>
    <row r="306" spans="1:11" x14ac:dyDescent="0.25">
      <c r="A306" s="22">
        <v>8536</v>
      </c>
      <c r="B306" s="29">
        <v>46115</v>
      </c>
      <c r="C306" s="23" t="s">
        <v>49</v>
      </c>
      <c r="D306" s="37" t="s">
        <v>43</v>
      </c>
      <c r="E306" s="23" t="s">
        <v>574</v>
      </c>
      <c r="F306" s="31">
        <v>1841</v>
      </c>
      <c r="G306" s="31"/>
      <c r="H306" s="31">
        <f>Cty_Viet_Anh[[#This Row],[ĐƠN GIÁ]]*Cty_Viet_Anh[[#This Row],[SỐ LƯỢNG]]</f>
        <v>0</v>
      </c>
      <c r="I306" s="31"/>
      <c r="J306" s="31">
        <f ca="1">N(INDIRECT("R[-1]C", FALSE)) + Cty_Viet_Anh[[#This Row],[THÀNH TIỀN]] - Cty_Viet_Anh[[#This Row],[THANH TOÁN]]</f>
        <v>-120035100.00000001</v>
      </c>
      <c r="K306" s="24" t="s">
        <v>575</v>
      </c>
    </row>
    <row r="307" spans="1:11" ht="31.5" x14ac:dyDescent="0.25">
      <c r="A307" s="22">
        <v>8536</v>
      </c>
      <c r="B307" s="29">
        <v>46115</v>
      </c>
      <c r="C307" s="23" t="s">
        <v>49</v>
      </c>
      <c r="D307" s="37" t="s">
        <v>17</v>
      </c>
      <c r="E307" s="68" t="s">
        <v>576</v>
      </c>
      <c r="F307" s="31">
        <v>1500</v>
      </c>
      <c r="G307" s="31"/>
      <c r="H307" s="31">
        <f>Cty_Viet_Anh[[#This Row],[ĐƠN GIÁ]]*Cty_Viet_Anh[[#This Row],[SỐ LƯỢNG]]</f>
        <v>0</v>
      </c>
      <c r="I307" s="31"/>
      <c r="J307" s="31">
        <f ca="1">N(INDIRECT("R[-1]C", FALSE)) + Cty_Viet_Anh[[#This Row],[THÀNH TIỀN]] - Cty_Viet_Anh[[#This Row],[THANH TOÁN]]</f>
        <v>-120035100.00000001</v>
      </c>
      <c r="K307" s="24" t="s">
        <v>577</v>
      </c>
    </row>
    <row r="308" spans="1:11" x14ac:dyDescent="0.25">
      <c r="A308" s="22">
        <v>8539</v>
      </c>
      <c r="B308" s="29">
        <v>46115</v>
      </c>
      <c r="C308" s="23" t="s">
        <v>49</v>
      </c>
      <c r="D308" s="37" t="s">
        <v>32</v>
      </c>
      <c r="E308" s="68" t="s">
        <v>40</v>
      </c>
      <c r="F308" s="31">
        <v>1422</v>
      </c>
      <c r="G308" s="31"/>
      <c r="H308" s="31">
        <f>Cty_Viet_Anh[[#This Row],[ĐƠN GIÁ]]*Cty_Viet_Anh[[#This Row],[SỐ LƯỢNG]]</f>
        <v>0</v>
      </c>
      <c r="I308" s="31"/>
      <c r="J308" s="31">
        <f ca="1">N(INDIRECT("R[-1]C", FALSE)) + Cty_Viet_Anh[[#This Row],[THÀNH TIỀN]] - Cty_Viet_Anh[[#This Row],[THANH TOÁN]]</f>
        <v>-120035100.00000001</v>
      </c>
      <c r="K308" s="24" t="s">
        <v>578</v>
      </c>
    </row>
    <row r="309" spans="1:11" x14ac:dyDescent="0.25">
      <c r="A309" s="22">
        <v>2625</v>
      </c>
      <c r="B309" s="29">
        <v>46116</v>
      </c>
      <c r="C309" s="23" t="s">
        <v>84</v>
      </c>
      <c r="D309" s="37" t="s">
        <v>135</v>
      </c>
      <c r="E309" s="68" t="s">
        <v>148</v>
      </c>
      <c r="F309" s="31">
        <v>2662</v>
      </c>
      <c r="G309" s="31">
        <v>-500</v>
      </c>
      <c r="H309" s="31">
        <f>Cty_Viet_Anh[[#This Row],[ĐƠN GIÁ]]*Cty_Viet_Anh[[#This Row],[SỐ LƯỢNG]]</f>
        <v>-1331000</v>
      </c>
      <c r="I309" s="31"/>
      <c r="J309" s="31">
        <f ca="1">N(INDIRECT("R[-1]C", FALSE)) + Cty_Viet_Anh[[#This Row],[THÀNH TIỀN]] - Cty_Viet_Anh[[#This Row],[THANH TOÁN]]</f>
        <v>-121366100.00000001</v>
      </c>
      <c r="K309" s="133"/>
    </row>
    <row r="310" spans="1:11" x14ac:dyDescent="0.25">
      <c r="A310" s="22">
        <v>2625</v>
      </c>
      <c r="B310" s="29">
        <v>46116</v>
      </c>
      <c r="C310" s="23" t="s">
        <v>426</v>
      </c>
      <c r="D310" s="37" t="s">
        <v>135</v>
      </c>
      <c r="E310" s="68" t="s">
        <v>148</v>
      </c>
      <c r="F310" s="31">
        <v>1604</v>
      </c>
      <c r="G310" s="31"/>
      <c r="H310" s="31">
        <f>Cty_Viet_Anh[[#This Row],[ĐƠN GIÁ]]*Cty_Viet_Anh[[#This Row],[SỐ LƯỢNG]]</f>
        <v>0</v>
      </c>
      <c r="I310" s="31"/>
      <c r="J310" s="31">
        <f ca="1">N(INDIRECT("R[-1]C", FALSE)) + Cty_Viet_Anh[[#This Row],[THÀNH TIỀN]] - Cty_Viet_Anh[[#This Row],[THANH TOÁN]]</f>
        <v>-121366100.00000001</v>
      </c>
      <c r="K310" s="133"/>
    </row>
    <row r="311" spans="1:11" x14ac:dyDescent="0.25">
      <c r="A311" s="22">
        <v>5173</v>
      </c>
      <c r="B311" s="29">
        <v>46116</v>
      </c>
      <c r="C311" s="23" t="s">
        <v>84</v>
      </c>
      <c r="D311" s="37" t="s">
        <v>93</v>
      </c>
      <c r="E311" s="68" t="s">
        <v>31</v>
      </c>
      <c r="F311" s="31">
        <v>3636</v>
      </c>
      <c r="G311" s="31">
        <v>-500</v>
      </c>
      <c r="H311" s="31">
        <f>Cty_Viet_Anh[[#This Row],[ĐƠN GIÁ]]*Cty_Viet_Anh[[#This Row],[SỐ LƯỢNG]]</f>
        <v>-1818000</v>
      </c>
      <c r="I311" s="31"/>
      <c r="J311" s="31">
        <f ca="1">N(INDIRECT("R[-1]C", FALSE)) + Cty_Viet_Anh[[#This Row],[THÀNH TIỀN]] - Cty_Viet_Anh[[#This Row],[THANH TOÁN]]</f>
        <v>-123184100.00000001</v>
      </c>
      <c r="K311" s="133"/>
    </row>
    <row r="312" spans="1:11" x14ac:dyDescent="0.25">
      <c r="A312" s="22">
        <v>5173</v>
      </c>
      <c r="B312" s="29">
        <v>46116</v>
      </c>
      <c r="C312" s="23" t="s">
        <v>84</v>
      </c>
      <c r="D312" s="37" t="s">
        <v>93</v>
      </c>
      <c r="E312" s="68" t="s">
        <v>640</v>
      </c>
      <c r="F312" s="31">
        <v>870</v>
      </c>
      <c r="G312" s="31">
        <v>-500</v>
      </c>
      <c r="H312" s="31">
        <f>Cty_Viet_Anh[[#This Row],[ĐƠN GIÁ]]*Cty_Viet_Anh[[#This Row],[SỐ LƯỢNG]]</f>
        <v>-435000</v>
      </c>
      <c r="I312" s="31"/>
      <c r="J312" s="31">
        <f ca="1">N(INDIRECT("R[-1]C", FALSE)) + Cty_Viet_Anh[[#This Row],[THÀNH TIỀN]] - Cty_Viet_Anh[[#This Row],[THANH TOÁN]]</f>
        <v>-123619100.00000001</v>
      </c>
      <c r="K312" s="133"/>
    </row>
    <row r="313" spans="1:11" x14ac:dyDescent="0.25">
      <c r="A313" s="22">
        <v>5173</v>
      </c>
      <c r="B313" s="29">
        <v>46116</v>
      </c>
      <c r="C313" s="23" t="s">
        <v>84</v>
      </c>
      <c r="D313" s="37" t="s">
        <v>93</v>
      </c>
      <c r="E313" s="68" t="s">
        <v>641</v>
      </c>
      <c r="F313" s="31">
        <v>1388</v>
      </c>
      <c r="G313" s="31">
        <v>-500</v>
      </c>
      <c r="H313" s="31">
        <f>Cty_Viet_Anh[[#This Row],[ĐƠN GIÁ]]*Cty_Viet_Anh[[#This Row],[SỐ LƯỢNG]]</f>
        <v>-694000</v>
      </c>
      <c r="I313" s="31"/>
      <c r="J313" s="31">
        <f ca="1">N(INDIRECT("R[-1]C", FALSE)) + Cty_Viet_Anh[[#This Row],[THÀNH TIỀN]] - Cty_Viet_Anh[[#This Row],[THANH TOÁN]]</f>
        <v>-124313100.00000001</v>
      </c>
      <c r="K313" s="133"/>
    </row>
    <row r="314" spans="1:11" x14ac:dyDescent="0.25">
      <c r="A314" s="22">
        <v>5173</v>
      </c>
      <c r="B314" s="29">
        <v>46116</v>
      </c>
      <c r="C314" s="23" t="s">
        <v>84</v>
      </c>
      <c r="D314" s="37" t="s">
        <v>93</v>
      </c>
      <c r="E314" s="68" t="s">
        <v>2531</v>
      </c>
      <c r="F314" s="31">
        <v>992</v>
      </c>
      <c r="G314" s="31"/>
      <c r="H314" s="31">
        <f>Cty_Viet_Anh[[#This Row],[ĐƠN GIÁ]]*Cty_Viet_Anh[[#This Row],[SỐ LƯỢNG]]</f>
        <v>0</v>
      </c>
      <c r="I314" s="31"/>
      <c r="J314" s="31">
        <f ca="1">N(INDIRECT("R[-1]C", FALSE)) + Cty_Viet_Anh[[#This Row],[THÀNH TIỀN]] - Cty_Viet_Anh[[#This Row],[THANH TOÁN]]</f>
        <v>-124313100.00000001</v>
      </c>
      <c r="K314" s="133"/>
    </row>
    <row r="315" spans="1:11" x14ac:dyDescent="0.25">
      <c r="A315" s="22">
        <v>8542</v>
      </c>
      <c r="B315" s="29">
        <v>46116</v>
      </c>
      <c r="C315" s="23" t="s">
        <v>49</v>
      </c>
      <c r="D315" s="37" t="s">
        <v>135</v>
      </c>
      <c r="E315" s="68" t="s">
        <v>148</v>
      </c>
      <c r="F315" s="31">
        <v>9321</v>
      </c>
      <c r="G315" s="31"/>
      <c r="H315" s="31">
        <f>Cty_Viet_Anh[[#This Row],[ĐƠN GIÁ]]*Cty_Viet_Anh[[#This Row],[SỐ LƯỢNG]]</f>
        <v>0</v>
      </c>
      <c r="I315" s="31"/>
      <c r="J315" s="31">
        <f ca="1">N(INDIRECT("R[-1]C", FALSE)) + Cty_Viet_Anh[[#This Row],[THÀNH TIỀN]] - Cty_Viet_Anh[[#This Row],[THANH TOÁN]]</f>
        <v>-124313100.00000001</v>
      </c>
      <c r="K315" s="24" t="s">
        <v>579</v>
      </c>
    </row>
    <row r="316" spans="1:11" x14ac:dyDescent="0.25">
      <c r="A316" s="22">
        <v>8550</v>
      </c>
      <c r="B316" s="29">
        <v>46116</v>
      </c>
      <c r="C316" s="23" t="s">
        <v>13</v>
      </c>
      <c r="D316" s="37" t="s">
        <v>135</v>
      </c>
      <c r="E316" s="68" t="s">
        <v>148</v>
      </c>
      <c r="F316" s="31">
        <v>930</v>
      </c>
      <c r="G316" s="31">
        <v>37500</v>
      </c>
      <c r="H316" s="31">
        <f>Cty_Viet_Anh[[#This Row],[ĐƠN GIÁ]]*Cty_Viet_Anh[[#This Row],[SỐ LƯỢNG]]</f>
        <v>34875000</v>
      </c>
      <c r="I316" s="31"/>
      <c r="J316" s="31">
        <f ca="1">N(INDIRECT("R[-1]C", FALSE)) + Cty_Viet_Anh[[#This Row],[THÀNH TIỀN]] - Cty_Viet_Anh[[#This Row],[THANH TOÁN]]</f>
        <v>-89438100.000000015</v>
      </c>
      <c r="K316" s="24"/>
    </row>
    <row r="317" spans="1:11" x14ac:dyDescent="0.25">
      <c r="A317" s="22">
        <v>8551</v>
      </c>
      <c r="B317" s="29">
        <v>46116</v>
      </c>
      <c r="C317" s="23" t="s">
        <v>49</v>
      </c>
      <c r="D317" s="37" t="s">
        <v>17</v>
      </c>
      <c r="E317" s="68" t="s">
        <v>78</v>
      </c>
      <c r="F317" s="31">
        <v>691</v>
      </c>
      <c r="G317" s="31"/>
      <c r="H317" s="31">
        <f>Cty_Viet_Anh[[#This Row],[ĐƠN GIÁ]]*Cty_Viet_Anh[[#This Row],[SỐ LƯỢNG]]</f>
        <v>0</v>
      </c>
      <c r="I317" s="31"/>
      <c r="J317" s="31">
        <f ca="1">N(INDIRECT("R[-1]C", FALSE)) + Cty_Viet_Anh[[#This Row],[THÀNH TIỀN]] - Cty_Viet_Anh[[#This Row],[THANH TOÁN]]</f>
        <v>-89438100.000000015</v>
      </c>
      <c r="K317" s="24" t="s">
        <v>580</v>
      </c>
    </row>
    <row r="318" spans="1:11" x14ac:dyDescent="0.25">
      <c r="A318" s="22">
        <v>8551</v>
      </c>
      <c r="B318" s="29">
        <v>46116</v>
      </c>
      <c r="C318" s="23" t="s">
        <v>49</v>
      </c>
      <c r="D318" s="37" t="s">
        <v>26</v>
      </c>
      <c r="E318" s="68" t="s">
        <v>211</v>
      </c>
      <c r="F318" s="31">
        <v>7559</v>
      </c>
      <c r="G318" s="31"/>
      <c r="H318" s="31">
        <f>Cty_Viet_Anh[[#This Row],[ĐƠN GIÁ]]*Cty_Viet_Anh[[#This Row],[SỐ LƯỢNG]]</f>
        <v>0</v>
      </c>
      <c r="I318" s="31"/>
      <c r="J318" s="31">
        <f ca="1">N(INDIRECT("R[-1]C", FALSE)) + Cty_Viet_Anh[[#This Row],[THÀNH TIỀN]] - Cty_Viet_Anh[[#This Row],[THANH TOÁN]]</f>
        <v>-89438100.000000015</v>
      </c>
      <c r="K318" s="24" t="s">
        <v>581</v>
      </c>
    </row>
    <row r="319" spans="1:11" x14ac:dyDescent="0.25">
      <c r="A319" s="22">
        <v>2638</v>
      </c>
      <c r="B319" s="29">
        <v>46118</v>
      </c>
      <c r="C319" s="23" t="s">
        <v>84</v>
      </c>
      <c r="D319" s="37" t="s">
        <v>642</v>
      </c>
      <c r="E319" s="68" t="s">
        <v>78</v>
      </c>
      <c r="F319" s="31">
        <v>698</v>
      </c>
      <c r="G319" s="31">
        <v>-2200</v>
      </c>
      <c r="H319" s="31">
        <f>Cty_Viet_Anh[[#This Row],[ĐƠN GIÁ]]*Cty_Viet_Anh[[#This Row],[SỐ LƯỢNG]]</f>
        <v>-1535600</v>
      </c>
      <c r="I319" s="31"/>
      <c r="J319" s="31">
        <f ca="1">N(INDIRECT("R[-1]C", FALSE)) + Cty_Viet_Anh[[#This Row],[THÀNH TIỀN]] - Cty_Viet_Anh[[#This Row],[THANH TOÁN]]</f>
        <v>-90973700.000000015</v>
      </c>
      <c r="K319" s="133"/>
    </row>
    <row r="320" spans="1:11" x14ac:dyDescent="0.25">
      <c r="A320" s="22">
        <v>2641</v>
      </c>
      <c r="B320" s="29">
        <v>46118</v>
      </c>
      <c r="C320" s="23" t="s">
        <v>84</v>
      </c>
      <c r="D320" s="37" t="s">
        <v>643</v>
      </c>
      <c r="E320" s="68" t="s">
        <v>40</v>
      </c>
      <c r="F320" s="31">
        <v>4928</v>
      </c>
      <c r="G320" s="31">
        <v>-2500</v>
      </c>
      <c r="H320" s="31">
        <f>Cty_Viet_Anh[[#This Row],[ĐƠN GIÁ]]*Cty_Viet_Anh[[#This Row],[SỐ LƯỢNG]]</f>
        <v>-12320000</v>
      </c>
      <c r="I320" s="31"/>
      <c r="J320" s="31">
        <f ca="1">N(INDIRECT("R[-1]C", FALSE)) + Cty_Viet_Anh[[#This Row],[THÀNH TIỀN]] - Cty_Viet_Anh[[#This Row],[THANH TOÁN]]</f>
        <v>-103293700.00000001</v>
      </c>
      <c r="K320" s="133"/>
    </row>
    <row r="321" spans="1:11" x14ac:dyDescent="0.25">
      <c r="A321" s="22">
        <v>2641</v>
      </c>
      <c r="B321" s="29">
        <v>46118</v>
      </c>
      <c r="C321" s="23" t="s">
        <v>426</v>
      </c>
      <c r="D321" s="37" t="s">
        <v>26</v>
      </c>
      <c r="E321" s="68" t="s">
        <v>40</v>
      </c>
      <c r="F321" s="31">
        <v>2735</v>
      </c>
      <c r="G321" s="31"/>
      <c r="H321" s="31">
        <f>Cty_Viet_Anh[[#This Row],[ĐƠN GIÁ]]*Cty_Viet_Anh[[#This Row],[SỐ LƯỢNG]]</f>
        <v>0</v>
      </c>
      <c r="I321" s="31"/>
      <c r="J321" s="31">
        <f ca="1">N(INDIRECT("R[-1]C", FALSE)) + Cty_Viet_Anh[[#This Row],[THÀNH TIỀN]] - Cty_Viet_Anh[[#This Row],[THANH TOÁN]]</f>
        <v>-103293700.00000001</v>
      </c>
      <c r="K321" s="133"/>
    </row>
    <row r="322" spans="1:11" x14ac:dyDescent="0.25">
      <c r="A322" s="22">
        <v>8570</v>
      </c>
      <c r="B322" s="29">
        <v>46118</v>
      </c>
      <c r="C322" s="23" t="s">
        <v>49</v>
      </c>
      <c r="D322" s="37" t="s">
        <v>43</v>
      </c>
      <c r="E322" s="68" t="s">
        <v>444</v>
      </c>
      <c r="F322" s="31">
        <v>8048</v>
      </c>
      <c r="G322" s="31"/>
      <c r="H322" s="31">
        <f>Cty_Viet_Anh[[#This Row],[ĐƠN GIÁ]]*Cty_Viet_Anh[[#This Row],[SỐ LƯỢNG]]</f>
        <v>0</v>
      </c>
      <c r="I322" s="31"/>
      <c r="J322" s="31">
        <f ca="1">N(INDIRECT("R[-1]C", FALSE)) + Cty_Viet_Anh[[#This Row],[THÀNH TIỀN]] - Cty_Viet_Anh[[#This Row],[THANH TOÁN]]</f>
        <v>-103293700.00000001</v>
      </c>
      <c r="K322" s="24" t="s">
        <v>582</v>
      </c>
    </row>
    <row r="323" spans="1:11" x14ac:dyDescent="0.25">
      <c r="A323" s="22">
        <v>8574</v>
      </c>
      <c r="B323" s="29">
        <v>46118</v>
      </c>
      <c r="C323" s="23" t="s">
        <v>49</v>
      </c>
      <c r="D323" s="37" t="s">
        <v>169</v>
      </c>
      <c r="E323" s="68" t="s">
        <v>148</v>
      </c>
      <c r="F323" s="31">
        <v>9324</v>
      </c>
      <c r="G323" s="31"/>
      <c r="H323" s="31">
        <f>Cty_Viet_Anh[[#This Row],[ĐƠN GIÁ]]*Cty_Viet_Anh[[#This Row],[SỐ LƯỢNG]]</f>
        <v>0</v>
      </c>
      <c r="I323" s="31"/>
      <c r="J323" s="31">
        <f ca="1">N(INDIRECT("R[-1]C", FALSE)) + Cty_Viet_Anh[[#This Row],[THÀNH TIỀN]] - Cty_Viet_Anh[[#This Row],[THANH TOÁN]]</f>
        <v>-103293700.00000001</v>
      </c>
      <c r="K323" s="24" t="s">
        <v>583</v>
      </c>
    </row>
    <row r="324" spans="1:11" x14ac:dyDescent="0.25">
      <c r="A324" s="22">
        <v>8575</v>
      </c>
      <c r="B324" s="29">
        <v>46118</v>
      </c>
      <c r="C324" s="23" t="s">
        <v>49</v>
      </c>
      <c r="D324" s="37" t="s">
        <v>43</v>
      </c>
      <c r="E324" s="68" t="s">
        <v>146</v>
      </c>
      <c r="F324" s="31">
        <v>1674</v>
      </c>
      <c r="G324" s="31"/>
      <c r="H324" s="31">
        <f>Cty_Viet_Anh[[#This Row],[ĐƠN GIÁ]]*Cty_Viet_Anh[[#This Row],[SỐ LƯỢNG]]</f>
        <v>0</v>
      </c>
      <c r="I324" s="31"/>
      <c r="J324" s="31">
        <f ca="1">N(INDIRECT("R[-1]C", FALSE)) + Cty_Viet_Anh[[#This Row],[THÀNH TIỀN]] - Cty_Viet_Anh[[#This Row],[THANH TOÁN]]</f>
        <v>-103293700.00000001</v>
      </c>
      <c r="K324" s="24" t="s">
        <v>584</v>
      </c>
    </row>
    <row r="325" spans="1:11" x14ac:dyDescent="0.25">
      <c r="A325" s="22">
        <v>8575</v>
      </c>
      <c r="B325" s="29">
        <v>46118</v>
      </c>
      <c r="C325" s="23" t="s">
        <v>49</v>
      </c>
      <c r="D325" s="37" t="s">
        <v>43</v>
      </c>
      <c r="E325" s="68" t="s">
        <v>136</v>
      </c>
      <c r="F325" s="31">
        <v>1386</v>
      </c>
      <c r="G325" s="31"/>
      <c r="H325" s="31">
        <f>Cty_Viet_Anh[[#This Row],[ĐƠN GIÁ]]*Cty_Viet_Anh[[#This Row],[SỐ LƯỢNG]]</f>
        <v>0</v>
      </c>
      <c r="I325" s="31"/>
      <c r="J325" s="31">
        <f ca="1">N(INDIRECT("R[-1]C", FALSE)) + Cty_Viet_Anh[[#This Row],[THÀNH TIỀN]] - Cty_Viet_Anh[[#This Row],[THANH TOÁN]]</f>
        <v>-103293700.00000001</v>
      </c>
      <c r="K325" s="24" t="s">
        <v>585</v>
      </c>
    </row>
    <row r="326" spans="1:11" x14ac:dyDescent="0.25">
      <c r="A326" s="22">
        <v>8575</v>
      </c>
      <c r="B326" s="29">
        <v>46118</v>
      </c>
      <c r="C326" s="23" t="s">
        <v>49</v>
      </c>
      <c r="D326" s="37" t="s">
        <v>43</v>
      </c>
      <c r="E326" s="68" t="s">
        <v>363</v>
      </c>
      <c r="F326" s="31">
        <v>632</v>
      </c>
      <c r="G326" s="31"/>
      <c r="H326" s="31">
        <f>Cty_Viet_Anh[[#This Row],[ĐƠN GIÁ]]*Cty_Viet_Anh[[#This Row],[SỐ LƯỢNG]]</f>
        <v>0</v>
      </c>
      <c r="I326" s="31"/>
      <c r="J326" s="31">
        <f ca="1">N(INDIRECT("R[-1]C", FALSE)) + Cty_Viet_Anh[[#This Row],[THÀNH TIỀN]] - Cty_Viet_Anh[[#This Row],[THANH TOÁN]]</f>
        <v>-103293700.00000001</v>
      </c>
      <c r="K326" s="24" t="s">
        <v>586</v>
      </c>
    </row>
    <row r="327" spans="1:11" x14ac:dyDescent="0.25">
      <c r="A327" s="22">
        <v>8579</v>
      </c>
      <c r="B327" s="29">
        <v>46118</v>
      </c>
      <c r="C327" s="23" t="s">
        <v>49</v>
      </c>
      <c r="D327" s="37" t="s">
        <v>17</v>
      </c>
      <c r="E327" s="68" t="s">
        <v>469</v>
      </c>
      <c r="F327" s="31">
        <v>4004</v>
      </c>
      <c r="G327" s="31"/>
      <c r="H327" s="31">
        <f>Cty_Viet_Anh[[#This Row],[ĐƠN GIÁ]]*Cty_Viet_Anh[[#This Row],[SỐ LƯỢNG]]</f>
        <v>0</v>
      </c>
      <c r="I327" s="31"/>
      <c r="J327" s="31">
        <f ca="1">N(INDIRECT("R[-1]C", FALSE)) + Cty_Viet_Anh[[#This Row],[THÀNH TIỀN]] - Cty_Viet_Anh[[#This Row],[THANH TOÁN]]</f>
        <v>-103293700.00000001</v>
      </c>
      <c r="K327" s="24" t="s">
        <v>587</v>
      </c>
    </row>
    <row r="328" spans="1:11" x14ac:dyDescent="0.25">
      <c r="A328" s="22">
        <v>2644</v>
      </c>
      <c r="B328" s="29">
        <v>46119</v>
      </c>
      <c r="C328" s="23" t="s">
        <v>84</v>
      </c>
      <c r="D328" s="37" t="s">
        <v>645</v>
      </c>
      <c r="E328" s="68" t="s">
        <v>41</v>
      </c>
      <c r="F328" s="31">
        <v>5110</v>
      </c>
      <c r="G328" s="31">
        <v>-3300</v>
      </c>
      <c r="H328" s="31">
        <f>Cty_Viet_Anh[[#This Row],[ĐƠN GIÁ]]*Cty_Viet_Anh[[#This Row],[SỐ LƯỢNG]]</f>
        <v>-16863000</v>
      </c>
      <c r="I328" s="31"/>
      <c r="J328" s="31">
        <f ca="1">N(INDIRECT("R[-1]C", FALSE)) + Cty_Viet_Anh[[#This Row],[THÀNH TIỀN]] - Cty_Viet_Anh[[#This Row],[THANH TOÁN]]</f>
        <v>-120156700.00000001</v>
      </c>
      <c r="K328" s="133"/>
    </row>
    <row r="329" spans="1:11" x14ac:dyDescent="0.25">
      <c r="A329" s="22">
        <v>2645</v>
      </c>
      <c r="B329" s="29">
        <v>46119</v>
      </c>
      <c r="C329" s="23" t="s">
        <v>84</v>
      </c>
      <c r="D329" s="37" t="s">
        <v>169</v>
      </c>
      <c r="E329" s="68" t="s">
        <v>148</v>
      </c>
      <c r="F329" s="31">
        <v>9331</v>
      </c>
      <c r="G329" s="31">
        <v>-2900</v>
      </c>
      <c r="H329" s="31">
        <f>Cty_Viet_Anh[[#This Row],[ĐƠN GIÁ]]*Cty_Viet_Anh[[#This Row],[SỐ LƯỢNG]]</f>
        <v>-27059900</v>
      </c>
      <c r="I329" s="31"/>
      <c r="J329" s="31">
        <f ca="1">N(INDIRECT("R[-1]C", FALSE)) + Cty_Viet_Anh[[#This Row],[THÀNH TIỀN]] - Cty_Viet_Anh[[#This Row],[THANH TOÁN]]</f>
        <v>-147216600</v>
      </c>
      <c r="K329" s="133"/>
    </row>
    <row r="330" spans="1:11" x14ac:dyDescent="0.25">
      <c r="A330" s="22">
        <v>2645</v>
      </c>
      <c r="B330" s="29">
        <v>46119</v>
      </c>
      <c r="C330" s="23" t="s">
        <v>84</v>
      </c>
      <c r="D330" s="37" t="s">
        <v>411</v>
      </c>
      <c r="E330" s="68" t="s">
        <v>148</v>
      </c>
      <c r="F330" s="31">
        <v>8755</v>
      </c>
      <c r="G330" s="31">
        <v>-500</v>
      </c>
      <c r="H330" s="31">
        <f>Cty_Viet_Anh[[#This Row],[ĐƠN GIÁ]]*Cty_Viet_Anh[[#This Row],[SỐ LƯỢNG]]</f>
        <v>-4377500</v>
      </c>
      <c r="I330" s="31"/>
      <c r="J330" s="31">
        <f ca="1">N(INDIRECT("R[-1]C", FALSE)) + Cty_Viet_Anh[[#This Row],[THÀNH TIỀN]] - Cty_Viet_Anh[[#This Row],[THANH TOÁN]]</f>
        <v>-151594100</v>
      </c>
      <c r="K330" s="133"/>
    </row>
    <row r="331" spans="1:11" x14ac:dyDescent="0.25">
      <c r="A331" s="22">
        <v>2645</v>
      </c>
      <c r="B331" s="29">
        <v>46119</v>
      </c>
      <c r="C331" s="23" t="s">
        <v>84</v>
      </c>
      <c r="D331" s="37" t="s">
        <v>644</v>
      </c>
      <c r="E331" s="68"/>
      <c r="F331" s="31">
        <v>4</v>
      </c>
      <c r="G331" s="31">
        <v>-75000</v>
      </c>
      <c r="H331" s="31">
        <f>Cty_Viet_Anh[[#This Row],[ĐƠN GIÁ]]*Cty_Viet_Anh[[#This Row],[SỐ LƯỢNG]]</f>
        <v>-300000</v>
      </c>
      <c r="I331" s="31"/>
      <c r="J331" s="31">
        <f ca="1">N(INDIRECT("R[-1]C", FALSE)) + Cty_Viet_Anh[[#This Row],[THÀNH TIỀN]] - Cty_Viet_Anh[[#This Row],[THANH TOÁN]]</f>
        <v>-151894100</v>
      </c>
      <c r="K331" s="133"/>
    </row>
    <row r="332" spans="1:11" x14ac:dyDescent="0.25">
      <c r="A332" s="22">
        <v>8597</v>
      </c>
      <c r="B332" s="29">
        <v>46119</v>
      </c>
      <c r="C332" s="23" t="s">
        <v>49</v>
      </c>
      <c r="D332" s="37" t="s">
        <v>43</v>
      </c>
      <c r="E332" s="68" t="s">
        <v>146</v>
      </c>
      <c r="F332" s="31">
        <v>5396</v>
      </c>
      <c r="G332" s="31"/>
      <c r="H332" s="31">
        <f>Cty_Viet_Anh[[#This Row],[ĐƠN GIÁ]]*Cty_Viet_Anh[[#This Row],[SỐ LƯỢNG]]</f>
        <v>0</v>
      </c>
      <c r="I332" s="31"/>
      <c r="J332" s="31">
        <f ca="1">N(INDIRECT("R[-1]C", FALSE)) + Cty_Viet_Anh[[#This Row],[THÀNH TIỀN]] - Cty_Viet_Anh[[#This Row],[THANH TOÁN]]</f>
        <v>-151894100</v>
      </c>
      <c r="K332" s="24" t="s">
        <v>588</v>
      </c>
    </row>
    <row r="333" spans="1:11" x14ac:dyDescent="0.25">
      <c r="A333" s="22">
        <v>8600</v>
      </c>
      <c r="B333" s="29">
        <v>46119</v>
      </c>
      <c r="C333" s="23" t="s">
        <v>49</v>
      </c>
      <c r="D333" s="37" t="s">
        <v>135</v>
      </c>
      <c r="E333" s="68" t="s">
        <v>62</v>
      </c>
      <c r="F333" s="31">
        <v>5098</v>
      </c>
      <c r="G333" s="31"/>
      <c r="H333" s="31">
        <f>Cty_Viet_Anh[[#This Row],[ĐƠN GIÁ]]*Cty_Viet_Anh[[#This Row],[SỐ LƯỢNG]]</f>
        <v>0</v>
      </c>
      <c r="I333" s="31"/>
      <c r="J333" s="31">
        <f ca="1">N(INDIRECT("R[-1]C", FALSE)) + Cty_Viet_Anh[[#This Row],[THÀNH TIỀN]] - Cty_Viet_Anh[[#This Row],[THANH TOÁN]]</f>
        <v>-151894100</v>
      </c>
      <c r="K333" s="24" t="s">
        <v>589</v>
      </c>
    </row>
    <row r="334" spans="1:11" x14ac:dyDescent="0.25">
      <c r="A334" s="22">
        <v>8600</v>
      </c>
      <c r="B334" s="29">
        <v>46119</v>
      </c>
      <c r="C334" s="23" t="s">
        <v>49</v>
      </c>
      <c r="D334" s="37" t="s">
        <v>17</v>
      </c>
      <c r="E334" s="68" t="s">
        <v>482</v>
      </c>
      <c r="F334" s="31">
        <v>1570</v>
      </c>
      <c r="G334" s="31"/>
      <c r="H334" s="31">
        <f>Cty_Viet_Anh[[#This Row],[ĐƠN GIÁ]]*Cty_Viet_Anh[[#This Row],[SỐ LƯỢNG]]</f>
        <v>0</v>
      </c>
      <c r="I334" s="31"/>
      <c r="J334" s="31">
        <f ca="1">N(INDIRECT("R[-1]C", FALSE)) + Cty_Viet_Anh[[#This Row],[THÀNH TIỀN]] - Cty_Viet_Anh[[#This Row],[THANH TOÁN]]</f>
        <v>-151894100</v>
      </c>
      <c r="K334" s="24" t="s">
        <v>590</v>
      </c>
    </row>
    <row r="335" spans="1:11" x14ac:dyDescent="0.25">
      <c r="A335" s="22">
        <v>8607</v>
      </c>
      <c r="B335" s="29">
        <v>46119</v>
      </c>
      <c r="C335" s="23" t="s">
        <v>49</v>
      </c>
      <c r="D335" s="37" t="s">
        <v>43</v>
      </c>
      <c r="E335" s="68" t="s">
        <v>134</v>
      </c>
      <c r="F335" s="31">
        <v>5040</v>
      </c>
      <c r="G335" s="31"/>
      <c r="H335" s="31">
        <f>Cty_Viet_Anh[[#This Row],[ĐƠN GIÁ]]*Cty_Viet_Anh[[#This Row],[SỐ LƯỢNG]]</f>
        <v>0</v>
      </c>
      <c r="I335" s="31"/>
      <c r="J335" s="31">
        <f ca="1">N(INDIRECT("R[-1]C", FALSE)) + Cty_Viet_Anh[[#This Row],[THÀNH TIỀN]] - Cty_Viet_Anh[[#This Row],[THANH TOÁN]]</f>
        <v>-151894100</v>
      </c>
      <c r="K335" s="24" t="s">
        <v>584</v>
      </c>
    </row>
    <row r="336" spans="1:11" x14ac:dyDescent="0.25">
      <c r="A336" s="22">
        <v>2649</v>
      </c>
      <c r="B336" s="29">
        <v>46120</v>
      </c>
      <c r="C336" s="23" t="s">
        <v>84</v>
      </c>
      <c r="D336" s="37" t="s">
        <v>265</v>
      </c>
      <c r="E336" s="68" t="s">
        <v>146</v>
      </c>
      <c r="F336" s="31">
        <v>4248</v>
      </c>
      <c r="G336" s="31">
        <v>-3300</v>
      </c>
      <c r="H336" s="31">
        <f>Cty_Viet_Anh[[#This Row],[ĐƠN GIÁ]]*Cty_Viet_Anh[[#This Row],[SỐ LƯỢNG]]</f>
        <v>-14018400</v>
      </c>
      <c r="I336" s="31"/>
      <c r="J336" s="31">
        <f ca="1">N(INDIRECT("R[-1]C", FALSE)) + Cty_Viet_Anh[[#This Row],[THÀNH TIỀN]] - Cty_Viet_Anh[[#This Row],[THANH TOÁN]]</f>
        <v>-165912500</v>
      </c>
      <c r="K336" s="133"/>
    </row>
    <row r="337" spans="1:11" x14ac:dyDescent="0.25">
      <c r="A337" s="22">
        <v>2649</v>
      </c>
      <c r="B337" s="29">
        <v>46120</v>
      </c>
      <c r="C337" s="23" t="s">
        <v>84</v>
      </c>
      <c r="D337" s="37" t="s">
        <v>265</v>
      </c>
      <c r="E337" s="68" t="s">
        <v>136</v>
      </c>
      <c r="F337" s="31">
        <v>1388</v>
      </c>
      <c r="G337" s="31">
        <v>-3300</v>
      </c>
      <c r="H337" s="31">
        <f>Cty_Viet_Anh[[#This Row],[ĐƠN GIÁ]]*Cty_Viet_Anh[[#This Row],[SỐ LƯỢNG]]</f>
        <v>-4580400</v>
      </c>
      <c r="I337" s="31"/>
      <c r="J337" s="31">
        <f ca="1">N(INDIRECT("R[-1]C", FALSE)) + Cty_Viet_Anh[[#This Row],[THÀNH TIỀN]] - Cty_Viet_Anh[[#This Row],[THANH TOÁN]]</f>
        <v>-170492900</v>
      </c>
      <c r="K337" s="133"/>
    </row>
    <row r="338" spans="1:11" x14ac:dyDescent="0.25">
      <c r="A338" s="22">
        <v>2649</v>
      </c>
      <c r="B338" s="29">
        <v>46120</v>
      </c>
      <c r="C338" s="23" t="s">
        <v>84</v>
      </c>
      <c r="D338" s="37" t="s">
        <v>265</v>
      </c>
      <c r="E338" s="68" t="s">
        <v>443</v>
      </c>
      <c r="F338" s="31">
        <v>634</v>
      </c>
      <c r="G338" s="31">
        <v>-3500</v>
      </c>
      <c r="H338" s="31">
        <f>Cty_Viet_Anh[[#This Row],[ĐƠN GIÁ]]*Cty_Viet_Anh[[#This Row],[SỐ LƯỢNG]]</f>
        <v>-2219000</v>
      </c>
      <c r="I338" s="31"/>
      <c r="J338" s="31">
        <f ca="1">N(INDIRECT("R[-1]C", FALSE)) + Cty_Viet_Anh[[#This Row],[THÀNH TIỀN]] - Cty_Viet_Anh[[#This Row],[THANH TOÁN]]</f>
        <v>-172711900</v>
      </c>
      <c r="K338" s="133"/>
    </row>
    <row r="339" spans="1:11" x14ac:dyDescent="0.25">
      <c r="A339" s="22">
        <v>2652</v>
      </c>
      <c r="B339" s="29">
        <v>46120</v>
      </c>
      <c r="C339" s="23" t="s">
        <v>84</v>
      </c>
      <c r="D339" s="37" t="s">
        <v>270</v>
      </c>
      <c r="E339" s="68" t="s">
        <v>134</v>
      </c>
      <c r="F339" s="31">
        <v>5053</v>
      </c>
      <c r="G339" s="31">
        <v>-1900</v>
      </c>
      <c r="H339" s="31">
        <f>Cty_Viet_Anh[[#This Row],[ĐƠN GIÁ]]*Cty_Viet_Anh[[#This Row],[SỐ LƯỢNG]]</f>
        <v>-9600700</v>
      </c>
      <c r="I339" s="31"/>
      <c r="J339" s="31">
        <f ca="1">N(INDIRECT("R[-1]C", FALSE)) + Cty_Viet_Anh[[#This Row],[THÀNH TIỀN]] - Cty_Viet_Anh[[#This Row],[THANH TOÁN]]</f>
        <v>-182312600</v>
      </c>
      <c r="K339" s="133"/>
    </row>
    <row r="340" spans="1:11" x14ac:dyDescent="0.25">
      <c r="A340" s="22">
        <v>5177</v>
      </c>
      <c r="B340" s="29">
        <v>46120</v>
      </c>
      <c r="C340" s="23" t="s">
        <v>84</v>
      </c>
      <c r="D340" s="37" t="s">
        <v>93</v>
      </c>
      <c r="E340" s="68" t="s">
        <v>647</v>
      </c>
      <c r="F340" s="31">
        <v>3946</v>
      </c>
      <c r="G340" s="31">
        <v>-500</v>
      </c>
      <c r="H340" s="31">
        <f>Cty_Viet_Anh[[#This Row],[ĐƠN GIÁ]]*Cty_Viet_Anh[[#This Row],[SỐ LƯỢNG]]</f>
        <v>-1973000</v>
      </c>
      <c r="I340" s="31"/>
      <c r="J340" s="31">
        <f ca="1">N(INDIRECT("R[-1]C", FALSE)) + Cty_Viet_Anh[[#This Row],[THÀNH TIỀN]] - Cty_Viet_Anh[[#This Row],[THANH TOÁN]]</f>
        <v>-184285600</v>
      </c>
      <c r="K340" s="133"/>
    </row>
    <row r="341" spans="1:11" x14ac:dyDescent="0.25">
      <c r="A341" s="22">
        <v>5177</v>
      </c>
      <c r="B341" s="29">
        <v>46120</v>
      </c>
      <c r="C341" s="23" t="s">
        <v>84</v>
      </c>
      <c r="D341" s="37" t="s">
        <v>93</v>
      </c>
      <c r="E341" s="68" t="s">
        <v>444</v>
      </c>
      <c r="F341" s="31">
        <v>1076</v>
      </c>
      <c r="G341" s="31">
        <v>-500</v>
      </c>
      <c r="H341" s="31">
        <f>Cty_Viet_Anh[[#This Row],[ĐƠN GIÁ]]*Cty_Viet_Anh[[#This Row],[SỐ LƯỢNG]]</f>
        <v>-538000</v>
      </c>
      <c r="I341" s="31"/>
      <c r="J341" s="31">
        <f ca="1">N(INDIRECT("R[-1]C", FALSE)) + Cty_Viet_Anh[[#This Row],[THÀNH TIỀN]] - Cty_Viet_Anh[[#This Row],[THANH TOÁN]]</f>
        <v>-184823600</v>
      </c>
      <c r="K341" s="133"/>
    </row>
    <row r="342" spans="1:11" x14ac:dyDescent="0.25">
      <c r="A342" s="22">
        <v>5192</v>
      </c>
      <c r="B342" s="29">
        <v>46120</v>
      </c>
      <c r="C342" s="23" t="s">
        <v>84</v>
      </c>
      <c r="D342" s="37" t="s">
        <v>93</v>
      </c>
      <c r="E342" s="68" t="s">
        <v>40</v>
      </c>
      <c r="F342" s="31">
        <v>1526</v>
      </c>
      <c r="G342" s="31">
        <v>-500</v>
      </c>
      <c r="H342" s="31">
        <f>Cty_Viet_Anh[[#This Row],[ĐƠN GIÁ]]*Cty_Viet_Anh[[#This Row],[SỐ LƯỢNG]]</f>
        <v>-763000</v>
      </c>
      <c r="I342" s="31"/>
      <c r="J342" s="31">
        <f ca="1">N(INDIRECT("R[-1]C", FALSE)) + Cty_Viet_Anh[[#This Row],[THÀNH TIỀN]] - Cty_Viet_Anh[[#This Row],[THANH TOÁN]]</f>
        <v>-185586600</v>
      </c>
      <c r="K342" s="133"/>
    </row>
    <row r="343" spans="1:11" x14ac:dyDescent="0.25">
      <c r="A343" s="22">
        <v>5193</v>
      </c>
      <c r="B343" s="29">
        <v>46120</v>
      </c>
      <c r="C343" s="23" t="s">
        <v>84</v>
      </c>
      <c r="D343" s="37" t="s">
        <v>93</v>
      </c>
      <c r="E343" s="68" t="s">
        <v>249</v>
      </c>
      <c r="F343" s="31">
        <v>1484</v>
      </c>
      <c r="G343" s="31">
        <v>-500</v>
      </c>
      <c r="H343" s="31">
        <f>Cty_Viet_Anh[[#This Row],[ĐƠN GIÁ]]*Cty_Viet_Anh[[#This Row],[SỐ LƯỢNG]]</f>
        <v>-742000</v>
      </c>
      <c r="I343" s="31"/>
      <c r="J343" s="31">
        <f ca="1">N(INDIRECT("R[-1]C", FALSE)) + Cty_Viet_Anh[[#This Row],[THÀNH TIỀN]] - Cty_Viet_Anh[[#This Row],[THANH TOÁN]]</f>
        <v>-186328600</v>
      </c>
      <c r="K343" s="133"/>
    </row>
    <row r="344" spans="1:11" x14ac:dyDescent="0.25">
      <c r="A344" s="22">
        <v>5195</v>
      </c>
      <c r="B344" s="29">
        <v>46120</v>
      </c>
      <c r="C344" s="23" t="s">
        <v>84</v>
      </c>
      <c r="D344" s="37" t="s">
        <v>93</v>
      </c>
      <c r="E344" s="68" t="s">
        <v>646</v>
      </c>
      <c r="F344" s="31">
        <v>1462</v>
      </c>
      <c r="G344" s="31">
        <v>-500</v>
      </c>
      <c r="H344" s="31">
        <f>Cty_Viet_Anh[[#This Row],[ĐƠN GIÁ]]*Cty_Viet_Anh[[#This Row],[SỐ LƯỢNG]]</f>
        <v>-731000</v>
      </c>
      <c r="I344" s="31"/>
      <c r="J344" s="31">
        <f ca="1">N(INDIRECT("R[-1]C", FALSE)) + Cty_Viet_Anh[[#This Row],[THÀNH TIỀN]] - Cty_Viet_Anh[[#This Row],[THANH TOÁN]]</f>
        <v>-187059600</v>
      </c>
      <c r="K344" s="133"/>
    </row>
    <row r="345" spans="1:11" x14ac:dyDescent="0.25">
      <c r="A345" s="22">
        <v>8624</v>
      </c>
      <c r="B345" s="29">
        <v>46120</v>
      </c>
      <c r="C345" s="23" t="s">
        <v>49</v>
      </c>
      <c r="D345" s="37" t="s">
        <v>17</v>
      </c>
      <c r="E345" s="68" t="s">
        <v>482</v>
      </c>
      <c r="F345" s="31">
        <v>1534</v>
      </c>
      <c r="G345" s="31"/>
      <c r="H345" s="31">
        <f>Cty_Viet_Anh[[#This Row],[ĐƠN GIÁ]]*Cty_Viet_Anh[[#This Row],[SỐ LƯỢNG]]</f>
        <v>0</v>
      </c>
      <c r="I345" s="31"/>
      <c r="J345" s="31">
        <f ca="1">N(INDIRECT("R[-1]C", FALSE)) + Cty_Viet_Anh[[#This Row],[THÀNH TIỀN]] - Cty_Viet_Anh[[#This Row],[THANH TOÁN]]</f>
        <v>-187059600</v>
      </c>
      <c r="K345" s="24" t="s">
        <v>591</v>
      </c>
    </row>
    <row r="346" spans="1:11" x14ac:dyDescent="0.25">
      <c r="A346" s="22">
        <v>0</v>
      </c>
      <c r="B346" s="29">
        <v>46121</v>
      </c>
      <c r="C346" s="23" t="s">
        <v>426</v>
      </c>
      <c r="D346" s="37" t="s">
        <v>169</v>
      </c>
      <c r="E346" s="68" t="s">
        <v>148</v>
      </c>
      <c r="F346" s="31">
        <v>572</v>
      </c>
      <c r="G346" s="31"/>
      <c r="H346" s="31">
        <f>Cty_Viet_Anh[[#This Row],[ĐƠN GIÁ]]*Cty_Viet_Anh[[#This Row],[SỐ LƯỢNG]]</f>
        <v>0</v>
      </c>
      <c r="I346" s="31"/>
      <c r="J346" s="31">
        <f ca="1">N(INDIRECT("R[-1]C", FALSE)) + Cty_Viet_Anh[[#This Row],[THÀNH TIỀN]] - Cty_Viet_Anh[[#This Row],[THANH TOÁN]]</f>
        <v>-187059600</v>
      </c>
      <c r="K346" s="133"/>
    </row>
    <row r="347" spans="1:11" x14ac:dyDescent="0.25">
      <c r="A347" s="22">
        <v>37</v>
      </c>
      <c r="B347" s="29">
        <v>46121</v>
      </c>
      <c r="C347" s="23" t="s">
        <v>426</v>
      </c>
      <c r="D347" s="37" t="s">
        <v>93</v>
      </c>
      <c r="E347" s="68" t="s">
        <v>416</v>
      </c>
      <c r="F347" s="31">
        <v>1752</v>
      </c>
      <c r="G347" s="31"/>
      <c r="H347" s="31">
        <f>Cty_Viet_Anh[[#This Row],[ĐƠN GIÁ]]*Cty_Viet_Anh[[#This Row],[SỐ LƯỢNG]]</f>
        <v>0</v>
      </c>
      <c r="I347" s="31"/>
      <c r="J347" s="31">
        <f ca="1">N(INDIRECT("R[-1]C", FALSE)) + Cty_Viet_Anh[[#This Row],[THÀNH TIỀN]] - Cty_Viet_Anh[[#This Row],[THANH TOÁN]]</f>
        <v>-187059600</v>
      </c>
      <c r="K347" s="133"/>
    </row>
    <row r="348" spans="1:11" x14ac:dyDescent="0.25">
      <c r="A348" s="22">
        <v>5199</v>
      </c>
      <c r="B348" s="29">
        <v>46121</v>
      </c>
      <c r="C348" s="23" t="s">
        <v>84</v>
      </c>
      <c r="D348" s="37" t="s">
        <v>93</v>
      </c>
      <c r="E348" s="68" t="s">
        <v>33</v>
      </c>
      <c r="F348" s="31">
        <v>2186</v>
      </c>
      <c r="G348" s="31">
        <v>-500</v>
      </c>
      <c r="H348" s="31">
        <f>Cty_Viet_Anh[[#This Row],[ĐƠN GIÁ]]*Cty_Viet_Anh[[#This Row],[SỐ LƯỢNG]]</f>
        <v>-1093000</v>
      </c>
      <c r="I348" s="31"/>
      <c r="J348" s="31">
        <f ca="1">N(INDIRECT("R[-1]C", FALSE)) + Cty_Viet_Anh[[#This Row],[THÀNH TIỀN]] - Cty_Viet_Anh[[#This Row],[THANH TOÁN]]</f>
        <v>-188152600</v>
      </c>
      <c r="K348" s="133"/>
    </row>
    <row r="349" spans="1:11" x14ac:dyDescent="0.25">
      <c r="A349" s="22">
        <v>5199</v>
      </c>
      <c r="B349" s="29">
        <v>46121</v>
      </c>
      <c r="C349" s="23" t="s">
        <v>84</v>
      </c>
      <c r="D349" s="37" t="s">
        <v>93</v>
      </c>
      <c r="E349" s="68" t="s">
        <v>40</v>
      </c>
      <c r="F349" s="31">
        <v>662</v>
      </c>
      <c r="G349" s="31">
        <v>-500</v>
      </c>
      <c r="H349" s="31">
        <f>Cty_Viet_Anh[[#This Row],[ĐƠN GIÁ]]*Cty_Viet_Anh[[#This Row],[SỐ LƯỢNG]]</f>
        <v>-331000</v>
      </c>
      <c r="I349" s="31"/>
      <c r="J349" s="31">
        <f ca="1">N(INDIRECT("R[-1]C", FALSE)) + Cty_Viet_Anh[[#This Row],[THÀNH TIỀN]] - Cty_Viet_Anh[[#This Row],[THANH TOÁN]]</f>
        <v>-188483600</v>
      </c>
      <c r="K349" s="133"/>
    </row>
    <row r="350" spans="1:11" x14ac:dyDescent="0.25">
      <c r="A350" s="22">
        <v>8643</v>
      </c>
      <c r="B350" s="29">
        <v>46121</v>
      </c>
      <c r="C350" s="23" t="s">
        <v>49</v>
      </c>
      <c r="D350" s="37" t="s">
        <v>17</v>
      </c>
      <c r="E350" s="68" t="s">
        <v>40</v>
      </c>
      <c r="F350" s="31">
        <v>688</v>
      </c>
      <c r="G350" s="31"/>
      <c r="H350" s="31">
        <f>Cty_Viet_Anh[[#This Row],[ĐƠN GIÁ]]*Cty_Viet_Anh[[#This Row],[SỐ LƯỢNG]]</f>
        <v>0</v>
      </c>
      <c r="I350" s="31"/>
      <c r="J350" s="31">
        <f ca="1">N(INDIRECT("R[-1]C", FALSE)) + Cty_Viet_Anh[[#This Row],[THÀNH TIỀN]] - Cty_Viet_Anh[[#This Row],[THANH TOÁN]]</f>
        <v>-188483600</v>
      </c>
      <c r="K350" s="24" t="s">
        <v>592</v>
      </c>
    </row>
    <row r="351" spans="1:11" x14ac:dyDescent="0.25">
      <c r="A351" s="22">
        <v>8643</v>
      </c>
      <c r="B351" s="29">
        <v>46121</v>
      </c>
      <c r="C351" s="23" t="s">
        <v>49</v>
      </c>
      <c r="D351" s="37" t="s">
        <v>17</v>
      </c>
      <c r="E351" s="68" t="s">
        <v>502</v>
      </c>
      <c r="F351" s="31">
        <v>2120</v>
      </c>
      <c r="G351" s="31"/>
      <c r="H351" s="31">
        <f>Cty_Viet_Anh[[#This Row],[ĐƠN GIÁ]]*Cty_Viet_Anh[[#This Row],[SỐ LƯỢNG]]</f>
        <v>0</v>
      </c>
      <c r="I351" s="31"/>
      <c r="J351" s="31">
        <f ca="1">N(INDIRECT("R[-1]C", FALSE)) + Cty_Viet_Anh[[#This Row],[THÀNH TIỀN]] - Cty_Viet_Anh[[#This Row],[THANH TOÁN]]</f>
        <v>-188483600</v>
      </c>
      <c r="K351" s="24" t="s">
        <v>593</v>
      </c>
    </row>
    <row r="352" spans="1:11" x14ac:dyDescent="0.25">
      <c r="A352" s="22">
        <v>8643</v>
      </c>
      <c r="B352" s="29">
        <v>46121</v>
      </c>
      <c r="C352" s="23" t="s">
        <v>49</v>
      </c>
      <c r="D352" s="37" t="s">
        <v>26</v>
      </c>
      <c r="E352" s="68" t="s">
        <v>416</v>
      </c>
      <c r="F352" s="31">
        <v>1754</v>
      </c>
      <c r="G352" s="31"/>
      <c r="H352" s="31">
        <f>Cty_Viet_Anh[[#This Row],[ĐƠN GIÁ]]*Cty_Viet_Anh[[#This Row],[SỐ LƯỢNG]]</f>
        <v>0</v>
      </c>
      <c r="I352" s="31"/>
      <c r="J352" s="31">
        <f ca="1">N(INDIRECT("R[-1]C", FALSE)) + Cty_Viet_Anh[[#This Row],[THÀNH TIỀN]] - Cty_Viet_Anh[[#This Row],[THANH TOÁN]]</f>
        <v>-188483600</v>
      </c>
      <c r="K352" s="24" t="s">
        <v>594</v>
      </c>
    </row>
    <row r="353" spans="1:11" x14ac:dyDescent="0.25">
      <c r="A353" s="22">
        <v>8650</v>
      </c>
      <c r="B353" s="29">
        <v>46121</v>
      </c>
      <c r="C353" s="23" t="s">
        <v>49</v>
      </c>
      <c r="D353" s="37" t="s">
        <v>270</v>
      </c>
      <c r="E353" s="68" t="s">
        <v>134</v>
      </c>
      <c r="F353" s="31">
        <v>2222</v>
      </c>
      <c r="G353" s="31"/>
      <c r="H353" s="31">
        <f>Cty_Viet_Anh[[#This Row],[ĐƠN GIÁ]]*Cty_Viet_Anh[[#This Row],[SỐ LƯỢNG]]</f>
        <v>0</v>
      </c>
      <c r="I353" s="31"/>
      <c r="J353" s="31">
        <f ca="1">N(INDIRECT("R[-1]C", FALSE)) + Cty_Viet_Anh[[#This Row],[THÀNH TIỀN]] - Cty_Viet_Anh[[#This Row],[THANH TOÁN]]</f>
        <v>-188483600</v>
      </c>
      <c r="K353" s="24" t="s">
        <v>595</v>
      </c>
    </row>
    <row r="354" spans="1:11" x14ac:dyDescent="0.25">
      <c r="A354" s="22">
        <v>8653</v>
      </c>
      <c r="B354" s="29">
        <v>46121</v>
      </c>
      <c r="C354" s="23" t="s">
        <v>49</v>
      </c>
      <c r="D354" s="37" t="s">
        <v>26</v>
      </c>
      <c r="E354" s="68" t="s">
        <v>596</v>
      </c>
      <c r="F354" s="31">
        <v>1216</v>
      </c>
      <c r="G354" s="31"/>
      <c r="H354" s="31">
        <f>Cty_Viet_Anh[[#This Row],[ĐƠN GIÁ]]*Cty_Viet_Anh[[#This Row],[SỐ LƯỢNG]]</f>
        <v>0</v>
      </c>
      <c r="I354" s="31"/>
      <c r="J354" s="31">
        <f ca="1">N(INDIRECT("R[-1]C", FALSE)) + Cty_Viet_Anh[[#This Row],[THÀNH TIỀN]] - Cty_Viet_Anh[[#This Row],[THANH TOÁN]]</f>
        <v>-188483600</v>
      </c>
      <c r="K354" s="24" t="s">
        <v>597</v>
      </c>
    </row>
    <row r="355" spans="1:11" x14ac:dyDescent="0.25">
      <c r="A355" s="22">
        <v>8667</v>
      </c>
      <c r="B355" s="29">
        <v>46121</v>
      </c>
      <c r="C355" s="23" t="s">
        <v>49</v>
      </c>
      <c r="D355" s="37" t="s">
        <v>26</v>
      </c>
      <c r="E355" s="68" t="s">
        <v>416</v>
      </c>
      <c r="F355" s="31">
        <v>1310</v>
      </c>
      <c r="G355" s="31"/>
      <c r="H355" s="31">
        <f>Cty_Viet_Anh[[#This Row],[ĐƠN GIÁ]]*Cty_Viet_Anh[[#This Row],[SỐ LƯỢNG]]</f>
        <v>0</v>
      </c>
      <c r="I355" s="31"/>
      <c r="J355" s="31">
        <f ca="1">N(INDIRECT("R[-1]C", FALSE)) + Cty_Viet_Anh[[#This Row],[THÀNH TIỀN]] - Cty_Viet_Anh[[#This Row],[THANH TOÁN]]</f>
        <v>-188483600</v>
      </c>
      <c r="K355" s="24" t="s">
        <v>598</v>
      </c>
    </row>
    <row r="356" spans="1:11" x14ac:dyDescent="0.25">
      <c r="A356" s="22">
        <v>5201</v>
      </c>
      <c r="B356" s="29">
        <v>46122</v>
      </c>
      <c r="C356" s="23" t="s">
        <v>84</v>
      </c>
      <c r="D356" s="37" t="s">
        <v>93</v>
      </c>
      <c r="E356" s="68" t="s">
        <v>650</v>
      </c>
      <c r="F356" s="31">
        <v>820</v>
      </c>
      <c r="G356" s="31">
        <v>-500</v>
      </c>
      <c r="H356" s="31">
        <f>Cty_Viet_Anh[[#This Row],[ĐƠN GIÁ]]*Cty_Viet_Anh[[#This Row],[SỐ LƯỢNG]]</f>
        <v>-410000</v>
      </c>
      <c r="I356" s="31"/>
      <c r="J356" s="31">
        <f ca="1">N(INDIRECT("R[-1]C", FALSE)) + Cty_Viet_Anh[[#This Row],[THÀNH TIỀN]] - Cty_Viet_Anh[[#This Row],[THANH TOÁN]]</f>
        <v>-188893600</v>
      </c>
      <c r="K356" s="133"/>
    </row>
    <row r="357" spans="1:11" x14ac:dyDescent="0.25">
      <c r="A357" s="22">
        <v>5201</v>
      </c>
      <c r="B357" s="29">
        <v>46122</v>
      </c>
      <c r="C357" s="23" t="s">
        <v>426</v>
      </c>
      <c r="D357" s="37" t="s">
        <v>541</v>
      </c>
      <c r="E357" s="68" t="s">
        <v>651</v>
      </c>
      <c r="F357" s="31">
        <v>485</v>
      </c>
      <c r="G357" s="31"/>
      <c r="H357" s="31">
        <f>Cty_Viet_Anh[[#This Row],[ĐƠN GIÁ]]*Cty_Viet_Anh[[#This Row],[SỐ LƯỢNG]]</f>
        <v>0</v>
      </c>
      <c r="I357" s="31"/>
      <c r="J357" s="31">
        <f ca="1">N(INDIRECT("R[-1]C", FALSE)) + Cty_Viet_Anh[[#This Row],[THÀNH TIỀN]] - Cty_Viet_Anh[[#This Row],[THANH TOÁN]]</f>
        <v>-188893600</v>
      </c>
      <c r="K357" s="133"/>
    </row>
    <row r="358" spans="1:11" x14ac:dyDescent="0.25">
      <c r="A358" s="22">
        <v>8701</v>
      </c>
      <c r="B358" s="29">
        <v>46123</v>
      </c>
      <c r="C358" s="23" t="s">
        <v>49</v>
      </c>
      <c r="D358" s="37" t="s">
        <v>14</v>
      </c>
      <c r="E358" s="68" t="s">
        <v>148</v>
      </c>
      <c r="F358" s="31">
        <v>4518</v>
      </c>
      <c r="G358" s="31"/>
      <c r="H358" s="31">
        <f>Cty_Viet_Anh[[#This Row],[ĐƠN GIÁ]]*Cty_Viet_Anh[[#This Row],[SỐ LƯỢNG]]</f>
        <v>0</v>
      </c>
      <c r="I358" s="31"/>
      <c r="J358" s="31">
        <f ca="1">N(INDIRECT("R[-1]C", FALSE)) + Cty_Viet_Anh[[#This Row],[THÀNH TIỀN]] - Cty_Viet_Anh[[#This Row],[THANH TOÁN]]</f>
        <v>-188893600</v>
      </c>
      <c r="K358" s="24" t="s">
        <v>599</v>
      </c>
    </row>
    <row r="359" spans="1:11" x14ac:dyDescent="0.25">
      <c r="A359" s="22">
        <v>2688</v>
      </c>
      <c r="B359" s="29">
        <v>46125</v>
      </c>
      <c r="C359" s="23" t="s">
        <v>84</v>
      </c>
      <c r="D359" s="37" t="s">
        <v>265</v>
      </c>
      <c r="E359" s="68" t="s">
        <v>136</v>
      </c>
      <c r="F359" s="31">
        <v>2082</v>
      </c>
      <c r="G359" s="31">
        <v>-3300</v>
      </c>
      <c r="H359" s="31">
        <f>Cty_Viet_Anh[[#This Row],[ĐƠN GIÁ]]*Cty_Viet_Anh[[#This Row],[SỐ LƯỢNG]]</f>
        <v>-6870600</v>
      </c>
      <c r="I359" s="31"/>
      <c r="J359" s="31">
        <f ca="1">N(INDIRECT("R[-1]C", FALSE)) + Cty_Viet_Anh[[#This Row],[THÀNH TIỀN]] - Cty_Viet_Anh[[#This Row],[THANH TOÁN]]</f>
        <v>-195764200</v>
      </c>
      <c r="K359" s="133"/>
    </row>
    <row r="360" spans="1:11" x14ac:dyDescent="0.25">
      <c r="A360" s="22">
        <v>5208</v>
      </c>
      <c r="B360" s="29">
        <v>46125</v>
      </c>
      <c r="C360" s="23" t="s">
        <v>84</v>
      </c>
      <c r="D360" s="37" t="s">
        <v>540</v>
      </c>
      <c r="E360" s="68" t="s">
        <v>148</v>
      </c>
      <c r="F360" s="31">
        <v>1000</v>
      </c>
      <c r="G360" s="31">
        <v>-500</v>
      </c>
      <c r="H360" s="31">
        <f>Cty_Viet_Anh[[#This Row],[ĐƠN GIÁ]]*Cty_Viet_Anh[[#This Row],[SỐ LƯỢNG]]</f>
        <v>-500000</v>
      </c>
      <c r="I360" s="31"/>
      <c r="J360" s="31">
        <f ca="1">N(INDIRECT("R[-1]C", FALSE)) + Cty_Viet_Anh[[#This Row],[THÀNH TIỀN]] - Cty_Viet_Anh[[#This Row],[THANH TOÁN]]</f>
        <v>-196264200</v>
      </c>
      <c r="K360" s="133"/>
    </row>
    <row r="361" spans="1:11" x14ac:dyDescent="0.25">
      <c r="A361" s="22">
        <v>5208</v>
      </c>
      <c r="B361" s="29">
        <v>46125</v>
      </c>
      <c r="C361" s="23" t="s">
        <v>426</v>
      </c>
      <c r="D361" s="37" t="s">
        <v>648</v>
      </c>
      <c r="E361" s="68" t="s">
        <v>148</v>
      </c>
      <c r="F361" s="31">
        <v>3516</v>
      </c>
      <c r="G361" s="31"/>
      <c r="H361" s="31">
        <f>Cty_Viet_Anh[[#This Row],[ĐƠN GIÁ]]*Cty_Viet_Anh[[#This Row],[SỐ LƯỢNG]]</f>
        <v>0</v>
      </c>
      <c r="I361" s="31"/>
      <c r="J361" s="31">
        <f ca="1">N(INDIRECT("R[-1]C", FALSE)) + Cty_Viet_Anh[[#This Row],[THÀNH TIỀN]] - Cty_Viet_Anh[[#This Row],[THANH TOÁN]]</f>
        <v>-196264200</v>
      </c>
      <c r="K361" s="133"/>
    </row>
    <row r="362" spans="1:11" x14ac:dyDescent="0.25">
      <c r="A362" s="22">
        <v>5209</v>
      </c>
      <c r="B362" s="29">
        <v>46125</v>
      </c>
      <c r="C362" s="23" t="s">
        <v>84</v>
      </c>
      <c r="D362" s="37" t="s">
        <v>93</v>
      </c>
      <c r="E362" s="68" t="s">
        <v>33</v>
      </c>
      <c r="F362" s="31">
        <v>1928</v>
      </c>
      <c r="G362" s="31">
        <v>-500</v>
      </c>
      <c r="H362" s="31">
        <f>Cty_Viet_Anh[[#This Row],[ĐƠN GIÁ]]*Cty_Viet_Anh[[#This Row],[SỐ LƯỢNG]]</f>
        <v>-964000</v>
      </c>
      <c r="I362" s="31"/>
      <c r="J362" s="31">
        <f ca="1">N(INDIRECT("R[-1]C", FALSE)) + Cty_Viet_Anh[[#This Row],[THÀNH TIỀN]] - Cty_Viet_Anh[[#This Row],[THANH TOÁN]]</f>
        <v>-197228200</v>
      </c>
      <c r="K362" s="133"/>
    </row>
    <row r="363" spans="1:11" x14ac:dyDescent="0.25">
      <c r="A363" s="22">
        <v>5211</v>
      </c>
      <c r="B363" s="29">
        <v>46125</v>
      </c>
      <c r="C363" s="23" t="s">
        <v>84</v>
      </c>
      <c r="D363" s="37" t="s">
        <v>93</v>
      </c>
      <c r="E363" s="68" t="s">
        <v>78</v>
      </c>
      <c r="F363" s="31">
        <v>1294</v>
      </c>
      <c r="G363" s="31">
        <v>-500</v>
      </c>
      <c r="H363" s="31">
        <f>Cty_Viet_Anh[[#This Row],[ĐƠN GIÁ]]*Cty_Viet_Anh[[#This Row],[SỐ LƯỢNG]]</f>
        <v>-647000</v>
      </c>
      <c r="I363" s="31"/>
      <c r="J363" s="31">
        <f ca="1">N(INDIRECT("R[-1]C", FALSE)) + Cty_Viet_Anh[[#This Row],[THÀNH TIỀN]] - Cty_Viet_Anh[[#This Row],[THANH TOÁN]]</f>
        <v>-197875200</v>
      </c>
      <c r="K363" s="133"/>
    </row>
    <row r="364" spans="1:11" x14ac:dyDescent="0.25">
      <c r="A364" s="22">
        <v>5211</v>
      </c>
      <c r="B364" s="29">
        <v>46125</v>
      </c>
      <c r="C364" s="23" t="s">
        <v>84</v>
      </c>
      <c r="D364" s="37" t="s">
        <v>93</v>
      </c>
      <c r="E364" s="68" t="s">
        <v>78</v>
      </c>
      <c r="F364" s="31">
        <v>1084</v>
      </c>
      <c r="G364" s="31">
        <v>-500</v>
      </c>
      <c r="H364" s="31">
        <f>Cty_Viet_Anh[[#This Row],[ĐƠN GIÁ]]*Cty_Viet_Anh[[#This Row],[SỐ LƯỢNG]]</f>
        <v>-542000</v>
      </c>
      <c r="I364" s="31"/>
      <c r="J364" s="31">
        <f ca="1">N(INDIRECT("R[-1]C", FALSE)) + Cty_Viet_Anh[[#This Row],[THÀNH TIỀN]] - Cty_Viet_Anh[[#This Row],[THANH TOÁN]]</f>
        <v>-198417200</v>
      </c>
      <c r="K364" s="133"/>
    </row>
    <row r="365" spans="1:11" x14ac:dyDescent="0.25">
      <c r="A365" s="22">
        <v>5211</v>
      </c>
      <c r="B365" s="29">
        <v>46125</v>
      </c>
      <c r="C365" s="23" t="s">
        <v>84</v>
      </c>
      <c r="D365" s="37" t="s">
        <v>93</v>
      </c>
      <c r="E365" s="68" t="s">
        <v>78</v>
      </c>
      <c r="F365" s="31">
        <v>1176</v>
      </c>
      <c r="G365" s="31">
        <v>-500</v>
      </c>
      <c r="H365" s="31">
        <f>Cty_Viet_Anh[[#This Row],[ĐƠN GIÁ]]*Cty_Viet_Anh[[#This Row],[SỐ LƯỢNG]]</f>
        <v>-588000</v>
      </c>
      <c r="I365" s="31"/>
      <c r="J365" s="31">
        <f ca="1">N(INDIRECT("R[-1]C", FALSE)) + Cty_Viet_Anh[[#This Row],[THÀNH TIỀN]] - Cty_Viet_Anh[[#This Row],[THANH TOÁN]]</f>
        <v>-199005200</v>
      </c>
      <c r="K365" s="133"/>
    </row>
    <row r="366" spans="1:11" x14ac:dyDescent="0.25">
      <c r="A366" s="22">
        <v>5212</v>
      </c>
      <c r="B366" s="29">
        <v>46125</v>
      </c>
      <c r="C366" s="23" t="s">
        <v>84</v>
      </c>
      <c r="D366" s="37" t="s">
        <v>93</v>
      </c>
      <c r="E366" s="68" t="s">
        <v>649</v>
      </c>
      <c r="F366" s="31">
        <v>1010</v>
      </c>
      <c r="G366" s="31">
        <v>-500</v>
      </c>
      <c r="H366" s="31">
        <f>Cty_Viet_Anh[[#This Row],[ĐƠN GIÁ]]*Cty_Viet_Anh[[#This Row],[SỐ LƯỢNG]]</f>
        <v>-505000</v>
      </c>
      <c r="I366" s="31"/>
      <c r="J366" s="31">
        <f ca="1">N(INDIRECT("R[-1]C", FALSE)) + Cty_Viet_Anh[[#This Row],[THÀNH TIỀN]] - Cty_Viet_Anh[[#This Row],[THANH TOÁN]]</f>
        <v>-199510200</v>
      </c>
      <c r="K366" s="133"/>
    </row>
    <row r="367" spans="1:11" x14ac:dyDescent="0.25">
      <c r="A367" s="22">
        <v>8720</v>
      </c>
      <c r="B367" s="29">
        <v>46125</v>
      </c>
      <c r="C367" s="23" t="s">
        <v>49</v>
      </c>
      <c r="D367" s="37" t="s">
        <v>26</v>
      </c>
      <c r="E367" s="68" t="s">
        <v>600</v>
      </c>
      <c r="F367" s="31">
        <v>2163</v>
      </c>
      <c r="G367" s="31"/>
      <c r="H367" s="31">
        <f>Cty_Viet_Anh[[#This Row],[ĐƠN GIÁ]]*Cty_Viet_Anh[[#This Row],[SỐ LƯỢNG]]</f>
        <v>0</v>
      </c>
      <c r="I367" s="31"/>
      <c r="J367" s="31">
        <f ca="1">N(INDIRECT("R[-1]C", FALSE)) + Cty_Viet_Anh[[#This Row],[THÀNH TIỀN]] - Cty_Viet_Anh[[#This Row],[THANH TOÁN]]</f>
        <v>-199510200</v>
      </c>
      <c r="K367" s="24" t="s">
        <v>601</v>
      </c>
    </row>
    <row r="368" spans="1:11" x14ac:dyDescent="0.25">
      <c r="A368" s="22">
        <v>8720</v>
      </c>
      <c r="B368" s="29">
        <v>46125</v>
      </c>
      <c r="C368" s="23" t="s">
        <v>49</v>
      </c>
      <c r="D368" s="37" t="s">
        <v>26</v>
      </c>
      <c r="E368" s="68" t="s">
        <v>602</v>
      </c>
      <c r="F368" s="31">
        <v>1086</v>
      </c>
      <c r="G368" s="31"/>
      <c r="H368" s="31">
        <f>Cty_Viet_Anh[[#This Row],[ĐƠN GIÁ]]*Cty_Viet_Anh[[#This Row],[SỐ LƯỢNG]]</f>
        <v>0</v>
      </c>
      <c r="I368" s="31"/>
      <c r="J368" s="31">
        <f ca="1">N(INDIRECT("R[-1]C", FALSE)) + Cty_Viet_Anh[[#This Row],[THÀNH TIỀN]] - Cty_Viet_Anh[[#This Row],[THANH TOÁN]]</f>
        <v>-199510200</v>
      </c>
      <c r="K368" s="24" t="s">
        <v>471</v>
      </c>
    </row>
    <row r="369" spans="1:11" x14ac:dyDescent="0.25">
      <c r="A369" s="22">
        <v>8720</v>
      </c>
      <c r="B369" s="29">
        <v>46125</v>
      </c>
      <c r="C369" s="23" t="s">
        <v>49</v>
      </c>
      <c r="D369" s="37" t="s">
        <v>26</v>
      </c>
      <c r="E369" s="68" t="s">
        <v>603</v>
      </c>
      <c r="F369" s="31">
        <v>1168</v>
      </c>
      <c r="G369" s="31"/>
      <c r="H369" s="31">
        <f>Cty_Viet_Anh[[#This Row],[ĐƠN GIÁ]]*Cty_Viet_Anh[[#This Row],[SỐ LƯỢNG]]</f>
        <v>0</v>
      </c>
      <c r="I369" s="31"/>
      <c r="J369" s="31">
        <f ca="1">N(INDIRECT("R[-1]C", FALSE)) + Cty_Viet_Anh[[#This Row],[THÀNH TIỀN]] - Cty_Viet_Anh[[#This Row],[THANH TOÁN]]</f>
        <v>-199510200</v>
      </c>
      <c r="K369" s="24" t="s">
        <v>604</v>
      </c>
    </row>
    <row r="370" spans="1:11" x14ac:dyDescent="0.25">
      <c r="A370" s="22">
        <v>8720</v>
      </c>
      <c r="B370" s="29">
        <v>46125</v>
      </c>
      <c r="C370" s="23" t="s">
        <v>49</v>
      </c>
      <c r="D370" s="37" t="s">
        <v>26</v>
      </c>
      <c r="E370" s="68" t="s">
        <v>344</v>
      </c>
      <c r="F370" s="31">
        <v>1914</v>
      </c>
      <c r="G370" s="31"/>
      <c r="H370" s="31">
        <f>Cty_Viet_Anh[[#This Row],[ĐƠN GIÁ]]*Cty_Viet_Anh[[#This Row],[SỐ LƯỢNG]]</f>
        <v>0</v>
      </c>
      <c r="I370" s="31"/>
      <c r="J370" s="31">
        <f ca="1">N(INDIRECT("R[-1]C", FALSE)) + Cty_Viet_Anh[[#This Row],[THÀNH TIỀN]] - Cty_Viet_Anh[[#This Row],[THANH TOÁN]]</f>
        <v>-199510200</v>
      </c>
      <c r="K370" s="24" t="s">
        <v>605</v>
      </c>
    </row>
    <row r="371" spans="1:11" x14ac:dyDescent="0.25">
      <c r="A371" s="22">
        <v>8720</v>
      </c>
      <c r="B371" s="29">
        <v>46125</v>
      </c>
      <c r="C371" s="23" t="s">
        <v>49</v>
      </c>
      <c r="D371" s="37" t="s">
        <v>26</v>
      </c>
      <c r="E371" s="68" t="s">
        <v>606</v>
      </c>
      <c r="F371" s="31">
        <v>2660</v>
      </c>
      <c r="G371" s="31"/>
      <c r="H371" s="31">
        <f>Cty_Viet_Anh[[#This Row],[ĐƠN GIÁ]]*Cty_Viet_Anh[[#This Row],[SỐ LƯỢNG]]</f>
        <v>0</v>
      </c>
      <c r="I371" s="31"/>
      <c r="J371" s="31">
        <f ca="1">N(INDIRECT("R[-1]C", FALSE)) + Cty_Viet_Anh[[#This Row],[THÀNH TIỀN]] - Cty_Viet_Anh[[#This Row],[THANH TOÁN]]</f>
        <v>-199510200</v>
      </c>
      <c r="K371" s="24" t="s">
        <v>607</v>
      </c>
    </row>
    <row r="372" spans="1:11" x14ac:dyDescent="0.25">
      <c r="A372" s="22">
        <v>8727</v>
      </c>
      <c r="B372" s="29">
        <v>46125</v>
      </c>
      <c r="C372" s="23" t="s">
        <v>49</v>
      </c>
      <c r="D372" s="37" t="s">
        <v>17</v>
      </c>
      <c r="E372" s="68" t="s">
        <v>502</v>
      </c>
      <c r="F372" s="31">
        <v>5020</v>
      </c>
      <c r="G372" s="31"/>
      <c r="H372" s="31">
        <f>Cty_Viet_Anh[[#This Row],[ĐƠN GIÁ]]*Cty_Viet_Anh[[#This Row],[SỐ LƯỢNG]]</f>
        <v>0</v>
      </c>
      <c r="I372" s="31"/>
      <c r="J372" s="31">
        <f ca="1">N(INDIRECT("R[-1]C", FALSE)) + Cty_Viet_Anh[[#This Row],[THÀNH TIỀN]] - Cty_Viet_Anh[[#This Row],[THANH TOÁN]]</f>
        <v>-199510200</v>
      </c>
      <c r="K372" s="24" t="s">
        <v>608</v>
      </c>
    </row>
    <row r="373" spans="1:11" x14ac:dyDescent="0.25">
      <c r="A373" s="22">
        <v>8727</v>
      </c>
      <c r="B373" s="29">
        <v>46125</v>
      </c>
      <c r="C373" s="23" t="s">
        <v>49</v>
      </c>
      <c r="D373" s="37" t="s">
        <v>17</v>
      </c>
      <c r="E373" s="68" t="s">
        <v>46</v>
      </c>
      <c r="F373" s="31">
        <v>4900</v>
      </c>
      <c r="G373" s="31"/>
      <c r="H373" s="31">
        <f>Cty_Viet_Anh[[#This Row],[ĐƠN GIÁ]]*Cty_Viet_Anh[[#This Row],[SỐ LƯỢNG]]</f>
        <v>0</v>
      </c>
      <c r="I373" s="31"/>
      <c r="J373" s="31">
        <f ca="1">N(INDIRECT("R[-1]C", FALSE)) + Cty_Viet_Anh[[#This Row],[THÀNH TIỀN]] - Cty_Viet_Anh[[#This Row],[THANH TOÁN]]</f>
        <v>-199510200</v>
      </c>
      <c r="K373" s="24" t="s">
        <v>609</v>
      </c>
    </row>
    <row r="374" spans="1:11" x14ac:dyDescent="0.25">
      <c r="A374" s="22">
        <v>8739</v>
      </c>
      <c r="B374" s="29">
        <v>46125</v>
      </c>
      <c r="C374" s="23" t="s">
        <v>49</v>
      </c>
      <c r="D374" s="37" t="s">
        <v>17</v>
      </c>
      <c r="E374" s="68" t="s">
        <v>610</v>
      </c>
      <c r="F374" s="31">
        <v>4970</v>
      </c>
      <c r="G374" s="31"/>
      <c r="H374" s="31">
        <f>Cty_Viet_Anh[[#This Row],[ĐƠN GIÁ]]*Cty_Viet_Anh[[#This Row],[SỐ LƯỢNG]]</f>
        <v>0</v>
      </c>
      <c r="I374" s="31"/>
      <c r="J374" s="31">
        <f ca="1">N(INDIRECT("R[-1]C", FALSE)) + Cty_Viet_Anh[[#This Row],[THÀNH TIỀN]] - Cty_Viet_Anh[[#This Row],[THANH TOÁN]]</f>
        <v>-199510200</v>
      </c>
      <c r="K374" s="24" t="s">
        <v>611</v>
      </c>
    </row>
    <row r="375" spans="1:11" x14ac:dyDescent="0.25">
      <c r="A375" s="22">
        <v>8739</v>
      </c>
      <c r="B375" s="29">
        <v>46125</v>
      </c>
      <c r="C375" s="23" t="s">
        <v>49</v>
      </c>
      <c r="D375" s="37" t="s">
        <v>26</v>
      </c>
      <c r="E375" s="68" t="s">
        <v>612</v>
      </c>
      <c r="F375" s="31">
        <v>1000</v>
      </c>
      <c r="G375" s="31"/>
      <c r="H375" s="31">
        <f>Cty_Viet_Anh[[#This Row],[ĐƠN GIÁ]]*Cty_Viet_Anh[[#This Row],[SỐ LƯỢNG]]</f>
        <v>0</v>
      </c>
      <c r="I375" s="31"/>
      <c r="J375" s="31">
        <f ca="1">N(INDIRECT("R[-1]C", FALSE)) + Cty_Viet_Anh[[#This Row],[THÀNH TIỀN]] - Cty_Viet_Anh[[#This Row],[THANH TOÁN]]</f>
        <v>-199510200</v>
      </c>
      <c r="K375" s="24" t="s">
        <v>475</v>
      </c>
    </row>
    <row r="376" spans="1:11" x14ac:dyDescent="0.25">
      <c r="A376" s="22">
        <v>36</v>
      </c>
      <c r="B376" s="29">
        <v>46126</v>
      </c>
      <c r="C376" s="23" t="s">
        <v>426</v>
      </c>
      <c r="D376" s="37" t="s">
        <v>540</v>
      </c>
      <c r="E376" s="68" t="s">
        <v>62</v>
      </c>
      <c r="F376" s="31">
        <v>3626</v>
      </c>
      <c r="G376" s="31"/>
      <c r="H376" s="31">
        <f>Cty_Viet_Anh[[#This Row],[ĐƠN GIÁ]]*Cty_Viet_Anh[[#This Row],[SỐ LƯỢNG]]</f>
        <v>0</v>
      </c>
      <c r="I376" s="31"/>
      <c r="J376" s="31">
        <f ca="1">N(INDIRECT("R[-1]C", FALSE)) + Cty_Viet_Anh[[#This Row],[THÀNH TIỀN]] - Cty_Viet_Anh[[#This Row],[THANH TOÁN]]</f>
        <v>-199510200</v>
      </c>
      <c r="K376" s="133"/>
    </row>
    <row r="377" spans="1:11" x14ac:dyDescent="0.25">
      <c r="A377" s="22">
        <v>5125</v>
      </c>
      <c r="B377" s="29">
        <v>46126</v>
      </c>
      <c r="C377" s="23" t="s">
        <v>84</v>
      </c>
      <c r="D377" s="37" t="s">
        <v>93</v>
      </c>
      <c r="E377" s="68" t="s">
        <v>502</v>
      </c>
      <c r="F377" s="31">
        <v>3682</v>
      </c>
      <c r="G377" s="31">
        <v>-500</v>
      </c>
      <c r="H377" s="31">
        <f>Cty_Viet_Anh[[#This Row],[ĐƠN GIÁ]]*Cty_Viet_Anh[[#This Row],[SỐ LƯỢNG]]</f>
        <v>-1841000</v>
      </c>
      <c r="I377" s="31"/>
      <c r="J377" s="31">
        <f ca="1">N(INDIRECT("R[-1]C", FALSE)) + Cty_Viet_Anh[[#This Row],[THÀNH TIỀN]] - Cty_Viet_Anh[[#This Row],[THANH TOÁN]]</f>
        <v>-201351200</v>
      </c>
      <c r="K377" s="133"/>
    </row>
    <row r="378" spans="1:11" x14ac:dyDescent="0.25">
      <c r="A378" s="22">
        <v>5126</v>
      </c>
      <c r="B378" s="29">
        <v>46126</v>
      </c>
      <c r="C378" s="23" t="s">
        <v>84</v>
      </c>
      <c r="D378" s="37" t="s">
        <v>93</v>
      </c>
      <c r="E378" s="68" t="s">
        <v>610</v>
      </c>
      <c r="F378" s="31">
        <v>2495</v>
      </c>
      <c r="G378" s="31">
        <v>-500</v>
      </c>
      <c r="H378" s="31">
        <f>Cty_Viet_Anh[[#This Row],[ĐƠN GIÁ]]*Cty_Viet_Anh[[#This Row],[SỐ LƯỢNG]]</f>
        <v>-1247500</v>
      </c>
      <c r="I378" s="31"/>
      <c r="J378" s="31">
        <f ca="1">N(INDIRECT("R[-1]C", FALSE)) + Cty_Viet_Anh[[#This Row],[THÀNH TIỀN]] - Cty_Viet_Anh[[#This Row],[THANH TOÁN]]</f>
        <v>-202598700</v>
      </c>
      <c r="K378" s="133"/>
    </row>
    <row r="379" spans="1:11" x14ac:dyDescent="0.25">
      <c r="A379" s="22">
        <v>5126</v>
      </c>
      <c r="B379" s="29">
        <v>46126</v>
      </c>
      <c r="C379" s="23" t="s">
        <v>84</v>
      </c>
      <c r="D379" s="37" t="s">
        <v>520</v>
      </c>
      <c r="E379" s="68" t="s">
        <v>652</v>
      </c>
      <c r="F379" s="31">
        <v>1208</v>
      </c>
      <c r="G379" s="31">
        <v>-1000</v>
      </c>
      <c r="H379" s="31">
        <f>Cty_Viet_Anh[[#This Row],[ĐƠN GIÁ]]*Cty_Viet_Anh[[#This Row],[SỐ LƯỢNG]]</f>
        <v>-1208000</v>
      </c>
      <c r="I379" s="31"/>
      <c r="J379" s="31">
        <f ca="1">N(INDIRECT("R[-1]C", FALSE)) + Cty_Viet_Anh[[#This Row],[THÀNH TIỀN]] - Cty_Viet_Anh[[#This Row],[THANH TOÁN]]</f>
        <v>-203806700</v>
      </c>
      <c r="K379" s="133"/>
    </row>
    <row r="380" spans="1:11" x14ac:dyDescent="0.25">
      <c r="A380" s="22">
        <v>5126</v>
      </c>
      <c r="B380" s="29">
        <v>46126</v>
      </c>
      <c r="C380" s="23" t="s">
        <v>426</v>
      </c>
      <c r="D380" s="37" t="s">
        <v>93</v>
      </c>
      <c r="E380" s="68" t="s">
        <v>444</v>
      </c>
      <c r="F380" s="31">
        <v>6965</v>
      </c>
      <c r="G380" s="31"/>
      <c r="H380" s="31">
        <f>Cty_Viet_Anh[[#This Row],[ĐƠN GIÁ]]*Cty_Viet_Anh[[#This Row],[SỐ LƯỢNG]]</f>
        <v>0</v>
      </c>
      <c r="I380" s="31"/>
      <c r="J380" s="31">
        <f ca="1">N(INDIRECT("R[-1]C", FALSE)) + Cty_Viet_Anh[[#This Row],[THÀNH TIỀN]] - Cty_Viet_Anh[[#This Row],[THANH TOÁN]]</f>
        <v>-203806700</v>
      </c>
      <c r="K380" s="133"/>
    </row>
    <row r="381" spans="1:11" x14ac:dyDescent="0.25">
      <c r="A381" s="22">
        <v>5213</v>
      </c>
      <c r="B381" s="29">
        <v>46126</v>
      </c>
      <c r="C381" s="23" t="s">
        <v>84</v>
      </c>
      <c r="D381" s="37" t="s">
        <v>93</v>
      </c>
      <c r="E381" s="68" t="s">
        <v>637</v>
      </c>
      <c r="F381" s="31">
        <v>6104</v>
      </c>
      <c r="G381" s="31">
        <v>-500</v>
      </c>
      <c r="H381" s="31">
        <f>Cty_Viet_Anh[[#This Row],[ĐƠN GIÁ]]*Cty_Viet_Anh[[#This Row],[SỐ LƯỢNG]]</f>
        <v>-3052000</v>
      </c>
      <c r="I381" s="31"/>
      <c r="J381" s="31">
        <f ca="1">N(INDIRECT("R[-1]C", FALSE)) + Cty_Viet_Anh[[#This Row],[THÀNH TIỀN]] - Cty_Viet_Anh[[#This Row],[THANH TOÁN]]</f>
        <v>-206858700</v>
      </c>
      <c r="K381" s="133"/>
    </row>
    <row r="382" spans="1:11" x14ac:dyDescent="0.25">
      <c r="A382" s="22">
        <v>8754</v>
      </c>
      <c r="B382" s="29">
        <v>46126</v>
      </c>
      <c r="C382" s="23" t="s">
        <v>49</v>
      </c>
      <c r="D382" s="37" t="s">
        <v>43</v>
      </c>
      <c r="E382" s="68" t="s">
        <v>136</v>
      </c>
      <c r="F382" s="31">
        <v>4990</v>
      </c>
      <c r="G382" s="31"/>
      <c r="H382" s="31">
        <f>Cty_Viet_Anh[[#This Row],[ĐƠN GIÁ]]*Cty_Viet_Anh[[#This Row],[SỐ LƯỢNG]]</f>
        <v>0</v>
      </c>
      <c r="I382" s="31"/>
      <c r="J382" s="31">
        <f ca="1">N(INDIRECT("R[-1]C", FALSE)) + Cty_Viet_Anh[[#This Row],[THÀNH TIỀN]] - Cty_Viet_Anh[[#This Row],[THANH TOÁN]]</f>
        <v>-206858700</v>
      </c>
      <c r="K382" s="24" t="s">
        <v>613</v>
      </c>
    </row>
    <row r="383" spans="1:11" x14ac:dyDescent="0.25">
      <c r="A383" s="22">
        <v>8761</v>
      </c>
      <c r="B383" s="29">
        <v>46126</v>
      </c>
      <c r="C383" s="23" t="s">
        <v>49</v>
      </c>
      <c r="D383" s="37" t="s">
        <v>45</v>
      </c>
      <c r="E383" s="68" t="s">
        <v>46</v>
      </c>
      <c r="F383" s="31">
        <v>3955</v>
      </c>
      <c r="G383" s="31"/>
      <c r="H383" s="31">
        <f>Cty_Viet_Anh[[#This Row],[ĐƠN GIÁ]]*Cty_Viet_Anh[[#This Row],[SỐ LƯỢNG]]</f>
        <v>0</v>
      </c>
      <c r="I383" s="31"/>
      <c r="J383" s="31">
        <f ca="1">N(INDIRECT("R[-1]C", FALSE)) + Cty_Viet_Anh[[#This Row],[THÀNH TIỀN]] - Cty_Viet_Anh[[#This Row],[THANH TOÁN]]</f>
        <v>-206858700</v>
      </c>
      <c r="K383" s="24" t="s">
        <v>614</v>
      </c>
    </row>
    <row r="384" spans="1:11" x14ac:dyDescent="0.25">
      <c r="A384" s="22">
        <v>8771</v>
      </c>
      <c r="B384" s="29">
        <v>46126</v>
      </c>
      <c r="C384" s="23" t="s">
        <v>49</v>
      </c>
      <c r="D384" s="37" t="s">
        <v>43</v>
      </c>
      <c r="E384" s="68" t="s">
        <v>615</v>
      </c>
      <c r="F384" s="31">
        <v>1751</v>
      </c>
      <c r="G384" s="31"/>
      <c r="H384" s="31">
        <f>Cty_Viet_Anh[[#This Row],[ĐƠN GIÁ]]*Cty_Viet_Anh[[#This Row],[SỐ LƯỢNG]]</f>
        <v>0</v>
      </c>
      <c r="I384" s="31"/>
      <c r="J384" s="31">
        <f ca="1">N(INDIRECT("R[-1]C", FALSE)) + Cty_Viet_Anh[[#This Row],[THÀNH TIỀN]] - Cty_Viet_Anh[[#This Row],[THANH TOÁN]]</f>
        <v>-206858700</v>
      </c>
      <c r="K384" s="24" t="s">
        <v>616</v>
      </c>
    </row>
    <row r="385" spans="1:11" x14ac:dyDescent="0.25">
      <c r="A385" s="22">
        <v>8771</v>
      </c>
      <c r="B385" s="29">
        <v>46126</v>
      </c>
      <c r="C385" s="23" t="s">
        <v>49</v>
      </c>
      <c r="D385" s="37" t="s">
        <v>43</v>
      </c>
      <c r="E385" s="68" t="s">
        <v>148</v>
      </c>
      <c r="F385" s="31">
        <v>3664</v>
      </c>
      <c r="G385" s="31"/>
      <c r="H385" s="31">
        <f>Cty_Viet_Anh[[#This Row],[ĐƠN GIÁ]]*Cty_Viet_Anh[[#This Row],[SỐ LƯỢNG]]</f>
        <v>0</v>
      </c>
      <c r="I385" s="31"/>
      <c r="J385" s="31">
        <f ca="1">N(INDIRECT("R[-1]C", FALSE)) + Cty_Viet_Anh[[#This Row],[THÀNH TIỀN]] - Cty_Viet_Anh[[#This Row],[THANH TOÁN]]</f>
        <v>-206858700</v>
      </c>
      <c r="K385" s="24" t="s">
        <v>617</v>
      </c>
    </row>
    <row r="386" spans="1:11" x14ac:dyDescent="0.25">
      <c r="A386" s="22">
        <v>2700</v>
      </c>
      <c r="B386" s="29">
        <v>46127</v>
      </c>
      <c r="C386" s="23" t="s">
        <v>84</v>
      </c>
      <c r="D386" s="37" t="s">
        <v>653</v>
      </c>
      <c r="E386" s="68" t="s">
        <v>615</v>
      </c>
      <c r="F386" s="31">
        <v>1754</v>
      </c>
      <c r="G386" s="31">
        <v>-3100</v>
      </c>
      <c r="H386" s="31">
        <f>Cty_Viet_Anh[[#This Row],[ĐƠN GIÁ]]*Cty_Viet_Anh[[#This Row],[SỐ LƯỢNG]]</f>
        <v>-5437400</v>
      </c>
      <c r="I386" s="31"/>
      <c r="J386" s="31">
        <f ca="1">N(INDIRECT("R[-1]C", FALSE)) + Cty_Viet_Anh[[#This Row],[THÀNH TIỀN]] - Cty_Viet_Anh[[#This Row],[THANH TOÁN]]</f>
        <v>-212296100</v>
      </c>
      <c r="K386" s="133"/>
    </row>
    <row r="387" spans="1:11" x14ac:dyDescent="0.25">
      <c r="A387" s="22">
        <v>2700</v>
      </c>
      <c r="B387" s="29">
        <v>46127</v>
      </c>
      <c r="C387" s="23" t="s">
        <v>84</v>
      </c>
      <c r="D387" s="37" t="s">
        <v>653</v>
      </c>
      <c r="E387" s="68" t="s">
        <v>148</v>
      </c>
      <c r="F387" s="31">
        <v>1126</v>
      </c>
      <c r="G387" s="31">
        <v>-3100</v>
      </c>
      <c r="H387" s="31">
        <f>Cty_Viet_Anh[[#This Row],[ĐƠN GIÁ]]*Cty_Viet_Anh[[#This Row],[SỐ LƯỢNG]]</f>
        <v>-3490600</v>
      </c>
      <c r="I387" s="31"/>
      <c r="J387" s="31">
        <f ca="1">N(INDIRECT("R[-1]C", FALSE)) + Cty_Viet_Anh[[#This Row],[THÀNH TIỀN]] - Cty_Viet_Anh[[#This Row],[THANH TOÁN]]</f>
        <v>-215786700</v>
      </c>
      <c r="K387" s="133"/>
    </row>
    <row r="388" spans="1:11" x14ac:dyDescent="0.25">
      <c r="A388" s="22">
        <v>5220</v>
      </c>
      <c r="B388" s="29">
        <v>46127</v>
      </c>
      <c r="C388" s="23" t="s">
        <v>84</v>
      </c>
      <c r="D388" s="37" t="s">
        <v>93</v>
      </c>
      <c r="E388" s="68" t="s">
        <v>46</v>
      </c>
      <c r="F388" s="31">
        <v>3406</v>
      </c>
      <c r="G388" s="31">
        <v>-500</v>
      </c>
      <c r="H388" s="31">
        <f>Cty_Viet_Anh[[#This Row],[ĐƠN GIÁ]]*Cty_Viet_Anh[[#This Row],[SỐ LƯỢNG]]</f>
        <v>-1703000</v>
      </c>
      <c r="I388" s="31"/>
      <c r="J388" s="31">
        <f ca="1">N(INDIRECT("R[-1]C", FALSE)) + Cty_Viet_Anh[[#This Row],[THÀNH TIỀN]] - Cty_Viet_Anh[[#This Row],[THANH TOÁN]]</f>
        <v>-217489700</v>
      </c>
      <c r="K388" s="133"/>
    </row>
    <row r="389" spans="1:11" x14ac:dyDescent="0.25">
      <c r="A389" s="22">
        <v>5220</v>
      </c>
      <c r="B389" s="29">
        <v>46127</v>
      </c>
      <c r="C389" s="23" t="s">
        <v>426</v>
      </c>
      <c r="D389" s="37" t="s">
        <v>541</v>
      </c>
      <c r="E389" s="68" t="s">
        <v>46</v>
      </c>
      <c r="F389" s="31">
        <v>2966</v>
      </c>
      <c r="G389" s="31"/>
      <c r="H389" s="31">
        <f>Cty_Viet_Anh[[#This Row],[ĐƠN GIÁ]]*Cty_Viet_Anh[[#This Row],[SỐ LƯỢNG]]</f>
        <v>0</v>
      </c>
      <c r="I389" s="31"/>
      <c r="J389" s="31">
        <f ca="1">N(INDIRECT("R[-1]C", FALSE)) + Cty_Viet_Anh[[#This Row],[THÀNH TIỀN]] - Cty_Viet_Anh[[#This Row],[THANH TOÁN]]</f>
        <v>-217489700</v>
      </c>
      <c r="K389" s="133"/>
    </row>
    <row r="390" spans="1:11" x14ac:dyDescent="0.25">
      <c r="A390" s="22">
        <v>8784</v>
      </c>
      <c r="B390" s="29">
        <v>46127</v>
      </c>
      <c r="C390" s="23" t="s">
        <v>49</v>
      </c>
      <c r="D390" s="37" t="s">
        <v>43</v>
      </c>
      <c r="E390" s="68" t="s">
        <v>154</v>
      </c>
      <c r="F390" s="31">
        <v>7114</v>
      </c>
      <c r="G390" s="31"/>
      <c r="H390" s="31">
        <f>Cty_Viet_Anh[[#This Row],[ĐƠN GIÁ]]*Cty_Viet_Anh[[#This Row],[SỐ LƯỢNG]]</f>
        <v>0</v>
      </c>
      <c r="I390" s="31"/>
      <c r="J390" s="31">
        <f ca="1">N(INDIRECT("R[-1]C", FALSE)) + Cty_Viet_Anh[[#This Row],[THÀNH TIỀN]] - Cty_Viet_Anh[[#This Row],[THANH TOÁN]]</f>
        <v>-217489700</v>
      </c>
      <c r="K390" s="24" t="s">
        <v>618</v>
      </c>
    </row>
    <row r="391" spans="1:11" x14ac:dyDescent="0.25">
      <c r="A391" s="22">
        <v>8798</v>
      </c>
      <c r="B391" s="29">
        <v>46127</v>
      </c>
      <c r="C391" s="23" t="s">
        <v>49</v>
      </c>
      <c r="D391" s="37" t="s">
        <v>17</v>
      </c>
      <c r="E391" s="68" t="s">
        <v>40</v>
      </c>
      <c r="F391" s="31">
        <v>2818</v>
      </c>
      <c r="G391" s="31"/>
      <c r="H391" s="31">
        <f>Cty_Viet_Anh[[#This Row],[ĐƠN GIÁ]]*Cty_Viet_Anh[[#This Row],[SỐ LƯỢNG]]</f>
        <v>0</v>
      </c>
      <c r="I391" s="31"/>
      <c r="J391" s="31">
        <f ca="1">N(INDIRECT("R[-1]C", FALSE)) + Cty_Viet_Anh[[#This Row],[THÀNH TIỀN]] - Cty_Viet_Anh[[#This Row],[THANH TOÁN]]</f>
        <v>-217489700</v>
      </c>
      <c r="K391" s="24" t="s">
        <v>475</v>
      </c>
    </row>
    <row r="392" spans="1:11" x14ac:dyDescent="0.25">
      <c r="A392" s="22">
        <v>214</v>
      </c>
      <c r="B392" s="29">
        <v>46128</v>
      </c>
      <c r="C392" s="23" t="s">
        <v>426</v>
      </c>
      <c r="D392" s="37" t="s">
        <v>43</v>
      </c>
      <c r="E392" s="68" t="s">
        <v>148</v>
      </c>
      <c r="F392" s="31">
        <v>2544</v>
      </c>
      <c r="G392" s="31"/>
      <c r="H392" s="31">
        <f>Cty_Viet_Anh[[#This Row],[ĐƠN GIÁ]]*Cty_Viet_Anh[[#This Row],[SỐ LƯỢNG]]</f>
        <v>0</v>
      </c>
      <c r="I392" s="31"/>
      <c r="J392" s="31">
        <f ca="1">N(INDIRECT("R[-1]C", FALSE)) + Cty_Viet_Anh[[#This Row],[THÀNH TIỀN]] - Cty_Viet_Anh[[#This Row],[THANH TOÁN]]</f>
        <v>-217489700</v>
      </c>
      <c r="K392" s="133"/>
    </row>
    <row r="393" spans="1:11" x14ac:dyDescent="0.25">
      <c r="A393" s="22">
        <v>214</v>
      </c>
      <c r="B393" s="29">
        <v>46128</v>
      </c>
      <c r="C393" s="23" t="s">
        <v>426</v>
      </c>
      <c r="D393" s="37" t="s">
        <v>43</v>
      </c>
      <c r="E393" s="68" t="s">
        <v>136</v>
      </c>
      <c r="F393" s="31">
        <v>2943</v>
      </c>
      <c r="G393" s="31"/>
      <c r="H393" s="31">
        <f>Cty_Viet_Anh[[#This Row],[ĐƠN GIÁ]]*Cty_Viet_Anh[[#This Row],[SỐ LƯỢNG]]</f>
        <v>0</v>
      </c>
      <c r="I393" s="31"/>
      <c r="J393" s="31">
        <f ca="1">N(INDIRECT("R[-1]C", FALSE)) + Cty_Viet_Anh[[#This Row],[THÀNH TIỀN]] - Cty_Viet_Anh[[#This Row],[THANH TOÁN]]</f>
        <v>-217489700</v>
      </c>
      <c r="K393" s="133"/>
    </row>
    <row r="394" spans="1:11" x14ac:dyDescent="0.25">
      <c r="A394" s="22">
        <v>5221</v>
      </c>
      <c r="B394" s="29">
        <v>46128</v>
      </c>
      <c r="C394" s="23" t="s">
        <v>84</v>
      </c>
      <c r="D394" s="37" t="s">
        <v>93</v>
      </c>
      <c r="E394" s="68" t="s">
        <v>40</v>
      </c>
      <c r="F394" s="31">
        <v>1446</v>
      </c>
      <c r="G394" s="31">
        <v>-500</v>
      </c>
      <c r="H394" s="31">
        <f>Cty_Viet_Anh[[#This Row],[ĐƠN GIÁ]]*Cty_Viet_Anh[[#This Row],[SỐ LƯỢNG]]</f>
        <v>-723000</v>
      </c>
      <c r="I394" s="31"/>
      <c r="J394" s="31">
        <f ca="1">N(INDIRECT("R[-1]C", FALSE)) + Cty_Viet_Anh[[#This Row],[THÀNH TIỀN]] - Cty_Viet_Anh[[#This Row],[THANH TOÁN]]</f>
        <v>-218212700</v>
      </c>
      <c r="K394" s="133"/>
    </row>
    <row r="395" spans="1:11" x14ac:dyDescent="0.25">
      <c r="A395" s="22">
        <v>5226</v>
      </c>
      <c r="B395" s="29">
        <v>46128</v>
      </c>
      <c r="C395" s="23" t="s">
        <v>84</v>
      </c>
      <c r="D395" s="37" t="s">
        <v>93</v>
      </c>
      <c r="E395" s="68" t="s">
        <v>154</v>
      </c>
      <c r="F395" s="31">
        <v>678</v>
      </c>
      <c r="G395" s="31">
        <v>-500</v>
      </c>
      <c r="H395" s="31">
        <f>Cty_Viet_Anh[[#This Row],[ĐƠN GIÁ]]*Cty_Viet_Anh[[#This Row],[SỐ LƯỢNG]]</f>
        <v>-339000</v>
      </c>
      <c r="I395" s="31"/>
      <c r="J395" s="31">
        <f ca="1">N(INDIRECT("R[-1]C", FALSE)) + Cty_Viet_Anh[[#This Row],[THÀNH TIỀN]] - Cty_Viet_Anh[[#This Row],[THANH TOÁN]]</f>
        <v>-218551700</v>
      </c>
      <c r="K395" s="133"/>
    </row>
    <row r="396" spans="1:11" x14ac:dyDescent="0.25">
      <c r="A396" s="22">
        <v>5227</v>
      </c>
      <c r="B396" s="29">
        <v>46128</v>
      </c>
      <c r="C396" s="23" t="s">
        <v>84</v>
      </c>
      <c r="D396" s="37" t="s">
        <v>520</v>
      </c>
      <c r="E396" s="68" t="s">
        <v>466</v>
      </c>
      <c r="F396" s="31">
        <v>2530</v>
      </c>
      <c r="G396" s="31">
        <v>-1000</v>
      </c>
      <c r="H396" s="31">
        <f>Cty_Viet_Anh[[#This Row],[ĐƠN GIÁ]]*Cty_Viet_Anh[[#This Row],[SỐ LƯỢNG]]</f>
        <v>-2530000</v>
      </c>
      <c r="I396" s="31"/>
      <c r="J396" s="31">
        <f ca="1">N(INDIRECT("R[-1]C", FALSE)) + Cty_Viet_Anh[[#This Row],[THÀNH TIỀN]] - Cty_Viet_Anh[[#This Row],[THANH TOÁN]]</f>
        <v>-221081700</v>
      </c>
      <c r="K396" s="133"/>
    </row>
    <row r="397" spans="1:11" x14ac:dyDescent="0.25">
      <c r="A397" s="22">
        <v>5228</v>
      </c>
      <c r="B397" s="29">
        <v>46128</v>
      </c>
      <c r="C397" s="23" t="s">
        <v>84</v>
      </c>
      <c r="D397" s="37" t="s">
        <v>93</v>
      </c>
      <c r="E397" s="68" t="s">
        <v>154</v>
      </c>
      <c r="F397" s="31">
        <v>1998</v>
      </c>
      <c r="G397" s="31">
        <v>-500</v>
      </c>
      <c r="H397" s="31">
        <f>Cty_Viet_Anh[[#This Row],[ĐƠN GIÁ]]*Cty_Viet_Anh[[#This Row],[SỐ LƯỢNG]]</f>
        <v>-999000</v>
      </c>
      <c r="I397" s="31"/>
      <c r="J397" s="31">
        <f ca="1">N(INDIRECT("R[-1]C", FALSE)) + Cty_Viet_Anh[[#This Row],[THÀNH TIỀN]] - Cty_Viet_Anh[[#This Row],[THANH TOÁN]]</f>
        <v>-222080700</v>
      </c>
      <c r="K397" s="133"/>
    </row>
    <row r="398" spans="1:11" x14ac:dyDescent="0.25">
      <c r="A398" s="22">
        <v>5229</v>
      </c>
      <c r="B398" s="29">
        <v>46128</v>
      </c>
      <c r="C398" s="23" t="s">
        <v>84</v>
      </c>
      <c r="D398" s="37" t="s">
        <v>93</v>
      </c>
      <c r="E398" s="68" t="s">
        <v>62</v>
      </c>
      <c r="F398" s="31">
        <v>1182</v>
      </c>
      <c r="G398" s="31">
        <v>-500</v>
      </c>
      <c r="H398" s="31">
        <f>Cty_Viet_Anh[[#This Row],[ĐƠN GIÁ]]*Cty_Viet_Anh[[#This Row],[SỐ LƯỢNG]]</f>
        <v>-591000</v>
      </c>
      <c r="I398" s="31"/>
      <c r="J398" s="31">
        <f ca="1">N(INDIRECT("R[-1]C", FALSE)) + Cty_Viet_Anh[[#This Row],[THÀNH TIỀN]] - Cty_Viet_Anh[[#This Row],[THANH TOÁN]]</f>
        <v>-222671700</v>
      </c>
      <c r="K398" s="133"/>
    </row>
    <row r="399" spans="1:11" x14ac:dyDescent="0.25">
      <c r="A399" s="22">
        <v>8809</v>
      </c>
      <c r="B399" s="29">
        <v>46128</v>
      </c>
      <c r="C399" s="23" t="s">
        <v>49</v>
      </c>
      <c r="D399" s="37" t="s">
        <v>43</v>
      </c>
      <c r="E399" s="68" t="s">
        <v>619</v>
      </c>
      <c r="F399" s="31">
        <v>307</v>
      </c>
      <c r="G399" s="31"/>
      <c r="H399" s="31">
        <f>Cty_Viet_Anh[[#This Row],[ĐƠN GIÁ]]*Cty_Viet_Anh[[#This Row],[SỐ LƯỢNG]]</f>
        <v>0</v>
      </c>
      <c r="I399" s="31"/>
      <c r="J399" s="31">
        <f ca="1">N(INDIRECT("R[-1]C", FALSE)) + Cty_Viet_Anh[[#This Row],[THÀNH TIỀN]] - Cty_Viet_Anh[[#This Row],[THANH TOÁN]]</f>
        <v>-222671700</v>
      </c>
      <c r="K399" s="24" t="s">
        <v>620</v>
      </c>
    </row>
    <row r="400" spans="1:11" x14ac:dyDescent="0.25">
      <c r="A400" s="22">
        <v>8809</v>
      </c>
      <c r="B400" s="29">
        <v>46128</v>
      </c>
      <c r="C400" s="23" t="s">
        <v>49</v>
      </c>
      <c r="D400" s="37" t="s">
        <v>43</v>
      </c>
      <c r="E400" s="68" t="s">
        <v>621</v>
      </c>
      <c r="F400" s="31">
        <v>734</v>
      </c>
      <c r="G400" s="31"/>
      <c r="H400" s="31">
        <f>Cty_Viet_Anh[[#This Row],[ĐƠN GIÁ]]*Cty_Viet_Anh[[#This Row],[SỐ LƯỢNG]]</f>
        <v>0</v>
      </c>
      <c r="I400" s="31"/>
      <c r="J400" s="31">
        <f ca="1">N(INDIRECT("R[-1]C", FALSE)) + Cty_Viet_Anh[[#This Row],[THÀNH TIỀN]] - Cty_Viet_Anh[[#This Row],[THANH TOÁN]]</f>
        <v>-222671700</v>
      </c>
      <c r="K400" s="24" t="s">
        <v>622</v>
      </c>
    </row>
    <row r="401" spans="1:11" x14ac:dyDescent="0.25">
      <c r="A401" s="22">
        <v>8809</v>
      </c>
      <c r="B401" s="29">
        <v>46128</v>
      </c>
      <c r="C401" s="23" t="s">
        <v>49</v>
      </c>
      <c r="D401" s="37" t="s">
        <v>26</v>
      </c>
      <c r="E401" s="68" t="s">
        <v>621</v>
      </c>
      <c r="F401" s="31">
        <v>986</v>
      </c>
      <c r="G401" s="31"/>
      <c r="H401" s="31">
        <f>Cty_Viet_Anh[[#This Row],[ĐƠN GIÁ]]*Cty_Viet_Anh[[#This Row],[SỐ LƯỢNG]]</f>
        <v>0</v>
      </c>
      <c r="I401" s="31"/>
      <c r="J401" s="31">
        <f ca="1">N(INDIRECT("R[-1]C", FALSE)) + Cty_Viet_Anh[[#This Row],[THÀNH TIỀN]] - Cty_Viet_Anh[[#This Row],[THANH TOÁN]]</f>
        <v>-222671700</v>
      </c>
      <c r="K401" s="24" t="s">
        <v>623</v>
      </c>
    </row>
    <row r="402" spans="1:11" ht="47.25" x14ac:dyDescent="0.25">
      <c r="A402" s="22">
        <v>8810</v>
      </c>
      <c r="B402" s="29">
        <v>46128</v>
      </c>
      <c r="C402" s="23" t="s">
        <v>49</v>
      </c>
      <c r="D402" s="37" t="s">
        <v>43</v>
      </c>
      <c r="E402" s="68" t="s">
        <v>78</v>
      </c>
      <c r="F402" s="31">
        <v>1012</v>
      </c>
      <c r="G402" s="31"/>
      <c r="H402" s="31">
        <f>Cty_Viet_Anh[[#This Row],[ĐƠN GIÁ]]*Cty_Viet_Anh[[#This Row],[SỐ LƯỢNG]]</f>
        <v>0</v>
      </c>
      <c r="I402" s="31"/>
      <c r="J402" s="31">
        <f ca="1">N(INDIRECT("R[-1]C", FALSE)) + Cty_Viet_Anh[[#This Row],[THÀNH TIỀN]] - Cty_Viet_Anh[[#This Row],[THANH TOÁN]]</f>
        <v>-222671700</v>
      </c>
      <c r="K402" s="133" t="s">
        <v>624</v>
      </c>
    </row>
    <row r="403" spans="1:11" ht="31.5" x14ac:dyDescent="0.25">
      <c r="A403" s="22">
        <v>8810</v>
      </c>
      <c r="B403" s="29">
        <v>46128</v>
      </c>
      <c r="C403" s="23" t="s">
        <v>49</v>
      </c>
      <c r="D403" s="37" t="s">
        <v>17</v>
      </c>
      <c r="E403" s="68" t="s">
        <v>62</v>
      </c>
      <c r="F403" s="31">
        <v>5562</v>
      </c>
      <c r="G403" s="31"/>
      <c r="H403" s="31">
        <f>Cty_Viet_Anh[[#This Row],[ĐƠN GIÁ]]*Cty_Viet_Anh[[#This Row],[SỐ LƯỢNG]]</f>
        <v>0</v>
      </c>
      <c r="I403" s="31"/>
      <c r="J403" s="31">
        <f ca="1">N(INDIRECT("R[-1]C", FALSE)) + Cty_Viet_Anh[[#This Row],[THÀNH TIỀN]] - Cty_Viet_Anh[[#This Row],[THANH TOÁN]]</f>
        <v>-222671700</v>
      </c>
      <c r="K403" s="133" t="s">
        <v>625</v>
      </c>
    </row>
    <row r="404" spans="1:11" x14ac:dyDescent="0.25">
      <c r="A404" s="22">
        <v>8832</v>
      </c>
      <c r="B404" s="29">
        <v>46128</v>
      </c>
      <c r="C404" s="23" t="s">
        <v>49</v>
      </c>
      <c r="D404" s="37" t="s">
        <v>43</v>
      </c>
      <c r="E404" s="68" t="s">
        <v>146</v>
      </c>
      <c r="F404" s="31">
        <v>1798</v>
      </c>
      <c r="G404" s="31"/>
      <c r="H404" s="31">
        <f>Cty_Viet_Anh[[#This Row],[ĐƠN GIÁ]]*Cty_Viet_Anh[[#This Row],[SỐ LƯỢNG]]</f>
        <v>0</v>
      </c>
      <c r="I404" s="31"/>
      <c r="J404" s="31">
        <f ca="1">N(INDIRECT("R[-1]C", FALSE)) + Cty_Viet_Anh[[#This Row],[THÀNH TIỀN]] - Cty_Viet_Anh[[#This Row],[THANH TOÁN]]</f>
        <v>-222671700</v>
      </c>
      <c r="K404" s="133" t="s">
        <v>626</v>
      </c>
    </row>
    <row r="405" spans="1:11" x14ac:dyDescent="0.25">
      <c r="A405" s="22">
        <v>0</v>
      </c>
      <c r="B405" s="29">
        <v>46129</v>
      </c>
      <c r="C405" s="23" t="s">
        <v>654</v>
      </c>
      <c r="D405" s="37" t="s">
        <v>24</v>
      </c>
      <c r="E405" s="68"/>
      <c r="F405" s="31">
        <v>0</v>
      </c>
      <c r="G405" s="31">
        <v>0</v>
      </c>
      <c r="H405" s="31">
        <f>Cty_Viet_Anh[[#This Row],[ĐƠN GIÁ]]*Cty_Viet_Anh[[#This Row],[SỐ LƯỢNG]]</f>
        <v>0</v>
      </c>
      <c r="I405" s="31">
        <f>-109550000</f>
        <v>-109550000</v>
      </c>
      <c r="J405" s="31">
        <f ca="1">N(INDIRECT("R[-1]C", FALSE)) + Cty_Viet_Anh[[#This Row],[THÀNH TIỀN]] - Cty_Viet_Anh[[#This Row],[THANH TOÁN]]</f>
        <v>-113121700</v>
      </c>
      <c r="K405" s="133"/>
    </row>
    <row r="406" spans="1:11" x14ac:dyDescent="0.25">
      <c r="A406" s="22">
        <v>38</v>
      </c>
      <c r="B406" s="29">
        <v>46129</v>
      </c>
      <c r="C406" s="23" t="s">
        <v>426</v>
      </c>
      <c r="D406" s="37" t="s">
        <v>93</v>
      </c>
      <c r="E406" s="68" t="s">
        <v>62</v>
      </c>
      <c r="F406" s="31">
        <v>4382</v>
      </c>
      <c r="G406" s="31"/>
      <c r="H406" s="31">
        <f>Cty_Viet_Anh[[#This Row],[ĐƠN GIÁ]]*Cty_Viet_Anh[[#This Row],[SỐ LƯỢNG]]</f>
        <v>0</v>
      </c>
      <c r="I406" s="31"/>
      <c r="J406" s="31">
        <f ca="1">N(INDIRECT("R[-1]C", FALSE)) + Cty_Viet_Anh[[#This Row],[THÀNH TIỀN]] - Cty_Viet_Anh[[#This Row],[THANH TOÁN]]</f>
        <v>-113121700</v>
      </c>
      <c r="K406" s="133"/>
    </row>
    <row r="407" spans="1:11" x14ac:dyDescent="0.25">
      <c r="A407" s="22">
        <v>38</v>
      </c>
      <c r="B407" s="29">
        <v>46129</v>
      </c>
      <c r="C407" s="23" t="s">
        <v>426</v>
      </c>
      <c r="D407" s="37" t="s">
        <v>93</v>
      </c>
      <c r="E407" s="68" t="s">
        <v>154</v>
      </c>
      <c r="F407" s="31">
        <v>4430</v>
      </c>
      <c r="G407" s="31"/>
      <c r="H407" s="31">
        <f>Cty_Viet_Anh[[#This Row],[ĐƠN GIÁ]]*Cty_Viet_Anh[[#This Row],[SỐ LƯỢNG]]</f>
        <v>0</v>
      </c>
      <c r="I407" s="31"/>
      <c r="J407" s="31">
        <f ca="1">N(INDIRECT("R[-1]C", FALSE)) + Cty_Viet_Anh[[#This Row],[THÀNH TIỀN]] - Cty_Viet_Anh[[#This Row],[THANH TOÁN]]</f>
        <v>-113121700</v>
      </c>
      <c r="K407" s="133"/>
    </row>
    <row r="408" spans="1:11" x14ac:dyDescent="0.25">
      <c r="A408" s="22">
        <v>2713</v>
      </c>
      <c r="B408" s="29">
        <v>46129</v>
      </c>
      <c r="C408" s="23" t="s">
        <v>84</v>
      </c>
      <c r="D408" s="37" t="s">
        <v>265</v>
      </c>
      <c r="E408" s="68" t="s">
        <v>146</v>
      </c>
      <c r="F408" s="31">
        <v>1048</v>
      </c>
      <c r="G408" s="31">
        <v>-3300</v>
      </c>
      <c r="H408" s="31">
        <f>Cty_Viet_Anh[[#This Row],[ĐƠN GIÁ]]*Cty_Viet_Anh[[#This Row],[SỐ LƯỢNG]]</f>
        <v>-3458400</v>
      </c>
      <c r="I408" s="31"/>
      <c r="J408" s="31">
        <f ca="1">N(INDIRECT("R[-1]C", FALSE)) + Cty_Viet_Anh[[#This Row],[THÀNH TIỀN]] - Cty_Viet_Anh[[#This Row],[THANH TOÁN]]</f>
        <v>-116580100</v>
      </c>
      <c r="K408" s="133"/>
    </row>
    <row r="409" spans="1:11" x14ac:dyDescent="0.25">
      <c r="A409" s="22">
        <v>2713</v>
      </c>
      <c r="B409" s="29">
        <v>46129</v>
      </c>
      <c r="C409" s="23" t="s">
        <v>426</v>
      </c>
      <c r="D409" s="37" t="s">
        <v>43</v>
      </c>
      <c r="E409" s="68" t="s">
        <v>146</v>
      </c>
      <c r="F409" s="31">
        <v>754</v>
      </c>
      <c r="G409" s="31"/>
      <c r="H409" s="31">
        <f>Cty_Viet_Anh[[#This Row],[ĐƠN GIÁ]]*Cty_Viet_Anh[[#This Row],[SỐ LƯỢNG]]</f>
        <v>0</v>
      </c>
      <c r="I409" s="31"/>
      <c r="J409" s="31">
        <f ca="1">N(INDIRECT("R[-1]C", FALSE)) + Cty_Viet_Anh[[#This Row],[THÀNH TIỀN]] - Cty_Viet_Anh[[#This Row],[THANH TOÁN]]</f>
        <v>-116580100</v>
      </c>
      <c r="K409" s="133"/>
    </row>
    <row r="410" spans="1:11" x14ac:dyDescent="0.25">
      <c r="A410" s="22">
        <v>2718</v>
      </c>
      <c r="B410" s="29">
        <v>46129</v>
      </c>
      <c r="C410" s="23" t="s">
        <v>84</v>
      </c>
      <c r="D410" s="37" t="s">
        <v>265</v>
      </c>
      <c r="E410" s="68" t="s">
        <v>136</v>
      </c>
      <c r="F410" s="31">
        <v>1248</v>
      </c>
      <c r="G410" s="31">
        <v>-3300</v>
      </c>
      <c r="H410" s="31">
        <f>Cty_Viet_Anh[[#This Row],[ĐƠN GIÁ]]*Cty_Viet_Anh[[#This Row],[SỐ LƯỢNG]]</f>
        <v>-4118400</v>
      </c>
      <c r="I410" s="31"/>
      <c r="J410" s="31">
        <f ca="1">N(INDIRECT("R[-1]C", FALSE)) + Cty_Viet_Anh[[#This Row],[THÀNH TIỀN]] - Cty_Viet_Anh[[#This Row],[THANH TOÁN]]</f>
        <v>-120698500</v>
      </c>
      <c r="K410" s="133"/>
    </row>
    <row r="411" spans="1:11" x14ac:dyDescent="0.25">
      <c r="A411" s="22">
        <v>2720</v>
      </c>
      <c r="B411" s="29">
        <v>46129</v>
      </c>
      <c r="C411" s="23" t="s">
        <v>84</v>
      </c>
      <c r="D411" s="37" t="s">
        <v>643</v>
      </c>
      <c r="E411" s="68" t="s">
        <v>62</v>
      </c>
      <c r="F411" s="31">
        <v>2824</v>
      </c>
      <c r="G411" s="31">
        <v>-1900</v>
      </c>
      <c r="H411" s="31">
        <f>Cty_Viet_Anh[[#This Row],[ĐƠN GIÁ]]*Cty_Viet_Anh[[#This Row],[SỐ LƯỢNG]]</f>
        <v>-5365600</v>
      </c>
      <c r="I411" s="31"/>
      <c r="J411" s="31">
        <f ca="1">N(INDIRECT("R[-1]C", FALSE)) + Cty_Viet_Anh[[#This Row],[THÀNH TIỀN]] - Cty_Viet_Anh[[#This Row],[THANH TOÁN]]</f>
        <v>-126064100</v>
      </c>
      <c r="K411" s="133"/>
    </row>
    <row r="412" spans="1:11" x14ac:dyDescent="0.25">
      <c r="A412" s="22">
        <v>2720</v>
      </c>
      <c r="B412" s="29">
        <v>46129</v>
      </c>
      <c r="C412" s="23" t="s">
        <v>84</v>
      </c>
      <c r="D412" s="37" t="s">
        <v>265</v>
      </c>
      <c r="E412" s="68" t="s">
        <v>136</v>
      </c>
      <c r="F412" s="31">
        <v>1688</v>
      </c>
      <c r="G412" s="31">
        <v>-3300</v>
      </c>
      <c r="H412" s="31">
        <f>Cty_Viet_Anh[[#This Row],[ĐƠN GIÁ]]*Cty_Viet_Anh[[#This Row],[SỐ LƯỢNG]]</f>
        <v>-5570400</v>
      </c>
      <c r="I412" s="31"/>
      <c r="J412" s="31">
        <f ca="1">N(INDIRECT("R[-1]C", FALSE)) + Cty_Viet_Anh[[#This Row],[THÀNH TIỀN]] - Cty_Viet_Anh[[#This Row],[THANH TOÁN]]</f>
        <v>-131634500</v>
      </c>
      <c r="K412" s="133"/>
    </row>
    <row r="413" spans="1:11" x14ac:dyDescent="0.25">
      <c r="A413" s="22">
        <v>2720</v>
      </c>
      <c r="B413" s="29">
        <v>46129</v>
      </c>
      <c r="C413" s="23" t="s">
        <v>84</v>
      </c>
      <c r="D413" s="37" t="s">
        <v>265</v>
      </c>
      <c r="E413" s="68" t="s">
        <v>146</v>
      </c>
      <c r="F413" s="31">
        <v>754</v>
      </c>
      <c r="G413" s="31">
        <v>-3300</v>
      </c>
      <c r="H413" s="31">
        <f>Cty_Viet_Anh[[#This Row],[ĐƠN GIÁ]]*Cty_Viet_Anh[[#This Row],[SỐ LƯỢNG]]</f>
        <v>-2488200</v>
      </c>
      <c r="I413" s="31"/>
      <c r="J413" s="31">
        <f ca="1">N(INDIRECT("R[-1]C", FALSE)) + Cty_Viet_Anh[[#This Row],[THÀNH TIỀN]] - Cty_Viet_Anh[[#This Row],[THANH TOÁN]]</f>
        <v>-134122700</v>
      </c>
      <c r="K413" s="133"/>
    </row>
    <row r="414" spans="1:11" x14ac:dyDescent="0.25">
      <c r="A414" s="22">
        <v>5232</v>
      </c>
      <c r="B414" s="29">
        <v>46129</v>
      </c>
      <c r="C414" s="23" t="s">
        <v>84</v>
      </c>
      <c r="D414" s="37" t="s">
        <v>93</v>
      </c>
      <c r="E414" s="68" t="s">
        <v>40</v>
      </c>
      <c r="F414" s="31">
        <v>1276</v>
      </c>
      <c r="G414" s="31">
        <v>-500</v>
      </c>
      <c r="H414" s="31">
        <f>Cty_Viet_Anh[[#This Row],[ĐƠN GIÁ]]*Cty_Viet_Anh[[#This Row],[SỐ LƯỢNG]]</f>
        <v>-638000</v>
      </c>
      <c r="I414" s="31"/>
      <c r="J414" s="31">
        <f ca="1">N(INDIRECT("R[-1]C", FALSE)) + Cty_Viet_Anh[[#This Row],[THÀNH TIỀN]] - Cty_Viet_Anh[[#This Row],[THANH TOÁN]]</f>
        <v>-134760700</v>
      </c>
      <c r="K414" s="133"/>
    </row>
    <row r="415" spans="1:11" x14ac:dyDescent="0.25">
      <c r="A415" s="22">
        <v>5233</v>
      </c>
      <c r="B415" s="29">
        <v>46129</v>
      </c>
      <c r="C415" s="23" t="s">
        <v>84</v>
      </c>
      <c r="D415" s="37" t="s">
        <v>93</v>
      </c>
      <c r="E415" s="68" t="s">
        <v>78</v>
      </c>
      <c r="F415" s="31">
        <v>435</v>
      </c>
      <c r="G415" s="31">
        <v>-689.65517241379996</v>
      </c>
      <c r="H415" s="31">
        <f>Cty_Viet_Anh[[#This Row],[ĐƠN GIÁ]]*Cty_Viet_Anh[[#This Row],[SỐ LƯỢNG]]</f>
        <v>-300000.00000000297</v>
      </c>
      <c r="I415" s="31"/>
      <c r="J415" s="31">
        <f ca="1">N(INDIRECT("R[-1]C", FALSE)) + Cty_Viet_Anh[[#This Row],[THÀNH TIỀN]] - Cty_Viet_Anh[[#This Row],[THANH TOÁN]]</f>
        <v>-135060700</v>
      </c>
      <c r="K415" s="133"/>
    </row>
    <row r="416" spans="1:11" x14ac:dyDescent="0.25">
      <c r="A416" s="22">
        <v>5235</v>
      </c>
      <c r="B416" s="29">
        <v>46129</v>
      </c>
      <c r="C416" s="23" t="s">
        <v>84</v>
      </c>
      <c r="D416" s="37" t="s">
        <v>93</v>
      </c>
      <c r="E416" s="68" t="s">
        <v>78</v>
      </c>
      <c r="F416" s="31">
        <v>574</v>
      </c>
      <c r="G416" s="31">
        <v>-1045.2961672474</v>
      </c>
      <c r="H416" s="31">
        <f>Cty_Viet_Anh[[#This Row],[ĐƠN GIÁ]]*Cty_Viet_Anh[[#This Row],[SỐ LƯỢNG]]</f>
        <v>-600000.00000000757</v>
      </c>
      <c r="I416" s="31"/>
      <c r="J416" s="31">
        <f ca="1">N(INDIRECT("R[-1]C", FALSE)) + Cty_Viet_Anh[[#This Row],[THÀNH TIỀN]] - Cty_Viet_Anh[[#This Row],[THANH TOÁN]]</f>
        <v>-135660700</v>
      </c>
      <c r="K416" s="133"/>
    </row>
    <row r="417" spans="1:11" x14ac:dyDescent="0.25">
      <c r="A417" s="22">
        <v>5236</v>
      </c>
      <c r="B417" s="29">
        <v>46129</v>
      </c>
      <c r="C417" s="23" t="s">
        <v>84</v>
      </c>
      <c r="D417" s="37" t="s">
        <v>93</v>
      </c>
      <c r="E417" s="68" t="s">
        <v>40</v>
      </c>
      <c r="F417" s="31">
        <v>1978</v>
      </c>
      <c r="G417" s="31">
        <v>-500</v>
      </c>
      <c r="H417" s="31">
        <f>Cty_Viet_Anh[[#This Row],[ĐƠN GIÁ]]*Cty_Viet_Anh[[#This Row],[SỐ LƯỢNG]]</f>
        <v>-989000</v>
      </c>
      <c r="I417" s="31"/>
      <c r="J417" s="31">
        <f ca="1">N(INDIRECT("R[-1]C", FALSE)) + Cty_Viet_Anh[[#This Row],[THÀNH TIỀN]] - Cty_Viet_Anh[[#This Row],[THANH TOÁN]]</f>
        <v>-136649700</v>
      </c>
      <c r="K417" s="133"/>
    </row>
    <row r="418" spans="1:11" x14ac:dyDescent="0.25">
      <c r="A418" s="22">
        <v>5240</v>
      </c>
      <c r="B418" s="29">
        <v>46129</v>
      </c>
      <c r="C418" s="23" t="s">
        <v>84</v>
      </c>
      <c r="D418" s="37" t="s">
        <v>93</v>
      </c>
      <c r="E418" s="68" t="s">
        <v>469</v>
      </c>
      <c r="F418" s="31">
        <v>4026</v>
      </c>
      <c r="G418" s="31">
        <v>-500</v>
      </c>
      <c r="H418" s="31">
        <f>Cty_Viet_Anh[[#This Row],[ĐƠN GIÁ]]*Cty_Viet_Anh[[#This Row],[SỐ LƯỢNG]]</f>
        <v>-2013000</v>
      </c>
      <c r="I418" s="31"/>
      <c r="J418" s="31">
        <f ca="1">N(INDIRECT("R[-1]C", FALSE)) + Cty_Viet_Anh[[#This Row],[THÀNH TIỀN]] - Cty_Viet_Anh[[#This Row],[THANH TOÁN]]</f>
        <v>-138662700</v>
      </c>
      <c r="K418" s="133"/>
    </row>
    <row r="419" spans="1:11" x14ac:dyDescent="0.25">
      <c r="A419" s="22">
        <v>8844</v>
      </c>
      <c r="B419" s="29">
        <v>46129</v>
      </c>
      <c r="C419" s="23" t="s">
        <v>13</v>
      </c>
      <c r="D419" s="37" t="s">
        <v>43</v>
      </c>
      <c r="E419" s="68" t="s">
        <v>136</v>
      </c>
      <c r="F419" s="31">
        <v>606</v>
      </c>
      <c r="G419" s="31">
        <v>57000</v>
      </c>
      <c r="H419" s="31">
        <f>Cty_Viet_Anh[[#This Row],[ĐƠN GIÁ]]*Cty_Viet_Anh[[#This Row],[SỐ LƯỢNG]]</f>
        <v>34542000</v>
      </c>
      <c r="I419" s="31"/>
      <c r="J419" s="31">
        <f ca="1">N(INDIRECT("R[-1]C", FALSE)) + Cty_Viet_Anh[[#This Row],[THÀNH TIỀN]] - Cty_Viet_Anh[[#This Row],[THANH TOÁN]]</f>
        <v>-104120700</v>
      </c>
      <c r="K419" s="133"/>
    </row>
    <row r="420" spans="1:11" x14ac:dyDescent="0.25">
      <c r="A420" s="22">
        <v>8844</v>
      </c>
      <c r="B420" s="29">
        <v>46129</v>
      </c>
      <c r="C420" s="23" t="s">
        <v>13</v>
      </c>
      <c r="D420" s="37" t="s">
        <v>43</v>
      </c>
      <c r="E420" s="68" t="s">
        <v>136</v>
      </c>
      <c r="F420" s="31">
        <v>890</v>
      </c>
      <c r="G420" s="31">
        <v>57000</v>
      </c>
      <c r="H420" s="31">
        <f>Cty_Viet_Anh[[#This Row],[ĐƠN GIÁ]]*Cty_Viet_Anh[[#This Row],[SỐ LƯỢNG]]</f>
        <v>50730000</v>
      </c>
      <c r="I420" s="31"/>
      <c r="J420" s="31">
        <f ca="1">N(INDIRECT("R[-1]C", FALSE)) + Cty_Viet_Anh[[#This Row],[THÀNH TIỀN]] - Cty_Viet_Anh[[#This Row],[THANH TOÁN]]</f>
        <v>-53390700</v>
      </c>
      <c r="K420" s="133"/>
    </row>
    <row r="421" spans="1:11" x14ac:dyDescent="0.25">
      <c r="A421" s="22">
        <v>8852</v>
      </c>
      <c r="B421" s="29">
        <v>46129</v>
      </c>
      <c r="C421" s="23" t="s">
        <v>49</v>
      </c>
      <c r="D421" s="37" t="s">
        <v>17</v>
      </c>
      <c r="E421" s="68" t="s">
        <v>482</v>
      </c>
      <c r="F421" s="31">
        <v>2000</v>
      </c>
      <c r="G421" s="31"/>
      <c r="H421" s="31">
        <f>Cty_Viet_Anh[[#This Row],[ĐƠN GIÁ]]*Cty_Viet_Anh[[#This Row],[SỐ LƯỢNG]]</f>
        <v>0</v>
      </c>
      <c r="I421" s="31"/>
      <c r="J421" s="31">
        <f ca="1">N(INDIRECT("R[-1]C", FALSE)) + Cty_Viet_Anh[[#This Row],[THÀNH TIỀN]] - Cty_Viet_Anh[[#This Row],[THANH TOÁN]]</f>
        <v>-53390700</v>
      </c>
      <c r="K421" s="133" t="s">
        <v>627</v>
      </c>
    </row>
    <row r="422" spans="1:11" x14ac:dyDescent="0.25">
      <c r="A422" s="22">
        <v>8853</v>
      </c>
      <c r="B422" s="29">
        <v>46129</v>
      </c>
      <c r="C422" s="23" t="s">
        <v>49</v>
      </c>
      <c r="D422" s="37" t="s">
        <v>17</v>
      </c>
      <c r="E422" s="68" t="s">
        <v>628</v>
      </c>
      <c r="F422" s="31">
        <v>11094</v>
      </c>
      <c r="G422" s="31"/>
      <c r="H422" s="31">
        <f>Cty_Viet_Anh[[#This Row],[ĐƠN GIÁ]]*Cty_Viet_Anh[[#This Row],[SỐ LƯỢNG]]</f>
        <v>0</v>
      </c>
      <c r="I422" s="31"/>
      <c r="J422" s="31">
        <f ca="1">N(INDIRECT("R[-1]C", FALSE)) + Cty_Viet_Anh[[#This Row],[THÀNH TIỀN]] - Cty_Viet_Anh[[#This Row],[THANH TOÁN]]</f>
        <v>-53390700</v>
      </c>
      <c r="K422" s="133" t="s">
        <v>629</v>
      </c>
    </row>
    <row r="423" spans="1:11" x14ac:dyDescent="0.25">
      <c r="A423" s="22">
        <v>8855</v>
      </c>
      <c r="B423" s="29">
        <v>46129</v>
      </c>
      <c r="C423" s="23" t="s">
        <v>49</v>
      </c>
      <c r="D423" s="37" t="s">
        <v>17</v>
      </c>
      <c r="E423" s="68" t="s">
        <v>469</v>
      </c>
      <c r="F423" s="31">
        <v>4087</v>
      </c>
      <c r="G423" s="31"/>
      <c r="H423" s="31">
        <f>Cty_Viet_Anh[[#This Row],[ĐƠN GIÁ]]*Cty_Viet_Anh[[#This Row],[SỐ LƯỢNG]]</f>
        <v>0</v>
      </c>
      <c r="I423" s="31"/>
      <c r="J423" s="31">
        <f ca="1">N(INDIRECT("R[-1]C", FALSE)) + Cty_Viet_Anh[[#This Row],[THÀNH TIỀN]] - Cty_Viet_Anh[[#This Row],[THANH TOÁN]]</f>
        <v>-53390700</v>
      </c>
      <c r="K423" s="133" t="s">
        <v>630</v>
      </c>
    </row>
    <row r="424" spans="1:11" x14ac:dyDescent="0.25">
      <c r="A424" s="22">
        <v>8869</v>
      </c>
      <c r="B424" s="29">
        <v>46130</v>
      </c>
      <c r="C424" s="23" t="s">
        <v>49</v>
      </c>
      <c r="D424" s="37" t="s">
        <v>26</v>
      </c>
      <c r="E424" s="68" t="s">
        <v>62</v>
      </c>
      <c r="F424" s="31">
        <v>2826</v>
      </c>
      <c r="G424" s="31"/>
      <c r="H424" s="31">
        <f>Cty_Viet_Anh[[#This Row],[ĐƠN GIÁ]]*Cty_Viet_Anh[[#This Row],[SỐ LƯỢNG]]</f>
        <v>0</v>
      </c>
      <c r="I424" s="31"/>
      <c r="J424" s="31">
        <f ca="1">N(INDIRECT("R[-1]C", FALSE)) + Cty_Viet_Anh[[#This Row],[THÀNH TIỀN]] - Cty_Viet_Anh[[#This Row],[THANH TOÁN]]</f>
        <v>-53390700</v>
      </c>
      <c r="K424" s="133" t="s">
        <v>631</v>
      </c>
    </row>
    <row r="425" spans="1:11" x14ac:dyDescent="0.25">
      <c r="A425" s="22">
        <v>8869</v>
      </c>
      <c r="B425" s="29">
        <v>46130</v>
      </c>
      <c r="C425" s="23" t="s">
        <v>49</v>
      </c>
      <c r="D425" s="37" t="s">
        <v>43</v>
      </c>
      <c r="E425" s="68" t="s">
        <v>136</v>
      </c>
      <c r="F425" s="31">
        <v>2943</v>
      </c>
      <c r="G425" s="31"/>
      <c r="H425" s="31">
        <f>Cty_Viet_Anh[[#This Row],[ĐƠN GIÁ]]*Cty_Viet_Anh[[#This Row],[SỐ LƯỢNG]]</f>
        <v>0</v>
      </c>
      <c r="I425" s="31"/>
      <c r="J425" s="31">
        <f ca="1">N(INDIRECT("R[-1]C", FALSE)) + Cty_Viet_Anh[[#This Row],[THÀNH TIỀN]] - Cty_Viet_Anh[[#This Row],[THANH TOÁN]]</f>
        <v>-53390700</v>
      </c>
      <c r="K425" s="133" t="s">
        <v>632</v>
      </c>
    </row>
    <row r="426" spans="1:11" x14ac:dyDescent="0.25">
      <c r="A426" s="22">
        <v>8869</v>
      </c>
      <c r="B426" s="29">
        <v>46130</v>
      </c>
      <c r="C426" s="23" t="s">
        <v>49</v>
      </c>
      <c r="D426" s="37" t="s">
        <v>43</v>
      </c>
      <c r="E426" s="68" t="s">
        <v>62</v>
      </c>
      <c r="F426" s="31">
        <v>1086</v>
      </c>
      <c r="G426" s="31"/>
      <c r="H426" s="31">
        <f>Cty_Viet_Anh[[#This Row],[ĐƠN GIÁ]]*Cty_Viet_Anh[[#This Row],[SỐ LƯỢNG]]</f>
        <v>0</v>
      </c>
      <c r="I426" s="31"/>
      <c r="J426" s="31">
        <f ca="1">N(INDIRECT("R[-1]C", FALSE)) + Cty_Viet_Anh[[#This Row],[THÀNH TIỀN]] - Cty_Viet_Anh[[#This Row],[THANH TOÁN]]</f>
        <v>-53390700</v>
      </c>
      <c r="K426" s="133" t="s">
        <v>633</v>
      </c>
    </row>
    <row r="427" spans="1:11" x14ac:dyDescent="0.25">
      <c r="A427" s="22">
        <v>8869</v>
      </c>
      <c r="B427" s="29">
        <v>46130</v>
      </c>
      <c r="C427" s="23" t="s">
        <v>49</v>
      </c>
      <c r="D427" s="37" t="s">
        <v>43</v>
      </c>
      <c r="E427" s="68" t="s">
        <v>146</v>
      </c>
      <c r="F427" s="31">
        <v>754</v>
      </c>
      <c r="G427" s="31"/>
      <c r="H427" s="31">
        <f>Cty_Viet_Anh[[#This Row],[ĐƠN GIÁ]]*Cty_Viet_Anh[[#This Row],[SỐ LƯỢNG]]</f>
        <v>0</v>
      </c>
      <c r="I427" s="31"/>
      <c r="J427" s="31">
        <f ca="1">N(INDIRECT("R[-1]C", FALSE)) + Cty_Viet_Anh[[#This Row],[THÀNH TIỀN]] - Cty_Viet_Anh[[#This Row],[THANH TOÁN]]</f>
        <v>-53390700</v>
      </c>
      <c r="K427" s="133" t="s">
        <v>633</v>
      </c>
    </row>
    <row r="428" spans="1:11" x14ac:dyDescent="0.25">
      <c r="A428" s="22">
        <v>8879</v>
      </c>
      <c r="B428" s="29">
        <v>46130</v>
      </c>
      <c r="C428" s="23" t="s">
        <v>49</v>
      </c>
      <c r="D428" s="37" t="s">
        <v>26</v>
      </c>
      <c r="E428" s="68" t="s">
        <v>78</v>
      </c>
      <c r="F428" s="31">
        <v>5014</v>
      </c>
      <c r="G428" s="31"/>
      <c r="H428" s="31">
        <f>Cty_Viet_Anh[[#This Row],[ĐƠN GIÁ]]*Cty_Viet_Anh[[#This Row],[SỐ LƯỢNG]]</f>
        <v>0</v>
      </c>
      <c r="I428" s="31"/>
      <c r="J428" s="31">
        <f ca="1">N(INDIRECT("R[-1]C", FALSE)) + Cty_Viet_Anh[[#This Row],[THÀNH TIỀN]] - Cty_Viet_Anh[[#This Row],[THANH TOÁN]]</f>
        <v>-53390700</v>
      </c>
      <c r="K428" s="133" t="s">
        <v>634</v>
      </c>
    </row>
    <row r="429" spans="1:11" x14ac:dyDescent="0.25">
      <c r="A429" s="22">
        <v>8883</v>
      </c>
      <c r="B429" s="29">
        <v>46130</v>
      </c>
      <c r="C429" s="23" t="s">
        <v>49</v>
      </c>
      <c r="D429" s="37" t="s">
        <v>135</v>
      </c>
      <c r="E429" s="68" t="s">
        <v>62</v>
      </c>
      <c r="F429" s="31">
        <v>3620</v>
      </c>
      <c r="G429" s="31"/>
      <c r="H429" s="31">
        <f>Cty_Viet_Anh[[#This Row],[ĐƠN GIÁ]]*Cty_Viet_Anh[[#This Row],[SỐ LƯỢNG]]</f>
        <v>0</v>
      </c>
      <c r="I429" s="31"/>
      <c r="J429" s="31">
        <f ca="1">N(INDIRECT("R[-1]C", FALSE)) + Cty_Viet_Anh[[#This Row],[THÀNH TIỀN]] - Cty_Viet_Anh[[#This Row],[THANH TOÁN]]</f>
        <v>-53390700</v>
      </c>
      <c r="K429" s="133" t="s">
        <v>635</v>
      </c>
    </row>
    <row r="430" spans="1:11" x14ac:dyDescent="0.25">
      <c r="A430" s="22">
        <v>2725</v>
      </c>
      <c r="B430" s="29">
        <v>46132</v>
      </c>
      <c r="C430" s="23" t="s">
        <v>84</v>
      </c>
      <c r="D430" s="37" t="s">
        <v>2534</v>
      </c>
      <c r="E430" s="23" t="s">
        <v>2535</v>
      </c>
      <c r="F430" s="31">
        <v>2226</v>
      </c>
      <c r="G430" s="31">
        <v>-1500</v>
      </c>
      <c r="H430" s="31">
        <f>Cty_Viet_Anh[[#This Row],[ĐƠN GIÁ]]*Cty_Viet_Anh[[#This Row],[SỐ LƯỢNG]]</f>
        <v>-3339000</v>
      </c>
      <c r="I430" s="31"/>
      <c r="J430" s="31">
        <f ca="1">N(INDIRECT("R[-1]C", FALSE)) + Cty_Viet_Anh[[#This Row],[THÀNH TIỀN]] - Cty_Viet_Anh[[#This Row],[THANH TOÁN]]</f>
        <v>-56729700</v>
      </c>
      <c r="K430" s="24"/>
    </row>
    <row r="431" spans="1:11" x14ac:dyDescent="0.25">
      <c r="A431" s="22">
        <v>2725</v>
      </c>
      <c r="B431" s="29">
        <v>46132</v>
      </c>
      <c r="C431" s="23" t="s">
        <v>84</v>
      </c>
      <c r="D431" s="37" t="s">
        <v>2536</v>
      </c>
      <c r="E431" s="23" t="s">
        <v>1082</v>
      </c>
      <c r="F431" s="31">
        <v>1040</v>
      </c>
      <c r="G431" s="31">
        <v>-3800</v>
      </c>
      <c r="H431" s="31">
        <f>Cty_Viet_Anh[[#This Row],[ĐƠN GIÁ]]*Cty_Viet_Anh[[#This Row],[SỐ LƯỢNG]]</f>
        <v>-3952000</v>
      </c>
      <c r="I431" s="31"/>
      <c r="J431" s="31">
        <f ca="1">N(INDIRECT("R[-1]C", FALSE)) + Cty_Viet_Anh[[#This Row],[THÀNH TIỀN]] - Cty_Viet_Anh[[#This Row],[THANH TOÁN]]</f>
        <v>-60681700</v>
      </c>
      <c r="K431" s="24"/>
    </row>
    <row r="432" spans="1:11" x14ac:dyDescent="0.25">
      <c r="A432" s="22">
        <v>5243</v>
      </c>
      <c r="B432" s="29">
        <v>46132</v>
      </c>
      <c r="C432" s="23" t="s">
        <v>84</v>
      </c>
      <c r="D432" s="37" t="s">
        <v>93</v>
      </c>
      <c r="E432" s="68" t="s">
        <v>78</v>
      </c>
      <c r="F432" s="31">
        <v>3370</v>
      </c>
      <c r="G432" s="31">
        <v>-500</v>
      </c>
      <c r="H432" s="31">
        <f>Cty_Viet_Anh[[#This Row],[ĐƠN GIÁ]]*Cty_Viet_Anh[[#This Row],[SỐ LƯỢNG]]</f>
        <v>-1685000</v>
      </c>
      <c r="I432" s="31"/>
      <c r="J432" s="31">
        <f ca="1">N(INDIRECT("R[-1]C", FALSE)) + Cty_Viet_Anh[[#This Row],[THÀNH TIỀN]] - Cty_Viet_Anh[[#This Row],[THANH TOÁN]]</f>
        <v>-62366700</v>
      </c>
      <c r="K432" s="133"/>
    </row>
    <row r="433" spans="1:11" x14ac:dyDescent="0.25">
      <c r="A433" s="22">
        <v>5243</v>
      </c>
      <c r="B433" s="29">
        <v>46132</v>
      </c>
      <c r="C433" s="23" t="s">
        <v>84</v>
      </c>
      <c r="D433" s="37" t="s">
        <v>93</v>
      </c>
      <c r="E433" s="68" t="s">
        <v>621</v>
      </c>
      <c r="F433" s="31">
        <v>1764</v>
      </c>
      <c r="G433" s="31">
        <v>-500</v>
      </c>
      <c r="H433" s="31">
        <f>Cty_Viet_Anh[[#This Row],[ĐƠN GIÁ]]*Cty_Viet_Anh[[#This Row],[SỐ LƯỢNG]]</f>
        <v>-882000</v>
      </c>
      <c r="I433" s="31"/>
      <c r="J433" s="31">
        <f ca="1">N(INDIRECT("R[-1]C", FALSE)) + Cty_Viet_Anh[[#This Row],[THÀNH TIỀN]] - Cty_Viet_Anh[[#This Row],[THANH TOÁN]]</f>
        <v>-63248700</v>
      </c>
      <c r="K433" s="133" t="s">
        <v>655</v>
      </c>
    </row>
    <row r="434" spans="1:11" x14ac:dyDescent="0.25">
      <c r="A434" s="22">
        <v>5243</v>
      </c>
      <c r="B434" s="29">
        <v>46132</v>
      </c>
      <c r="C434" s="23" t="s">
        <v>84</v>
      </c>
      <c r="D434" s="37" t="s">
        <v>526</v>
      </c>
      <c r="E434" s="68" t="s">
        <v>656</v>
      </c>
      <c r="F434" s="31">
        <v>2142</v>
      </c>
      <c r="G434" s="31">
        <v>-500</v>
      </c>
      <c r="H434" s="31">
        <f>Cty_Viet_Anh[[#This Row],[ĐƠN GIÁ]]*Cty_Viet_Anh[[#This Row],[SỐ LƯỢNG]]</f>
        <v>-1071000</v>
      </c>
      <c r="I434" s="31"/>
      <c r="J434" s="31">
        <f ca="1">N(INDIRECT("R[-1]C", FALSE)) + Cty_Viet_Anh[[#This Row],[THÀNH TIỀN]] - Cty_Viet_Anh[[#This Row],[THANH TOÁN]]</f>
        <v>-64319700</v>
      </c>
      <c r="K434" s="133"/>
    </row>
    <row r="435" spans="1:11" x14ac:dyDescent="0.25">
      <c r="A435" s="22">
        <v>5243</v>
      </c>
      <c r="B435" s="29">
        <v>46132</v>
      </c>
      <c r="C435" s="23" t="s">
        <v>84</v>
      </c>
      <c r="D435" s="37" t="s">
        <v>520</v>
      </c>
      <c r="E435" s="68" t="s">
        <v>656</v>
      </c>
      <c r="F435" s="31">
        <v>1060</v>
      </c>
      <c r="G435" s="31">
        <v>-1000</v>
      </c>
      <c r="H435" s="31">
        <f>Cty_Viet_Anh[[#This Row],[ĐƠN GIÁ]]*Cty_Viet_Anh[[#This Row],[SỐ LƯỢNG]]</f>
        <v>-1060000</v>
      </c>
      <c r="I435" s="31"/>
      <c r="J435" s="31">
        <f ca="1">N(INDIRECT("R[-1]C", FALSE)) + Cty_Viet_Anh[[#This Row],[THÀNH TIỀN]] - Cty_Viet_Anh[[#This Row],[THANH TOÁN]]</f>
        <v>-65379700</v>
      </c>
      <c r="K435" s="133"/>
    </row>
    <row r="436" spans="1:11" x14ac:dyDescent="0.25">
      <c r="A436" s="22">
        <v>5243</v>
      </c>
      <c r="B436" s="29">
        <v>46132</v>
      </c>
      <c r="C436" s="23" t="s">
        <v>426</v>
      </c>
      <c r="D436" s="37" t="s">
        <v>541</v>
      </c>
      <c r="E436" s="68" t="s">
        <v>657</v>
      </c>
      <c r="F436" s="31">
        <v>266</v>
      </c>
      <c r="G436" s="31"/>
      <c r="H436" s="31">
        <f>Cty_Viet_Anh[[#This Row],[ĐƠN GIÁ]]*Cty_Viet_Anh[[#This Row],[SỐ LƯỢNG]]</f>
        <v>0</v>
      </c>
      <c r="I436" s="31"/>
      <c r="J436" s="31">
        <f ca="1">N(INDIRECT("R[-1]C", FALSE)) + Cty_Viet_Anh[[#This Row],[THÀNH TIỀN]] - Cty_Viet_Anh[[#This Row],[THANH TOÁN]]</f>
        <v>-65379700</v>
      </c>
      <c r="K436" s="133"/>
    </row>
    <row r="437" spans="1:11" x14ac:dyDescent="0.25">
      <c r="A437" s="22">
        <v>5243</v>
      </c>
      <c r="B437" s="29">
        <v>46132</v>
      </c>
      <c r="C437" s="23" t="s">
        <v>426</v>
      </c>
      <c r="D437" s="37" t="s">
        <v>541</v>
      </c>
      <c r="E437" s="68" t="s">
        <v>637</v>
      </c>
      <c r="F437" s="31">
        <v>32</v>
      </c>
      <c r="G437" s="31"/>
      <c r="H437" s="31">
        <f>Cty_Viet_Anh[[#This Row],[ĐƠN GIÁ]]*Cty_Viet_Anh[[#This Row],[SỐ LƯỢNG]]</f>
        <v>0</v>
      </c>
      <c r="I437" s="31"/>
      <c r="J437" s="31">
        <f ca="1">N(INDIRECT("R[-1]C", FALSE)) + Cty_Viet_Anh[[#This Row],[THÀNH TIỀN]] - Cty_Viet_Anh[[#This Row],[THANH TOÁN]]</f>
        <v>-65379700</v>
      </c>
      <c r="K437" s="133"/>
    </row>
    <row r="438" spans="1:11" x14ac:dyDescent="0.25">
      <c r="A438" s="22">
        <v>5246</v>
      </c>
      <c r="B438" s="29">
        <v>46132</v>
      </c>
      <c r="C438" s="23" t="s">
        <v>84</v>
      </c>
      <c r="D438" s="37" t="s">
        <v>93</v>
      </c>
      <c r="E438" s="68" t="s">
        <v>646</v>
      </c>
      <c r="F438" s="31">
        <v>1496</v>
      </c>
      <c r="G438" s="31">
        <v>-500</v>
      </c>
      <c r="H438" s="31">
        <f>Cty_Viet_Anh[[#This Row],[ĐƠN GIÁ]]*Cty_Viet_Anh[[#This Row],[SỐ LƯỢNG]]</f>
        <v>-748000</v>
      </c>
      <c r="I438" s="31"/>
      <c r="J438" s="31">
        <f ca="1">N(INDIRECT("R[-1]C", FALSE)) + Cty_Viet_Anh[[#This Row],[THÀNH TIỀN]] - Cty_Viet_Anh[[#This Row],[THANH TOÁN]]</f>
        <v>-66127700</v>
      </c>
      <c r="K438" s="133"/>
    </row>
    <row r="439" spans="1:11" x14ac:dyDescent="0.25">
      <c r="A439" s="22">
        <v>5246</v>
      </c>
      <c r="B439" s="29">
        <v>46132</v>
      </c>
      <c r="C439" s="23" t="s">
        <v>426</v>
      </c>
      <c r="D439" s="37" t="s">
        <v>541</v>
      </c>
      <c r="E439" s="68" t="s">
        <v>62</v>
      </c>
      <c r="F439" s="31">
        <v>2122</v>
      </c>
      <c r="G439" s="31"/>
      <c r="H439" s="31">
        <f>Cty_Viet_Anh[[#This Row],[ĐƠN GIÁ]]*Cty_Viet_Anh[[#This Row],[SỐ LƯỢNG]]</f>
        <v>0</v>
      </c>
      <c r="I439" s="31"/>
      <c r="J439" s="31">
        <f ca="1">N(INDIRECT("R[-1]C", FALSE)) + Cty_Viet_Anh[[#This Row],[THÀNH TIỀN]] - Cty_Viet_Anh[[#This Row],[THANH TOÁN]]</f>
        <v>-66127700</v>
      </c>
      <c r="K439" s="133"/>
    </row>
    <row r="440" spans="1:11" x14ac:dyDescent="0.25">
      <c r="A440" s="22">
        <v>5246</v>
      </c>
      <c r="B440" s="29">
        <v>46132</v>
      </c>
      <c r="C440" s="23" t="s">
        <v>426</v>
      </c>
      <c r="D440" s="37" t="s">
        <v>541</v>
      </c>
      <c r="E440" s="68" t="s">
        <v>78</v>
      </c>
      <c r="F440" s="31">
        <v>1406</v>
      </c>
      <c r="G440" s="31"/>
      <c r="H440" s="31">
        <f>Cty_Viet_Anh[[#This Row],[ĐƠN GIÁ]]*Cty_Viet_Anh[[#This Row],[SỐ LƯỢNG]]</f>
        <v>0</v>
      </c>
      <c r="I440" s="31"/>
      <c r="J440" s="31">
        <f ca="1">N(INDIRECT("R[-1]C", FALSE)) + Cty_Viet_Anh[[#This Row],[THÀNH TIỀN]] - Cty_Viet_Anh[[#This Row],[THANH TOÁN]]</f>
        <v>-66127700</v>
      </c>
      <c r="K440" s="133"/>
    </row>
    <row r="441" spans="1:11" x14ac:dyDescent="0.25">
      <c r="A441" s="22">
        <v>8903</v>
      </c>
      <c r="B441" s="29">
        <v>46132</v>
      </c>
      <c r="C441" s="23" t="s">
        <v>49</v>
      </c>
      <c r="D441" s="37" t="s">
        <v>17</v>
      </c>
      <c r="E441" s="68" t="s">
        <v>251</v>
      </c>
      <c r="F441" s="31">
        <v>616</v>
      </c>
      <c r="G441" s="31"/>
      <c r="H441" s="31">
        <f>Cty_Viet_Anh[[#This Row],[ĐƠN GIÁ]]*Cty_Viet_Anh[[#This Row],[SỐ LƯỢNG]]</f>
        <v>0</v>
      </c>
      <c r="I441" s="31"/>
      <c r="J441" s="31">
        <f ca="1">N(INDIRECT("R[-1]C", FALSE)) + Cty_Viet_Anh[[#This Row],[THÀNH TIỀN]] - Cty_Viet_Anh[[#This Row],[THANH TOÁN]]</f>
        <v>-66127700</v>
      </c>
      <c r="K441" s="133" t="s">
        <v>1740</v>
      </c>
    </row>
    <row r="442" spans="1:11" x14ac:dyDescent="0.25">
      <c r="A442" s="22">
        <v>8903</v>
      </c>
      <c r="B442" s="29">
        <v>46132</v>
      </c>
      <c r="C442" s="23" t="s">
        <v>49</v>
      </c>
      <c r="D442" s="37" t="s">
        <v>17</v>
      </c>
      <c r="E442" s="68" t="s">
        <v>136</v>
      </c>
      <c r="F442" s="31">
        <v>812</v>
      </c>
      <c r="G442" s="31"/>
      <c r="H442" s="31">
        <f>Cty_Viet_Anh[[#This Row],[ĐƠN GIÁ]]*Cty_Viet_Anh[[#This Row],[SỐ LƯỢNG]]</f>
        <v>0</v>
      </c>
      <c r="I442" s="31"/>
      <c r="J442" s="31">
        <f ca="1">N(INDIRECT("R[-1]C", FALSE)) + Cty_Viet_Anh[[#This Row],[THÀNH TIỀN]] - Cty_Viet_Anh[[#This Row],[THANH TOÁN]]</f>
        <v>-66127700</v>
      </c>
      <c r="K442" s="133" t="s">
        <v>1741</v>
      </c>
    </row>
    <row r="443" spans="1:11" x14ac:dyDescent="0.25">
      <c r="A443" s="22">
        <v>8903</v>
      </c>
      <c r="B443" s="29">
        <v>46132</v>
      </c>
      <c r="C443" s="23" t="s">
        <v>49</v>
      </c>
      <c r="D443" s="37" t="s">
        <v>26</v>
      </c>
      <c r="E443" s="68" t="s">
        <v>446</v>
      </c>
      <c r="F443" s="31">
        <v>451</v>
      </c>
      <c r="G443" s="31"/>
      <c r="H443" s="31">
        <f>Cty_Viet_Anh[[#This Row],[ĐƠN GIÁ]]*Cty_Viet_Anh[[#This Row],[SỐ LƯỢNG]]</f>
        <v>0</v>
      </c>
      <c r="I443" s="31"/>
      <c r="J443" s="31">
        <f ca="1">N(INDIRECT("R[-1]C", FALSE)) + Cty_Viet_Anh[[#This Row],[THÀNH TIỀN]] - Cty_Viet_Anh[[#This Row],[THANH TOÁN]]</f>
        <v>-66127700</v>
      </c>
      <c r="K443" s="133" t="s">
        <v>1742</v>
      </c>
    </row>
    <row r="444" spans="1:11" x14ac:dyDescent="0.25">
      <c r="A444" s="22">
        <v>8908</v>
      </c>
      <c r="B444" s="29">
        <v>46132</v>
      </c>
      <c r="C444" s="23" t="s">
        <v>49</v>
      </c>
      <c r="D444" s="37" t="s">
        <v>17</v>
      </c>
      <c r="E444" s="68" t="s">
        <v>78</v>
      </c>
      <c r="F444" s="31">
        <v>856</v>
      </c>
      <c r="G444" s="31"/>
      <c r="H444" s="31">
        <f>Cty_Viet_Anh[[#This Row],[ĐƠN GIÁ]]*Cty_Viet_Anh[[#This Row],[SỐ LƯỢNG]]</f>
        <v>0</v>
      </c>
      <c r="I444" s="31"/>
      <c r="J444" s="31">
        <f ca="1">N(INDIRECT("R[-1]C", FALSE)) + Cty_Viet_Anh[[#This Row],[THÀNH TIỀN]] - Cty_Viet_Anh[[#This Row],[THANH TOÁN]]</f>
        <v>-66127700</v>
      </c>
      <c r="K444" s="133" t="s">
        <v>476</v>
      </c>
    </row>
    <row r="445" spans="1:11" x14ac:dyDescent="0.25">
      <c r="A445" s="22">
        <v>8908</v>
      </c>
      <c r="B445" s="29">
        <v>46132</v>
      </c>
      <c r="C445" s="23" t="s">
        <v>49</v>
      </c>
      <c r="D445" s="37" t="s">
        <v>17</v>
      </c>
      <c r="E445" s="68" t="s">
        <v>40</v>
      </c>
      <c r="F445" s="31">
        <v>4933</v>
      </c>
      <c r="G445" s="31"/>
      <c r="H445" s="31">
        <f>Cty_Viet_Anh[[#This Row],[ĐƠN GIÁ]]*Cty_Viet_Anh[[#This Row],[SỐ LƯỢNG]]</f>
        <v>0</v>
      </c>
      <c r="I445" s="31"/>
      <c r="J445" s="31">
        <f ca="1">N(INDIRECT("R[-1]C", FALSE)) + Cty_Viet_Anh[[#This Row],[THÀNH TIỀN]] - Cty_Viet_Anh[[#This Row],[THANH TOÁN]]</f>
        <v>-66127700</v>
      </c>
      <c r="K445" s="133" t="s">
        <v>1752</v>
      </c>
    </row>
    <row r="446" spans="1:11" x14ac:dyDescent="0.25">
      <c r="A446" s="22">
        <v>2732</v>
      </c>
      <c r="B446" s="29">
        <v>46133</v>
      </c>
      <c r="C446" s="23" t="s">
        <v>84</v>
      </c>
      <c r="D446" s="37" t="s">
        <v>535</v>
      </c>
      <c r="E446" s="68" t="s">
        <v>136</v>
      </c>
      <c r="F446" s="31">
        <v>808</v>
      </c>
      <c r="G446" s="31">
        <v>-1500</v>
      </c>
      <c r="H446" s="31">
        <f>Cty_Viet_Anh[[#This Row],[ĐƠN GIÁ]]*Cty_Viet_Anh[[#This Row],[SỐ LƯỢNG]]</f>
        <v>-1212000</v>
      </c>
      <c r="I446" s="31"/>
      <c r="J446" s="31">
        <f ca="1">N(INDIRECT("R[-1]C", FALSE)) + Cty_Viet_Anh[[#This Row],[THÀNH TIỀN]] - Cty_Viet_Anh[[#This Row],[THANH TOÁN]]</f>
        <v>-67339700</v>
      </c>
      <c r="K446" s="133"/>
    </row>
    <row r="447" spans="1:11" x14ac:dyDescent="0.25">
      <c r="A447" s="22">
        <v>2732</v>
      </c>
      <c r="B447" s="29">
        <v>46133</v>
      </c>
      <c r="C447" s="23" t="s">
        <v>84</v>
      </c>
      <c r="D447" s="37" t="s">
        <v>270</v>
      </c>
      <c r="E447" s="68" t="s">
        <v>251</v>
      </c>
      <c r="F447" s="31">
        <v>622</v>
      </c>
      <c r="G447" s="31">
        <v>-3500</v>
      </c>
      <c r="H447" s="31">
        <f>Cty_Viet_Anh[[#This Row],[ĐƠN GIÁ]]*Cty_Viet_Anh[[#This Row],[SỐ LƯỢNG]]</f>
        <v>-2177000</v>
      </c>
      <c r="I447" s="31"/>
      <c r="J447" s="31">
        <f ca="1">N(INDIRECT("R[-1]C", FALSE)) + Cty_Viet_Anh[[#This Row],[THÀNH TIỀN]] - Cty_Viet_Anh[[#This Row],[THANH TOÁN]]</f>
        <v>-69516700</v>
      </c>
      <c r="K447" s="133"/>
    </row>
    <row r="448" spans="1:11" x14ac:dyDescent="0.25">
      <c r="A448" s="22">
        <v>2732</v>
      </c>
      <c r="B448" s="29">
        <v>46133</v>
      </c>
      <c r="C448" s="23" t="s">
        <v>84</v>
      </c>
      <c r="D448" s="37" t="s">
        <v>658</v>
      </c>
      <c r="E448" s="68" t="s">
        <v>78</v>
      </c>
      <c r="F448" s="31">
        <v>1291</v>
      </c>
      <c r="G448" s="31">
        <v>-2200</v>
      </c>
      <c r="H448" s="31">
        <f>Cty_Viet_Anh[[#This Row],[ĐƠN GIÁ]]*Cty_Viet_Anh[[#This Row],[SỐ LƯỢNG]]</f>
        <v>-2840200</v>
      </c>
      <c r="I448" s="31"/>
      <c r="J448" s="31">
        <f ca="1">N(INDIRECT("R[-1]C", FALSE)) + Cty_Viet_Anh[[#This Row],[THÀNH TIỀN]] - Cty_Viet_Anh[[#This Row],[THANH TOÁN]]</f>
        <v>-72356900</v>
      </c>
      <c r="K448" s="133"/>
    </row>
    <row r="449" spans="1:11" x14ac:dyDescent="0.25">
      <c r="A449" s="22">
        <v>2732</v>
      </c>
      <c r="B449" s="29">
        <v>46133</v>
      </c>
      <c r="C449" s="23" t="s">
        <v>426</v>
      </c>
      <c r="D449" s="37" t="s">
        <v>659</v>
      </c>
      <c r="E449" s="68" t="s">
        <v>78</v>
      </c>
      <c r="F449" s="31">
        <v>3771</v>
      </c>
      <c r="G449" s="31"/>
      <c r="H449" s="31">
        <f>Cty_Viet_Anh[[#This Row],[ĐƠN GIÁ]]*Cty_Viet_Anh[[#This Row],[SỐ LƯỢNG]]</f>
        <v>0</v>
      </c>
      <c r="I449" s="31"/>
      <c r="J449" s="31">
        <f ca="1">N(INDIRECT("R[-1]C", FALSE)) + Cty_Viet_Anh[[#This Row],[THÀNH TIỀN]] - Cty_Viet_Anh[[#This Row],[THANH TOÁN]]</f>
        <v>-72356900</v>
      </c>
      <c r="K449" s="133"/>
    </row>
    <row r="450" spans="1:11" x14ac:dyDescent="0.25">
      <c r="A450" s="22">
        <v>2737</v>
      </c>
      <c r="B450" s="29">
        <v>46133</v>
      </c>
      <c r="C450" s="23" t="s">
        <v>84</v>
      </c>
      <c r="D450" s="37" t="s">
        <v>643</v>
      </c>
      <c r="E450" s="68" t="s">
        <v>446</v>
      </c>
      <c r="F450" s="31">
        <v>454</v>
      </c>
      <c r="G450" s="31">
        <v>-2200</v>
      </c>
      <c r="H450" s="31">
        <f>Cty_Viet_Anh[[#This Row],[ĐƠN GIÁ]]*Cty_Viet_Anh[[#This Row],[SỐ LƯỢNG]]</f>
        <v>-998800</v>
      </c>
      <c r="I450" s="31"/>
      <c r="J450" s="31">
        <f ca="1">N(INDIRECT("R[-1]C", FALSE)) + Cty_Viet_Anh[[#This Row],[THÀNH TIỀN]] - Cty_Viet_Anh[[#This Row],[THANH TOÁN]]</f>
        <v>-73355700</v>
      </c>
      <c r="K450" s="133"/>
    </row>
    <row r="451" spans="1:11" x14ac:dyDescent="0.25">
      <c r="A451" s="22">
        <v>2737</v>
      </c>
      <c r="B451" s="29">
        <v>46133</v>
      </c>
      <c r="C451" s="23" t="s">
        <v>84</v>
      </c>
      <c r="D451" s="37" t="s">
        <v>265</v>
      </c>
      <c r="E451" s="68" t="s">
        <v>148</v>
      </c>
      <c r="F451" s="31">
        <v>2068</v>
      </c>
      <c r="G451" s="31">
        <v>-3100</v>
      </c>
      <c r="H451" s="31">
        <f>Cty_Viet_Anh[[#This Row],[ĐƠN GIÁ]]*Cty_Viet_Anh[[#This Row],[SỐ LƯỢNG]]</f>
        <v>-6410800</v>
      </c>
      <c r="I451" s="31"/>
      <c r="J451" s="31">
        <f ca="1">N(INDIRECT("R[-1]C", FALSE)) + Cty_Viet_Anh[[#This Row],[THÀNH TIỀN]] - Cty_Viet_Anh[[#This Row],[THANH TOÁN]]</f>
        <v>-79766500</v>
      </c>
      <c r="K451" s="133"/>
    </row>
    <row r="452" spans="1:11" x14ac:dyDescent="0.25">
      <c r="A452" s="22">
        <v>5250</v>
      </c>
      <c r="B452" s="29">
        <v>46133</v>
      </c>
      <c r="C452" s="23" t="s">
        <v>84</v>
      </c>
      <c r="D452" s="37" t="s">
        <v>93</v>
      </c>
      <c r="E452" s="68" t="s">
        <v>78</v>
      </c>
      <c r="F452" s="31">
        <v>856</v>
      </c>
      <c r="G452" s="31">
        <v>-500</v>
      </c>
      <c r="H452" s="31">
        <f>Cty_Viet_Anh[[#This Row],[ĐƠN GIÁ]]*Cty_Viet_Anh[[#This Row],[SỐ LƯỢNG]]</f>
        <v>-428000</v>
      </c>
      <c r="I452" s="31"/>
      <c r="J452" s="31">
        <f ca="1">N(INDIRECT("R[-1]C", FALSE)) + Cty_Viet_Anh[[#This Row],[THÀNH TIỀN]] - Cty_Viet_Anh[[#This Row],[THANH TOÁN]]</f>
        <v>-80194500</v>
      </c>
      <c r="K452" s="133"/>
    </row>
    <row r="453" spans="1:11" x14ac:dyDescent="0.25">
      <c r="A453" s="22">
        <v>8912</v>
      </c>
      <c r="B453" s="29">
        <v>46133</v>
      </c>
      <c r="C453" s="23" t="s">
        <v>49</v>
      </c>
      <c r="D453" s="37" t="s">
        <v>43</v>
      </c>
      <c r="E453" s="68" t="s">
        <v>148</v>
      </c>
      <c r="F453" s="31">
        <v>5142</v>
      </c>
      <c r="G453" s="31"/>
      <c r="H453" s="31">
        <f>Cty_Viet_Anh[[#This Row],[ĐƠN GIÁ]]*Cty_Viet_Anh[[#This Row],[SỐ LƯỢNG]]</f>
        <v>0</v>
      </c>
      <c r="I453" s="31"/>
      <c r="J453" s="31">
        <f ca="1">N(INDIRECT("R[-1]C", FALSE)) + Cty_Viet_Anh[[#This Row],[THÀNH TIỀN]] - Cty_Viet_Anh[[#This Row],[THANH TOÁN]]</f>
        <v>-80194500</v>
      </c>
      <c r="K453" s="133" t="s">
        <v>1754</v>
      </c>
    </row>
    <row r="454" spans="1:11" x14ac:dyDescent="0.25">
      <c r="A454" s="22">
        <v>5254</v>
      </c>
      <c r="B454" s="29">
        <v>46134</v>
      </c>
      <c r="C454" s="23" t="s">
        <v>84</v>
      </c>
      <c r="D454" s="37" t="s">
        <v>93</v>
      </c>
      <c r="E454" s="68" t="s">
        <v>40</v>
      </c>
      <c r="F454" s="31">
        <v>354</v>
      </c>
      <c r="G454" s="31">
        <v>-847.45762711860004</v>
      </c>
      <c r="H454" s="31">
        <f>Cty_Viet_Anh[[#This Row],[ĐƠN GIÁ]]*Cty_Viet_Anh[[#This Row],[SỐ LƯỢNG]]</f>
        <v>-299999.9999999844</v>
      </c>
      <c r="I454" s="31"/>
      <c r="J454" s="31">
        <f ca="1">N(INDIRECT("R[-1]C", FALSE)) + Cty_Viet_Anh[[#This Row],[THÀNH TIỀN]] - Cty_Viet_Anh[[#This Row],[THANH TOÁN]]</f>
        <v>-80494499.999999985</v>
      </c>
      <c r="K454" s="133"/>
    </row>
    <row r="455" spans="1:11" x14ac:dyDescent="0.25">
      <c r="A455" s="22">
        <v>5254</v>
      </c>
      <c r="B455" s="29">
        <v>46134</v>
      </c>
      <c r="C455" s="23" t="s">
        <v>426</v>
      </c>
      <c r="D455" s="37" t="s">
        <v>93</v>
      </c>
      <c r="E455" s="68" t="s">
        <v>40</v>
      </c>
      <c r="F455" s="31">
        <v>4652</v>
      </c>
      <c r="G455" s="31"/>
      <c r="H455" s="31">
        <f>Cty_Viet_Anh[[#This Row],[ĐƠN GIÁ]]*Cty_Viet_Anh[[#This Row],[SỐ LƯỢNG]]</f>
        <v>0</v>
      </c>
      <c r="I455" s="31"/>
      <c r="J455" s="31">
        <f ca="1">N(INDIRECT("R[-1]C", FALSE)) + Cty_Viet_Anh[[#This Row],[THÀNH TIỀN]] - Cty_Viet_Anh[[#This Row],[THANH TOÁN]]</f>
        <v>-80494499.999999985</v>
      </c>
      <c r="K455" s="133"/>
    </row>
    <row r="456" spans="1:11" x14ac:dyDescent="0.25">
      <c r="A456" s="22">
        <v>8940</v>
      </c>
      <c r="B456" s="29">
        <v>46134</v>
      </c>
      <c r="C456" s="23" t="s">
        <v>49</v>
      </c>
      <c r="D456" s="37" t="s">
        <v>301</v>
      </c>
      <c r="E456" s="68" t="s">
        <v>1768</v>
      </c>
      <c r="F456" s="31">
        <v>1616</v>
      </c>
      <c r="G456" s="31"/>
      <c r="H456" s="31">
        <f>Cty_Viet_Anh[[#This Row],[ĐƠN GIÁ]]*Cty_Viet_Anh[[#This Row],[SỐ LƯỢNG]]</f>
        <v>0</v>
      </c>
      <c r="I456" s="31"/>
      <c r="J456" s="31">
        <f ca="1">N(INDIRECT("R[-1]C", FALSE)) + Cty_Viet_Anh[[#This Row],[THÀNH TIỀN]] - Cty_Viet_Anh[[#This Row],[THANH TOÁN]]</f>
        <v>-80494499.999999985</v>
      </c>
      <c r="K456" s="133" t="s">
        <v>786</v>
      </c>
    </row>
    <row r="457" spans="1:11" x14ac:dyDescent="0.25">
      <c r="A457" s="22">
        <v>8940</v>
      </c>
      <c r="B457" s="29">
        <v>46134</v>
      </c>
      <c r="C457" s="23" t="s">
        <v>49</v>
      </c>
      <c r="D457" s="37" t="s">
        <v>301</v>
      </c>
      <c r="E457" s="68" t="s">
        <v>1769</v>
      </c>
      <c r="F457" s="31">
        <v>2050</v>
      </c>
      <c r="G457" s="31"/>
      <c r="H457" s="31">
        <f>Cty_Viet_Anh[[#This Row],[ĐƠN GIÁ]]*Cty_Viet_Anh[[#This Row],[SỐ LƯỢNG]]</f>
        <v>0</v>
      </c>
      <c r="I457" s="31"/>
      <c r="J457" s="31">
        <f ca="1">N(INDIRECT("R[-1]C", FALSE)) + Cty_Viet_Anh[[#This Row],[THÀNH TIỀN]] - Cty_Viet_Anh[[#This Row],[THANH TOÁN]]</f>
        <v>-80494499.999999985</v>
      </c>
      <c r="K457" s="133" t="s">
        <v>1770</v>
      </c>
    </row>
    <row r="458" spans="1:11" x14ac:dyDescent="0.25">
      <c r="A458" s="22">
        <v>8940</v>
      </c>
      <c r="B458" s="29">
        <v>46134</v>
      </c>
      <c r="C458" s="23" t="s">
        <v>49</v>
      </c>
      <c r="D458" s="37" t="s">
        <v>17</v>
      </c>
      <c r="E458" s="68" t="s">
        <v>464</v>
      </c>
      <c r="F458" s="31">
        <v>659</v>
      </c>
      <c r="G458" s="31"/>
      <c r="H458" s="31">
        <f>Cty_Viet_Anh[[#This Row],[ĐƠN GIÁ]]*Cty_Viet_Anh[[#This Row],[SỐ LƯỢNG]]</f>
        <v>0</v>
      </c>
      <c r="I458" s="31"/>
      <c r="J458" s="31">
        <f ca="1">N(INDIRECT("R[-1]C", FALSE)) + Cty_Viet_Anh[[#This Row],[THÀNH TIỀN]] - Cty_Viet_Anh[[#This Row],[THANH TOÁN]]</f>
        <v>-80494499.999999985</v>
      </c>
      <c r="K458" s="133"/>
    </row>
    <row r="459" spans="1:11" x14ac:dyDescent="0.25">
      <c r="A459" s="22">
        <v>8946</v>
      </c>
      <c r="B459" s="29">
        <v>46134</v>
      </c>
      <c r="C459" s="23" t="s">
        <v>49</v>
      </c>
      <c r="D459" s="37" t="s">
        <v>135</v>
      </c>
      <c r="E459" s="68" t="s">
        <v>62</v>
      </c>
      <c r="F459" s="31">
        <v>2122</v>
      </c>
      <c r="G459" s="31"/>
      <c r="H459" s="31">
        <f>Cty_Viet_Anh[[#This Row],[ĐƠN GIÁ]]*Cty_Viet_Anh[[#This Row],[SỐ LƯỢNG]]</f>
        <v>0</v>
      </c>
      <c r="I459" s="31"/>
      <c r="J459" s="31">
        <f ca="1">N(INDIRECT("R[-1]C", FALSE)) + Cty_Viet_Anh[[#This Row],[THÀNH TIỀN]] - Cty_Viet_Anh[[#This Row],[THANH TOÁN]]</f>
        <v>-80494499.999999985</v>
      </c>
      <c r="K459" s="133" t="s">
        <v>1771</v>
      </c>
    </row>
    <row r="460" spans="1:11" x14ac:dyDescent="0.25">
      <c r="A460" s="22">
        <v>221</v>
      </c>
      <c r="B460" s="29">
        <v>46135</v>
      </c>
      <c r="C460" s="23" t="s">
        <v>426</v>
      </c>
      <c r="D460" s="37" t="s">
        <v>43</v>
      </c>
      <c r="E460" s="68" t="s">
        <v>148</v>
      </c>
      <c r="F460" s="31">
        <v>3094</v>
      </c>
      <c r="G460" s="31"/>
      <c r="H460" s="31">
        <f>Cty_Viet_Anh[[#This Row],[ĐƠN GIÁ]]*Cty_Viet_Anh[[#This Row],[SỐ LƯỢNG]]</f>
        <v>0</v>
      </c>
      <c r="I460" s="31"/>
      <c r="J460" s="31">
        <f ca="1">N(INDIRECT("R[-1]C", FALSE)) + Cty_Viet_Anh[[#This Row],[THÀNH TIỀN]] - Cty_Viet_Anh[[#This Row],[THANH TOÁN]]</f>
        <v>-80494499.999999985</v>
      </c>
      <c r="K460" s="133"/>
    </row>
    <row r="461" spans="1:11" x14ac:dyDescent="0.25">
      <c r="A461" s="22">
        <v>2752</v>
      </c>
      <c r="B461" s="29">
        <v>46135</v>
      </c>
      <c r="C461" s="23" t="s">
        <v>84</v>
      </c>
      <c r="D461" s="37" t="s">
        <v>169</v>
      </c>
      <c r="E461" s="68" t="s">
        <v>62</v>
      </c>
      <c r="F461" s="31">
        <v>1042</v>
      </c>
      <c r="G461" s="31">
        <v>-3500</v>
      </c>
      <c r="H461" s="31">
        <f>Cty_Viet_Anh[[#This Row],[ĐƠN GIÁ]]*Cty_Viet_Anh[[#This Row],[SỐ LƯỢNG]]</f>
        <v>-3647000</v>
      </c>
      <c r="I461" s="31"/>
      <c r="J461" s="31">
        <f ca="1">N(INDIRECT("R[-1]C", FALSE)) + Cty_Viet_Anh[[#This Row],[THÀNH TIỀN]] - Cty_Viet_Anh[[#This Row],[THANH TOÁN]]</f>
        <v>-84141499.999999985</v>
      </c>
      <c r="K461" s="133"/>
    </row>
    <row r="462" spans="1:11" x14ac:dyDescent="0.25">
      <c r="A462" s="22">
        <v>2752</v>
      </c>
      <c r="B462" s="29">
        <v>46135</v>
      </c>
      <c r="C462" s="23" t="s">
        <v>84</v>
      </c>
      <c r="D462" s="37" t="s">
        <v>660</v>
      </c>
      <c r="E462" s="68" t="s">
        <v>661</v>
      </c>
      <c r="F462" s="31">
        <v>2476</v>
      </c>
      <c r="G462" s="31">
        <v>-3300</v>
      </c>
      <c r="H462" s="31">
        <f>Cty_Viet_Anh[[#This Row],[ĐƠN GIÁ]]*Cty_Viet_Anh[[#This Row],[SỐ LƯỢNG]]</f>
        <v>-8170800</v>
      </c>
      <c r="I462" s="31"/>
      <c r="J462" s="31">
        <f ca="1">N(INDIRECT("R[-1]C", FALSE)) + Cty_Viet_Anh[[#This Row],[THÀNH TIỀN]] - Cty_Viet_Anh[[#This Row],[THANH TOÁN]]</f>
        <v>-92312299.999999985</v>
      </c>
      <c r="K462" s="133"/>
    </row>
    <row r="463" spans="1:11" x14ac:dyDescent="0.25">
      <c r="A463" s="25">
        <v>8953</v>
      </c>
      <c r="B463" s="30">
        <v>46135</v>
      </c>
      <c r="C463" s="26" t="s">
        <v>49</v>
      </c>
      <c r="D463" s="38" t="s">
        <v>17</v>
      </c>
      <c r="E463" s="67" t="s">
        <v>46</v>
      </c>
      <c r="F463" s="28">
        <v>5005</v>
      </c>
      <c r="G463" s="28"/>
      <c r="H463" s="28">
        <f>Cty_Viet_Anh[[#This Row],[ĐƠN GIÁ]]*Cty_Viet_Anh[[#This Row],[SỐ LƯỢNG]]</f>
        <v>0</v>
      </c>
      <c r="I463" s="28"/>
      <c r="J463" s="28">
        <f ca="1">N(INDIRECT("R[-1]C", FALSE)) + Cty_Viet_Anh[[#This Row],[THÀNH TIỀN]] - Cty_Viet_Anh[[#This Row],[THANH TOÁN]]</f>
        <v>-92312299.999999985</v>
      </c>
      <c r="K463" s="153" t="s">
        <v>1789</v>
      </c>
    </row>
    <row r="464" spans="1:11" x14ac:dyDescent="0.25">
      <c r="A464" s="22">
        <v>8953</v>
      </c>
      <c r="B464" s="29">
        <v>46135</v>
      </c>
      <c r="C464" s="23" t="s">
        <v>49</v>
      </c>
      <c r="D464" s="37" t="s">
        <v>17</v>
      </c>
      <c r="E464" s="68" t="s">
        <v>154</v>
      </c>
      <c r="F464" s="31">
        <v>4430</v>
      </c>
      <c r="G464" s="31"/>
      <c r="H464" s="31">
        <f>Cty_Viet_Anh[[#This Row],[ĐƠN GIÁ]]*Cty_Viet_Anh[[#This Row],[SỐ LƯỢNG]]</f>
        <v>0</v>
      </c>
      <c r="I464" s="31"/>
      <c r="J464" s="31">
        <f ca="1">N(INDIRECT("R[-1]C", FALSE)) + Cty_Viet_Anh[[#This Row],[THÀNH TIỀN]] - Cty_Viet_Anh[[#This Row],[THANH TOÁN]]</f>
        <v>-92312299.999999985</v>
      </c>
      <c r="K464" s="133" t="s">
        <v>1790</v>
      </c>
    </row>
    <row r="465" spans="1:11" x14ac:dyDescent="0.25">
      <c r="A465" s="22">
        <v>8953</v>
      </c>
      <c r="B465" s="29">
        <v>46135</v>
      </c>
      <c r="C465" s="23" t="s">
        <v>49</v>
      </c>
      <c r="D465" s="37" t="s">
        <v>17</v>
      </c>
      <c r="E465" s="68" t="s">
        <v>40</v>
      </c>
      <c r="F465" s="31">
        <v>2982</v>
      </c>
      <c r="G465" s="31"/>
      <c r="H465" s="31">
        <f>Cty_Viet_Anh[[#This Row],[ĐƠN GIÁ]]*Cty_Viet_Anh[[#This Row],[SỐ LƯỢNG]]</f>
        <v>0</v>
      </c>
      <c r="I465" s="31"/>
      <c r="J465" s="31">
        <f ca="1">N(INDIRECT("R[-1]C", FALSE)) + Cty_Viet_Anh[[#This Row],[THÀNH TIỀN]] - Cty_Viet_Anh[[#This Row],[THANH TOÁN]]</f>
        <v>-92312299.999999985</v>
      </c>
      <c r="K465" s="133" t="s">
        <v>476</v>
      </c>
    </row>
    <row r="466" spans="1:11" x14ac:dyDescent="0.25">
      <c r="A466" s="25">
        <v>8953</v>
      </c>
      <c r="B466" s="30">
        <v>46135</v>
      </c>
      <c r="C466" s="26" t="s">
        <v>49</v>
      </c>
      <c r="D466" s="38" t="s">
        <v>17</v>
      </c>
      <c r="E466" s="67" t="s">
        <v>40</v>
      </c>
      <c r="F466" s="28">
        <v>1366</v>
      </c>
      <c r="G466" s="28"/>
      <c r="H466" s="28">
        <f>Cty_Viet_Anh[[#This Row],[ĐƠN GIÁ]]*Cty_Viet_Anh[[#This Row],[SỐ LƯỢNG]]</f>
        <v>0</v>
      </c>
      <c r="I466" s="28"/>
      <c r="J466" s="28">
        <f ca="1">N(INDIRECT("R[-1]C", FALSE)) + Cty_Viet_Anh[[#This Row],[THÀNH TIỀN]] - Cty_Viet_Anh[[#This Row],[THANH TOÁN]]</f>
        <v>-92312299.999999985</v>
      </c>
      <c r="K466" s="153" t="s">
        <v>475</v>
      </c>
    </row>
    <row r="467" spans="1:11" x14ac:dyDescent="0.25">
      <c r="A467" s="22">
        <v>8953</v>
      </c>
      <c r="B467" s="29">
        <v>46135</v>
      </c>
      <c r="C467" s="23" t="s">
        <v>49</v>
      </c>
      <c r="D467" s="37" t="s">
        <v>77</v>
      </c>
      <c r="E467" s="68" t="s">
        <v>1791</v>
      </c>
      <c r="F467" s="31">
        <v>576</v>
      </c>
      <c r="G467" s="31"/>
      <c r="H467" s="31">
        <f>Cty_Viet_Anh[[#This Row],[ĐƠN GIÁ]]*Cty_Viet_Anh[[#This Row],[SỐ LƯỢNG]]</f>
        <v>0</v>
      </c>
      <c r="I467" s="31"/>
      <c r="J467" s="31">
        <f ca="1">N(INDIRECT("R[-1]C", FALSE)) + Cty_Viet_Anh[[#This Row],[THÀNH TIỀN]] - Cty_Viet_Anh[[#This Row],[THANH TOÁN]]</f>
        <v>-92312299.999999985</v>
      </c>
      <c r="K467" s="133" t="s">
        <v>1792</v>
      </c>
    </row>
    <row r="468" spans="1:11" x14ac:dyDescent="0.25">
      <c r="A468" s="22">
        <v>8953</v>
      </c>
      <c r="B468" s="29">
        <v>46135</v>
      </c>
      <c r="C468" s="23" t="s">
        <v>49</v>
      </c>
      <c r="D468" s="37" t="s">
        <v>77</v>
      </c>
      <c r="E468" s="68" t="s">
        <v>249</v>
      </c>
      <c r="F468" s="31">
        <v>406</v>
      </c>
      <c r="G468" s="31"/>
      <c r="H468" s="31">
        <f>Cty_Viet_Anh[[#This Row],[ĐƠN GIÁ]]*Cty_Viet_Anh[[#This Row],[SỐ LƯỢNG]]</f>
        <v>0</v>
      </c>
      <c r="I468" s="31"/>
      <c r="J468" s="31">
        <f ca="1">N(INDIRECT("R[-1]C", FALSE)) + Cty_Viet_Anh[[#This Row],[THÀNH TIỀN]] - Cty_Viet_Anh[[#This Row],[THANH TOÁN]]</f>
        <v>-92312299.999999985</v>
      </c>
      <c r="K468" s="133"/>
    </row>
    <row r="469" spans="1:11" x14ac:dyDescent="0.25">
      <c r="A469" s="22">
        <v>8960</v>
      </c>
      <c r="B469" s="29">
        <v>46135</v>
      </c>
      <c r="C469" s="23" t="s">
        <v>49</v>
      </c>
      <c r="D469" s="37" t="s">
        <v>17</v>
      </c>
      <c r="E469" s="68" t="s">
        <v>146</v>
      </c>
      <c r="F469" s="31">
        <v>1354</v>
      </c>
      <c r="G469" s="31"/>
      <c r="H469" s="31">
        <f>Cty_Viet_Anh[[#This Row],[ĐƠN GIÁ]]*Cty_Viet_Anh[[#This Row],[SỐ LƯỢNG]]</f>
        <v>0</v>
      </c>
      <c r="I469" s="31"/>
      <c r="J469" s="31">
        <f ca="1">N(INDIRECT("R[-1]C", FALSE)) + Cty_Viet_Anh[[#This Row],[THÀNH TIỀN]] - Cty_Viet_Anh[[#This Row],[THANH TOÁN]]</f>
        <v>-92312299.999999985</v>
      </c>
      <c r="K469" s="133" t="s">
        <v>1740</v>
      </c>
    </row>
    <row r="470" spans="1:11" x14ac:dyDescent="0.25">
      <c r="A470" s="22">
        <v>8971</v>
      </c>
      <c r="B470" s="29">
        <v>46135</v>
      </c>
      <c r="C470" s="23" t="s">
        <v>49</v>
      </c>
      <c r="D470" s="37" t="s">
        <v>32</v>
      </c>
      <c r="E470" s="68" t="s">
        <v>40</v>
      </c>
      <c r="F470" s="31">
        <v>4990</v>
      </c>
      <c r="G470" s="31"/>
      <c r="H470" s="31">
        <f>Cty_Viet_Anh[[#This Row],[ĐƠN GIÁ]]*Cty_Viet_Anh[[#This Row],[SỐ LƯỢNG]]</f>
        <v>0</v>
      </c>
      <c r="I470" s="31"/>
      <c r="J470" s="31">
        <f ca="1">N(INDIRECT("R[-1]C", FALSE)) + Cty_Viet_Anh[[#This Row],[THÀNH TIỀN]] - Cty_Viet_Anh[[#This Row],[THANH TOÁN]]</f>
        <v>-92312299.999999985</v>
      </c>
      <c r="K470" s="133" t="s">
        <v>1801</v>
      </c>
    </row>
    <row r="471" spans="1:11" x14ac:dyDescent="0.25">
      <c r="A471" s="22">
        <v>8974</v>
      </c>
      <c r="B471" s="29">
        <v>46135</v>
      </c>
      <c r="C471" s="23" t="s">
        <v>49</v>
      </c>
      <c r="D471" s="37" t="s">
        <v>14</v>
      </c>
      <c r="E471" s="68" t="s">
        <v>62</v>
      </c>
      <c r="F471" s="31">
        <v>2994</v>
      </c>
      <c r="G471" s="31"/>
      <c r="H471" s="31">
        <f>Cty_Viet_Anh[[#This Row],[ĐƠN GIÁ]]*Cty_Viet_Anh[[#This Row],[SỐ LƯỢNG]]</f>
        <v>0</v>
      </c>
      <c r="I471" s="31"/>
      <c r="J471" s="31">
        <f ca="1">N(INDIRECT("R[-1]C", FALSE)) + Cty_Viet_Anh[[#This Row],[THÀNH TIỀN]] - Cty_Viet_Anh[[#This Row],[THANH TOÁN]]</f>
        <v>-92312299.999999985</v>
      </c>
      <c r="K471" s="133" t="s">
        <v>1803</v>
      </c>
    </row>
    <row r="472" spans="1:11" x14ac:dyDescent="0.25">
      <c r="A472" s="22">
        <v>5161</v>
      </c>
      <c r="B472" s="29">
        <v>46136</v>
      </c>
      <c r="C472" s="23" t="s">
        <v>84</v>
      </c>
      <c r="D472" s="37" t="s">
        <v>540</v>
      </c>
      <c r="E472" s="68" t="s">
        <v>33</v>
      </c>
      <c r="F472" s="31">
        <v>1484</v>
      </c>
      <c r="G472" s="31">
        <v>-500</v>
      </c>
      <c r="H472" s="31">
        <f>Cty_Viet_Anh[[#This Row],[ĐƠN GIÁ]]*Cty_Viet_Anh[[#This Row],[SỐ LƯỢNG]]</f>
        <v>-742000</v>
      </c>
      <c r="I472" s="31"/>
      <c r="J472" s="31">
        <f ca="1">N(INDIRECT("R[-1]C", FALSE)) + Cty_Viet_Anh[[#This Row],[THÀNH TIỀN]] - Cty_Viet_Anh[[#This Row],[THANH TOÁN]]</f>
        <v>-93054299.999999985</v>
      </c>
      <c r="K472" s="133"/>
    </row>
    <row r="473" spans="1:11" x14ac:dyDescent="0.25">
      <c r="A473" s="22">
        <v>5161</v>
      </c>
      <c r="B473" s="29">
        <v>46136</v>
      </c>
      <c r="C473" s="23" t="s">
        <v>84</v>
      </c>
      <c r="D473" s="37" t="s">
        <v>540</v>
      </c>
      <c r="E473" s="68" t="s">
        <v>25</v>
      </c>
      <c r="F473" s="31">
        <v>1976</v>
      </c>
      <c r="G473" s="31">
        <v>-500</v>
      </c>
      <c r="H473" s="31">
        <f>Cty_Viet_Anh[[#This Row],[ĐƠN GIÁ]]*Cty_Viet_Anh[[#This Row],[SỐ LƯỢNG]]</f>
        <v>-988000</v>
      </c>
      <c r="I473" s="31"/>
      <c r="J473" s="31">
        <f ca="1">N(INDIRECT("R[-1]C", FALSE)) + Cty_Viet_Anh[[#This Row],[THÀNH TIỀN]] - Cty_Viet_Anh[[#This Row],[THANH TOÁN]]</f>
        <v>-94042299.999999985</v>
      </c>
      <c r="K473" s="133"/>
    </row>
    <row r="474" spans="1:11" x14ac:dyDescent="0.25">
      <c r="A474" s="22">
        <v>5161</v>
      </c>
      <c r="B474" s="29">
        <v>46136</v>
      </c>
      <c r="C474" s="23" t="s">
        <v>426</v>
      </c>
      <c r="D474" s="37" t="s">
        <v>540</v>
      </c>
      <c r="E474" s="68" t="s">
        <v>40</v>
      </c>
      <c r="F474" s="31">
        <v>1562</v>
      </c>
      <c r="G474" s="31"/>
      <c r="H474" s="31">
        <f>Cty_Viet_Anh[[#This Row],[ĐƠN GIÁ]]*Cty_Viet_Anh[[#This Row],[SỐ LƯỢNG]]</f>
        <v>0</v>
      </c>
      <c r="I474" s="31"/>
      <c r="J474" s="31">
        <f ca="1">N(INDIRECT("R[-1]C", FALSE)) + Cty_Viet_Anh[[#This Row],[THÀNH TIỀN]] - Cty_Viet_Anh[[#This Row],[THANH TOÁN]]</f>
        <v>-94042299.999999985</v>
      </c>
      <c r="K474" s="133"/>
    </row>
    <row r="475" spans="1:11" x14ac:dyDescent="0.25">
      <c r="A475" s="22">
        <v>5161</v>
      </c>
      <c r="B475" s="29">
        <v>46136</v>
      </c>
      <c r="C475" s="23" t="s">
        <v>84</v>
      </c>
      <c r="D475" s="37" t="s">
        <v>277</v>
      </c>
      <c r="E475" s="68" t="s">
        <v>46</v>
      </c>
      <c r="F475" s="31">
        <v>930</v>
      </c>
      <c r="G475" s="31">
        <v>-500</v>
      </c>
      <c r="H475" s="31">
        <f>Cty_Viet_Anh[[#This Row],[ĐƠN GIÁ]]*Cty_Viet_Anh[[#This Row],[SỐ LƯỢNG]]</f>
        <v>-465000</v>
      </c>
      <c r="I475" s="31"/>
      <c r="J475" s="31">
        <f ca="1">N(INDIRECT("R[-1]C", FALSE)) + Cty_Viet_Anh[[#This Row],[THÀNH TIỀN]] - Cty_Viet_Anh[[#This Row],[THANH TOÁN]]</f>
        <v>-94507299.999999985</v>
      </c>
      <c r="K475" s="133"/>
    </row>
    <row r="476" spans="1:11" x14ac:dyDescent="0.25">
      <c r="A476" s="22">
        <v>5257</v>
      </c>
      <c r="B476" s="29">
        <v>46136</v>
      </c>
      <c r="C476" s="23" t="s">
        <v>84</v>
      </c>
      <c r="D476" s="37" t="s">
        <v>277</v>
      </c>
      <c r="E476" s="68" t="s">
        <v>446</v>
      </c>
      <c r="F476" s="31">
        <v>658</v>
      </c>
      <c r="G476" s="31">
        <v>-500</v>
      </c>
      <c r="H476" s="31">
        <f>Cty_Viet_Anh[[#This Row],[ĐƠN GIÁ]]*Cty_Viet_Anh[[#This Row],[SỐ LƯỢNG]]</f>
        <v>-329000</v>
      </c>
      <c r="I476" s="31"/>
      <c r="J476" s="31">
        <f ca="1">N(INDIRECT("R[-1]C", FALSE)) + Cty_Viet_Anh[[#This Row],[THÀNH TIỀN]] - Cty_Viet_Anh[[#This Row],[THANH TOÁN]]</f>
        <v>-94836299.999999985</v>
      </c>
      <c r="K476" s="133"/>
    </row>
    <row r="477" spans="1:11" x14ac:dyDescent="0.25">
      <c r="A477" s="22">
        <v>5262</v>
      </c>
      <c r="B477" s="29">
        <v>46136</v>
      </c>
      <c r="C477" s="23" t="s">
        <v>84</v>
      </c>
      <c r="D477" s="37" t="s">
        <v>93</v>
      </c>
      <c r="E477" s="68" t="s">
        <v>62</v>
      </c>
      <c r="F477" s="31">
        <v>2964</v>
      </c>
      <c r="G477" s="31">
        <v>-500</v>
      </c>
      <c r="H477" s="31">
        <f>Cty_Viet_Anh[[#This Row],[ĐƠN GIÁ]]*Cty_Viet_Anh[[#This Row],[SỐ LƯỢNG]]</f>
        <v>-1482000</v>
      </c>
      <c r="I477" s="31"/>
      <c r="J477" s="31">
        <f ca="1">N(INDIRECT("R[-1]C", FALSE)) + Cty_Viet_Anh[[#This Row],[THÀNH TIỀN]] - Cty_Viet_Anh[[#This Row],[THANH TOÁN]]</f>
        <v>-96318299.999999985</v>
      </c>
      <c r="K477" s="133"/>
    </row>
    <row r="478" spans="1:11" x14ac:dyDescent="0.25">
      <c r="A478" s="22">
        <v>8976</v>
      </c>
      <c r="B478" s="29">
        <v>46136</v>
      </c>
      <c r="C478" s="23" t="s">
        <v>49</v>
      </c>
      <c r="D478" s="37" t="s">
        <v>17</v>
      </c>
      <c r="E478" s="68" t="s">
        <v>469</v>
      </c>
      <c r="F478" s="31">
        <v>5916</v>
      </c>
      <c r="G478" s="31"/>
      <c r="H478" s="31">
        <f>Cty_Viet_Anh[[#This Row],[ĐƠN GIÁ]]*Cty_Viet_Anh[[#This Row],[SỐ LƯỢNG]]</f>
        <v>0</v>
      </c>
      <c r="I478" s="31"/>
      <c r="J478" s="31">
        <f ca="1">N(INDIRECT("R[-1]C", FALSE)) + Cty_Viet_Anh[[#This Row],[THÀNH TIỀN]] - Cty_Viet_Anh[[#This Row],[THANH TOÁN]]</f>
        <v>-96318299.999999985</v>
      </c>
      <c r="K478" s="133" t="s">
        <v>1806</v>
      </c>
    </row>
    <row r="479" spans="1:11" x14ac:dyDescent="0.25">
      <c r="A479" s="22">
        <v>8976</v>
      </c>
      <c r="B479" s="29">
        <v>46136</v>
      </c>
      <c r="C479" s="23" t="s">
        <v>49</v>
      </c>
      <c r="D479" s="37" t="s">
        <v>26</v>
      </c>
      <c r="E479" s="68" t="s">
        <v>249</v>
      </c>
      <c r="F479" s="31">
        <v>406</v>
      </c>
      <c r="G479" s="31"/>
      <c r="H479" s="31">
        <f>Cty_Viet_Anh[[#This Row],[ĐƠN GIÁ]]*Cty_Viet_Anh[[#This Row],[SỐ LƯỢNG]]</f>
        <v>0</v>
      </c>
      <c r="I479" s="31"/>
      <c r="J479" s="31">
        <f ca="1">N(INDIRECT("R[-1]C", FALSE)) + Cty_Viet_Anh[[#This Row],[THÀNH TIỀN]] - Cty_Viet_Anh[[#This Row],[THANH TOÁN]]</f>
        <v>-96318299.999999985</v>
      </c>
      <c r="K479" s="133" t="s">
        <v>1807</v>
      </c>
    </row>
    <row r="480" spans="1:11" x14ac:dyDescent="0.25">
      <c r="A480" s="22">
        <v>8988</v>
      </c>
      <c r="B480" s="29">
        <v>46136</v>
      </c>
      <c r="C480" s="23" t="s">
        <v>49</v>
      </c>
      <c r="D480" s="37" t="s">
        <v>43</v>
      </c>
      <c r="E480" s="68" t="s">
        <v>136</v>
      </c>
      <c r="F480" s="31">
        <v>3106</v>
      </c>
      <c r="G480" s="31"/>
      <c r="H480" s="31">
        <f>Cty_Viet_Anh[[#This Row],[ĐƠN GIÁ]]*Cty_Viet_Anh[[#This Row],[SỐ LƯỢNG]]</f>
        <v>0</v>
      </c>
      <c r="I480" s="31"/>
      <c r="J480" s="31">
        <f ca="1">N(INDIRECT("R[-1]C", FALSE)) + Cty_Viet_Anh[[#This Row],[THÀNH TIỀN]] - Cty_Viet_Anh[[#This Row],[THANH TOÁN]]</f>
        <v>-96318299.999999985</v>
      </c>
      <c r="K480" s="133" t="s">
        <v>1813</v>
      </c>
    </row>
    <row r="481" spans="1:11" x14ac:dyDescent="0.25">
      <c r="A481" s="22">
        <v>8999</v>
      </c>
      <c r="B481" s="29">
        <v>46136</v>
      </c>
      <c r="C481" s="23" t="s">
        <v>49</v>
      </c>
      <c r="D481" s="37" t="s">
        <v>26</v>
      </c>
      <c r="E481" s="68" t="s">
        <v>148</v>
      </c>
      <c r="F481" s="31">
        <v>5570</v>
      </c>
      <c r="G481" s="31"/>
      <c r="H481" s="31">
        <f>Cty_Viet_Anh[[#This Row],[ĐƠN GIÁ]]*Cty_Viet_Anh[[#This Row],[SỐ LƯỢNG]]</f>
        <v>0</v>
      </c>
      <c r="I481" s="31"/>
      <c r="J481" s="31">
        <f ca="1">N(INDIRECT("R[-1]C", FALSE)) + Cty_Viet_Anh[[#This Row],[THÀNH TIỀN]] - Cty_Viet_Anh[[#This Row],[THANH TOÁN]]</f>
        <v>-96318299.999999985</v>
      </c>
      <c r="K481" s="133" t="s">
        <v>1819</v>
      </c>
    </row>
    <row r="482" spans="1:11" x14ac:dyDescent="0.25">
      <c r="A482" s="22">
        <v>9008</v>
      </c>
      <c r="B482" s="29">
        <v>46136</v>
      </c>
      <c r="C482" s="23" t="s">
        <v>49</v>
      </c>
      <c r="D482" s="37" t="s">
        <v>45</v>
      </c>
      <c r="E482" s="68" t="s">
        <v>487</v>
      </c>
      <c r="F482" s="31">
        <v>6472</v>
      </c>
      <c r="G482" s="31"/>
      <c r="H482" s="31">
        <f>Cty_Viet_Anh[[#This Row],[ĐƠN GIÁ]]*Cty_Viet_Anh[[#This Row],[SỐ LƯỢNG]]</f>
        <v>0</v>
      </c>
      <c r="I482" s="31"/>
      <c r="J482" s="31">
        <f ca="1">N(INDIRECT("R[-1]C", FALSE)) + Cty_Viet_Anh[[#This Row],[THÀNH TIỀN]] - Cty_Viet_Anh[[#This Row],[THANH TOÁN]]</f>
        <v>-96318299.999999985</v>
      </c>
      <c r="K482" s="133" t="s">
        <v>1824</v>
      </c>
    </row>
    <row r="483" spans="1:11" x14ac:dyDescent="0.25">
      <c r="A483" s="22">
        <v>2768</v>
      </c>
      <c r="B483" s="29">
        <v>46137</v>
      </c>
      <c r="C483" s="23" t="s">
        <v>84</v>
      </c>
      <c r="D483" s="37" t="s">
        <v>26</v>
      </c>
      <c r="E483" s="68" t="s">
        <v>148</v>
      </c>
      <c r="F483" s="31">
        <v>3502</v>
      </c>
      <c r="G483" s="31">
        <v>-500</v>
      </c>
      <c r="H483" s="31">
        <f>Cty_Viet_Anh[[#This Row],[ĐƠN GIÁ]]*Cty_Viet_Anh[[#This Row],[SỐ LƯỢNG]]</f>
        <v>-1751000</v>
      </c>
      <c r="I483" s="31"/>
      <c r="J483" s="31">
        <f ca="1">N(INDIRECT("R[-1]C", FALSE)) + Cty_Viet_Anh[[#This Row],[THÀNH TIỀN]] - Cty_Viet_Anh[[#This Row],[THANH TOÁN]]</f>
        <v>-98069299.999999985</v>
      </c>
      <c r="K483" s="133"/>
    </row>
    <row r="484" spans="1:11" x14ac:dyDescent="0.25">
      <c r="A484" s="22">
        <v>2768</v>
      </c>
      <c r="B484" s="29">
        <v>46137</v>
      </c>
      <c r="C484" s="23" t="s">
        <v>426</v>
      </c>
      <c r="D484" s="37" t="s">
        <v>659</v>
      </c>
      <c r="E484" s="68" t="s">
        <v>148</v>
      </c>
      <c r="F484" s="31">
        <v>2074</v>
      </c>
      <c r="G484" s="31"/>
      <c r="H484" s="31">
        <f>Cty_Viet_Anh[[#This Row],[ĐƠN GIÁ]]*Cty_Viet_Anh[[#This Row],[SỐ LƯỢNG]]</f>
        <v>0</v>
      </c>
      <c r="I484" s="31"/>
      <c r="J484" s="31">
        <f ca="1">N(INDIRECT("R[-1]C", FALSE)) + Cty_Viet_Anh[[#This Row],[THÀNH TIỀN]] - Cty_Viet_Anh[[#This Row],[THANH TOÁN]]</f>
        <v>-98069299.999999985</v>
      </c>
      <c r="K484" s="133"/>
    </row>
    <row r="485" spans="1:11" x14ac:dyDescent="0.25">
      <c r="A485" s="22">
        <v>5265</v>
      </c>
      <c r="B485" s="29">
        <v>46137</v>
      </c>
      <c r="C485" s="23" t="s">
        <v>84</v>
      </c>
      <c r="D485" s="37" t="s">
        <v>93</v>
      </c>
      <c r="E485" s="68" t="s">
        <v>136</v>
      </c>
      <c r="F485" s="31">
        <v>1088</v>
      </c>
      <c r="G485" s="31">
        <v>-500</v>
      </c>
      <c r="H485" s="31">
        <f>Cty_Viet_Anh[[#This Row],[ĐƠN GIÁ]]*Cty_Viet_Anh[[#This Row],[SỐ LƯỢNG]]</f>
        <v>-544000</v>
      </c>
      <c r="I485" s="31"/>
      <c r="J485" s="31">
        <f ca="1">N(INDIRECT("R[-1]C", FALSE)) + Cty_Viet_Anh[[#This Row],[THÀNH TIỀN]] - Cty_Viet_Anh[[#This Row],[THANH TOÁN]]</f>
        <v>-98613299.999999985</v>
      </c>
      <c r="K485" s="133"/>
    </row>
    <row r="486" spans="1:11" x14ac:dyDescent="0.25">
      <c r="A486" s="22">
        <v>5265</v>
      </c>
      <c r="B486" s="29">
        <v>46137</v>
      </c>
      <c r="C486" s="23" t="s">
        <v>84</v>
      </c>
      <c r="D486" s="37" t="s">
        <v>93</v>
      </c>
      <c r="E486" s="68" t="s">
        <v>40</v>
      </c>
      <c r="F486" s="31">
        <v>2944</v>
      </c>
      <c r="G486" s="31">
        <v>-500</v>
      </c>
      <c r="H486" s="31">
        <f>Cty_Viet_Anh[[#This Row],[ĐƠN GIÁ]]*Cty_Viet_Anh[[#This Row],[SỐ LƯỢNG]]</f>
        <v>-1472000</v>
      </c>
      <c r="I486" s="31"/>
      <c r="J486" s="31">
        <f ca="1">N(INDIRECT("R[-1]C", FALSE)) + Cty_Viet_Anh[[#This Row],[THÀNH TIỀN]] - Cty_Viet_Anh[[#This Row],[THANH TOÁN]]</f>
        <v>-100085299.99999999</v>
      </c>
      <c r="K486" s="133"/>
    </row>
    <row r="487" spans="1:11" x14ac:dyDescent="0.25">
      <c r="A487" s="22">
        <v>5265</v>
      </c>
      <c r="B487" s="29">
        <v>46137</v>
      </c>
      <c r="C487" s="23" t="s">
        <v>84</v>
      </c>
      <c r="D487" s="37" t="s">
        <v>93</v>
      </c>
      <c r="E487" s="68" t="s">
        <v>662</v>
      </c>
      <c r="F487" s="31">
        <v>4340</v>
      </c>
      <c r="G487" s="31">
        <v>-500</v>
      </c>
      <c r="H487" s="31">
        <f>Cty_Viet_Anh[[#This Row],[ĐƠN GIÁ]]*Cty_Viet_Anh[[#This Row],[SỐ LƯỢNG]]</f>
        <v>-2170000</v>
      </c>
      <c r="I487" s="31"/>
      <c r="J487" s="31">
        <f ca="1">N(INDIRECT("R[-1]C", FALSE)) + Cty_Viet_Anh[[#This Row],[THÀNH TIỀN]] - Cty_Viet_Anh[[#This Row],[THANH TOÁN]]</f>
        <v>-102255299.99999999</v>
      </c>
      <c r="K487" s="133"/>
    </row>
    <row r="488" spans="1:11" x14ac:dyDescent="0.25">
      <c r="A488" s="22">
        <v>5266</v>
      </c>
      <c r="B488" s="29">
        <v>46137</v>
      </c>
      <c r="C488" s="23" t="s">
        <v>84</v>
      </c>
      <c r="D488" s="37" t="s">
        <v>520</v>
      </c>
      <c r="E488" s="68" t="s">
        <v>663</v>
      </c>
      <c r="F488" s="31">
        <v>2180</v>
      </c>
      <c r="G488" s="31">
        <v>-1000</v>
      </c>
      <c r="H488" s="31">
        <f>Cty_Viet_Anh[[#This Row],[ĐƠN GIÁ]]*Cty_Viet_Anh[[#This Row],[SỐ LƯỢNG]]</f>
        <v>-2180000</v>
      </c>
      <c r="I488" s="31"/>
      <c r="J488" s="31">
        <f ca="1">N(INDIRECT("R[-1]C", FALSE)) + Cty_Viet_Anh[[#This Row],[THÀNH TIỀN]] - Cty_Viet_Anh[[#This Row],[THANH TOÁN]]</f>
        <v>-104435299.99999999</v>
      </c>
      <c r="K488" s="133"/>
    </row>
    <row r="489" spans="1:11" x14ac:dyDescent="0.25">
      <c r="A489" s="22">
        <v>5267</v>
      </c>
      <c r="B489" s="29">
        <v>46137</v>
      </c>
      <c r="C489" s="23" t="s">
        <v>84</v>
      </c>
      <c r="D489" s="37" t="s">
        <v>93</v>
      </c>
      <c r="E489" s="68" t="s">
        <v>469</v>
      </c>
      <c r="F489" s="31">
        <v>1500</v>
      </c>
      <c r="G489" s="31">
        <v>-500</v>
      </c>
      <c r="H489" s="31">
        <f>Cty_Viet_Anh[[#This Row],[ĐƠN GIÁ]]*Cty_Viet_Anh[[#This Row],[SỐ LƯỢNG]]</f>
        <v>-750000</v>
      </c>
      <c r="I489" s="31"/>
      <c r="J489" s="31">
        <f ca="1">N(INDIRECT("R[-1]C", FALSE)) + Cty_Viet_Anh[[#This Row],[THÀNH TIỀN]] - Cty_Viet_Anh[[#This Row],[THANH TOÁN]]</f>
        <v>-105185299.99999999</v>
      </c>
      <c r="K489" s="133"/>
    </row>
    <row r="490" spans="1:11" x14ac:dyDescent="0.25">
      <c r="A490" s="22">
        <v>5267</v>
      </c>
      <c r="B490" s="29">
        <v>46137</v>
      </c>
      <c r="C490" s="23" t="s">
        <v>84</v>
      </c>
      <c r="D490" s="37" t="s">
        <v>93</v>
      </c>
      <c r="E490" s="68" t="s">
        <v>46</v>
      </c>
      <c r="F490" s="31">
        <v>2118</v>
      </c>
      <c r="G490" s="31">
        <v>-500</v>
      </c>
      <c r="H490" s="31">
        <f>Cty_Viet_Anh[[#This Row],[ĐƠN GIÁ]]*Cty_Viet_Anh[[#This Row],[SỐ LƯỢNG]]</f>
        <v>-1059000</v>
      </c>
      <c r="I490" s="31"/>
      <c r="J490" s="31">
        <f ca="1">N(INDIRECT("R[-1]C", FALSE)) + Cty_Viet_Anh[[#This Row],[THÀNH TIỀN]] - Cty_Viet_Anh[[#This Row],[THANH TOÁN]]</f>
        <v>-106244299.99999999</v>
      </c>
      <c r="K490" s="133"/>
    </row>
    <row r="491" spans="1:11" x14ac:dyDescent="0.25">
      <c r="A491" s="25">
        <v>5267</v>
      </c>
      <c r="B491" s="30">
        <v>46137</v>
      </c>
      <c r="C491" s="26" t="s">
        <v>84</v>
      </c>
      <c r="D491" s="38" t="s">
        <v>93</v>
      </c>
      <c r="E491" s="67" t="s">
        <v>502</v>
      </c>
      <c r="F491" s="28">
        <v>1082</v>
      </c>
      <c r="G491" s="28">
        <v>-500</v>
      </c>
      <c r="H491" s="28">
        <f>Cty_Viet_Anh[[#This Row],[ĐƠN GIÁ]]*Cty_Viet_Anh[[#This Row],[SỐ LƯỢNG]]</f>
        <v>-541000</v>
      </c>
      <c r="I491" s="28"/>
      <c r="J491" s="28">
        <f ca="1">N(INDIRECT("R[-1]C", FALSE)) + Cty_Viet_Anh[[#This Row],[THÀNH TIỀN]] - Cty_Viet_Anh[[#This Row],[THANH TOÁN]]</f>
        <v>-106785299.99999999</v>
      </c>
      <c r="K491" s="153"/>
    </row>
    <row r="492" spans="1:11" x14ac:dyDescent="0.25">
      <c r="A492" s="22">
        <v>9011</v>
      </c>
      <c r="B492" s="29">
        <v>46137</v>
      </c>
      <c r="C492" s="23" t="s">
        <v>49</v>
      </c>
      <c r="D492" s="37" t="s">
        <v>26</v>
      </c>
      <c r="E492" s="68" t="s">
        <v>148</v>
      </c>
      <c r="F492" s="31">
        <v>5361</v>
      </c>
      <c r="G492" s="31"/>
      <c r="H492" s="31">
        <f>Cty_Viet_Anh[[#This Row],[ĐƠN GIÁ]]*Cty_Viet_Anh[[#This Row],[SỐ LƯỢNG]]</f>
        <v>0</v>
      </c>
      <c r="I492" s="31"/>
      <c r="J492" s="31">
        <f ca="1">N(INDIRECT("R[-1]C", FALSE)) + Cty_Viet_Anh[[#This Row],[THÀNH TIỀN]] - Cty_Viet_Anh[[#This Row],[THANH TOÁN]]</f>
        <v>-106785299.99999999</v>
      </c>
      <c r="K492" s="133" t="s">
        <v>1828</v>
      </c>
    </row>
    <row r="493" spans="1:11" x14ac:dyDescent="0.25">
      <c r="A493" s="22">
        <v>9012</v>
      </c>
      <c r="B493" s="29">
        <v>46137</v>
      </c>
      <c r="C493" s="23" t="s">
        <v>49</v>
      </c>
      <c r="D493" s="37" t="s">
        <v>17</v>
      </c>
      <c r="E493" s="68" t="s">
        <v>469</v>
      </c>
      <c r="F493" s="31">
        <v>916</v>
      </c>
      <c r="G493" s="31"/>
      <c r="H493" s="31">
        <f>Cty_Viet_Anh[[#This Row],[ĐƠN GIÁ]]*Cty_Viet_Anh[[#This Row],[SỐ LƯỢNG]]</f>
        <v>0</v>
      </c>
      <c r="I493" s="31"/>
      <c r="J493" s="31">
        <f ca="1">N(INDIRECT("R[-1]C", FALSE)) + Cty_Viet_Anh[[#This Row],[THÀNH TIỀN]] - Cty_Viet_Anh[[#This Row],[THANH TOÁN]]</f>
        <v>-106785299.99999999</v>
      </c>
      <c r="K493" s="133" t="s">
        <v>1829</v>
      </c>
    </row>
    <row r="494" spans="1:11" x14ac:dyDescent="0.25">
      <c r="A494" s="22">
        <v>9012</v>
      </c>
      <c r="B494" s="29">
        <v>46137</v>
      </c>
      <c r="C494" s="23" t="s">
        <v>49</v>
      </c>
      <c r="D494" s="37" t="s">
        <v>17</v>
      </c>
      <c r="E494" s="68" t="s">
        <v>469</v>
      </c>
      <c r="F494" s="31">
        <v>413</v>
      </c>
      <c r="G494" s="31"/>
      <c r="H494" s="31">
        <f>Cty_Viet_Anh[[#This Row],[ĐƠN GIÁ]]*Cty_Viet_Anh[[#This Row],[SỐ LƯỢNG]]</f>
        <v>0</v>
      </c>
      <c r="I494" s="31"/>
      <c r="J494" s="31">
        <f ca="1">N(INDIRECT("R[-1]C", FALSE)) + Cty_Viet_Anh[[#This Row],[THÀNH TIỀN]] - Cty_Viet_Anh[[#This Row],[THANH TOÁN]]</f>
        <v>-106785299.99999999</v>
      </c>
      <c r="K494" s="133" t="s">
        <v>1830</v>
      </c>
    </row>
    <row r="495" spans="1:11" x14ac:dyDescent="0.25">
      <c r="A495" s="22">
        <v>2774</v>
      </c>
      <c r="B495" s="29">
        <v>46139</v>
      </c>
      <c r="C495" s="23" t="s">
        <v>84</v>
      </c>
      <c r="D495" s="37" t="s">
        <v>26</v>
      </c>
      <c r="E495" s="68" t="s">
        <v>148</v>
      </c>
      <c r="F495" s="31">
        <v>1018</v>
      </c>
      <c r="G495" s="31">
        <v>-500</v>
      </c>
      <c r="H495" s="31">
        <f>Cty_Viet_Anh[[#This Row],[ĐƠN GIÁ]]*Cty_Viet_Anh[[#This Row],[SỐ LƯỢNG]]</f>
        <v>-509000</v>
      </c>
      <c r="I495" s="31"/>
      <c r="J495" s="31">
        <f ca="1">N(INDIRECT("R[-1]C", FALSE)) + Cty_Viet_Anh[[#This Row],[THÀNH TIỀN]] - Cty_Viet_Anh[[#This Row],[THANH TOÁN]]</f>
        <v>-107294299.99999999</v>
      </c>
      <c r="K495" s="133"/>
    </row>
    <row r="496" spans="1:11" x14ac:dyDescent="0.25">
      <c r="A496" s="22">
        <v>5264</v>
      </c>
      <c r="B496" s="29">
        <v>46139</v>
      </c>
      <c r="C496" s="23" t="s">
        <v>84</v>
      </c>
      <c r="D496" s="37" t="s">
        <v>277</v>
      </c>
      <c r="E496" s="68" t="s">
        <v>40</v>
      </c>
      <c r="F496" s="31">
        <v>1352</v>
      </c>
      <c r="G496" s="31">
        <v>-500</v>
      </c>
      <c r="H496" s="31">
        <f>Cty_Viet_Anh[[#This Row],[ĐƠN GIÁ]]*Cty_Viet_Anh[[#This Row],[SỐ LƯỢNG]]</f>
        <v>-676000</v>
      </c>
      <c r="I496" s="31"/>
      <c r="J496" s="31">
        <f ca="1">N(INDIRECT("R[-1]C", FALSE)) + Cty_Viet_Anh[[#This Row],[THÀNH TIỀN]] - Cty_Viet_Anh[[#This Row],[THANH TOÁN]]</f>
        <v>-107970299.99999999</v>
      </c>
      <c r="K496" s="133"/>
    </row>
    <row r="497" spans="1:11" x14ac:dyDescent="0.25">
      <c r="A497" s="22">
        <v>5264</v>
      </c>
      <c r="B497" s="29">
        <v>46139</v>
      </c>
      <c r="C497" s="23" t="s">
        <v>84</v>
      </c>
      <c r="D497" s="37" t="s">
        <v>277</v>
      </c>
      <c r="E497" s="68" t="s">
        <v>664</v>
      </c>
      <c r="F497" s="31">
        <v>1890</v>
      </c>
      <c r="G497" s="31">
        <v>-500</v>
      </c>
      <c r="H497" s="31">
        <f>Cty_Viet_Anh[[#This Row],[ĐƠN GIÁ]]*Cty_Viet_Anh[[#This Row],[SỐ LƯỢNG]]</f>
        <v>-945000</v>
      </c>
      <c r="I497" s="31"/>
      <c r="J497" s="31">
        <f ca="1">N(INDIRECT("R[-1]C", FALSE)) + Cty_Viet_Anh[[#This Row],[THÀNH TIỀN]] - Cty_Viet_Anh[[#This Row],[THANH TOÁN]]</f>
        <v>-108915299.99999999</v>
      </c>
      <c r="K497" s="133"/>
    </row>
    <row r="498" spans="1:11" x14ac:dyDescent="0.25">
      <c r="A498" s="25">
        <v>5268</v>
      </c>
      <c r="B498" s="30">
        <v>46139</v>
      </c>
      <c r="C498" s="26" t="s">
        <v>84</v>
      </c>
      <c r="D498" s="38" t="s">
        <v>93</v>
      </c>
      <c r="E498" s="67" t="s">
        <v>502</v>
      </c>
      <c r="F498" s="28">
        <v>6406</v>
      </c>
      <c r="G498" s="28">
        <v>-500</v>
      </c>
      <c r="H498" s="28">
        <f>Cty_Viet_Anh[[#This Row],[ĐƠN GIÁ]]*Cty_Viet_Anh[[#This Row],[SỐ LƯỢNG]]</f>
        <v>-3203000</v>
      </c>
      <c r="I498" s="28"/>
      <c r="J498" s="28">
        <f ca="1">N(INDIRECT("R[-1]C", FALSE)) + Cty_Viet_Anh[[#This Row],[THÀNH TIỀN]] - Cty_Viet_Anh[[#This Row],[THANH TOÁN]]</f>
        <v>-112118299.99999999</v>
      </c>
      <c r="K498" s="153"/>
    </row>
    <row r="499" spans="1:11" x14ac:dyDescent="0.25">
      <c r="A499" s="25">
        <v>5274</v>
      </c>
      <c r="B499" s="30">
        <v>46139</v>
      </c>
      <c r="C499" s="26" t="s">
        <v>84</v>
      </c>
      <c r="D499" s="38" t="s">
        <v>93</v>
      </c>
      <c r="E499" s="67" t="s">
        <v>40</v>
      </c>
      <c r="F499" s="28">
        <v>2844</v>
      </c>
      <c r="G499" s="28">
        <v>-500</v>
      </c>
      <c r="H499" s="28">
        <f>Cty_Viet_Anh[[#This Row],[ĐƠN GIÁ]]*Cty_Viet_Anh[[#This Row],[SỐ LƯỢNG]]</f>
        <v>-1422000</v>
      </c>
      <c r="I499" s="28"/>
      <c r="J499" s="28">
        <f ca="1">N(INDIRECT("R[-1]C", FALSE)) + Cty_Viet_Anh[[#This Row],[THÀNH TIỀN]] - Cty_Viet_Anh[[#This Row],[THANH TOÁN]]</f>
        <v>-113540299.99999999</v>
      </c>
      <c r="K499" s="153"/>
    </row>
    <row r="500" spans="1:11" x14ac:dyDescent="0.25">
      <c r="A500" s="25"/>
      <c r="B500" s="30">
        <v>46139</v>
      </c>
      <c r="C500" s="26" t="s">
        <v>654</v>
      </c>
      <c r="D500" s="38" t="s">
        <v>22</v>
      </c>
      <c r="E500" s="26" t="s">
        <v>2067</v>
      </c>
      <c r="F500" s="28">
        <v>0</v>
      </c>
      <c r="G500" s="28"/>
      <c r="H500" s="28">
        <f>Cty_Viet_Anh[[#This Row],[ĐƠN GIÁ]]*Cty_Viet_Anh[[#This Row],[SỐ LƯỢNG]]</f>
        <v>0</v>
      </c>
      <c r="I500" s="28">
        <v>-113520000</v>
      </c>
      <c r="J500" s="28">
        <f ca="1">N(INDIRECT("R[-1]C", FALSE)) + Cty_Viet_Anh[[#This Row],[THÀNH TIỀN]] - Cty_Viet_Anh[[#This Row],[THANH TOÁN]]</f>
        <v>-20299.999999985099</v>
      </c>
      <c r="K500" s="27">
        <v>-113520000</v>
      </c>
    </row>
    <row r="501" spans="1:11" x14ac:dyDescent="0.25">
      <c r="A501" s="25">
        <v>2780</v>
      </c>
      <c r="B501" s="30">
        <v>46140</v>
      </c>
      <c r="C501" s="26" t="s">
        <v>84</v>
      </c>
      <c r="D501" s="38" t="s">
        <v>26</v>
      </c>
      <c r="E501" s="67" t="s">
        <v>148</v>
      </c>
      <c r="F501" s="28">
        <v>580</v>
      </c>
      <c r="G501" s="28">
        <v>-862.06896551720001</v>
      </c>
      <c r="H501" s="28">
        <f>Cty_Viet_Anh[[#This Row],[ĐƠN GIÁ]]*Cty_Viet_Anh[[#This Row],[SỐ LƯỢNG]]</f>
        <v>-499999.99999997602</v>
      </c>
      <c r="I501" s="28"/>
      <c r="J501" s="28">
        <f ca="1">N(INDIRECT("R[-1]C", FALSE)) + Cty_Viet_Anh[[#This Row],[THÀNH TIỀN]] - Cty_Viet_Anh[[#This Row],[THANH TOÁN]]</f>
        <v>-520299.99999996112</v>
      </c>
      <c r="K501" s="153"/>
    </row>
    <row r="502" spans="1:11" x14ac:dyDescent="0.25">
      <c r="A502" s="25">
        <v>2782</v>
      </c>
      <c r="B502" s="30">
        <v>46140</v>
      </c>
      <c r="C502" s="26" t="s">
        <v>84</v>
      </c>
      <c r="D502" s="38" t="s">
        <v>265</v>
      </c>
      <c r="E502" s="67" t="s">
        <v>146</v>
      </c>
      <c r="F502" s="28">
        <v>1360</v>
      </c>
      <c r="G502" s="28">
        <v>-3300</v>
      </c>
      <c r="H502" s="28">
        <f>Cty_Viet_Anh[[#This Row],[ĐƠN GIÁ]]*Cty_Viet_Anh[[#This Row],[SỐ LƯỢNG]]</f>
        <v>-4488000</v>
      </c>
      <c r="I502" s="28"/>
      <c r="J502" s="28">
        <f ca="1">N(INDIRECT("R[-1]C", FALSE)) + Cty_Viet_Anh[[#This Row],[THÀNH TIỀN]] - Cty_Viet_Anh[[#This Row],[THANH TOÁN]]</f>
        <v>-5008299.9999999609</v>
      </c>
      <c r="K502" s="153"/>
    </row>
    <row r="503" spans="1:11" x14ac:dyDescent="0.25">
      <c r="A503" s="25">
        <v>2782</v>
      </c>
      <c r="B503" s="30">
        <v>46140</v>
      </c>
      <c r="C503" s="26" t="s">
        <v>426</v>
      </c>
      <c r="D503" s="38" t="s">
        <v>659</v>
      </c>
      <c r="E503" s="67" t="s">
        <v>148</v>
      </c>
      <c r="F503" s="28">
        <v>3783</v>
      </c>
      <c r="G503" s="28"/>
      <c r="H503" s="28">
        <f>Cty_Viet_Anh[[#This Row],[ĐƠN GIÁ]]*Cty_Viet_Anh[[#This Row],[SỐ LƯỢNG]]</f>
        <v>0</v>
      </c>
      <c r="I503" s="28"/>
      <c r="J503" s="28">
        <f ca="1">N(INDIRECT("R[-1]C", FALSE)) + Cty_Viet_Anh[[#This Row],[THÀNH TIỀN]] - Cty_Viet_Anh[[#This Row],[THANH TOÁN]]</f>
        <v>-5008299.9999999609</v>
      </c>
      <c r="K503" s="153"/>
    </row>
    <row r="504" spans="1:11" x14ac:dyDescent="0.25">
      <c r="A504" s="25">
        <v>5277</v>
      </c>
      <c r="B504" s="30">
        <v>46140</v>
      </c>
      <c r="C504" s="26" t="s">
        <v>84</v>
      </c>
      <c r="D504" s="38" t="s">
        <v>93</v>
      </c>
      <c r="E504" s="67" t="s">
        <v>40</v>
      </c>
      <c r="F504" s="28">
        <v>1184</v>
      </c>
      <c r="G504" s="28">
        <v>-500</v>
      </c>
      <c r="H504" s="28">
        <f>Cty_Viet_Anh[[#This Row],[ĐƠN GIÁ]]*Cty_Viet_Anh[[#This Row],[SỐ LƯỢNG]]</f>
        <v>-592000</v>
      </c>
      <c r="I504" s="28"/>
      <c r="J504" s="28">
        <f ca="1">N(INDIRECT("R[-1]C", FALSE)) + Cty_Viet_Anh[[#This Row],[THÀNH TIỀN]] - Cty_Viet_Anh[[#This Row],[THANH TOÁN]]</f>
        <v>-5600299.9999999609</v>
      </c>
      <c r="K504" s="153" t="s">
        <v>665</v>
      </c>
    </row>
    <row r="505" spans="1:11" x14ac:dyDescent="0.25">
      <c r="A505" s="25">
        <v>5277</v>
      </c>
      <c r="B505" s="30">
        <v>46140</v>
      </c>
      <c r="C505" s="26" t="s">
        <v>84</v>
      </c>
      <c r="D505" s="38" t="s">
        <v>93</v>
      </c>
      <c r="E505" s="67" t="s">
        <v>502</v>
      </c>
      <c r="F505" s="28">
        <v>6052</v>
      </c>
      <c r="G505" s="28">
        <v>-500</v>
      </c>
      <c r="H505" s="28">
        <f>Cty_Viet_Anh[[#This Row],[ĐƠN GIÁ]]*Cty_Viet_Anh[[#This Row],[SỐ LƯỢNG]]</f>
        <v>-3026000</v>
      </c>
      <c r="I505" s="28"/>
      <c r="J505" s="28">
        <f ca="1">N(INDIRECT("R[-1]C", FALSE)) + Cty_Viet_Anh[[#This Row],[THÀNH TIỀN]] - Cty_Viet_Anh[[#This Row],[THANH TOÁN]]</f>
        <v>-8626299.9999999609</v>
      </c>
      <c r="K505" s="153" t="s">
        <v>666</v>
      </c>
    </row>
    <row r="506" spans="1:11" x14ac:dyDescent="0.25">
      <c r="A506" s="25">
        <v>5277</v>
      </c>
      <c r="B506" s="30">
        <v>46140</v>
      </c>
      <c r="C506" s="26" t="s">
        <v>84</v>
      </c>
      <c r="D506" s="38" t="s">
        <v>93</v>
      </c>
      <c r="E506" s="67" t="s">
        <v>40</v>
      </c>
      <c r="F506" s="28">
        <v>2022</v>
      </c>
      <c r="G506" s="28">
        <v>-500</v>
      </c>
      <c r="H506" s="28">
        <f>Cty_Viet_Anh[[#This Row],[ĐƠN GIÁ]]*Cty_Viet_Anh[[#This Row],[SỐ LƯỢNG]]</f>
        <v>-1011000</v>
      </c>
      <c r="I506" s="28"/>
      <c r="J506" s="28">
        <f ca="1">N(INDIRECT("R[-1]C", FALSE)) + Cty_Viet_Anh[[#This Row],[THÀNH TIỀN]] - Cty_Viet_Anh[[#This Row],[THANH TOÁN]]</f>
        <v>-9637299.9999999609</v>
      </c>
      <c r="K506" s="153" t="s">
        <v>667</v>
      </c>
    </row>
    <row r="507" spans="1:11" x14ac:dyDescent="0.25">
      <c r="A507" s="25">
        <v>5277</v>
      </c>
      <c r="B507" s="30">
        <v>46140</v>
      </c>
      <c r="C507" s="26" t="s">
        <v>426</v>
      </c>
      <c r="D507" s="38" t="s">
        <v>93</v>
      </c>
      <c r="E507" s="67" t="s">
        <v>136</v>
      </c>
      <c r="F507" s="28">
        <v>2012</v>
      </c>
      <c r="G507" s="28"/>
      <c r="H507" s="28">
        <f>Cty_Viet_Anh[[#This Row],[ĐƠN GIÁ]]*Cty_Viet_Anh[[#This Row],[SỐ LƯỢNG]]</f>
        <v>0</v>
      </c>
      <c r="I507" s="28"/>
      <c r="J507" s="28">
        <f ca="1">N(INDIRECT("R[-1]C", FALSE)) + Cty_Viet_Anh[[#This Row],[THÀNH TIỀN]] - Cty_Viet_Anh[[#This Row],[THANH TOÁN]]</f>
        <v>-9637299.9999999609</v>
      </c>
      <c r="K507" s="153"/>
    </row>
    <row r="508" spans="1:11" x14ac:dyDescent="0.25">
      <c r="A508" s="25">
        <v>5277</v>
      </c>
      <c r="B508" s="30">
        <v>46140</v>
      </c>
      <c r="C508" s="26" t="s">
        <v>84</v>
      </c>
      <c r="D508" s="38" t="s">
        <v>93</v>
      </c>
      <c r="E508" s="67" t="s">
        <v>469</v>
      </c>
      <c r="F508" s="28">
        <v>552</v>
      </c>
      <c r="G508" s="28">
        <v>-543.47826086960004</v>
      </c>
      <c r="H508" s="28">
        <f>Cty_Viet_Anh[[#This Row],[ĐƠN GIÁ]]*Cty_Viet_Anh[[#This Row],[SỐ LƯỢNG]]</f>
        <v>-300000.00000001921</v>
      </c>
      <c r="I508" s="28"/>
      <c r="J508" s="28">
        <f ca="1">N(INDIRECT("R[-1]C", FALSE)) + Cty_Viet_Anh[[#This Row],[THÀNH TIỀN]] - Cty_Viet_Anh[[#This Row],[THANH TOÁN]]</f>
        <v>-9937299.9999999795</v>
      </c>
      <c r="K508" s="153" t="s">
        <v>668</v>
      </c>
    </row>
    <row r="509" spans="1:11" x14ac:dyDescent="0.25">
      <c r="A509" s="25">
        <v>9085</v>
      </c>
      <c r="B509" s="30">
        <v>46140</v>
      </c>
      <c r="C509" s="26" t="s">
        <v>49</v>
      </c>
      <c r="D509" s="38" t="s">
        <v>301</v>
      </c>
      <c r="E509" s="67" t="s">
        <v>1866</v>
      </c>
      <c r="F509" s="28">
        <v>3354</v>
      </c>
      <c r="G509" s="28"/>
      <c r="H509" s="28">
        <f>Cty_Viet_Anh[[#This Row],[ĐƠN GIÁ]]*Cty_Viet_Anh[[#This Row],[SỐ LƯỢNG]]</f>
        <v>0</v>
      </c>
      <c r="I509" s="28"/>
      <c r="J509" s="28">
        <f ca="1">N(INDIRECT("R[-1]C", FALSE)) + Cty_Viet_Anh[[#This Row],[THÀNH TIỀN]] - Cty_Viet_Anh[[#This Row],[THANH TOÁN]]</f>
        <v>-9937299.9999999795</v>
      </c>
      <c r="K509" s="153" t="s">
        <v>1867</v>
      </c>
    </row>
    <row r="510" spans="1:11" x14ac:dyDescent="0.25">
      <c r="A510" s="25">
        <v>2794</v>
      </c>
      <c r="B510" s="30">
        <v>46141</v>
      </c>
      <c r="C510" s="26" t="s">
        <v>84</v>
      </c>
      <c r="D510" s="38" t="s">
        <v>2517</v>
      </c>
      <c r="E510" s="26" t="s">
        <v>62</v>
      </c>
      <c r="F510" s="28">
        <v>666</v>
      </c>
      <c r="G510" s="28">
        <v>-2000</v>
      </c>
      <c r="H510" s="28">
        <f>Cty_Viet_Anh[[#This Row],[ĐƠN GIÁ]]*Cty_Viet_Anh[[#This Row],[SỐ LƯỢNG]]</f>
        <v>-1332000</v>
      </c>
      <c r="I510" s="28"/>
      <c r="J510" s="28">
        <f ca="1">N(INDIRECT("R[-1]C", FALSE)) + Cty_Viet_Anh[[#This Row],[THÀNH TIỀN]] - Cty_Viet_Anh[[#This Row],[THANH TOÁN]]</f>
        <v>-11269299.99999998</v>
      </c>
      <c r="K510" s="27"/>
    </row>
    <row r="511" spans="1:11" x14ac:dyDescent="0.25">
      <c r="A511" s="25">
        <v>2794</v>
      </c>
      <c r="B511" s="30">
        <v>46141</v>
      </c>
      <c r="C511" s="26" t="s">
        <v>84</v>
      </c>
      <c r="D511" s="38" t="s">
        <v>265</v>
      </c>
      <c r="E511" s="26" t="s">
        <v>62</v>
      </c>
      <c r="F511" s="28">
        <v>524</v>
      </c>
      <c r="G511" s="28">
        <v>-3800</v>
      </c>
      <c r="H511" s="28">
        <f>Cty_Viet_Anh[[#This Row],[ĐƠN GIÁ]]*Cty_Viet_Anh[[#This Row],[SỐ LƯỢNG]]</f>
        <v>-1991200</v>
      </c>
      <c r="I511" s="28"/>
      <c r="J511" s="28">
        <f ca="1">N(INDIRECT("R[-1]C", FALSE)) + Cty_Viet_Anh[[#This Row],[THÀNH TIỀN]] - Cty_Viet_Anh[[#This Row],[THANH TOÁN]]</f>
        <v>-13260499.99999998</v>
      </c>
      <c r="K511" s="27"/>
    </row>
    <row r="512" spans="1:11" x14ac:dyDescent="0.25">
      <c r="A512" s="22">
        <v>9101</v>
      </c>
      <c r="B512" s="29">
        <v>46141</v>
      </c>
      <c r="C512" s="23" t="s">
        <v>49</v>
      </c>
      <c r="D512" s="37" t="s">
        <v>301</v>
      </c>
      <c r="E512" s="68" t="s">
        <v>81</v>
      </c>
      <c r="F512" s="31">
        <v>5965</v>
      </c>
      <c r="G512" s="31"/>
      <c r="H512" s="31">
        <f>Cty_Viet_Anh[[#This Row],[ĐƠN GIÁ]]*Cty_Viet_Anh[[#This Row],[SỐ LƯỢNG]]</f>
        <v>0</v>
      </c>
      <c r="I512" s="31"/>
      <c r="J512" s="31">
        <f ca="1">N(INDIRECT("R[-1]C", FALSE)) + Cty_Viet_Anh[[#This Row],[THÀNH TIỀN]] - Cty_Viet_Anh[[#This Row],[THANH TOÁN]]</f>
        <v>-13260499.99999998</v>
      </c>
      <c r="K512" s="133" t="s">
        <v>1882</v>
      </c>
    </row>
    <row r="513" spans="1:11" x14ac:dyDescent="0.25">
      <c r="A513" s="22">
        <v>9101</v>
      </c>
      <c r="B513" s="29">
        <v>46141</v>
      </c>
      <c r="C513" s="23" t="s">
        <v>49</v>
      </c>
      <c r="D513" s="37" t="s">
        <v>17</v>
      </c>
      <c r="E513" s="68" t="s">
        <v>446</v>
      </c>
      <c r="F513" s="31">
        <v>1425</v>
      </c>
      <c r="G513" s="31"/>
      <c r="H513" s="31">
        <f>Cty_Viet_Anh[[#This Row],[ĐƠN GIÁ]]*Cty_Viet_Anh[[#This Row],[SỐ LƯỢNG]]</f>
        <v>0</v>
      </c>
      <c r="I513" s="31"/>
      <c r="J513" s="31">
        <f ca="1">N(INDIRECT("R[-1]C", FALSE)) + Cty_Viet_Anh[[#This Row],[THÀNH TIỀN]] - Cty_Viet_Anh[[#This Row],[THANH TOÁN]]</f>
        <v>-13260499.99999998</v>
      </c>
      <c r="K513" s="133" t="s">
        <v>1883</v>
      </c>
    </row>
    <row r="514" spans="1:11" x14ac:dyDescent="0.25">
      <c r="A514" s="22">
        <v>9101</v>
      </c>
      <c r="B514" s="29">
        <v>46141</v>
      </c>
      <c r="C514" s="23" t="s">
        <v>49</v>
      </c>
      <c r="D514" s="37" t="s">
        <v>26</v>
      </c>
      <c r="E514" s="68" t="s">
        <v>230</v>
      </c>
      <c r="F514" s="31">
        <v>418</v>
      </c>
      <c r="G514" s="31"/>
      <c r="H514" s="31">
        <f>Cty_Viet_Anh[[#This Row],[ĐƠN GIÁ]]*Cty_Viet_Anh[[#This Row],[SỐ LƯỢNG]]</f>
        <v>0</v>
      </c>
      <c r="I514" s="31"/>
      <c r="J514" s="31">
        <f ca="1">N(INDIRECT("R[-1]C", FALSE)) + Cty_Viet_Anh[[#This Row],[THÀNH TIỀN]] - Cty_Viet_Anh[[#This Row],[THANH TOÁN]]</f>
        <v>-13260499.99999998</v>
      </c>
      <c r="K514" s="133" t="s">
        <v>1884</v>
      </c>
    </row>
    <row r="515" spans="1:11" x14ac:dyDescent="0.25">
      <c r="A515" s="22">
        <v>9102</v>
      </c>
      <c r="B515" s="29">
        <v>46141</v>
      </c>
      <c r="C515" s="23" t="s">
        <v>49</v>
      </c>
      <c r="D515" s="37" t="s">
        <v>17</v>
      </c>
      <c r="E515" s="68" t="s">
        <v>62</v>
      </c>
      <c r="F515" s="31">
        <v>658</v>
      </c>
      <c r="G515" s="31"/>
      <c r="H515" s="31">
        <f>Cty_Viet_Anh[[#This Row],[ĐƠN GIÁ]]*Cty_Viet_Anh[[#This Row],[SỐ LƯỢNG]]</f>
        <v>0</v>
      </c>
      <c r="I515" s="31"/>
      <c r="J515" s="31">
        <f ca="1">N(INDIRECT("R[-1]C", FALSE)) + Cty_Viet_Anh[[#This Row],[THÀNH TIỀN]] - Cty_Viet_Anh[[#This Row],[THANH TOÁN]]</f>
        <v>-13260499.99999998</v>
      </c>
      <c r="K515" s="133" t="s">
        <v>1885</v>
      </c>
    </row>
    <row r="516" spans="1:11" x14ac:dyDescent="0.25">
      <c r="A516" s="22">
        <v>9102</v>
      </c>
      <c r="B516" s="29">
        <v>46141</v>
      </c>
      <c r="C516" s="23" t="s">
        <v>49</v>
      </c>
      <c r="D516" s="37" t="s">
        <v>43</v>
      </c>
      <c r="E516" s="68" t="s">
        <v>62</v>
      </c>
      <c r="F516" s="31">
        <v>520</v>
      </c>
      <c r="G516" s="31"/>
      <c r="H516" s="31">
        <f>Cty_Viet_Anh[[#This Row],[ĐƠN GIÁ]]*Cty_Viet_Anh[[#This Row],[SỐ LƯỢNG]]</f>
        <v>0</v>
      </c>
      <c r="I516" s="31"/>
      <c r="J516" s="31">
        <f ca="1">N(INDIRECT("R[-1]C", FALSE)) + Cty_Viet_Anh[[#This Row],[THÀNH TIỀN]] - Cty_Viet_Anh[[#This Row],[THANH TOÁN]]</f>
        <v>-13260499.99999998</v>
      </c>
      <c r="K516" s="133" t="s">
        <v>1740</v>
      </c>
    </row>
    <row r="517" spans="1:11" x14ac:dyDescent="0.25">
      <c r="A517" s="22">
        <v>9130</v>
      </c>
      <c r="B517" s="29">
        <v>46141</v>
      </c>
      <c r="C517" s="23" t="s">
        <v>49</v>
      </c>
      <c r="D517" s="37" t="s">
        <v>14</v>
      </c>
      <c r="E517" s="68" t="s">
        <v>62</v>
      </c>
      <c r="F517" s="31">
        <v>5331</v>
      </c>
      <c r="G517" s="31"/>
      <c r="H517" s="31">
        <f>Cty_Viet_Anh[[#This Row],[ĐƠN GIÁ]]*Cty_Viet_Anh[[#This Row],[SỐ LƯỢNG]]</f>
        <v>0</v>
      </c>
      <c r="I517" s="31"/>
      <c r="J517" s="31">
        <f ca="1">N(INDIRECT("R[-1]C", FALSE)) + Cty_Viet_Anh[[#This Row],[THÀNH TIỀN]] - Cty_Viet_Anh[[#This Row],[THANH TOÁN]]</f>
        <v>-13260499.99999998</v>
      </c>
      <c r="K517" s="133" t="s">
        <v>1902</v>
      </c>
    </row>
    <row r="518" spans="1:11" x14ac:dyDescent="0.25">
      <c r="A518" s="22">
        <v>5282</v>
      </c>
      <c r="B518" s="29">
        <v>46146</v>
      </c>
      <c r="C518" s="23" t="s">
        <v>84</v>
      </c>
      <c r="D518" s="37" t="s">
        <v>14</v>
      </c>
      <c r="E518" s="23" t="s">
        <v>62</v>
      </c>
      <c r="F518" s="31">
        <v>1970</v>
      </c>
      <c r="G518" s="31">
        <v>-500</v>
      </c>
      <c r="H518" s="31">
        <f>Cty_Viet_Anh[[#This Row],[ĐƠN GIÁ]]*Cty_Viet_Anh[[#This Row],[SỐ LƯỢNG]]</f>
        <v>-985000</v>
      </c>
      <c r="I518" s="31"/>
      <c r="J518" s="31">
        <f ca="1">N(INDIRECT("R[-1]C", FALSE)) + Cty_Viet_Anh[[#This Row],[THÀNH TIỀN]] - Cty_Viet_Anh[[#This Row],[THANH TOÁN]]</f>
        <v>-14245499.99999998</v>
      </c>
      <c r="K518" s="24"/>
    </row>
    <row r="519" spans="1:11" x14ac:dyDescent="0.25">
      <c r="A519" s="22">
        <v>9142</v>
      </c>
      <c r="B519" s="29">
        <v>46146</v>
      </c>
      <c r="C519" s="23" t="s">
        <v>13</v>
      </c>
      <c r="D519" s="37" t="s">
        <v>43</v>
      </c>
      <c r="E519" s="68" t="s">
        <v>416</v>
      </c>
      <c r="F519" s="31">
        <v>832</v>
      </c>
      <c r="G519" s="31">
        <v>60000</v>
      </c>
      <c r="H519" s="31">
        <f>Cty_Viet_Anh[[#This Row],[ĐƠN GIÁ]]*Cty_Viet_Anh[[#This Row],[SỐ LƯỢNG]]</f>
        <v>49920000</v>
      </c>
      <c r="I519" s="31"/>
      <c r="J519" s="31">
        <f ca="1">N(INDIRECT("R[-1]C", FALSE)) + Cty_Viet_Anh[[#This Row],[THÀNH TIỀN]] - Cty_Viet_Anh[[#This Row],[THANH TOÁN]]</f>
        <v>35674500.000000022</v>
      </c>
      <c r="K519" s="133"/>
    </row>
    <row r="520" spans="1:11" x14ac:dyDescent="0.25">
      <c r="A520" s="22">
        <v>9143</v>
      </c>
      <c r="B520" s="29">
        <v>46146</v>
      </c>
      <c r="C520" s="23" t="s">
        <v>49</v>
      </c>
      <c r="D520" s="37" t="s">
        <v>32</v>
      </c>
      <c r="E520" s="68" t="s">
        <v>230</v>
      </c>
      <c r="F520" s="31">
        <v>2814</v>
      </c>
      <c r="G520" s="31"/>
      <c r="H520" s="31">
        <f>Cty_Viet_Anh[[#This Row],[ĐƠN GIÁ]]*Cty_Viet_Anh[[#This Row],[SỐ LƯỢNG]]</f>
        <v>0</v>
      </c>
      <c r="I520" s="31"/>
      <c r="J520" s="31">
        <f ca="1">N(INDIRECT("R[-1]C", FALSE)) + Cty_Viet_Anh[[#This Row],[THÀNH TIỀN]] - Cty_Viet_Anh[[#This Row],[THANH TOÁN]]</f>
        <v>35674500.000000022</v>
      </c>
      <c r="K520" s="133" t="s">
        <v>1921</v>
      </c>
    </row>
    <row r="521" spans="1:11" x14ac:dyDescent="0.25">
      <c r="A521" s="22">
        <v>9158</v>
      </c>
      <c r="B521" s="29">
        <v>46146</v>
      </c>
      <c r="C521" s="23" t="s">
        <v>49</v>
      </c>
      <c r="D521" s="37" t="s">
        <v>143</v>
      </c>
      <c r="E521" s="68" t="s">
        <v>136</v>
      </c>
      <c r="F521" s="31">
        <v>1355</v>
      </c>
      <c r="G521" s="31"/>
      <c r="H521" s="31">
        <f>Cty_Viet_Anh[[#This Row],[ĐƠN GIÁ]]*Cty_Viet_Anh[[#This Row],[SỐ LƯỢNG]]</f>
        <v>0</v>
      </c>
      <c r="I521" s="31"/>
      <c r="J521" s="31">
        <f ca="1">N(INDIRECT("R[-1]C", FALSE)) + Cty_Viet_Anh[[#This Row],[THÀNH TIỀN]] - Cty_Viet_Anh[[#This Row],[THANH TOÁN]]</f>
        <v>35674500.000000022</v>
      </c>
      <c r="K521" s="133" t="s">
        <v>1740</v>
      </c>
    </row>
    <row r="522" spans="1:11" x14ac:dyDescent="0.25">
      <c r="A522" s="25">
        <v>2806</v>
      </c>
      <c r="B522" s="30">
        <v>46147</v>
      </c>
      <c r="C522" s="26" t="s">
        <v>84</v>
      </c>
      <c r="D522" s="38" t="s">
        <v>270</v>
      </c>
      <c r="E522" s="26" t="s">
        <v>136</v>
      </c>
      <c r="F522" s="28">
        <v>1364</v>
      </c>
      <c r="G522" s="28">
        <v>-3300</v>
      </c>
      <c r="H522" s="28">
        <f>Cty_Viet_Anh[[#This Row],[ĐƠN GIÁ]]*Cty_Viet_Anh[[#This Row],[SỐ LƯỢNG]]</f>
        <v>-4501200</v>
      </c>
      <c r="I522" s="28"/>
      <c r="J522" s="28">
        <f ca="1">N(INDIRECT("R[-1]C", FALSE)) + Cty_Viet_Anh[[#This Row],[THÀNH TIỀN]] - Cty_Viet_Anh[[#This Row],[THANH TOÁN]]</f>
        <v>31173300.000000022</v>
      </c>
      <c r="K522" s="27"/>
    </row>
    <row r="523" spans="1:11" x14ac:dyDescent="0.25">
      <c r="A523" s="22">
        <v>5284</v>
      </c>
      <c r="B523" s="29">
        <v>46147</v>
      </c>
      <c r="C523" s="23" t="s">
        <v>84</v>
      </c>
      <c r="D523" s="37" t="s">
        <v>540</v>
      </c>
      <c r="E523" s="23" t="s">
        <v>230</v>
      </c>
      <c r="F523" s="31">
        <v>804</v>
      </c>
      <c r="G523" s="31">
        <v>-550</v>
      </c>
      <c r="H523" s="31">
        <f>Cty_Viet_Anh[[#This Row],[ĐƠN GIÁ]]*Cty_Viet_Anh[[#This Row],[SỐ LƯỢNG]]</f>
        <v>-442200</v>
      </c>
      <c r="I523" s="31"/>
      <c r="J523" s="31">
        <f ca="1">N(INDIRECT("R[-1]C", FALSE)) + Cty_Viet_Anh[[#This Row],[THÀNH TIỀN]] - Cty_Viet_Anh[[#This Row],[THANH TOÁN]]</f>
        <v>30731100.000000022</v>
      </c>
      <c r="K523" s="24"/>
    </row>
    <row r="524" spans="1:11" x14ac:dyDescent="0.25">
      <c r="A524" s="22">
        <v>5284</v>
      </c>
      <c r="B524" s="29">
        <v>46147</v>
      </c>
      <c r="C524" s="23" t="s">
        <v>84</v>
      </c>
      <c r="D524" s="37" t="s">
        <v>77</v>
      </c>
      <c r="E524" s="23" t="s">
        <v>230</v>
      </c>
      <c r="F524" s="31">
        <v>404</v>
      </c>
      <c r="G524" s="31">
        <v>-550</v>
      </c>
      <c r="H524" s="31">
        <f>Cty_Viet_Anh[[#This Row],[ĐƠN GIÁ]]*Cty_Viet_Anh[[#This Row],[SỐ LƯỢNG]]</f>
        <v>-222200</v>
      </c>
      <c r="I524" s="31"/>
      <c r="J524" s="31">
        <f ca="1">N(INDIRECT("R[-1]C", FALSE)) + Cty_Viet_Anh[[#This Row],[THÀNH TIỀN]] - Cty_Viet_Anh[[#This Row],[THANH TOÁN]]</f>
        <v>30508900.000000022</v>
      </c>
      <c r="K524" s="24"/>
    </row>
    <row r="525" spans="1:11" x14ac:dyDescent="0.25">
      <c r="A525" s="22">
        <v>5284</v>
      </c>
      <c r="B525" s="29">
        <v>46147</v>
      </c>
      <c r="C525" s="23" t="s">
        <v>426</v>
      </c>
      <c r="D525" s="37" t="s">
        <v>540</v>
      </c>
      <c r="E525" s="23" t="s">
        <v>230</v>
      </c>
      <c r="F525" s="31">
        <v>2004</v>
      </c>
      <c r="G525" s="31"/>
      <c r="H525" s="31">
        <f>Cty_Viet_Anh[[#This Row],[ĐƠN GIÁ]]*Cty_Viet_Anh[[#This Row],[SỐ LƯỢNG]]</f>
        <v>0</v>
      </c>
      <c r="I525" s="31"/>
      <c r="J525" s="31">
        <f ca="1">N(INDIRECT("R[-1]C", FALSE)) + Cty_Viet_Anh[[#This Row],[THÀNH TIỀN]] - Cty_Viet_Anh[[#This Row],[THANH TOÁN]]</f>
        <v>30508900.000000022</v>
      </c>
      <c r="K525" s="24"/>
    </row>
    <row r="526" spans="1:11" x14ac:dyDescent="0.25">
      <c r="A526" s="22">
        <v>5284</v>
      </c>
      <c r="B526" s="29">
        <v>46147</v>
      </c>
      <c r="C526" s="23" t="s">
        <v>426</v>
      </c>
      <c r="D526" s="37" t="s">
        <v>14</v>
      </c>
      <c r="E526" s="23" t="s">
        <v>62</v>
      </c>
      <c r="F526" s="31">
        <v>3388</v>
      </c>
      <c r="G526" s="31"/>
      <c r="H526" s="31">
        <f>Cty_Viet_Anh[[#This Row],[ĐƠN GIÁ]]*Cty_Viet_Anh[[#This Row],[SỐ LƯỢNG]]</f>
        <v>0</v>
      </c>
      <c r="I526" s="31"/>
      <c r="J526" s="31">
        <f ca="1">N(INDIRECT("R[-1]C", FALSE)) + Cty_Viet_Anh[[#This Row],[THÀNH TIỀN]] - Cty_Viet_Anh[[#This Row],[THANH TOÁN]]</f>
        <v>30508900.000000022</v>
      </c>
      <c r="K526" s="24"/>
    </row>
    <row r="527" spans="1:11" x14ac:dyDescent="0.25">
      <c r="A527" s="22">
        <v>5284</v>
      </c>
      <c r="B527" s="29">
        <v>46147</v>
      </c>
      <c r="C527" s="23" t="s">
        <v>426</v>
      </c>
      <c r="D527" s="37" t="s">
        <v>77</v>
      </c>
      <c r="E527" s="23" t="s">
        <v>230</v>
      </c>
      <c r="F527" s="31">
        <v>16</v>
      </c>
      <c r="G527" s="31"/>
      <c r="H527" s="31">
        <f>Cty_Viet_Anh[[#This Row],[ĐƠN GIÁ]]*Cty_Viet_Anh[[#This Row],[SỐ LƯỢNG]]</f>
        <v>0</v>
      </c>
      <c r="I527" s="31"/>
      <c r="J527" s="31">
        <f ca="1">N(INDIRECT("R[-1]C", FALSE)) + Cty_Viet_Anh[[#This Row],[THÀNH TIỀN]] - Cty_Viet_Anh[[#This Row],[THANH TOÁN]]</f>
        <v>30508900.000000022</v>
      </c>
      <c r="K527" s="24"/>
    </row>
    <row r="528" spans="1:11" x14ac:dyDescent="0.25">
      <c r="A528" s="22">
        <v>5284</v>
      </c>
      <c r="B528" s="29">
        <v>46147</v>
      </c>
      <c r="C528" s="23" t="s">
        <v>84</v>
      </c>
      <c r="D528" s="37" t="s">
        <v>526</v>
      </c>
      <c r="E528" s="23"/>
      <c r="F528" s="31">
        <v>8</v>
      </c>
      <c r="G528" s="31">
        <v>-550</v>
      </c>
      <c r="H528" s="31">
        <f>Cty_Viet_Anh[[#This Row],[ĐƠN GIÁ]]*Cty_Viet_Anh[[#This Row],[SỐ LƯỢNG]]</f>
        <v>-4400</v>
      </c>
      <c r="I528" s="31"/>
      <c r="J528" s="31">
        <f ca="1">N(INDIRECT("R[-1]C", FALSE)) + Cty_Viet_Anh[[#This Row],[THÀNH TIỀN]] - Cty_Viet_Anh[[#This Row],[THANH TOÁN]]</f>
        <v>30504500.000000022</v>
      </c>
      <c r="K528" s="24"/>
    </row>
    <row r="529" spans="1:11" x14ac:dyDescent="0.25">
      <c r="A529" s="22">
        <v>9160</v>
      </c>
      <c r="B529" s="29">
        <v>46147</v>
      </c>
      <c r="C529" s="23" t="s">
        <v>49</v>
      </c>
      <c r="D529" s="37" t="s">
        <v>17</v>
      </c>
      <c r="E529" s="68" t="s">
        <v>40</v>
      </c>
      <c r="F529" s="31">
        <v>5133</v>
      </c>
      <c r="G529" s="31"/>
      <c r="H529" s="31">
        <f>Cty_Viet_Anh[[#This Row],[ĐƠN GIÁ]]*Cty_Viet_Anh[[#This Row],[SỐ LƯỢNG]]</f>
        <v>0</v>
      </c>
      <c r="I529" s="31"/>
      <c r="J529" s="31">
        <f ca="1">N(INDIRECT("R[-1]C", FALSE)) + Cty_Viet_Anh[[#This Row],[THÀNH TIỀN]] - Cty_Viet_Anh[[#This Row],[THANH TOÁN]]</f>
        <v>30504500.000000022</v>
      </c>
      <c r="K529" s="133" t="s">
        <v>1927</v>
      </c>
    </row>
    <row r="530" spans="1:11" x14ac:dyDescent="0.25">
      <c r="A530" s="22">
        <v>9160</v>
      </c>
      <c r="B530" s="29">
        <v>46147</v>
      </c>
      <c r="C530" s="23" t="s">
        <v>49</v>
      </c>
      <c r="D530" s="37" t="s">
        <v>45</v>
      </c>
      <c r="E530" s="68" t="s">
        <v>891</v>
      </c>
      <c r="F530" s="31">
        <v>7219</v>
      </c>
      <c r="G530" s="31"/>
      <c r="H530" s="31">
        <f>Cty_Viet_Anh[[#This Row],[ĐƠN GIÁ]]*Cty_Viet_Anh[[#This Row],[SỐ LƯỢNG]]</f>
        <v>0</v>
      </c>
      <c r="I530" s="31"/>
      <c r="J530" s="31">
        <f ca="1">N(INDIRECT("R[-1]C", FALSE)) + Cty_Viet_Anh[[#This Row],[THÀNH TIỀN]] - Cty_Viet_Anh[[#This Row],[THANH TOÁN]]</f>
        <v>30504500.000000022</v>
      </c>
      <c r="K530" s="133" t="s">
        <v>1928</v>
      </c>
    </row>
    <row r="531" spans="1:11" x14ac:dyDescent="0.25">
      <c r="A531" s="22">
        <v>9160</v>
      </c>
      <c r="B531" s="29">
        <v>46147</v>
      </c>
      <c r="C531" s="23" t="s">
        <v>49</v>
      </c>
      <c r="D531" s="37" t="s">
        <v>43</v>
      </c>
      <c r="E531" s="68" t="s">
        <v>1929</v>
      </c>
      <c r="F531" s="31">
        <v>760</v>
      </c>
      <c r="G531" s="31"/>
      <c r="H531" s="31">
        <f>Cty_Viet_Anh[[#This Row],[ĐƠN GIÁ]]*Cty_Viet_Anh[[#This Row],[SỐ LƯỢNG]]</f>
        <v>0</v>
      </c>
      <c r="I531" s="31"/>
      <c r="J531" s="31">
        <f ca="1">N(INDIRECT("R[-1]C", FALSE)) + Cty_Viet_Anh[[#This Row],[THÀNH TIỀN]] - Cty_Viet_Anh[[#This Row],[THANH TOÁN]]</f>
        <v>30504500.000000022</v>
      </c>
      <c r="K531" s="133" t="s">
        <v>1930</v>
      </c>
    </row>
    <row r="532" spans="1:11" x14ac:dyDescent="0.25">
      <c r="A532" s="22">
        <v>9187</v>
      </c>
      <c r="B532" s="29">
        <v>46147</v>
      </c>
      <c r="C532" s="23" t="s">
        <v>49</v>
      </c>
      <c r="D532" s="37" t="s">
        <v>192</v>
      </c>
      <c r="E532" s="68" t="s">
        <v>1945</v>
      </c>
      <c r="F532" s="31">
        <v>2538</v>
      </c>
      <c r="G532" s="31"/>
      <c r="H532" s="31">
        <f>Cty_Viet_Anh[[#This Row],[ĐƠN GIÁ]]*Cty_Viet_Anh[[#This Row],[SỐ LƯỢNG]]</f>
        <v>0</v>
      </c>
      <c r="I532" s="31"/>
      <c r="J532" s="31">
        <f ca="1">N(INDIRECT("R[-1]C", FALSE)) + Cty_Viet_Anh[[#This Row],[THÀNH TIỀN]] - Cty_Viet_Anh[[#This Row],[THANH TOÁN]]</f>
        <v>30504500.000000022</v>
      </c>
      <c r="K532" s="133" t="s">
        <v>1946</v>
      </c>
    </row>
    <row r="533" spans="1:11" x14ac:dyDescent="0.25">
      <c r="A533" s="22">
        <v>5289</v>
      </c>
      <c r="B533" s="29">
        <v>46148</v>
      </c>
      <c r="C533" s="23" t="s">
        <v>84</v>
      </c>
      <c r="D533" s="37" t="s">
        <v>43</v>
      </c>
      <c r="E533" s="23" t="s">
        <v>1929</v>
      </c>
      <c r="F533" s="31">
        <v>740</v>
      </c>
      <c r="G533" s="31">
        <v>-550</v>
      </c>
      <c r="H533" s="31">
        <f>Cty_Viet_Anh[[#This Row],[ĐƠN GIÁ]]*Cty_Viet_Anh[[#This Row],[SỐ LƯỢNG]]</f>
        <v>-407000</v>
      </c>
      <c r="I533" s="31"/>
      <c r="J533" s="31">
        <f ca="1">N(INDIRECT("R[-1]C", FALSE)) + Cty_Viet_Anh[[#This Row],[THÀNH TIỀN]] - Cty_Viet_Anh[[#This Row],[THANH TOÁN]]</f>
        <v>30097500.000000022</v>
      </c>
      <c r="K533" s="24"/>
    </row>
    <row r="534" spans="1:11" x14ac:dyDescent="0.25">
      <c r="A534" s="22">
        <v>5289</v>
      </c>
      <c r="B534" s="29">
        <v>46148</v>
      </c>
      <c r="C534" s="23" t="s">
        <v>84</v>
      </c>
      <c r="D534" s="37" t="s">
        <v>17</v>
      </c>
      <c r="E534" s="23" t="s">
        <v>40</v>
      </c>
      <c r="F534" s="31">
        <v>3078</v>
      </c>
      <c r="G534" s="31">
        <v>-550</v>
      </c>
      <c r="H534" s="31">
        <f>Cty_Viet_Anh[[#This Row],[ĐƠN GIÁ]]*Cty_Viet_Anh[[#This Row],[SỐ LƯỢNG]]</f>
        <v>-1692900</v>
      </c>
      <c r="I534" s="31"/>
      <c r="J534" s="31">
        <f ca="1">N(INDIRECT("R[-1]C", FALSE)) + Cty_Viet_Anh[[#This Row],[THÀNH TIỀN]] - Cty_Viet_Anh[[#This Row],[THANH TOÁN]]</f>
        <v>28404600.000000022</v>
      </c>
      <c r="K534" s="24"/>
    </row>
    <row r="535" spans="1:11" x14ac:dyDescent="0.25">
      <c r="A535" s="22">
        <v>5290</v>
      </c>
      <c r="B535" s="29">
        <v>46148</v>
      </c>
      <c r="C535" s="23" t="s">
        <v>84</v>
      </c>
      <c r="D535" s="37" t="s">
        <v>192</v>
      </c>
      <c r="E535" s="23" t="s">
        <v>1945</v>
      </c>
      <c r="F535" s="31">
        <v>2458</v>
      </c>
      <c r="G535" s="31">
        <v>-550</v>
      </c>
      <c r="H535" s="31">
        <f>Cty_Viet_Anh[[#This Row],[ĐƠN GIÁ]]*Cty_Viet_Anh[[#This Row],[SỐ LƯỢNG]]</f>
        <v>-1351900</v>
      </c>
      <c r="I535" s="31"/>
      <c r="J535" s="31">
        <f ca="1">N(INDIRECT("R[-1]C", FALSE)) + Cty_Viet_Anh[[#This Row],[THÀNH TIỀN]] - Cty_Viet_Anh[[#This Row],[THANH TOÁN]]</f>
        <v>27052700.000000022</v>
      </c>
      <c r="K535" s="24"/>
    </row>
    <row r="536" spans="1:11" x14ac:dyDescent="0.25">
      <c r="A536" s="25">
        <v>5292</v>
      </c>
      <c r="B536" s="29">
        <v>46148</v>
      </c>
      <c r="C536" s="26" t="s">
        <v>84</v>
      </c>
      <c r="D536" s="38" t="s">
        <v>45</v>
      </c>
      <c r="E536" s="26" t="s">
        <v>502</v>
      </c>
      <c r="F536" s="28">
        <v>1992</v>
      </c>
      <c r="G536" s="28">
        <v>-550</v>
      </c>
      <c r="H536" s="28">
        <f>Cty_Viet_Anh[[#This Row],[ĐƠN GIÁ]]*Cty_Viet_Anh[[#This Row],[SỐ LƯỢNG]]</f>
        <v>-1095600</v>
      </c>
      <c r="I536" s="28"/>
      <c r="J536" s="28">
        <f ca="1">N(INDIRECT("R[-1]C", FALSE)) + Cty_Viet_Anh[[#This Row],[THÀNH TIỀN]] - Cty_Viet_Anh[[#This Row],[THANH TOÁN]]</f>
        <v>25957100.000000022</v>
      </c>
      <c r="K536" s="27"/>
    </row>
    <row r="537" spans="1:11" x14ac:dyDescent="0.25">
      <c r="A537" s="25">
        <v>5292</v>
      </c>
      <c r="B537" s="29">
        <v>46148</v>
      </c>
      <c r="C537" s="26" t="s">
        <v>84</v>
      </c>
      <c r="D537" s="38" t="s">
        <v>17</v>
      </c>
      <c r="E537" s="26" t="s">
        <v>502</v>
      </c>
      <c r="F537" s="28">
        <v>1068</v>
      </c>
      <c r="G537" s="28">
        <v>-550</v>
      </c>
      <c r="H537" s="28">
        <f>Cty_Viet_Anh[[#This Row],[ĐƠN GIÁ]]*Cty_Viet_Anh[[#This Row],[SỐ LƯỢNG]]</f>
        <v>-587400</v>
      </c>
      <c r="I537" s="28"/>
      <c r="J537" s="28">
        <f ca="1">N(INDIRECT("R[-1]C", FALSE)) + Cty_Viet_Anh[[#This Row],[THÀNH TIỀN]] - Cty_Viet_Anh[[#This Row],[THANH TOÁN]]</f>
        <v>25369700.000000022</v>
      </c>
      <c r="K537" s="27"/>
    </row>
    <row r="538" spans="1:11" x14ac:dyDescent="0.25">
      <c r="A538" s="25">
        <v>9193</v>
      </c>
      <c r="B538" s="29">
        <v>46148</v>
      </c>
      <c r="C538" s="26" t="s">
        <v>49</v>
      </c>
      <c r="D538" s="38" t="s">
        <v>43</v>
      </c>
      <c r="E538" s="67" t="s">
        <v>403</v>
      </c>
      <c r="F538" s="28">
        <v>756</v>
      </c>
      <c r="G538" s="28"/>
      <c r="H538" s="28">
        <f>Cty_Viet_Anh[[#This Row],[ĐƠN GIÁ]]*Cty_Viet_Anh[[#This Row],[SỐ LƯỢNG]]</f>
        <v>0</v>
      </c>
      <c r="I538" s="28"/>
      <c r="J538" s="28">
        <f ca="1">N(INDIRECT("R[-1]C", FALSE)) + Cty_Viet_Anh[[#This Row],[THÀNH TIỀN]] - Cty_Viet_Anh[[#This Row],[THANH TOÁN]]</f>
        <v>25369700.000000022</v>
      </c>
      <c r="K538" s="153" t="s">
        <v>1740</v>
      </c>
    </row>
    <row r="539" spans="1:11" x14ac:dyDescent="0.25">
      <c r="A539" s="22">
        <v>2822</v>
      </c>
      <c r="B539" s="29">
        <v>46149</v>
      </c>
      <c r="C539" s="23" t="s">
        <v>84</v>
      </c>
      <c r="D539" s="37" t="s">
        <v>265</v>
      </c>
      <c r="E539" s="23" t="s">
        <v>403</v>
      </c>
      <c r="F539" s="31">
        <v>760</v>
      </c>
      <c r="G539" s="31">
        <v>-3300</v>
      </c>
      <c r="H539" s="31">
        <f>Cty_Viet_Anh[[#This Row],[ĐƠN GIÁ]]*Cty_Viet_Anh[[#This Row],[SỐ LƯỢNG]]</f>
        <v>-2508000</v>
      </c>
      <c r="I539" s="31"/>
      <c r="J539" s="31">
        <f ca="1">N(INDIRECT("R[-1]C", FALSE)) + Cty_Viet_Anh[[#This Row],[THÀNH TIỀN]] - Cty_Viet_Anh[[#This Row],[THANH TOÁN]]</f>
        <v>22861700.000000022</v>
      </c>
      <c r="K539" s="24"/>
    </row>
    <row r="540" spans="1:11" x14ac:dyDescent="0.25">
      <c r="A540" s="22">
        <v>5293</v>
      </c>
      <c r="B540" s="29">
        <v>46149</v>
      </c>
      <c r="C540" s="23" t="s">
        <v>84</v>
      </c>
      <c r="D540" s="37" t="s">
        <v>93</v>
      </c>
      <c r="E540" s="68" t="s">
        <v>502</v>
      </c>
      <c r="F540" s="31">
        <v>1284</v>
      </c>
      <c r="G540" s="31">
        <v>-550</v>
      </c>
      <c r="H540" s="31">
        <f>Cty_Viet_Anh[[#This Row],[ĐƠN GIÁ]]*Cty_Viet_Anh[[#This Row],[SỐ LƯỢNG]]</f>
        <v>-706200</v>
      </c>
      <c r="I540" s="31"/>
      <c r="J540" s="31">
        <f ca="1">N(INDIRECT("R[-1]C", FALSE)) + Cty_Viet_Anh[[#This Row],[THÀNH TIỀN]] - Cty_Viet_Anh[[#This Row],[THANH TOÁN]]</f>
        <v>22155500.000000022</v>
      </c>
      <c r="K540" s="133"/>
    </row>
    <row r="541" spans="1:11" x14ac:dyDescent="0.25">
      <c r="A541" s="22">
        <v>5293</v>
      </c>
      <c r="B541" s="29">
        <v>46149</v>
      </c>
      <c r="C541" s="23" t="s">
        <v>84</v>
      </c>
      <c r="D541" s="37" t="s">
        <v>520</v>
      </c>
      <c r="E541" s="68" t="s">
        <v>1980</v>
      </c>
      <c r="F541" s="31">
        <v>6212</v>
      </c>
      <c r="G541" s="31">
        <v>-1000</v>
      </c>
      <c r="H541" s="31">
        <f>Cty_Viet_Anh[[#This Row],[ĐƠN GIÁ]]*Cty_Viet_Anh[[#This Row],[SỐ LƯỢNG]]</f>
        <v>-6212000</v>
      </c>
      <c r="I541" s="31"/>
      <c r="J541" s="31">
        <f ca="1">N(INDIRECT("R[-1]C", FALSE)) + Cty_Viet_Anh[[#This Row],[THÀNH TIỀN]] - Cty_Viet_Anh[[#This Row],[THANH TOÁN]]</f>
        <v>15943500.000000022</v>
      </c>
      <c r="K541" s="133" t="s">
        <v>1981</v>
      </c>
    </row>
    <row r="542" spans="1:11" x14ac:dyDescent="0.25">
      <c r="A542" s="22">
        <v>5295</v>
      </c>
      <c r="B542" s="29">
        <v>46149</v>
      </c>
      <c r="C542" s="23" t="s">
        <v>84</v>
      </c>
      <c r="D542" s="37" t="s">
        <v>93</v>
      </c>
      <c r="E542" s="68" t="s">
        <v>502</v>
      </c>
      <c r="F542" s="31">
        <v>4894</v>
      </c>
      <c r="G542" s="31">
        <v>-550</v>
      </c>
      <c r="H542" s="31">
        <f>Cty_Viet_Anh[[#This Row],[ĐƠN GIÁ]]*Cty_Viet_Anh[[#This Row],[SỐ LƯỢNG]]</f>
        <v>-2691700</v>
      </c>
      <c r="I542" s="31"/>
      <c r="J542" s="31">
        <f ca="1">N(INDIRECT("R[-1]C", FALSE)) + Cty_Viet_Anh[[#This Row],[THÀNH TIỀN]] - Cty_Viet_Anh[[#This Row],[THANH TOÁN]]</f>
        <v>13251800.000000022</v>
      </c>
      <c r="K542" s="133"/>
    </row>
    <row r="543" spans="1:11" x14ac:dyDescent="0.25">
      <c r="A543" s="22">
        <v>5295</v>
      </c>
      <c r="B543" s="29">
        <v>46149</v>
      </c>
      <c r="C543" s="23" t="s">
        <v>84</v>
      </c>
      <c r="D543" s="37" t="s">
        <v>45</v>
      </c>
      <c r="E543" s="23" t="s">
        <v>2177</v>
      </c>
      <c r="F543" s="31">
        <v>4894</v>
      </c>
      <c r="G543" s="31">
        <v>-550</v>
      </c>
      <c r="H543" s="31">
        <f>Cty_Viet_Anh[[#This Row],[ĐƠN GIÁ]]*Cty_Viet_Anh[[#This Row],[SỐ LƯỢNG]]</f>
        <v>-2691700</v>
      </c>
      <c r="I543" s="31"/>
      <c r="J543" s="31">
        <f ca="1">N(INDIRECT("R[-1]C", FALSE)) + Cty_Viet_Anh[[#This Row],[THÀNH TIỀN]] - Cty_Viet_Anh[[#This Row],[THANH TOÁN]]</f>
        <v>10560100.000000022</v>
      </c>
      <c r="K543" s="24"/>
    </row>
    <row r="544" spans="1:11" x14ac:dyDescent="0.25">
      <c r="A544" s="25">
        <v>5301</v>
      </c>
      <c r="B544" s="30">
        <v>46149</v>
      </c>
      <c r="C544" s="26" t="s">
        <v>84</v>
      </c>
      <c r="D544" s="38" t="s">
        <v>93</v>
      </c>
      <c r="E544" s="67" t="s">
        <v>136</v>
      </c>
      <c r="F544" s="28">
        <v>5066</v>
      </c>
      <c r="G544" s="28">
        <v>-800</v>
      </c>
      <c r="H544" s="28">
        <f>Cty_Viet_Anh[[#This Row],[ĐƠN GIÁ]]*Cty_Viet_Anh[[#This Row],[SỐ LƯỢNG]]</f>
        <v>-4052800</v>
      </c>
      <c r="I544" s="28"/>
      <c r="J544" s="28">
        <f ca="1">N(INDIRECT("R[-1]C", FALSE)) + Cty_Viet_Anh[[#This Row],[THÀNH TIỀN]] - Cty_Viet_Anh[[#This Row],[THANH TOÁN]]</f>
        <v>6507300.0000000224</v>
      </c>
      <c r="K544" s="153"/>
    </row>
    <row r="545" spans="1:11" x14ac:dyDescent="0.25">
      <c r="A545" s="25">
        <v>5301</v>
      </c>
      <c r="B545" s="30">
        <v>46149</v>
      </c>
      <c r="C545" s="26" t="s">
        <v>84</v>
      </c>
      <c r="D545" s="38" t="s">
        <v>93</v>
      </c>
      <c r="E545" s="67" t="s">
        <v>255</v>
      </c>
      <c r="F545" s="28">
        <v>3590</v>
      </c>
      <c r="G545" s="28">
        <v>-800</v>
      </c>
      <c r="H545" s="28">
        <f>Cty_Viet_Anh[[#This Row],[ĐƠN GIÁ]]*Cty_Viet_Anh[[#This Row],[SỐ LƯỢNG]]</f>
        <v>-2872000</v>
      </c>
      <c r="I545" s="28"/>
      <c r="J545" s="28">
        <f ca="1">N(INDIRECT("R[-1]C", FALSE)) + Cty_Viet_Anh[[#This Row],[THÀNH TIỀN]] - Cty_Viet_Anh[[#This Row],[THANH TOÁN]]</f>
        <v>3635300.0000000224</v>
      </c>
      <c r="K545" s="153"/>
    </row>
    <row r="546" spans="1:11" x14ac:dyDescent="0.25">
      <c r="A546" s="25">
        <v>9225</v>
      </c>
      <c r="B546" s="30">
        <v>46149</v>
      </c>
      <c r="C546" s="26" t="s">
        <v>49</v>
      </c>
      <c r="D546" s="38" t="s">
        <v>301</v>
      </c>
      <c r="E546" s="67" t="s">
        <v>81</v>
      </c>
      <c r="F546" s="28">
        <v>2240</v>
      </c>
      <c r="G546" s="28"/>
      <c r="H546" s="28">
        <f>Cty_Viet_Anh[[#This Row],[ĐƠN GIÁ]]*Cty_Viet_Anh[[#This Row],[SỐ LƯỢNG]]</f>
        <v>0</v>
      </c>
      <c r="I546" s="28"/>
      <c r="J546" s="28">
        <f ca="1">N(INDIRECT("R[-1]C", FALSE)) + Cty_Viet_Anh[[#This Row],[THÀNH TIỀN]] - Cty_Viet_Anh[[#This Row],[THANH TOÁN]]</f>
        <v>3635300.0000000224</v>
      </c>
      <c r="K546" s="153" t="s">
        <v>1971</v>
      </c>
    </row>
    <row r="547" spans="1:11" x14ac:dyDescent="0.25">
      <c r="A547" s="25">
        <v>45035</v>
      </c>
      <c r="B547" s="30">
        <v>46149</v>
      </c>
      <c r="C547" s="26" t="s">
        <v>84</v>
      </c>
      <c r="D547" s="38" t="s">
        <v>265</v>
      </c>
      <c r="E547" s="67" t="s">
        <v>403</v>
      </c>
      <c r="F547" s="28">
        <v>760</v>
      </c>
      <c r="G547" s="28">
        <v>-3300</v>
      </c>
      <c r="H547" s="28">
        <f>Cty_Viet_Anh[[#This Row],[ĐƠN GIÁ]]*Cty_Viet_Anh[[#This Row],[SỐ LƯỢNG]]</f>
        <v>-2508000</v>
      </c>
      <c r="I547" s="28"/>
      <c r="J547" s="28">
        <f ca="1">N(INDIRECT("R[-1]C", FALSE)) + Cty_Viet_Anh[[#This Row],[THÀNH TIỀN]] - Cty_Viet_Anh[[#This Row],[THANH TOÁN]]</f>
        <v>1127300.0000000224</v>
      </c>
      <c r="K547" s="153"/>
    </row>
    <row r="548" spans="1:11" x14ac:dyDescent="0.25">
      <c r="A548" s="25">
        <v>5302</v>
      </c>
      <c r="B548" s="30">
        <v>46150</v>
      </c>
      <c r="C548" s="26" t="s">
        <v>84</v>
      </c>
      <c r="D548" s="38" t="s">
        <v>17</v>
      </c>
      <c r="E548" s="67" t="s">
        <v>446</v>
      </c>
      <c r="F548" s="28">
        <v>1260</v>
      </c>
      <c r="G548" s="28">
        <v>-550</v>
      </c>
      <c r="H548" s="28">
        <f>Cty_Viet_Anh[[#This Row],[ĐƠN GIÁ]]*Cty_Viet_Anh[[#This Row],[SỐ LƯỢNG]]</f>
        <v>-693000</v>
      </c>
      <c r="I548" s="28"/>
      <c r="J548" s="28">
        <f ca="1">N(INDIRECT("R[-1]C", FALSE)) + Cty_Viet_Anh[[#This Row],[THÀNH TIỀN]] - Cty_Viet_Anh[[#This Row],[THANH TOÁN]]</f>
        <v>434300.00000002235</v>
      </c>
      <c r="K548" s="153"/>
    </row>
    <row r="549" spans="1:11" x14ac:dyDescent="0.25">
      <c r="A549" s="25">
        <v>5302</v>
      </c>
      <c r="B549" s="30">
        <v>46150</v>
      </c>
      <c r="C549" s="26" t="s">
        <v>426</v>
      </c>
      <c r="D549" s="38" t="s">
        <v>17</v>
      </c>
      <c r="E549" s="67" t="s">
        <v>446</v>
      </c>
      <c r="F549" s="28">
        <v>854</v>
      </c>
      <c r="G549" s="28"/>
      <c r="H549" s="28">
        <f>Cty_Viet_Anh[[#This Row],[ĐƠN GIÁ]]*Cty_Viet_Anh[[#This Row],[SỐ LƯỢNG]]</f>
        <v>0</v>
      </c>
      <c r="I549" s="28"/>
      <c r="J549" s="28">
        <f ca="1">N(INDIRECT("R[-1]C", FALSE)) + Cty_Viet_Anh[[#This Row],[THÀNH TIỀN]] - Cty_Viet_Anh[[#This Row],[THANH TOÁN]]</f>
        <v>434300.00000002235</v>
      </c>
      <c r="K549" s="153" t="s">
        <v>1990</v>
      </c>
    </row>
    <row r="550" spans="1:11" x14ac:dyDescent="0.25">
      <c r="A550" s="25">
        <v>9247</v>
      </c>
      <c r="B550" s="30">
        <v>46150</v>
      </c>
      <c r="C550" s="26" t="s">
        <v>49</v>
      </c>
      <c r="D550" s="38" t="s">
        <v>143</v>
      </c>
      <c r="E550" s="67" t="s">
        <v>78</v>
      </c>
      <c r="F550" s="28">
        <v>338</v>
      </c>
      <c r="G550" s="28"/>
      <c r="H550" s="28">
        <f>Cty_Viet_Anh[[#This Row],[ĐƠN GIÁ]]*Cty_Viet_Anh[[#This Row],[SỐ LƯỢNG]]</f>
        <v>0</v>
      </c>
      <c r="I550" s="28"/>
      <c r="J550" s="28">
        <f ca="1">N(INDIRECT("R[-1]C", FALSE)) + Cty_Viet_Anh[[#This Row],[THÀNH TIỀN]] - Cty_Viet_Anh[[#This Row],[THANH TOÁN]]</f>
        <v>434300.00000002235</v>
      </c>
      <c r="K550" s="153" t="s">
        <v>1978</v>
      </c>
    </row>
    <row r="551" spans="1:11" x14ac:dyDescent="0.25">
      <c r="A551" s="22">
        <v>9248</v>
      </c>
      <c r="B551" s="29">
        <v>46150</v>
      </c>
      <c r="C551" s="23" t="s">
        <v>49</v>
      </c>
      <c r="D551" s="37" t="s">
        <v>43</v>
      </c>
      <c r="E551" s="23" t="s">
        <v>62</v>
      </c>
      <c r="F551" s="31">
        <v>649</v>
      </c>
      <c r="G551" s="31"/>
      <c r="H551" s="31">
        <f>Cty_Viet_Anh[[#This Row],[ĐƠN GIÁ]]*Cty_Viet_Anh[[#This Row],[SỐ LƯỢNG]]</f>
        <v>0</v>
      </c>
      <c r="I551" s="31"/>
      <c r="J551" s="31">
        <f ca="1">N(INDIRECT("R[-1]C", FALSE)) + Cty_Viet_Anh[[#This Row],[THÀNH TIỀN]] - Cty_Viet_Anh[[#This Row],[THANH TOÁN]]</f>
        <v>434300.00000002235</v>
      </c>
      <c r="K551" s="24" t="s">
        <v>1740</v>
      </c>
    </row>
    <row r="552" spans="1:11" x14ac:dyDescent="0.25">
      <c r="A552" s="22">
        <v>5306</v>
      </c>
      <c r="B552" s="29">
        <v>46151</v>
      </c>
      <c r="C552" s="23" t="s">
        <v>84</v>
      </c>
      <c r="D552" s="37" t="s">
        <v>143</v>
      </c>
      <c r="E552" s="23" t="s">
        <v>78</v>
      </c>
      <c r="F552" s="31">
        <v>330</v>
      </c>
      <c r="G552" s="31">
        <v>-1000</v>
      </c>
      <c r="H552" s="31">
        <f>Cty_Viet_Anh[[#This Row],[ĐƠN GIÁ]]*Cty_Viet_Anh[[#This Row],[SỐ LƯỢNG]]</f>
        <v>-330000</v>
      </c>
      <c r="I552" s="31"/>
      <c r="J552" s="31">
        <f ca="1">N(INDIRECT("R[-1]C", FALSE)) + Cty_Viet_Anh[[#This Row],[THÀNH TIỀN]] - Cty_Viet_Anh[[#This Row],[THANH TOÁN]]</f>
        <v>104300.00000002235</v>
      </c>
      <c r="K552" s="24"/>
    </row>
    <row r="553" spans="1:11" x14ac:dyDescent="0.25">
      <c r="A553" s="22">
        <v>9295</v>
      </c>
      <c r="B553" s="29">
        <v>46151</v>
      </c>
      <c r="C553" s="23" t="s">
        <v>49</v>
      </c>
      <c r="D553" s="37" t="s">
        <v>1831</v>
      </c>
      <c r="E553" s="23" t="s">
        <v>148</v>
      </c>
      <c r="F553" s="31">
        <v>5410</v>
      </c>
      <c r="G553" s="31"/>
      <c r="H553" s="31">
        <f>Cty_Viet_Anh[[#This Row],[ĐƠN GIÁ]]*Cty_Viet_Anh[[#This Row],[SỐ LƯỢNG]]</f>
        <v>0</v>
      </c>
      <c r="I553" s="31"/>
      <c r="J553" s="31">
        <f ca="1">N(INDIRECT("R[-1]C", FALSE)) + Cty_Viet_Anh[[#This Row],[THÀNH TIỀN]] - Cty_Viet_Anh[[#This Row],[THANH TOÁN]]</f>
        <v>104300.00000002235</v>
      </c>
      <c r="K553" s="24" t="s">
        <v>1828</v>
      </c>
    </row>
    <row r="554" spans="1:11" x14ac:dyDescent="0.25">
      <c r="A554" s="22">
        <v>231</v>
      </c>
      <c r="B554" s="29">
        <v>46153</v>
      </c>
      <c r="C554" s="23" t="s">
        <v>426</v>
      </c>
      <c r="D554" s="37" t="s">
        <v>26</v>
      </c>
      <c r="E554" s="23" t="s">
        <v>148</v>
      </c>
      <c r="F554" s="31">
        <v>3670</v>
      </c>
      <c r="G554" s="31"/>
      <c r="H554" s="31">
        <f>Cty_Viet_Anh[[#This Row],[ĐƠN GIÁ]]*Cty_Viet_Anh[[#This Row],[SỐ LƯỢNG]]</f>
        <v>0</v>
      </c>
      <c r="I554" s="31"/>
      <c r="J554" s="31">
        <f ca="1">N(INDIRECT("R[-1]C", FALSE)) + Cty_Viet_Anh[[#This Row],[THÀNH TIỀN]] - Cty_Viet_Anh[[#This Row],[THANH TOÁN]]</f>
        <v>104300.00000002235</v>
      </c>
      <c r="K554" s="24"/>
    </row>
    <row r="555" spans="1:11" x14ac:dyDescent="0.25">
      <c r="A555" s="22">
        <v>2853</v>
      </c>
      <c r="B555" s="29">
        <v>46153</v>
      </c>
      <c r="C555" s="23" t="s">
        <v>84</v>
      </c>
      <c r="D555" s="37" t="s">
        <v>265</v>
      </c>
      <c r="E555" s="23" t="s">
        <v>62</v>
      </c>
      <c r="F555" s="31">
        <v>658</v>
      </c>
      <c r="G555" s="31">
        <v>-3800</v>
      </c>
      <c r="H555" s="31">
        <f>Cty_Viet_Anh[[#This Row],[ĐƠN GIÁ]]*Cty_Viet_Anh[[#This Row],[SỐ LƯỢNG]]</f>
        <v>-2500400</v>
      </c>
      <c r="I555" s="31"/>
      <c r="J555" s="31">
        <f ca="1">N(INDIRECT("R[-1]C", FALSE)) + Cty_Viet_Anh[[#This Row],[THÀNH TIỀN]] - Cty_Viet_Anh[[#This Row],[THANH TOÁN]]</f>
        <v>-2396099.9999999776</v>
      </c>
      <c r="K555" s="24"/>
    </row>
    <row r="556" spans="1:11" x14ac:dyDescent="0.25">
      <c r="A556" s="22">
        <v>9301</v>
      </c>
      <c r="B556" s="29">
        <v>46153</v>
      </c>
      <c r="C556" s="23" t="s">
        <v>49</v>
      </c>
      <c r="D556" s="37" t="s">
        <v>43</v>
      </c>
      <c r="E556" s="23" t="s">
        <v>230</v>
      </c>
      <c r="F556" s="31">
        <v>2302</v>
      </c>
      <c r="G556" s="31"/>
      <c r="H556" s="31">
        <f>Cty_Viet_Anh[[#This Row],[ĐƠN GIÁ]]*Cty_Viet_Anh[[#This Row],[SỐ LƯỢNG]]</f>
        <v>0</v>
      </c>
      <c r="I556" s="31"/>
      <c r="J556" s="31">
        <f ca="1">N(INDIRECT("R[-1]C", FALSE)) + Cty_Viet_Anh[[#This Row],[THÀNH TIỀN]] - Cty_Viet_Anh[[#This Row],[THANH TOÁN]]</f>
        <v>-2396099.9999999776</v>
      </c>
      <c r="K556" s="24" t="s">
        <v>2007</v>
      </c>
    </row>
    <row r="557" spans="1:11" x14ac:dyDescent="0.25">
      <c r="A557" s="25">
        <v>9311</v>
      </c>
      <c r="B557" s="30">
        <v>46153</v>
      </c>
      <c r="C557" s="26" t="s">
        <v>49</v>
      </c>
      <c r="D557" s="38" t="s">
        <v>26</v>
      </c>
      <c r="E557" s="26" t="s">
        <v>148</v>
      </c>
      <c r="F557" s="28">
        <v>3670</v>
      </c>
      <c r="G557" s="28"/>
      <c r="H557" s="28">
        <f>Cty_Viet_Anh[[#This Row],[ĐƠN GIÁ]]*Cty_Viet_Anh[[#This Row],[SỐ LƯỢNG]]</f>
        <v>0</v>
      </c>
      <c r="I557" s="28"/>
      <c r="J557" s="28">
        <f ca="1">N(INDIRECT("R[-1]C", FALSE)) + Cty_Viet_Anh[[#This Row],[THÀNH TIỀN]] - Cty_Viet_Anh[[#This Row],[THANH TOÁN]]</f>
        <v>-2396099.9999999776</v>
      </c>
      <c r="K557" s="27" t="s">
        <v>2012</v>
      </c>
    </row>
    <row r="558" spans="1:11" x14ac:dyDescent="0.25">
      <c r="A558" s="25">
        <v>5311</v>
      </c>
      <c r="B558" s="30">
        <v>46154</v>
      </c>
      <c r="C558" s="26" t="s">
        <v>84</v>
      </c>
      <c r="D558" s="38" t="s">
        <v>43</v>
      </c>
      <c r="E558" s="26" t="s">
        <v>230</v>
      </c>
      <c r="F558" s="28">
        <v>410</v>
      </c>
      <c r="G558" s="28">
        <v>-804.87804878049997</v>
      </c>
      <c r="H558" s="28">
        <f>Cty_Viet_Anh[[#This Row],[ĐƠN GIÁ]]*Cty_Viet_Anh[[#This Row],[SỐ LƯỢNG]]</f>
        <v>-330000.00000000501</v>
      </c>
      <c r="I558" s="28"/>
      <c r="J558" s="28">
        <f ca="1">N(INDIRECT("R[-1]C", FALSE)) + Cty_Viet_Anh[[#This Row],[THÀNH TIỀN]] - Cty_Viet_Anh[[#This Row],[THANH TOÁN]]</f>
        <v>-2726099.9999999828</v>
      </c>
      <c r="K558" s="27"/>
    </row>
    <row r="559" spans="1:11" x14ac:dyDescent="0.25">
      <c r="A559" s="25">
        <v>5311</v>
      </c>
      <c r="B559" s="30">
        <v>46154</v>
      </c>
      <c r="C559" s="26" t="s">
        <v>84</v>
      </c>
      <c r="D559" s="38" t="s">
        <v>1831</v>
      </c>
      <c r="E559" s="26" t="s">
        <v>148</v>
      </c>
      <c r="F559" s="28">
        <v>1480</v>
      </c>
      <c r="G559" s="28">
        <v>-550</v>
      </c>
      <c r="H559" s="28">
        <f>Cty_Viet_Anh[[#This Row],[ĐƠN GIÁ]]*Cty_Viet_Anh[[#This Row],[SỐ LƯỢNG]]</f>
        <v>-814000</v>
      </c>
      <c r="I559" s="28"/>
      <c r="J559" s="28">
        <f ca="1">N(INDIRECT("R[-1]C", FALSE)) + Cty_Viet_Anh[[#This Row],[THÀNH TIỀN]] - Cty_Viet_Anh[[#This Row],[THANH TOÁN]]</f>
        <v>-3540099.9999999828</v>
      </c>
      <c r="K559" s="27"/>
    </row>
    <row r="560" spans="1:11" x14ac:dyDescent="0.25">
      <c r="A560" s="25">
        <v>5311</v>
      </c>
      <c r="B560" s="30">
        <v>46154</v>
      </c>
      <c r="C560" s="26" t="s">
        <v>426</v>
      </c>
      <c r="D560" s="38" t="s">
        <v>43</v>
      </c>
      <c r="E560" s="26" t="s">
        <v>230</v>
      </c>
      <c r="F560" s="28">
        <v>1892</v>
      </c>
      <c r="G560" s="28"/>
      <c r="H560" s="28">
        <f>Cty_Viet_Anh[[#This Row],[ĐƠN GIÁ]]*Cty_Viet_Anh[[#This Row],[SỐ LƯỢNG]]</f>
        <v>0</v>
      </c>
      <c r="I560" s="28"/>
      <c r="J560" s="28">
        <f ca="1">N(INDIRECT("R[-1]C", FALSE)) + Cty_Viet_Anh[[#This Row],[THÀNH TIỀN]] - Cty_Viet_Anh[[#This Row],[THANH TOÁN]]</f>
        <v>-3540099.9999999828</v>
      </c>
      <c r="K560" s="27"/>
    </row>
    <row r="561" spans="1:11" x14ac:dyDescent="0.25">
      <c r="A561" s="22">
        <v>5311</v>
      </c>
      <c r="B561" s="29">
        <v>46154</v>
      </c>
      <c r="C561" s="23" t="s">
        <v>426</v>
      </c>
      <c r="D561" s="37" t="s">
        <v>1831</v>
      </c>
      <c r="E561" s="23" t="s">
        <v>148</v>
      </c>
      <c r="F561" s="31">
        <v>3926</v>
      </c>
      <c r="G561" s="31"/>
      <c r="H561" s="31">
        <f>Cty_Viet_Anh[[#This Row],[ĐƠN GIÁ]]*Cty_Viet_Anh[[#This Row],[SỐ LƯỢNG]]</f>
        <v>0</v>
      </c>
      <c r="I561" s="31"/>
      <c r="J561" s="31">
        <f ca="1">N(INDIRECT("R[-1]C", FALSE)) + Cty_Viet_Anh[[#This Row],[THÀNH TIỀN]] - Cty_Viet_Anh[[#This Row],[THANH TOÁN]]</f>
        <v>-3540099.9999999828</v>
      </c>
      <c r="K561" s="24"/>
    </row>
    <row r="562" spans="1:11" x14ac:dyDescent="0.25">
      <c r="A562" s="22">
        <v>9345</v>
      </c>
      <c r="B562" s="29">
        <v>46154</v>
      </c>
      <c r="C562" s="23" t="s">
        <v>13</v>
      </c>
      <c r="D562" s="37" t="s">
        <v>43</v>
      </c>
      <c r="E562" s="23" t="s">
        <v>246</v>
      </c>
      <c r="F562" s="31">
        <v>506</v>
      </c>
      <c r="G562" s="31">
        <v>61000</v>
      </c>
      <c r="H562" s="31">
        <f>Cty_Viet_Anh[[#This Row],[ĐƠN GIÁ]]*Cty_Viet_Anh[[#This Row],[SỐ LƯỢNG]]</f>
        <v>30866000</v>
      </c>
      <c r="I562" s="31"/>
      <c r="J562" s="31">
        <f ca="1">N(INDIRECT("R[-1]C", FALSE)) + Cty_Viet_Anh[[#This Row],[THÀNH TIỀN]] - Cty_Viet_Anh[[#This Row],[THANH TOÁN]]</f>
        <v>27325900.000000019</v>
      </c>
      <c r="K562" s="24"/>
    </row>
    <row r="563" spans="1:11" x14ac:dyDescent="0.25">
      <c r="A563" s="22">
        <v>5316</v>
      </c>
      <c r="B563" s="29">
        <v>46155</v>
      </c>
      <c r="C563" s="23" t="s">
        <v>84</v>
      </c>
      <c r="D563" s="37" t="s">
        <v>301</v>
      </c>
      <c r="E563" s="23" t="s">
        <v>81</v>
      </c>
      <c r="F563" s="31">
        <v>2070</v>
      </c>
      <c r="G563" s="31">
        <v>-1650</v>
      </c>
      <c r="H563" s="31">
        <f>Cty_Viet_Anh[[#This Row],[ĐƠN GIÁ]]*Cty_Viet_Anh[[#This Row],[SỐ LƯỢNG]]</f>
        <v>-3415500</v>
      </c>
      <c r="I563" s="31"/>
      <c r="J563" s="31">
        <f ca="1">N(INDIRECT("R[-1]C", FALSE)) + Cty_Viet_Anh[[#This Row],[THÀNH TIỀN]] - Cty_Viet_Anh[[#This Row],[THANH TOÁN]]</f>
        <v>23910400.000000019</v>
      </c>
      <c r="K563" s="24"/>
    </row>
    <row r="564" spans="1:11" x14ac:dyDescent="0.25">
      <c r="A564" s="22">
        <v>9360</v>
      </c>
      <c r="B564" s="29">
        <v>46155</v>
      </c>
      <c r="C564" s="23" t="s">
        <v>49</v>
      </c>
      <c r="D564" s="37" t="s">
        <v>77</v>
      </c>
      <c r="E564" s="23" t="s">
        <v>2078</v>
      </c>
      <c r="F564" s="31">
        <v>1826</v>
      </c>
      <c r="G564" s="31"/>
      <c r="H564" s="31">
        <f>Cty_Viet_Anh[[#This Row],[ĐƠN GIÁ]]*Cty_Viet_Anh[[#This Row],[SỐ LƯỢNG]]</f>
        <v>0</v>
      </c>
      <c r="I564" s="31"/>
      <c r="J564" s="31">
        <f ca="1">N(INDIRECT("R[-1]C", FALSE)) + Cty_Viet_Anh[[#This Row],[THÀNH TIỀN]] - Cty_Viet_Anh[[#This Row],[THANH TOÁN]]</f>
        <v>23910400.000000019</v>
      </c>
      <c r="K564" s="24" t="s">
        <v>2079</v>
      </c>
    </row>
    <row r="565" spans="1:11" x14ac:dyDescent="0.25">
      <c r="A565" s="22">
        <v>9360</v>
      </c>
      <c r="B565" s="29">
        <v>46155</v>
      </c>
      <c r="C565" s="23" t="s">
        <v>49</v>
      </c>
      <c r="D565" s="37" t="s">
        <v>77</v>
      </c>
      <c r="E565" s="23" t="s">
        <v>2080</v>
      </c>
      <c r="F565" s="31">
        <v>1816</v>
      </c>
      <c r="G565" s="31"/>
      <c r="H565" s="31">
        <f>Cty_Viet_Anh[[#This Row],[ĐƠN GIÁ]]*Cty_Viet_Anh[[#This Row],[SỐ LƯỢNG]]</f>
        <v>0</v>
      </c>
      <c r="I565" s="31"/>
      <c r="J565" s="31">
        <f ca="1">N(INDIRECT("R[-1]C", FALSE)) + Cty_Viet_Anh[[#This Row],[THÀNH TIỀN]] - Cty_Viet_Anh[[#This Row],[THANH TOÁN]]</f>
        <v>23910400.000000019</v>
      </c>
      <c r="K565" s="24" t="s">
        <v>2081</v>
      </c>
    </row>
    <row r="566" spans="1:11" x14ac:dyDescent="0.25">
      <c r="A566" s="22">
        <v>9360</v>
      </c>
      <c r="B566" s="29">
        <v>46155</v>
      </c>
      <c r="C566" s="23" t="s">
        <v>49</v>
      </c>
      <c r="D566" s="37" t="s">
        <v>77</v>
      </c>
      <c r="E566" s="23" t="s">
        <v>2082</v>
      </c>
      <c r="F566" s="31">
        <v>764</v>
      </c>
      <c r="G566" s="31"/>
      <c r="H566" s="31">
        <f>Cty_Viet_Anh[[#This Row],[ĐƠN GIÁ]]*Cty_Viet_Anh[[#This Row],[SỐ LƯỢNG]]</f>
        <v>0</v>
      </c>
      <c r="I566" s="31"/>
      <c r="J566" s="31">
        <f ca="1">N(INDIRECT("R[-1]C", FALSE)) + Cty_Viet_Anh[[#This Row],[THÀNH TIỀN]] - Cty_Viet_Anh[[#This Row],[THANH TOÁN]]</f>
        <v>23910400.000000019</v>
      </c>
      <c r="K566" s="24" t="s">
        <v>2083</v>
      </c>
    </row>
    <row r="567" spans="1:11" x14ac:dyDescent="0.25">
      <c r="A567" s="25">
        <v>9360</v>
      </c>
      <c r="B567" s="30">
        <v>46155</v>
      </c>
      <c r="C567" s="26" t="s">
        <v>49</v>
      </c>
      <c r="D567" s="38" t="s">
        <v>77</v>
      </c>
      <c r="E567" s="26" t="s">
        <v>2084</v>
      </c>
      <c r="F567" s="28">
        <v>1367</v>
      </c>
      <c r="G567" s="28"/>
      <c r="H567" s="28">
        <f>Cty_Viet_Anh[[#This Row],[ĐƠN GIÁ]]*Cty_Viet_Anh[[#This Row],[SỐ LƯỢNG]]</f>
        <v>0</v>
      </c>
      <c r="I567" s="28"/>
      <c r="J567" s="28">
        <f ca="1">N(INDIRECT("R[-1]C", FALSE)) + Cty_Viet_Anh[[#This Row],[THÀNH TIỀN]] - Cty_Viet_Anh[[#This Row],[THANH TOÁN]]</f>
        <v>23910400.000000019</v>
      </c>
      <c r="K567" s="27" t="s">
        <v>2085</v>
      </c>
    </row>
    <row r="568" spans="1:11" x14ac:dyDescent="0.25">
      <c r="A568" s="25">
        <v>9360</v>
      </c>
      <c r="B568" s="30">
        <v>46155</v>
      </c>
      <c r="C568" s="26" t="s">
        <v>49</v>
      </c>
      <c r="D568" s="38" t="s">
        <v>77</v>
      </c>
      <c r="E568" s="26" t="s">
        <v>2086</v>
      </c>
      <c r="F568" s="28">
        <v>715</v>
      </c>
      <c r="G568" s="28"/>
      <c r="H568" s="28">
        <f>Cty_Viet_Anh[[#This Row],[ĐƠN GIÁ]]*Cty_Viet_Anh[[#This Row],[SỐ LƯỢNG]]</f>
        <v>0</v>
      </c>
      <c r="I568" s="28"/>
      <c r="J568" s="28">
        <f ca="1">N(INDIRECT("R[-1]C", FALSE)) + Cty_Viet_Anh[[#This Row],[THÀNH TIỀN]] - Cty_Viet_Anh[[#This Row],[THANH TOÁN]]</f>
        <v>23910400.000000019</v>
      </c>
      <c r="K568" s="27" t="s">
        <v>2087</v>
      </c>
    </row>
    <row r="569" spans="1:11" x14ac:dyDescent="0.25">
      <c r="A569" s="25">
        <v>9360</v>
      </c>
      <c r="B569" s="30">
        <v>46155</v>
      </c>
      <c r="C569" s="26" t="s">
        <v>49</v>
      </c>
      <c r="D569" s="38" t="s">
        <v>77</v>
      </c>
      <c r="E569" s="26" t="s">
        <v>2088</v>
      </c>
      <c r="F569" s="28">
        <v>208</v>
      </c>
      <c r="G569" s="28"/>
      <c r="H569" s="28">
        <f>Cty_Viet_Anh[[#This Row],[ĐƠN GIÁ]]*Cty_Viet_Anh[[#This Row],[SỐ LƯỢNG]]</f>
        <v>0</v>
      </c>
      <c r="I569" s="28"/>
      <c r="J569" s="28">
        <f ca="1">N(INDIRECT("R[-1]C", FALSE)) + Cty_Viet_Anh[[#This Row],[THÀNH TIỀN]] - Cty_Viet_Anh[[#This Row],[THANH TOÁN]]</f>
        <v>23910400.000000019</v>
      </c>
      <c r="K569" s="27" t="s">
        <v>2089</v>
      </c>
    </row>
    <row r="570" spans="1:11" ht="31.5" x14ac:dyDescent="0.25">
      <c r="A570" s="25">
        <v>9380</v>
      </c>
      <c r="B570" s="30">
        <v>46156</v>
      </c>
      <c r="C570" s="26" t="s">
        <v>49</v>
      </c>
      <c r="D570" s="38" t="s">
        <v>17</v>
      </c>
      <c r="E570" s="26" t="s">
        <v>891</v>
      </c>
      <c r="F570" s="28">
        <v>4432</v>
      </c>
      <c r="G570" s="28"/>
      <c r="H570" s="28">
        <f>Cty_Viet_Anh[[#This Row],[ĐƠN GIÁ]]*Cty_Viet_Anh[[#This Row],[SỐ LƯỢNG]]</f>
        <v>0</v>
      </c>
      <c r="I570" s="28"/>
      <c r="J570" s="28">
        <f ca="1">N(INDIRECT("R[-1]C", FALSE)) + Cty_Viet_Anh[[#This Row],[THÀNH TIỀN]] - Cty_Viet_Anh[[#This Row],[THANH TOÁN]]</f>
        <v>23910400.000000019</v>
      </c>
      <c r="K570" s="153" t="s">
        <v>2109</v>
      </c>
    </row>
    <row r="571" spans="1:11" x14ac:dyDescent="0.25">
      <c r="A571" s="25">
        <v>9380</v>
      </c>
      <c r="B571" s="30">
        <v>46156</v>
      </c>
      <c r="C571" s="26" t="s">
        <v>49</v>
      </c>
      <c r="D571" s="38" t="s">
        <v>17</v>
      </c>
      <c r="E571" s="26" t="s">
        <v>842</v>
      </c>
      <c r="F571" s="28">
        <v>3804</v>
      </c>
      <c r="G571" s="28"/>
      <c r="H571" s="28">
        <f>Cty_Viet_Anh[[#This Row],[ĐƠN GIÁ]]*Cty_Viet_Anh[[#This Row],[SỐ LƯỢNG]]</f>
        <v>0</v>
      </c>
      <c r="I571" s="28"/>
      <c r="J571" s="28">
        <f ca="1">N(INDIRECT("R[-1]C", FALSE)) + Cty_Viet_Anh[[#This Row],[THÀNH TIỀN]] - Cty_Viet_Anh[[#This Row],[THANH TOÁN]]</f>
        <v>23910400.000000019</v>
      </c>
      <c r="K571" s="153" t="s">
        <v>2110</v>
      </c>
    </row>
    <row r="572" spans="1:11" x14ac:dyDescent="0.25">
      <c r="A572" s="25">
        <v>5322</v>
      </c>
      <c r="B572" s="30">
        <v>46157</v>
      </c>
      <c r="C572" s="26" t="s">
        <v>84</v>
      </c>
      <c r="D572" s="38" t="s">
        <v>14</v>
      </c>
      <c r="E572" s="26" t="s">
        <v>62</v>
      </c>
      <c r="F572" s="28">
        <v>2982</v>
      </c>
      <c r="G572" s="28">
        <v>-550</v>
      </c>
      <c r="H572" s="28">
        <f>Cty_Viet_Anh[[#This Row],[ĐƠN GIÁ]]*Cty_Viet_Anh[[#This Row],[SỐ LƯỢNG]]</f>
        <v>-1640100</v>
      </c>
      <c r="I572" s="28"/>
      <c r="J572" s="28">
        <f ca="1">N(INDIRECT("R[-1]C", FALSE)) + Cty_Viet_Anh[[#This Row],[THÀNH TIỀN]] - Cty_Viet_Anh[[#This Row],[THANH TOÁN]]</f>
        <v>22270300.000000019</v>
      </c>
      <c r="K572" s="27" t="s">
        <v>2144</v>
      </c>
    </row>
    <row r="573" spans="1:11" x14ac:dyDescent="0.25">
      <c r="A573" s="25">
        <v>5325</v>
      </c>
      <c r="B573" s="30">
        <v>46157</v>
      </c>
      <c r="C573" s="26" t="s">
        <v>84</v>
      </c>
      <c r="D573" s="38" t="s">
        <v>17</v>
      </c>
      <c r="E573" s="26" t="s">
        <v>502</v>
      </c>
      <c r="F573" s="28">
        <v>8168</v>
      </c>
      <c r="G573" s="28">
        <v>-550</v>
      </c>
      <c r="H573" s="28">
        <f>Cty_Viet_Anh[[#This Row],[ĐƠN GIÁ]]*Cty_Viet_Anh[[#This Row],[SỐ LƯỢNG]]</f>
        <v>-4492400</v>
      </c>
      <c r="I573" s="28"/>
      <c r="J573" s="28">
        <f ca="1">N(INDIRECT("R[-1]C", FALSE)) + Cty_Viet_Anh[[#This Row],[THÀNH TIỀN]] - Cty_Viet_Anh[[#This Row],[THANH TOÁN]]</f>
        <v>17777900.000000019</v>
      </c>
      <c r="K573" s="27"/>
    </row>
    <row r="574" spans="1:11" x14ac:dyDescent="0.25">
      <c r="A574" s="25">
        <v>5325</v>
      </c>
      <c r="B574" s="30">
        <v>46157</v>
      </c>
      <c r="C574" s="26" t="s">
        <v>84</v>
      </c>
      <c r="D574" s="38" t="s">
        <v>14</v>
      </c>
      <c r="E574" s="26" t="s">
        <v>40</v>
      </c>
      <c r="F574" s="28">
        <v>1022</v>
      </c>
      <c r="G574" s="28">
        <v>-550</v>
      </c>
      <c r="H574" s="28">
        <f>Cty_Viet_Anh[[#This Row],[ĐƠN GIÁ]]*Cty_Viet_Anh[[#This Row],[SỐ LƯỢNG]]</f>
        <v>-562100</v>
      </c>
      <c r="I574" s="28"/>
      <c r="J574" s="28">
        <f ca="1">N(INDIRECT("R[-1]C", FALSE)) + Cty_Viet_Anh[[#This Row],[THÀNH TIỀN]] - Cty_Viet_Anh[[#This Row],[THANH TOÁN]]</f>
        <v>17215800.000000019</v>
      </c>
      <c r="K574" s="27"/>
    </row>
    <row r="575" spans="1:11" x14ac:dyDescent="0.25">
      <c r="A575" s="25">
        <v>9375</v>
      </c>
      <c r="B575" s="30">
        <v>46157</v>
      </c>
      <c r="C575" s="26" t="s">
        <v>49</v>
      </c>
      <c r="D575" s="38" t="s">
        <v>14</v>
      </c>
      <c r="E575" s="26" t="s">
        <v>62</v>
      </c>
      <c r="F575" s="28">
        <v>5135</v>
      </c>
      <c r="G575" s="28"/>
      <c r="H575" s="28">
        <f>Cty_Viet_Anh[[#This Row],[ĐƠN GIÁ]]*Cty_Viet_Anh[[#This Row],[SỐ LƯỢNG]]</f>
        <v>0</v>
      </c>
      <c r="I575" s="28"/>
      <c r="J575" s="28">
        <f ca="1">N(INDIRECT("R[-1]C", FALSE)) + Cty_Viet_Anh[[#This Row],[THÀNH TIỀN]] - Cty_Viet_Anh[[#This Row],[THANH TOÁN]]</f>
        <v>17215800.000000019</v>
      </c>
      <c r="K575" s="27" t="s">
        <v>2100</v>
      </c>
    </row>
    <row r="576" spans="1:11" x14ac:dyDescent="0.25">
      <c r="A576" s="25">
        <v>9375</v>
      </c>
      <c r="B576" s="30">
        <v>46157</v>
      </c>
      <c r="C576" s="26" t="s">
        <v>49</v>
      </c>
      <c r="D576" s="38" t="s">
        <v>192</v>
      </c>
      <c r="E576" s="26" t="s">
        <v>2101</v>
      </c>
      <c r="F576" s="28">
        <v>1102</v>
      </c>
      <c r="G576" s="28"/>
      <c r="H576" s="28">
        <f>Cty_Viet_Anh[[#This Row],[ĐƠN GIÁ]]*Cty_Viet_Anh[[#This Row],[SỐ LƯỢNG]]</f>
        <v>0</v>
      </c>
      <c r="I576" s="28"/>
      <c r="J576" s="28">
        <f ca="1">N(INDIRECT("R[-1]C", FALSE)) + Cty_Viet_Anh[[#This Row],[THÀNH TIỀN]] - Cty_Viet_Anh[[#This Row],[THANH TOÁN]]</f>
        <v>17215800.000000019</v>
      </c>
      <c r="K576" s="27" t="s">
        <v>2102</v>
      </c>
    </row>
    <row r="577" spans="1:11" x14ac:dyDescent="0.25">
      <c r="A577" s="25">
        <v>9375</v>
      </c>
      <c r="B577" s="30">
        <v>46157</v>
      </c>
      <c r="C577" s="26" t="s">
        <v>49</v>
      </c>
      <c r="D577" s="38" t="s">
        <v>192</v>
      </c>
      <c r="E577" s="26" t="s">
        <v>2103</v>
      </c>
      <c r="F577" s="28">
        <v>913</v>
      </c>
      <c r="G577" s="28"/>
      <c r="H577" s="28">
        <f>Cty_Viet_Anh[[#This Row],[ĐƠN GIÁ]]*Cty_Viet_Anh[[#This Row],[SỐ LƯỢNG]]</f>
        <v>0</v>
      </c>
      <c r="I577" s="28"/>
      <c r="J577" s="28">
        <f ca="1">N(INDIRECT("R[-1]C", FALSE)) + Cty_Viet_Anh[[#This Row],[THÀNH TIỀN]] - Cty_Viet_Anh[[#This Row],[THANH TOÁN]]</f>
        <v>17215800.000000019</v>
      </c>
      <c r="K577" s="27" t="s">
        <v>2104</v>
      </c>
    </row>
    <row r="578" spans="1:11" x14ac:dyDescent="0.25">
      <c r="A578" s="25">
        <v>9394</v>
      </c>
      <c r="B578" s="30">
        <v>46157</v>
      </c>
      <c r="C578" s="26" t="s">
        <v>49</v>
      </c>
      <c r="D578" s="38" t="s">
        <v>17</v>
      </c>
      <c r="E578" s="26" t="s">
        <v>891</v>
      </c>
      <c r="F578" s="28">
        <v>3750</v>
      </c>
      <c r="G578" s="28"/>
      <c r="H578" s="28">
        <f>Cty_Viet_Anh[[#This Row],[ĐƠN GIÁ]]*Cty_Viet_Anh[[#This Row],[SỐ LƯỢNG]]</f>
        <v>0</v>
      </c>
      <c r="I578" s="28"/>
      <c r="J578" s="28">
        <f ca="1">N(INDIRECT("R[-1]C", FALSE)) + Cty_Viet_Anh[[#This Row],[THÀNH TIỀN]] - Cty_Viet_Anh[[#This Row],[THANH TOÁN]]</f>
        <v>17215800.000000019</v>
      </c>
      <c r="K578" s="153" t="s">
        <v>2117</v>
      </c>
    </row>
    <row r="579" spans="1:11" x14ac:dyDescent="0.25">
      <c r="A579" s="25">
        <v>9395</v>
      </c>
      <c r="B579" s="30">
        <v>46157</v>
      </c>
      <c r="C579" s="26" t="s">
        <v>49</v>
      </c>
      <c r="D579" s="38" t="s">
        <v>841</v>
      </c>
      <c r="E579" s="26" t="s">
        <v>2118</v>
      </c>
      <c r="F579" s="28">
        <v>1514</v>
      </c>
      <c r="G579" s="28"/>
      <c r="H579" s="28">
        <f>Cty_Viet_Anh[[#This Row],[ĐƠN GIÁ]]*Cty_Viet_Anh[[#This Row],[SỐ LƯỢNG]]</f>
        <v>0</v>
      </c>
      <c r="I579" s="28"/>
      <c r="J579" s="28">
        <f ca="1">N(INDIRECT("R[-1]C", FALSE)) + Cty_Viet_Anh[[#This Row],[THÀNH TIỀN]] - Cty_Viet_Anh[[#This Row],[THANH TOÁN]]</f>
        <v>17215800.000000019</v>
      </c>
      <c r="K579" s="153" t="s">
        <v>2119</v>
      </c>
    </row>
    <row r="580" spans="1:11" ht="31.5" x14ac:dyDescent="0.25">
      <c r="A580" s="25">
        <v>9395</v>
      </c>
      <c r="B580" s="30">
        <v>46157</v>
      </c>
      <c r="C580" s="26" t="s">
        <v>49</v>
      </c>
      <c r="D580" s="38" t="s">
        <v>14</v>
      </c>
      <c r="E580" s="26" t="s">
        <v>40</v>
      </c>
      <c r="F580" s="28">
        <v>5170</v>
      </c>
      <c r="G580" s="28"/>
      <c r="H580" s="28">
        <f>Cty_Viet_Anh[[#This Row],[ĐƠN GIÁ]]*Cty_Viet_Anh[[#This Row],[SỐ LƯỢNG]]</f>
        <v>0</v>
      </c>
      <c r="I580" s="28"/>
      <c r="J580" s="28">
        <f ca="1">N(INDIRECT("R[-1]C", FALSE)) + Cty_Viet_Anh[[#This Row],[THÀNH TIỀN]] - Cty_Viet_Anh[[#This Row],[THANH TOÁN]]</f>
        <v>17215800.000000019</v>
      </c>
      <c r="K580" s="153" t="s">
        <v>2120</v>
      </c>
    </row>
    <row r="581" spans="1:11" x14ac:dyDescent="0.25">
      <c r="A581" s="22">
        <v>238</v>
      </c>
      <c r="B581" s="29">
        <v>46158</v>
      </c>
      <c r="C581" s="23" t="s">
        <v>426</v>
      </c>
      <c r="D581" s="37" t="s">
        <v>17</v>
      </c>
      <c r="E581" s="23" t="s">
        <v>78</v>
      </c>
      <c r="F581" s="31">
        <v>3832</v>
      </c>
      <c r="G581" s="31"/>
      <c r="H581" s="31">
        <f>Cty_Viet_Anh[[#This Row],[ĐƠN GIÁ]]*Cty_Viet_Anh[[#This Row],[SỐ LƯỢNG]]</f>
        <v>0</v>
      </c>
      <c r="I581" s="31"/>
      <c r="J581" s="31">
        <f ca="1">N(INDIRECT("R[-1]C", FALSE)) + Cty_Viet_Anh[[#This Row],[THÀNH TIỀN]] - Cty_Viet_Anh[[#This Row],[THANH TOÁN]]</f>
        <v>17215800.000000019</v>
      </c>
      <c r="K581" s="24"/>
    </row>
    <row r="582" spans="1:11" x14ac:dyDescent="0.25">
      <c r="A582" s="22">
        <v>238</v>
      </c>
      <c r="B582" s="29">
        <v>46158</v>
      </c>
      <c r="C582" s="23" t="s">
        <v>426</v>
      </c>
      <c r="D582" s="37" t="s">
        <v>135</v>
      </c>
      <c r="E582" s="23" t="s">
        <v>62</v>
      </c>
      <c r="F582" s="31">
        <v>1083</v>
      </c>
      <c r="G582" s="31"/>
      <c r="H582" s="31">
        <f>Cty_Viet_Anh[[#This Row],[ĐƠN GIÁ]]*Cty_Viet_Anh[[#This Row],[SỐ LƯỢNG]]</f>
        <v>0</v>
      </c>
      <c r="I582" s="31"/>
      <c r="J582" s="31">
        <f ca="1">N(INDIRECT("R[-1]C", FALSE)) + Cty_Viet_Anh[[#This Row],[THÀNH TIỀN]] - Cty_Viet_Anh[[#This Row],[THANH TOÁN]]</f>
        <v>17215800.000000019</v>
      </c>
      <c r="K582" s="24"/>
    </row>
    <row r="583" spans="1:11" x14ac:dyDescent="0.25">
      <c r="A583" s="22">
        <v>5327</v>
      </c>
      <c r="B583" s="29">
        <v>46158</v>
      </c>
      <c r="C583" s="23" t="s">
        <v>84</v>
      </c>
      <c r="D583" s="37" t="s">
        <v>77</v>
      </c>
      <c r="E583" s="23" t="s">
        <v>136</v>
      </c>
      <c r="F583" s="31">
        <v>2080</v>
      </c>
      <c r="G583" s="31">
        <v>-550</v>
      </c>
      <c r="H583" s="31">
        <f>Cty_Viet_Anh[[#This Row],[ĐƠN GIÁ]]*Cty_Viet_Anh[[#This Row],[SỐ LƯỢNG]]</f>
        <v>-1144000</v>
      </c>
      <c r="I583" s="31"/>
      <c r="J583" s="31">
        <f ca="1">N(INDIRECT("R[-1]C", FALSE)) + Cty_Viet_Anh[[#This Row],[THÀNH TIỀN]] - Cty_Viet_Anh[[#This Row],[THANH TOÁN]]</f>
        <v>16071800.000000019</v>
      </c>
      <c r="K583" s="133"/>
    </row>
    <row r="584" spans="1:11" x14ac:dyDescent="0.25">
      <c r="A584" s="22">
        <v>5327</v>
      </c>
      <c r="B584" s="29">
        <v>46158</v>
      </c>
      <c r="C584" s="23" t="s">
        <v>84</v>
      </c>
      <c r="D584" s="172" t="s">
        <v>14</v>
      </c>
      <c r="E584" s="23" t="s">
        <v>40</v>
      </c>
      <c r="F584" s="31">
        <v>618</v>
      </c>
      <c r="G584" s="31">
        <v>-550</v>
      </c>
      <c r="H584" s="31">
        <f>Cty_Viet_Anh[[#This Row],[ĐƠN GIÁ]]*Cty_Viet_Anh[[#This Row],[SỐ LƯỢNG]]</f>
        <v>-339900</v>
      </c>
      <c r="I584" s="31"/>
      <c r="J584" s="31">
        <f ca="1">N(INDIRECT("R[-1]C", FALSE)) + Cty_Viet_Anh[[#This Row],[THÀNH TIỀN]] - Cty_Viet_Anh[[#This Row],[THANH TOÁN]]</f>
        <v>15731900.000000019</v>
      </c>
      <c r="K584" s="133"/>
    </row>
    <row r="585" spans="1:11" x14ac:dyDescent="0.25">
      <c r="A585" s="22">
        <v>5327</v>
      </c>
      <c r="B585" s="29">
        <v>46158</v>
      </c>
      <c r="C585" s="23" t="s">
        <v>84</v>
      </c>
      <c r="D585" s="37" t="s">
        <v>17</v>
      </c>
      <c r="E585" s="23" t="s">
        <v>502</v>
      </c>
      <c r="F585" s="31">
        <v>1522</v>
      </c>
      <c r="G585" s="31">
        <v>-550</v>
      </c>
      <c r="H585" s="31">
        <f>Cty_Viet_Anh[[#This Row],[ĐƠN GIÁ]]*Cty_Viet_Anh[[#This Row],[SỐ LƯỢNG]]</f>
        <v>-837100</v>
      </c>
      <c r="I585" s="31"/>
      <c r="J585" s="31">
        <f ca="1">N(INDIRECT("R[-1]C", FALSE)) + Cty_Viet_Anh[[#This Row],[THÀNH TIỀN]] - Cty_Viet_Anh[[#This Row],[THANH TOÁN]]</f>
        <v>14894800.000000019</v>
      </c>
      <c r="K585" s="133"/>
    </row>
    <row r="586" spans="1:11" x14ac:dyDescent="0.25">
      <c r="A586" s="22">
        <v>5327</v>
      </c>
      <c r="B586" s="29">
        <v>46158</v>
      </c>
      <c r="C586" s="23" t="s">
        <v>426</v>
      </c>
      <c r="D586" s="37" t="s">
        <v>14</v>
      </c>
      <c r="E586" s="23" t="s">
        <v>40</v>
      </c>
      <c r="F586" s="31">
        <v>3580</v>
      </c>
      <c r="G586" s="31"/>
      <c r="H586" s="31">
        <f>Cty_Viet_Anh[[#This Row],[ĐƠN GIÁ]]*Cty_Viet_Anh[[#This Row],[SỐ LƯỢNG]]</f>
        <v>0</v>
      </c>
      <c r="I586" s="31"/>
      <c r="J586" s="31">
        <f ca="1">N(INDIRECT("R[-1]C", FALSE)) + Cty_Viet_Anh[[#This Row],[THÀNH TIỀN]] - Cty_Viet_Anh[[#This Row],[THANH TOÁN]]</f>
        <v>14894800.000000019</v>
      </c>
      <c r="K586" s="133"/>
    </row>
    <row r="587" spans="1:11" x14ac:dyDescent="0.25">
      <c r="A587" s="22">
        <v>5328</v>
      </c>
      <c r="B587" s="29">
        <v>46158</v>
      </c>
      <c r="C587" s="23" t="s">
        <v>84</v>
      </c>
      <c r="D587" s="37" t="s">
        <v>93</v>
      </c>
      <c r="E587" s="23" t="s">
        <v>416</v>
      </c>
      <c r="F587" s="31">
        <v>2990</v>
      </c>
      <c r="G587" s="31">
        <v>-550</v>
      </c>
      <c r="H587" s="31">
        <f>Cty_Viet_Anh[[#This Row],[ĐƠN GIÁ]]*Cty_Viet_Anh[[#This Row],[SỐ LƯỢNG]]</f>
        <v>-1644500</v>
      </c>
      <c r="I587" s="31"/>
      <c r="J587" s="31">
        <f ca="1">N(INDIRECT("R[-1]C", FALSE)) + Cty_Viet_Anh[[#This Row],[THÀNH TIỀN]] - Cty_Viet_Anh[[#This Row],[THANH TOÁN]]</f>
        <v>13250300.000000019</v>
      </c>
      <c r="K587" s="24"/>
    </row>
    <row r="588" spans="1:11" x14ac:dyDescent="0.25">
      <c r="A588" s="22">
        <v>5329</v>
      </c>
      <c r="B588" s="29">
        <v>46158</v>
      </c>
      <c r="C588" s="23" t="s">
        <v>84</v>
      </c>
      <c r="D588" s="37" t="s">
        <v>43</v>
      </c>
      <c r="E588" s="23" t="s">
        <v>188</v>
      </c>
      <c r="F588" s="31">
        <v>856</v>
      </c>
      <c r="G588" s="31">
        <v>-550</v>
      </c>
      <c r="H588" s="31">
        <f>Cty_Viet_Anh[[#This Row],[ĐƠN GIÁ]]*Cty_Viet_Anh[[#This Row],[SỐ LƯỢNG]]</f>
        <v>-470800</v>
      </c>
      <c r="I588" s="31"/>
      <c r="J588" s="31">
        <f ca="1">N(INDIRECT("R[-1]C", FALSE)) + Cty_Viet_Anh[[#This Row],[THÀNH TIỀN]] - Cty_Viet_Anh[[#This Row],[THANH TOÁN]]</f>
        <v>12779500.000000019</v>
      </c>
      <c r="K588" s="24"/>
    </row>
    <row r="589" spans="1:11" x14ac:dyDescent="0.25">
      <c r="A589" s="22">
        <v>5330</v>
      </c>
      <c r="B589" s="29">
        <v>46158</v>
      </c>
      <c r="C589" s="23" t="s">
        <v>84</v>
      </c>
      <c r="D589" s="37" t="s">
        <v>17</v>
      </c>
      <c r="E589" s="23" t="s">
        <v>2199</v>
      </c>
      <c r="F589" s="31">
        <v>1834</v>
      </c>
      <c r="G589" s="31">
        <v>-550</v>
      </c>
      <c r="H589" s="31">
        <f>Cty_Viet_Anh[[#This Row],[ĐƠN GIÁ]]*Cty_Viet_Anh[[#This Row],[SỐ LƯỢNG]]</f>
        <v>-1008700</v>
      </c>
      <c r="I589" s="31"/>
      <c r="J589" s="31">
        <f ca="1">N(INDIRECT("R[-1]C", FALSE)) + Cty_Viet_Anh[[#This Row],[THÀNH TIỀN]] - Cty_Viet_Anh[[#This Row],[THANH TOÁN]]</f>
        <v>11770800.000000019</v>
      </c>
      <c r="K589" s="133"/>
    </row>
    <row r="590" spans="1:11" x14ac:dyDescent="0.25">
      <c r="A590" s="22">
        <v>5333</v>
      </c>
      <c r="B590" s="29">
        <v>46158</v>
      </c>
      <c r="C590" s="23" t="s">
        <v>84</v>
      </c>
      <c r="D590" s="37" t="s">
        <v>17</v>
      </c>
      <c r="E590" s="23" t="s">
        <v>502</v>
      </c>
      <c r="F590" s="31">
        <v>2854</v>
      </c>
      <c r="G590" s="31">
        <v>-550</v>
      </c>
      <c r="H590" s="31">
        <f>Cty_Viet_Anh[[#This Row],[ĐƠN GIÁ]]*Cty_Viet_Anh[[#This Row],[SỐ LƯỢNG]]</f>
        <v>-1569700</v>
      </c>
      <c r="I590" s="31"/>
      <c r="J590" s="31">
        <f ca="1">N(INDIRECT("R[-1]C", FALSE)) + Cty_Viet_Anh[[#This Row],[THÀNH TIỀN]] - Cty_Viet_Anh[[#This Row],[THANH TOÁN]]</f>
        <v>10201100.000000019</v>
      </c>
      <c r="K590" s="24"/>
    </row>
    <row r="591" spans="1:11" x14ac:dyDescent="0.25">
      <c r="A591" s="22">
        <v>5333</v>
      </c>
      <c r="B591" s="29">
        <v>46158</v>
      </c>
      <c r="C591" s="23" t="s">
        <v>84</v>
      </c>
      <c r="D591" s="37" t="s">
        <v>43</v>
      </c>
      <c r="E591" s="23" t="s">
        <v>40</v>
      </c>
      <c r="F591" s="31">
        <v>668</v>
      </c>
      <c r="G591" s="31">
        <v>-550</v>
      </c>
      <c r="H591" s="31">
        <f>Cty_Viet_Anh[[#This Row],[ĐƠN GIÁ]]*Cty_Viet_Anh[[#This Row],[SỐ LƯỢNG]]</f>
        <v>-367400</v>
      </c>
      <c r="I591" s="31"/>
      <c r="J591" s="31">
        <f ca="1">N(INDIRECT("R[-1]C", FALSE)) + Cty_Viet_Anh[[#This Row],[THÀNH TIỀN]] - Cty_Viet_Anh[[#This Row],[THANH TOÁN]]</f>
        <v>9833700.0000000186</v>
      </c>
      <c r="K591" s="24"/>
    </row>
    <row r="592" spans="1:11" x14ac:dyDescent="0.25">
      <c r="A592" s="22">
        <v>9421</v>
      </c>
      <c r="B592" s="29">
        <v>46158</v>
      </c>
      <c r="C592" s="23" t="s">
        <v>49</v>
      </c>
      <c r="D592" s="37" t="s">
        <v>43</v>
      </c>
      <c r="E592" s="23" t="s">
        <v>444</v>
      </c>
      <c r="F592" s="31">
        <v>6840</v>
      </c>
      <c r="G592" s="31"/>
      <c r="H592" s="31">
        <f>Cty_Viet_Anh[[#This Row],[ĐƠN GIÁ]]*Cty_Viet_Anh[[#This Row],[SỐ LƯỢNG]]</f>
        <v>0</v>
      </c>
      <c r="I592" s="31"/>
      <c r="J592" s="31">
        <f ca="1">N(INDIRECT("R[-1]C", FALSE)) + Cty_Viet_Anh[[#This Row],[THÀNH TIỀN]] - Cty_Viet_Anh[[#This Row],[THANH TOÁN]]</f>
        <v>9833700.0000000186</v>
      </c>
      <c r="K592" s="24" t="s">
        <v>2167</v>
      </c>
    </row>
    <row r="593" spans="1:11" x14ac:dyDescent="0.25">
      <c r="A593" s="22">
        <v>9421</v>
      </c>
      <c r="B593" s="29">
        <v>46158</v>
      </c>
      <c r="C593" s="23" t="s">
        <v>49</v>
      </c>
      <c r="D593" s="37" t="s">
        <v>43</v>
      </c>
      <c r="E593" s="23" t="s">
        <v>953</v>
      </c>
      <c r="F593" s="31">
        <v>669</v>
      </c>
      <c r="G593" s="31"/>
      <c r="H593" s="31">
        <f>Cty_Viet_Anh[[#This Row],[ĐƠN GIÁ]]*Cty_Viet_Anh[[#This Row],[SỐ LƯỢNG]]</f>
        <v>0</v>
      </c>
      <c r="I593" s="31"/>
      <c r="J593" s="31">
        <f ca="1">N(INDIRECT("R[-1]C", FALSE)) + Cty_Viet_Anh[[#This Row],[THÀNH TIỀN]] - Cty_Viet_Anh[[#This Row],[THANH TOÁN]]</f>
        <v>9833700.0000000186</v>
      </c>
      <c r="K593" s="24" t="s">
        <v>2168</v>
      </c>
    </row>
    <row r="594" spans="1:11" x14ac:dyDescent="0.25">
      <c r="A594" s="22">
        <v>9422</v>
      </c>
      <c r="B594" s="29">
        <v>46158</v>
      </c>
      <c r="C594" s="23" t="s">
        <v>49</v>
      </c>
      <c r="D594" s="37" t="s">
        <v>26</v>
      </c>
      <c r="E594" s="23" t="s">
        <v>78</v>
      </c>
      <c r="F594" s="31">
        <v>7326</v>
      </c>
      <c r="G594" s="31"/>
      <c r="H594" s="31">
        <f>Cty_Viet_Anh[[#This Row],[ĐƠN GIÁ]]*Cty_Viet_Anh[[#This Row],[SỐ LƯỢNG]]</f>
        <v>0</v>
      </c>
      <c r="I594" s="31"/>
      <c r="J594" s="31">
        <f ca="1">N(INDIRECT("R[-1]C", FALSE)) + Cty_Viet_Anh[[#This Row],[THÀNH TIỀN]] - Cty_Viet_Anh[[#This Row],[THANH TOÁN]]</f>
        <v>9833700.0000000186</v>
      </c>
      <c r="K594" s="24" t="s">
        <v>2181</v>
      </c>
    </row>
    <row r="595" spans="1:11" x14ac:dyDescent="0.25">
      <c r="A595" s="22">
        <v>9422</v>
      </c>
      <c r="B595" s="29">
        <v>46158</v>
      </c>
      <c r="C595" s="23" t="s">
        <v>49</v>
      </c>
      <c r="D595" s="37" t="s">
        <v>270</v>
      </c>
      <c r="E595" s="23" t="s">
        <v>62</v>
      </c>
      <c r="F595" s="31">
        <v>1334</v>
      </c>
      <c r="G595" s="31"/>
      <c r="H595" s="31">
        <f>Cty_Viet_Anh[[#This Row],[ĐƠN GIÁ]]*Cty_Viet_Anh[[#This Row],[SỐ LƯỢNG]]</f>
        <v>0</v>
      </c>
      <c r="I595" s="31"/>
      <c r="J595" s="31">
        <f ca="1">N(INDIRECT("R[-1]C", FALSE)) + Cty_Viet_Anh[[#This Row],[THÀNH TIỀN]] - Cty_Viet_Anh[[#This Row],[THANH TOÁN]]</f>
        <v>9833700.0000000186</v>
      </c>
      <c r="K595" s="24" t="s">
        <v>2182</v>
      </c>
    </row>
    <row r="596" spans="1:11" ht="31.5" x14ac:dyDescent="0.25">
      <c r="A596" s="22">
        <v>9424</v>
      </c>
      <c r="B596" s="29">
        <v>46158</v>
      </c>
      <c r="C596" s="23" t="s">
        <v>49</v>
      </c>
      <c r="D596" s="37" t="s">
        <v>26</v>
      </c>
      <c r="E596" s="23" t="s">
        <v>2183</v>
      </c>
      <c r="F596" s="31">
        <v>9412</v>
      </c>
      <c r="G596" s="31"/>
      <c r="H596" s="31">
        <f>Cty_Viet_Anh[[#This Row],[ĐƠN GIÁ]]*Cty_Viet_Anh[[#This Row],[SỐ LƯỢNG]]</f>
        <v>0</v>
      </c>
      <c r="I596" s="31"/>
      <c r="J596" s="31">
        <f ca="1">N(INDIRECT("R[-1]C", FALSE)) + Cty_Viet_Anh[[#This Row],[THÀNH TIỀN]] - Cty_Viet_Anh[[#This Row],[THANH TOÁN]]</f>
        <v>9833700.0000000186</v>
      </c>
      <c r="K596" s="133" t="s">
        <v>2184</v>
      </c>
    </row>
    <row r="597" spans="1:11" x14ac:dyDescent="0.25">
      <c r="A597" s="22">
        <v>9426</v>
      </c>
      <c r="B597" s="29">
        <v>46158</v>
      </c>
      <c r="C597" s="23" t="s">
        <v>49</v>
      </c>
      <c r="D597" s="37" t="s">
        <v>17</v>
      </c>
      <c r="E597" s="23" t="s">
        <v>891</v>
      </c>
      <c r="F597" s="31">
        <v>8860</v>
      </c>
      <c r="G597" s="31"/>
      <c r="H597" s="31">
        <f>Cty_Viet_Anh[[#This Row],[ĐƠN GIÁ]]*Cty_Viet_Anh[[#This Row],[SỐ LƯỢNG]]</f>
        <v>0</v>
      </c>
      <c r="I597" s="31"/>
      <c r="J597" s="31">
        <f ca="1">N(INDIRECT("R[-1]C", FALSE)) + Cty_Viet_Anh[[#This Row],[THÀNH TIỀN]] - Cty_Viet_Anh[[#This Row],[THANH TOÁN]]</f>
        <v>9833700.0000000186</v>
      </c>
      <c r="K597" s="133" t="s">
        <v>2185</v>
      </c>
    </row>
    <row r="598" spans="1:11" x14ac:dyDescent="0.25">
      <c r="A598" s="22">
        <v>9435</v>
      </c>
      <c r="B598" s="29">
        <v>46158</v>
      </c>
      <c r="C598" s="23" t="s">
        <v>49</v>
      </c>
      <c r="D598" s="37" t="s">
        <v>17</v>
      </c>
      <c r="E598" s="23" t="s">
        <v>913</v>
      </c>
      <c r="F598" s="31">
        <v>3628</v>
      </c>
      <c r="G598" s="31"/>
      <c r="H598" s="31">
        <f>Cty_Viet_Anh[[#This Row],[ĐƠN GIÁ]]*Cty_Viet_Anh[[#This Row],[SỐ LƯỢNG]]</f>
        <v>0</v>
      </c>
      <c r="I598" s="31"/>
      <c r="J598" s="31">
        <f ca="1">N(INDIRECT("R[-1]C", FALSE)) + Cty_Viet_Anh[[#This Row],[THÀNH TIỀN]] - Cty_Viet_Anh[[#This Row],[THANH TOÁN]]</f>
        <v>9833700.0000000186</v>
      </c>
      <c r="K598" s="133" t="s">
        <v>1885</v>
      </c>
    </row>
    <row r="599" spans="1:11" x14ac:dyDescent="0.25">
      <c r="A599" s="22">
        <v>9452</v>
      </c>
      <c r="B599" s="29">
        <v>46160</v>
      </c>
      <c r="C599" s="23" t="s">
        <v>49</v>
      </c>
      <c r="D599" s="37" t="s">
        <v>301</v>
      </c>
      <c r="E599" s="23" t="s">
        <v>466</v>
      </c>
      <c r="F599" s="31">
        <v>4366</v>
      </c>
      <c r="G599" s="31"/>
      <c r="H599" s="31">
        <f>Cty_Viet_Anh[[#This Row],[ĐƠN GIÁ]]*Cty_Viet_Anh[[#This Row],[SỐ LƯỢNG]]</f>
        <v>0</v>
      </c>
      <c r="I599" s="31"/>
      <c r="J599" s="31">
        <f ca="1">N(INDIRECT("R[-1]C", FALSE)) + Cty_Viet_Anh[[#This Row],[THÀNH TIỀN]] - Cty_Viet_Anh[[#This Row],[THANH TOÁN]]</f>
        <v>9833700.0000000186</v>
      </c>
      <c r="K599" s="24" t="s">
        <v>2201</v>
      </c>
    </row>
    <row r="600" spans="1:11" x14ac:dyDescent="0.25">
      <c r="A600" s="22">
        <v>9456</v>
      </c>
      <c r="B600" s="29">
        <v>46160</v>
      </c>
      <c r="C600" s="23" t="s">
        <v>49</v>
      </c>
      <c r="D600" s="37" t="s">
        <v>17</v>
      </c>
      <c r="E600" s="23" t="s">
        <v>842</v>
      </c>
      <c r="F600" s="31">
        <v>3846</v>
      </c>
      <c r="G600" s="31"/>
      <c r="H600" s="31">
        <f>Cty_Viet_Anh[[#This Row],[ĐƠN GIÁ]]*Cty_Viet_Anh[[#This Row],[SỐ LƯỢNG]]</f>
        <v>0</v>
      </c>
      <c r="I600" s="31"/>
      <c r="J600" s="31">
        <f ca="1">N(INDIRECT("R[-1]C", FALSE)) + Cty_Viet_Anh[[#This Row],[THÀNH TIỀN]] - Cty_Viet_Anh[[#This Row],[THANH TOÁN]]</f>
        <v>9833700.0000000186</v>
      </c>
      <c r="K600" s="24" t="s">
        <v>2203</v>
      </c>
    </row>
    <row r="601" spans="1:11" x14ac:dyDescent="0.25">
      <c r="A601" s="22">
        <v>5338</v>
      </c>
      <c r="B601" s="29">
        <v>46161</v>
      </c>
      <c r="C601" s="23" t="s">
        <v>84</v>
      </c>
      <c r="D601" s="37" t="s">
        <v>17</v>
      </c>
      <c r="E601" s="23" t="s">
        <v>46</v>
      </c>
      <c r="F601" s="31">
        <v>2040</v>
      </c>
      <c r="G601" s="31">
        <v>-550</v>
      </c>
      <c r="H601" s="31">
        <f>Cty_Viet_Anh[[#This Row],[ĐƠN GIÁ]]*Cty_Viet_Anh[[#This Row],[SỐ LƯỢNG]]</f>
        <v>-1122000</v>
      </c>
      <c r="I601" s="31"/>
      <c r="J601" s="31">
        <f ca="1">N(INDIRECT("R[-1]C", FALSE)) + Cty_Viet_Anh[[#This Row],[THÀNH TIỀN]] - Cty_Viet_Anh[[#This Row],[THANH TOÁN]]</f>
        <v>8711700.0000000186</v>
      </c>
      <c r="K601" s="24"/>
    </row>
    <row r="602" spans="1:11" x14ac:dyDescent="0.25">
      <c r="A602" s="22">
        <v>9476</v>
      </c>
      <c r="B602" s="29">
        <v>46161</v>
      </c>
      <c r="C602" s="23" t="s">
        <v>49</v>
      </c>
      <c r="D602" s="37" t="s">
        <v>17</v>
      </c>
      <c r="E602" s="23" t="s">
        <v>842</v>
      </c>
      <c r="F602" s="31">
        <v>8122</v>
      </c>
      <c r="G602" s="31"/>
      <c r="H602" s="31">
        <f>Cty_Viet_Anh[[#This Row],[ĐƠN GIÁ]]*Cty_Viet_Anh[[#This Row],[SỐ LƯỢNG]]</f>
        <v>0</v>
      </c>
      <c r="I602" s="31"/>
      <c r="J602" s="31">
        <f ca="1">N(INDIRECT("R[-1]C", FALSE)) + Cty_Viet_Anh[[#This Row],[THÀNH TIỀN]] - Cty_Viet_Anh[[#This Row],[THANH TOÁN]]</f>
        <v>8711700.0000000186</v>
      </c>
      <c r="K602" s="24" t="s">
        <v>2242</v>
      </c>
    </row>
    <row r="603" spans="1:11" x14ac:dyDescent="0.25">
      <c r="A603" s="22">
        <v>9495</v>
      </c>
      <c r="B603" s="29">
        <v>46161</v>
      </c>
      <c r="C603" s="23" t="s">
        <v>49</v>
      </c>
      <c r="D603" s="37" t="s">
        <v>14</v>
      </c>
      <c r="E603" s="23" t="s">
        <v>148</v>
      </c>
      <c r="F603" s="31"/>
      <c r="G603" s="31"/>
      <c r="H603" s="31">
        <f>Cty_Viet_Anh[[#This Row],[ĐƠN GIÁ]]*Cty_Viet_Anh[[#This Row],[SỐ LƯỢNG]]</f>
        <v>0</v>
      </c>
      <c r="I603" s="31"/>
      <c r="J603" s="31">
        <f ca="1">N(INDIRECT("R[-1]C", FALSE)) + Cty_Viet_Anh[[#This Row],[THÀNH TIỀN]] - Cty_Viet_Anh[[#This Row],[THANH TOÁN]]</f>
        <v>8711700.0000000186</v>
      </c>
      <c r="K603" s="24" t="s">
        <v>2243</v>
      </c>
    </row>
    <row r="604" spans="1:11" x14ac:dyDescent="0.25">
      <c r="A604" s="22">
        <v>2913</v>
      </c>
      <c r="B604" s="29">
        <v>46162</v>
      </c>
      <c r="C604" s="23" t="s">
        <v>84</v>
      </c>
      <c r="D604" s="37" t="s">
        <v>270</v>
      </c>
      <c r="E604" s="23" t="s">
        <v>62</v>
      </c>
      <c r="F604" s="31">
        <v>1350</v>
      </c>
      <c r="G604" s="31">
        <v>-2500</v>
      </c>
      <c r="H604" s="31">
        <f>Cty_Viet_Anh[[#This Row],[ĐƠN GIÁ]]*Cty_Viet_Anh[[#This Row],[SỐ LƯỢNG]]</f>
        <v>-3375000</v>
      </c>
      <c r="I604" s="31"/>
      <c r="J604" s="31">
        <f ca="1">N(INDIRECT("R[-1]C", FALSE)) + Cty_Viet_Anh[[#This Row],[THÀNH TIỀN]] - Cty_Viet_Anh[[#This Row],[THANH TOÁN]]</f>
        <v>5336700.0000000186</v>
      </c>
      <c r="K604" s="24"/>
    </row>
    <row r="605" spans="1:11" x14ac:dyDescent="0.25">
      <c r="A605" s="22">
        <v>2913</v>
      </c>
      <c r="B605" s="29">
        <v>46162</v>
      </c>
      <c r="C605" s="23" t="s">
        <v>84</v>
      </c>
      <c r="D605" s="37" t="s">
        <v>26</v>
      </c>
      <c r="E605" s="23" t="s">
        <v>78</v>
      </c>
      <c r="F605" s="31">
        <v>3713</v>
      </c>
      <c r="G605" s="31">
        <v>-550</v>
      </c>
      <c r="H605" s="31">
        <f>Cty_Viet_Anh[[#This Row],[ĐƠN GIÁ]]*Cty_Viet_Anh[[#This Row],[SỐ LƯỢNG]]</f>
        <v>-2042150</v>
      </c>
      <c r="I605" s="31"/>
      <c r="J605" s="31">
        <f ca="1">N(INDIRECT("R[-1]C", FALSE)) + Cty_Viet_Anh[[#This Row],[THÀNH TIỀN]] - Cty_Viet_Anh[[#This Row],[THANH TOÁN]]</f>
        <v>3294550.0000000186</v>
      </c>
      <c r="K605" s="24"/>
    </row>
    <row r="606" spans="1:11" x14ac:dyDescent="0.25">
      <c r="A606" s="22">
        <v>2913</v>
      </c>
      <c r="B606" s="29">
        <v>46162</v>
      </c>
      <c r="C606" s="23" t="s">
        <v>426</v>
      </c>
      <c r="D606" s="37" t="s">
        <v>26</v>
      </c>
      <c r="E606" s="23" t="s">
        <v>78</v>
      </c>
      <c r="F606" s="31">
        <v>3686</v>
      </c>
      <c r="G606" s="31"/>
      <c r="H606" s="31">
        <f>Cty_Viet_Anh[[#This Row],[ĐƠN GIÁ]]*Cty_Viet_Anh[[#This Row],[SỐ LƯỢNG]]</f>
        <v>0</v>
      </c>
      <c r="I606" s="31"/>
      <c r="J606" s="31">
        <f ca="1">N(INDIRECT("R[-1]C", FALSE)) + Cty_Viet_Anh[[#This Row],[THÀNH TIỀN]] - Cty_Viet_Anh[[#This Row],[THANH TOÁN]]</f>
        <v>3294550.0000000186</v>
      </c>
      <c r="K606" s="24"/>
    </row>
    <row r="607" spans="1:11" x14ac:dyDescent="0.25">
      <c r="A607" s="22">
        <v>2917</v>
      </c>
      <c r="B607" s="29">
        <v>46162</v>
      </c>
      <c r="C607" s="23" t="s">
        <v>84</v>
      </c>
      <c r="D607" s="37" t="s">
        <v>14</v>
      </c>
      <c r="E607" s="23" t="s">
        <v>148</v>
      </c>
      <c r="F607" s="31">
        <v>306</v>
      </c>
      <c r="G607" s="31">
        <v>-550</v>
      </c>
      <c r="H607" s="31">
        <f>Cty_Viet_Anh[[#This Row],[ĐƠN GIÁ]]*Cty_Viet_Anh[[#This Row],[SỐ LƯỢNG]]</f>
        <v>-168300</v>
      </c>
      <c r="I607" s="31"/>
      <c r="J607" s="31">
        <f ca="1">N(INDIRECT("R[-1]C", FALSE)) + Cty_Viet_Anh[[#This Row],[THÀNH TIỀN]] - Cty_Viet_Anh[[#This Row],[THANH TOÁN]]</f>
        <v>3126250.0000000186</v>
      </c>
      <c r="K607" s="133"/>
    </row>
    <row r="608" spans="1:11" x14ac:dyDescent="0.25">
      <c r="A608" s="22">
        <v>2917</v>
      </c>
      <c r="B608" s="29">
        <v>46162</v>
      </c>
      <c r="C608" s="23" t="s">
        <v>84</v>
      </c>
      <c r="D608" s="37" t="s">
        <v>14</v>
      </c>
      <c r="E608" s="23" t="s">
        <v>148</v>
      </c>
      <c r="F608" s="31">
        <v>2252</v>
      </c>
      <c r="G608" s="31">
        <v>-550</v>
      </c>
      <c r="H608" s="31">
        <f>Cty_Viet_Anh[[#This Row],[ĐƠN GIÁ]]*Cty_Viet_Anh[[#This Row],[SỐ LƯỢNG]]</f>
        <v>-1238600</v>
      </c>
      <c r="I608" s="31"/>
      <c r="J608" s="31">
        <f ca="1">N(INDIRECT("R[-1]C", FALSE)) + Cty_Viet_Anh[[#This Row],[THÀNH TIỀN]] - Cty_Viet_Anh[[#This Row],[THANH TOÁN]]</f>
        <v>1887650.0000000186</v>
      </c>
      <c r="K608" s="133"/>
    </row>
    <row r="609" spans="1:11" x14ac:dyDescent="0.25">
      <c r="A609" s="22">
        <v>2917</v>
      </c>
      <c r="B609" s="29">
        <v>46162</v>
      </c>
      <c r="C609" s="23" t="s">
        <v>426</v>
      </c>
      <c r="D609" s="37" t="s">
        <v>14</v>
      </c>
      <c r="E609" s="23" t="s">
        <v>148</v>
      </c>
      <c r="F609" s="31">
        <v>2344</v>
      </c>
      <c r="G609" s="31"/>
      <c r="H609" s="31">
        <f>Cty_Viet_Anh[[#This Row],[ĐƠN GIÁ]]*Cty_Viet_Anh[[#This Row],[SỐ LƯỢNG]]</f>
        <v>0</v>
      </c>
      <c r="I609" s="31"/>
      <c r="J609" s="31">
        <f ca="1">N(INDIRECT("R[-1]C", FALSE)) + Cty_Viet_Anh[[#This Row],[THÀNH TIỀN]] - Cty_Viet_Anh[[#This Row],[THANH TOÁN]]</f>
        <v>1887650.0000000186</v>
      </c>
      <c r="K609" s="133"/>
    </row>
    <row r="610" spans="1:11" x14ac:dyDescent="0.25">
      <c r="A610" s="22">
        <v>5340</v>
      </c>
      <c r="B610" s="29">
        <v>46162</v>
      </c>
      <c r="C610" s="23" t="s">
        <v>84</v>
      </c>
      <c r="D610" s="37" t="s">
        <v>17</v>
      </c>
      <c r="E610" s="23" t="s">
        <v>502</v>
      </c>
      <c r="F610" s="31">
        <v>4324</v>
      </c>
      <c r="G610" s="31">
        <v>-550</v>
      </c>
      <c r="H610" s="31">
        <f>Cty_Viet_Anh[[#This Row],[ĐƠN GIÁ]]*Cty_Viet_Anh[[#This Row],[SỐ LƯỢNG]]</f>
        <v>-2378200</v>
      </c>
      <c r="I610" s="31"/>
      <c r="J610" s="31">
        <f ca="1">N(INDIRECT("R[-1]C", FALSE)) + Cty_Viet_Anh[[#This Row],[THÀNH TIỀN]] - Cty_Viet_Anh[[#This Row],[THANH TOÁN]]</f>
        <v>-490549.99999998137</v>
      </c>
      <c r="K610" s="24"/>
    </row>
    <row r="611" spans="1:11" x14ac:dyDescent="0.25">
      <c r="A611" s="22">
        <v>5340</v>
      </c>
      <c r="B611" s="29">
        <v>46162</v>
      </c>
      <c r="C611" s="23" t="s">
        <v>84</v>
      </c>
      <c r="D611" s="37" t="s">
        <v>17</v>
      </c>
      <c r="E611" s="23" t="s">
        <v>2241</v>
      </c>
      <c r="F611" s="31">
        <v>4018</v>
      </c>
      <c r="G611" s="31">
        <v>-550</v>
      </c>
      <c r="H611" s="31">
        <f>Cty_Viet_Anh[[#This Row],[ĐƠN GIÁ]]*Cty_Viet_Anh[[#This Row],[SỐ LƯỢNG]]</f>
        <v>-2209900</v>
      </c>
      <c r="I611" s="31"/>
      <c r="J611" s="31">
        <f ca="1">N(INDIRECT("R[-1]C", FALSE)) + Cty_Viet_Anh[[#This Row],[THÀNH TIỀN]] - Cty_Viet_Anh[[#This Row],[THANH TOÁN]]</f>
        <v>-2700449.9999999814</v>
      </c>
      <c r="K611" s="24"/>
    </row>
    <row r="612" spans="1:11" x14ac:dyDescent="0.25">
      <c r="A612" s="22">
        <v>5340</v>
      </c>
      <c r="B612" s="29">
        <v>46162</v>
      </c>
      <c r="C612" s="23" t="s">
        <v>426</v>
      </c>
      <c r="D612" s="37" t="s">
        <v>17</v>
      </c>
      <c r="E612" s="23" t="s">
        <v>2241</v>
      </c>
      <c r="F612" s="31">
        <v>1576</v>
      </c>
      <c r="G612" s="31"/>
      <c r="H612" s="31">
        <f>Cty_Viet_Anh[[#This Row],[ĐƠN GIÁ]]*Cty_Viet_Anh[[#This Row],[SỐ LƯỢNG]]</f>
        <v>0</v>
      </c>
      <c r="I612" s="31"/>
      <c r="J612" s="31">
        <f ca="1">N(INDIRECT("R[-1]C", FALSE)) + Cty_Viet_Anh[[#This Row],[THÀNH TIỀN]] - Cty_Viet_Anh[[#This Row],[THANH TOÁN]]</f>
        <v>-2700449.9999999814</v>
      </c>
      <c r="K612" s="24"/>
    </row>
    <row r="613" spans="1:11" ht="31.5" x14ac:dyDescent="0.25">
      <c r="A613" s="22">
        <v>9500</v>
      </c>
      <c r="B613" s="29">
        <v>46162</v>
      </c>
      <c r="C613" s="23" t="s">
        <v>49</v>
      </c>
      <c r="D613" s="37" t="s">
        <v>26</v>
      </c>
      <c r="E613" s="23" t="s">
        <v>2228</v>
      </c>
      <c r="F613" s="31">
        <v>4834</v>
      </c>
      <c r="G613" s="31"/>
      <c r="H613" s="31">
        <f>Cty_Viet_Anh[[#This Row],[ĐƠN GIÁ]]*Cty_Viet_Anh[[#This Row],[SỐ LƯỢNG]]</f>
        <v>0</v>
      </c>
      <c r="I613" s="31"/>
      <c r="J613" s="31">
        <f ca="1">N(INDIRECT("R[-1]C", FALSE)) + Cty_Viet_Anh[[#This Row],[THÀNH TIỀN]] - Cty_Viet_Anh[[#This Row],[THANH TOÁN]]</f>
        <v>-2700449.9999999814</v>
      </c>
      <c r="K613" s="133" t="s">
        <v>2229</v>
      </c>
    </row>
    <row r="614" spans="1:11" x14ac:dyDescent="0.25">
      <c r="A614" s="22">
        <v>9500</v>
      </c>
      <c r="B614" s="29">
        <v>46162</v>
      </c>
      <c r="C614" s="23" t="s">
        <v>49</v>
      </c>
      <c r="D614" s="37" t="s">
        <v>26</v>
      </c>
      <c r="E614" s="23" t="s">
        <v>2230</v>
      </c>
      <c r="F614" s="31">
        <v>1346</v>
      </c>
      <c r="G614" s="31"/>
      <c r="H614" s="31">
        <f>Cty_Viet_Anh[[#This Row],[ĐƠN GIÁ]]*Cty_Viet_Anh[[#This Row],[SỐ LƯỢNG]]</f>
        <v>0</v>
      </c>
      <c r="I614" s="31"/>
      <c r="J614" s="31">
        <f ca="1">N(INDIRECT("R[-1]C", FALSE)) + Cty_Viet_Anh[[#This Row],[THÀNH TIỀN]] - Cty_Viet_Anh[[#This Row],[THANH TOÁN]]</f>
        <v>-2700449.9999999814</v>
      </c>
      <c r="K614" s="133" t="s">
        <v>2231</v>
      </c>
    </row>
    <row r="615" spans="1:11" x14ac:dyDescent="0.25">
      <c r="A615" s="22">
        <v>9500</v>
      </c>
      <c r="B615" s="29">
        <v>46162</v>
      </c>
      <c r="C615" s="23" t="s">
        <v>49</v>
      </c>
      <c r="D615" s="37" t="s">
        <v>43</v>
      </c>
      <c r="E615" s="23" t="s">
        <v>2232</v>
      </c>
      <c r="F615" s="31">
        <v>844</v>
      </c>
      <c r="G615" s="31"/>
      <c r="H615" s="31">
        <f>Cty_Viet_Anh[[#This Row],[ĐƠN GIÁ]]*Cty_Viet_Anh[[#This Row],[SỐ LƯỢNG]]</f>
        <v>0</v>
      </c>
      <c r="I615" s="31"/>
      <c r="J615" s="31">
        <f ca="1">N(INDIRECT("R[-1]C", FALSE)) + Cty_Viet_Anh[[#This Row],[THÀNH TIỀN]] - Cty_Viet_Anh[[#This Row],[THANH TOÁN]]</f>
        <v>-2700449.9999999814</v>
      </c>
      <c r="K615" s="133" t="s">
        <v>2233</v>
      </c>
    </row>
    <row r="616" spans="1:11" x14ac:dyDescent="0.25">
      <c r="A616" s="22">
        <v>2925</v>
      </c>
      <c r="B616" s="29">
        <v>46163</v>
      </c>
      <c r="C616" s="23" t="s">
        <v>84</v>
      </c>
      <c r="D616" s="37" t="s">
        <v>252</v>
      </c>
      <c r="E616" s="23" t="s">
        <v>62</v>
      </c>
      <c r="F616" s="31">
        <v>1068</v>
      </c>
      <c r="G616" s="31">
        <v>-3500</v>
      </c>
      <c r="H616" s="31">
        <f>Cty_Viet_Anh[[#This Row],[ĐƠN GIÁ]]*Cty_Viet_Anh[[#This Row],[SỐ LƯỢNG]]</f>
        <v>-3738000</v>
      </c>
      <c r="I616" s="31"/>
      <c r="J616" s="31">
        <f ca="1">N(INDIRECT("R[-1]C", FALSE)) + Cty_Viet_Anh[[#This Row],[THÀNH TIỀN]] - Cty_Viet_Anh[[#This Row],[THANH TOÁN]]</f>
        <v>-6438449.9999999814</v>
      </c>
      <c r="K616" s="24"/>
    </row>
    <row r="617" spans="1:11" x14ac:dyDescent="0.25">
      <c r="A617" s="22">
        <v>5343</v>
      </c>
      <c r="B617" s="29">
        <v>46163</v>
      </c>
      <c r="C617" s="23" t="s">
        <v>84</v>
      </c>
      <c r="D617" s="37" t="s">
        <v>43</v>
      </c>
      <c r="E617" s="23" t="s">
        <v>271</v>
      </c>
      <c r="F617" s="31">
        <v>835</v>
      </c>
      <c r="G617" s="31">
        <v>-550</v>
      </c>
      <c r="H617" s="31">
        <f>Cty_Viet_Anh[[#This Row],[ĐƠN GIÁ]]*Cty_Viet_Anh[[#This Row],[SỐ LƯỢNG]]</f>
        <v>-459250</v>
      </c>
      <c r="I617" s="31"/>
      <c r="J617" s="31">
        <f ca="1">N(INDIRECT("R[-1]C", FALSE)) + Cty_Viet_Anh[[#This Row],[THÀNH TIỀN]] - Cty_Viet_Anh[[#This Row],[THANH TOÁN]]</f>
        <v>-6897699.9999999814</v>
      </c>
      <c r="K617" s="24"/>
    </row>
    <row r="618" spans="1:11" x14ac:dyDescent="0.25">
      <c r="A618" s="22">
        <v>5343</v>
      </c>
      <c r="B618" s="29">
        <v>46163</v>
      </c>
      <c r="C618" s="23" t="s">
        <v>84</v>
      </c>
      <c r="D618" s="37" t="s">
        <v>26</v>
      </c>
      <c r="E618" s="23" t="s">
        <v>41</v>
      </c>
      <c r="F618" s="31">
        <v>3330</v>
      </c>
      <c r="G618" s="31">
        <v>-550</v>
      </c>
      <c r="H618" s="31">
        <f>Cty_Viet_Anh[[#This Row],[ĐƠN GIÁ]]*Cty_Viet_Anh[[#This Row],[SỐ LƯỢNG]]</f>
        <v>-1831500</v>
      </c>
      <c r="I618" s="31"/>
      <c r="J618" s="31">
        <f ca="1">N(INDIRECT("R[-1]C", FALSE)) + Cty_Viet_Anh[[#This Row],[THÀNH TIỀN]] - Cty_Viet_Anh[[#This Row],[THANH TOÁN]]</f>
        <v>-8729199.9999999814</v>
      </c>
      <c r="K618" s="24"/>
    </row>
    <row r="619" spans="1:11" x14ac:dyDescent="0.25">
      <c r="A619" s="169">
        <v>9519</v>
      </c>
      <c r="B619" s="170">
        <v>46163</v>
      </c>
      <c r="C619" s="171" t="s">
        <v>49</v>
      </c>
      <c r="D619" s="172" t="s">
        <v>26</v>
      </c>
      <c r="E619" s="171" t="s">
        <v>416</v>
      </c>
      <c r="F619" s="173">
        <v>1189</v>
      </c>
      <c r="G619" s="173"/>
      <c r="H619" s="173">
        <f>Cty_Viet_Anh[[#This Row],[ĐƠN GIÁ]]*Cty_Viet_Anh[[#This Row],[SỐ LƯỢNG]]</f>
        <v>0</v>
      </c>
      <c r="I619" s="173"/>
      <c r="J619" s="173">
        <f ca="1">N(INDIRECT("R[-1]C", FALSE)) + Cty_Viet_Anh[[#This Row],[THÀNH TIỀN]] - Cty_Viet_Anh[[#This Row],[THANH TOÁN]]</f>
        <v>-8729199.9999999814</v>
      </c>
      <c r="K619" s="174" t="s">
        <v>2245</v>
      </c>
    </row>
    <row r="620" spans="1:11" x14ac:dyDescent="0.25">
      <c r="A620" s="169">
        <v>9519</v>
      </c>
      <c r="B620" s="170">
        <v>46163</v>
      </c>
      <c r="C620" s="171" t="s">
        <v>49</v>
      </c>
      <c r="D620" s="172" t="s">
        <v>17</v>
      </c>
      <c r="E620" s="171" t="s">
        <v>891</v>
      </c>
      <c r="F620" s="173">
        <v>4458</v>
      </c>
      <c r="G620" s="173"/>
      <c r="H620" s="173">
        <f>Cty_Viet_Anh[[#This Row],[ĐƠN GIÁ]]*Cty_Viet_Anh[[#This Row],[SỐ LƯỢNG]]</f>
        <v>0</v>
      </c>
      <c r="I620" s="173"/>
      <c r="J620" s="173">
        <f ca="1">N(INDIRECT("R[-1]C", FALSE)) + Cty_Viet_Anh[[#This Row],[THÀNH TIỀN]] - Cty_Viet_Anh[[#This Row],[THANH TOÁN]]</f>
        <v>-8729199.9999999814</v>
      </c>
      <c r="K620" s="174" t="s">
        <v>2246</v>
      </c>
    </row>
    <row r="621" spans="1:11" x14ac:dyDescent="0.25">
      <c r="A621" s="22">
        <v>9524</v>
      </c>
      <c r="B621" s="29">
        <v>46163</v>
      </c>
      <c r="C621" s="23" t="s">
        <v>49</v>
      </c>
      <c r="D621" s="37" t="s">
        <v>135</v>
      </c>
      <c r="E621" s="23" t="s">
        <v>62</v>
      </c>
      <c r="F621" s="31">
        <v>1083</v>
      </c>
      <c r="G621" s="31"/>
      <c r="H621" s="31">
        <f>Cty_Viet_Anh[[#This Row],[ĐƠN GIÁ]]*Cty_Viet_Anh[[#This Row],[SỐ LƯỢNG]]</f>
        <v>0</v>
      </c>
      <c r="I621" s="31"/>
      <c r="J621" s="31">
        <f ca="1">N(INDIRECT("R[-1]C", FALSE)) + Cty_Viet_Anh[[#This Row],[THÀNH TIỀN]] - Cty_Viet_Anh[[#This Row],[THANH TOÁN]]</f>
        <v>-8729199.9999999814</v>
      </c>
      <c r="K621" s="24" t="s">
        <v>2263</v>
      </c>
    </row>
    <row r="622" spans="1:11" x14ac:dyDescent="0.25">
      <c r="A622" s="22">
        <v>5346</v>
      </c>
      <c r="B622" s="29">
        <v>46164</v>
      </c>
      <c r="C622" s="23" t="s">
        <v>84</v>
      </c>
      <c r="D622" s="37" t="s">
        <v>26</v>
      </c>
      <c r="E622" s="23" t="s">
        <v>416</v>
      </c>
      <c r="F622" s="31">
        <v>1210</v>
      </c>
      <c r="G622" s="31">
        <v>-550</v>
      </c>
      <c r="H622" s="31">
        <f>Cty_Viet_Anh[[#This Row],[ĐƠN GIÁ]]*Cty_Viet_Anh[[#This Row],[SỐ LƯỢNG]]</f>
        <v>-665500</v>
      </c>
      <c r="I622" s="31"/>
      <c r="J622" s="31">
        <f ca="1">N(INDIRECT("R[-1]C", FALSE)) + Cty_Viet_Anh[[#This Row],[THÀNH TIỀN]] - Cty_Viet_Anh[[#This Row],[THANH TOÁN]]</f>
        <v>-9394699.9999999814</v>
      </c>
      <c r="K622" s="24"/>
    </row>
    <row r="623" spans="1:11" x14ac:dyDescent="0.25">
      <c r="A623" s="22">
        <v>5346</v>
      </c>
      <c r="B623" s="29">
        <v>46164</v>
      </c>
      <c r="C623" s="23" t="s">
        <v>84</v>
      </c>
      <c r="D623" s="37" t="s">
        <v>17</v>
      </c>
      <c r="E623" s="23" t="s">
        <v>891</v>
      </c>
      <c r="F623" s="31">
        <v>2024</v>
      </c>
      <c r="G623" s="31">
        <v>-550</v>
      </c>
      <c r="H623" s="31">
        <f>Cty_Viet_Anh[[#This Row],[ĐƠN GIÁ]]*Cty_Viet_Anh[[#This Row],[SỐ LƯỢNG]]</f>
        <v>-1113200</v>
      </c>
      <c r="I623" s="31"/>
      <c r="J623" s="31">
        <f ca="1">N(INDIRECT("R[-1]C", FALSE)) + Cty_Viet_Anh[[#This Row],[THÀNH TIỀN]] - Cty_Viet_Anh[[#This Row],[THANH TOÁN]]</f>
        <v>-10507899.999999981</v>
      </c>
      <c r="K623" s="24"/>
    </row>
    <row r="624" spans="1:11" x14ac:dyDescent="0.25">
      <c r="A624" s="22">
        <v>5346</v>
      </c>
      <c r="B624" s="29">
        <v>46164</v>
      </c>
      <c r="C624" s="23" t="s">
        <v>84</v>
      </c>
      <c r="D624" s="37" t="s">
        <v>17</v>
      </c>
      <c r="E624" s="23" t="s">
        <v>891</v>
      </c>
      <c r="F624" s="31">
        <v>2424</v>
      </c>
      <c r="G624" s="31">
        <v>-550</v>
      </c>
      <c r="H624" s="31">
        <f>Cty_Viet_Anh[[#This Row],[ĐƠN GIÁ]]*Cty_Viet_Anh[[#This Row],[SỐ LƯỢNG]]</f>
        <v>-1333200</v>
      </c>
      <c r="I624" s="31"/>
      <c r="J624" s="31">
        <f ca="1">N(INDIRECT("R[-1]C", FALSE)) + Cty_Viet_Anh[[#This Row],[THÀNH TIỀN]] - Cty_Viet_Anh[[#This Row],[THANH TOÁN]]</f>
        <v>-11841099.999999981</v>
      </c>
      <c r="K624" s="24"/>
    </row>
    <row r="625" spans="1:11" x14ac:dyDescent="0.25">
      <c r="A625" s="22">
        <v>5350</v>
      </c>
      <c r="B625" s="29">
        <v>46164</v>
      </c>
      <c r="C625" s="23" t="s">
        <v>84</v>
      </c>
      <c r="D625" s="37" t="s">
        <v>520</v>
      </c>
      <c r="E625" s="23" t="s">
        <v>809</v>
      </c>
      <c r="F625" s="31">
        <v>1734</v>
      </c>
      <c r="G625" s="31">
        <v>-1100</v>
      </c>
      <c r="H625" s="31">
        <f>Cty_Viet_Anh[[#This Row],[ĐƠN GIÁ]]*Cty_Viet_Anh[[#This Row],[SỐ LƯỢNG]]</f>
        <v>-1907400</v>
      </c>
      <c r="I625" s="31"/>
      <c r="J625" s="31">
        <f ca="1">N(INDIRECT("R[-1]C", FALSE)) + Cty_Viet_Anh[[#This Row],[THÀNH TIỀN]] - Cty_Viet_Anh[[#This Row],[THANH TOÁN]]</f>
        <v>-13748499.999999981</v>
      </c>
      <c r="K625" s="24"/>
    </row>
    <row r="626" spans="1:11" x14ac:dyDescent="0.25">
      <c r="A626" s="22">
        <v>9544</v>
      </c>
      <c r="B626" s="29">
        <v>46164</v>
      </c>
      <c r="C626" s="23" t="s">
        <v>49</v>
      </c>
      <c r="D626" s="37" t="s">
        <v>17</v>
      </c>
      <c r="E626" s="23" t="s">
        <v>891</v>
      </c>
      <c r="F626" s="31">
        <v>4532</v>
      </c>
      <c r="G626" s="31"/>
      <c r="H626" s="31">
        <f>Cty_Viet_Anh[[#This Row],[ĐƠN GIÁ]]*Cty_Viet_Anh[[#This Row],[SỐ LƯỢNG]]</f>
        <v>0</v>
      </c>
      <c r="I626" s="31"/>
      <c r="J626" s="31">
        <f ca="1">N(INDIRECT("R[-1]C", FALSE)) + Cty_Viet_Anh[[#This Row],[THÀNH TIỀN]] - Cty_Viet_Anh[[#This Row],[THANH TOÁN]]</f>
        <v>-13748499.999999981</v>
      </c>
      <c r="K626" s="24" t="s">
        <v>2277</v>
      </c>
    </row>
    <row r="627" spans="1:11" x14ac:dyDescent="0.25">
      <c r="A627" s="22">
        <v>9558</v>
      </c>
      <c r="B627" s="29">
        <v>46164</v>
      </c>
      <c r="C627" s="23" t="s">
        <v>49</v>
      </c>
      <c r="D627" s="37" t="s">
        <v>26</v>
      </c>
      <c r="E627" s="23" t="s">
        <v>2282</v>
      </c>
      <c r="F627" s="31">
        <v>2376</v>
      </c>
      <c r="G627" s="31"/>
      <c r="H627" s="31">
        <f>Cty_Viet_Anh[[#This Row],[ĐƠN GIÁ]]*Cty_Viet_Anh[[#This Row],[SỐ LƯỢNG]]</f>
        <v>0</v>
      </c>
      <c r="I627" s="31"/>
      <c r="J627" s="31">
        <f ca="1">N(INDIRECT("R[-1]C", FALSE)) + Cty_Viet_Anh[[#This Row],[THÀNH TIỀN]] - Cty_Viet_Anh[[#This Row],[THANH TOÁN]]</f>
        <v>-13748499.999999981</v>
      </c>
      <c r="K627" s="24" t="s">
        <v>2283</v>
      </c>
    </row>
    <row r="628" spans="1:11" x14ac:dyDescent="0.25">
      <c r="A628" s="22">
        <v>9558</v>
      </c>
      <c r="B628" s="29">
        <v>46164</v>
      </c>
      <c r="C628" s="23" t="s">
        <v>49</v>
      </c>
      <c r="D628" s="37" t="s">
        <v>26</v>
      </c>
      <c r="E628" s="23" t="s">
        <v>2282</v>
      </c>
      <c r="F628" s="31">
        <v>2452</v>
      </c>
      <c r="G628" s="31"/>
      <c r="H628" s="31">
        <f>Cty_Viet_Anh[[#This Row],[ĐƠN GIÁ]]*Cty_Viet_Anh[[#This Row],[SỐ LƯỢNG]]</f>
        <v>0</v>
      </c>
      <c r="I628" s="31"/>
      <c r="J628" s="31">
        <f ca="1">N(INDIRECT("R[-1]C", FALSE)) + Cty_Viet_Anh[[#This Row],[THÀNH TIỀN]] - Cty_Viet_Anh[[#This Row],[THANH TOÁN]]</f>
        <v>-13748499.999999981</v>
      </c>
      <c r="K628" s="24" t="s">
        <v>2284</v>
      </c>
    </row>
    <row r="629" spans="1:11" x14ac:dyDescent="0.25">
      <c r="A629" s="22">
        <v>9558</v>
      </c>
      <c r="B629" s="29">
        <v>46164</v>
      </c>
      <c r="C629" s="23" t="s">
        <v>49</v>
      </c>
      <c r="D629" s="37" t="s">
        <v>26</v>
      </c>
      <c r="E629" s="23" t="s">
        <v>2285</v>
      </c>
      <c r="F629" s="31">
        <v>2106</v>
      </c>
      <c r="G629" s="31"/>
      <c r="H629" s="31">
        <f>Cty_Viet_Anh[[#This Row],[ĐƠN GIÁ]]*Cty_Viet_Anh[[#This Row],[SỐ LƯỢNG]]</f>
        <v>0</v>
      </c>
      <c r="I629" s="31"/>
      <c r="J629" s="31">
        <f ca="1">N(INDIRECT("R[-1]C", FALSE)) + Cty_Viet_Anh[[#This Row],[THÀNH TIỀN]] - Cty_Viet_Anh[[#This Row],[THANH TOÁN]]</f>
        <v>-13748499.999999981</v>
      </c>
      <c r="K629" s="24" t="s">
        <v>2286</v>
      </c>
    </row>
    <row r="630" spans="1:11" x14ac:dyDescent="0.25">
      <c r="A630" s="22">
        <v>9558</v>
      </c>
      <c r="B630" s="29">
        <v>46164</v>
      </c>
      <c r="C630" s="23" t="s">
        <v>49</v>
      </c>
      <c r="D630" s="37" t="s">
        <v>26</v>
      </c>
      <c r="E630" s="23" t="s">
        <v>2287</v>
      </c>
      <c r="F630" s="31">
        <v>2345</v>
      </c>
      <c r="G630" s="31"/>
      <c r="H630" s="31">
        <f>Cty_Viet_Anh[[#This Row],[ĐƠN GIÁ]]*Cty_Viet_Anh[[#This Row],[SỐ LƯỢNG]]</f>
        <v>0</v>
      </c>
      <c r="I630" s="31"/>
      <c r="J630" s="31">
        <f ca="1">N(INDIRECT("R[-1]C", FALSE)) + Cty_Viet_Anh[[#This Row],[THÀNH TIỀN]] - Cty_Viet_Anh[[#This Row],[THANH TOÁN]]</f>
        <v>-13748499.999999981</v>
      </c>
      <c r="K630" s="24" t="s">
        <v>2288</v>
      </c>
    </row>
    <row r="631" spans="1:11" x14ac:dyDescent="0.25">
      <c r="A631" s="22">
        <v>5252</v>
      </c>
      <c r="B631" s="29">
        <v>46165</v>
      </c>
      <c r="C631" s="23" t="s">
        <v>84</v>
      </c>
      <c r="D631" s="37" t="s">
        <v>26</v>
      </c>
      <c r="E631" s="23" t="s">
        <v>446</v>
      </c>
      <c r="F631" s="31">
        <v>6184</v>
      </c>
      <c r="G631" s="31">
        <v>-550</v>
      </c>
      <c r="H631" s="31">
        <f>Cty_Viet_Anh[[#This Row],[ĐƠN GIÁ]]*Cty_Viet_Anh[[#This Row],[SỐ LƯỢNG]]</f>
        <v>-3401200</v>
      </c>
      <c r="I631" s="31"/>
      <c r="J631" s="31">
        <f ca="1">N(INDIRECT("R[-1]C", FALSE)) + Cty_Viet_Anh[[#This Row],[THÀNH TIỀN]] - Cty_Viet_Anh[[#This Row],[THANH TOÁN]]</f>
        <v>-17149699.999999981</v>
      </c>
      <c r="K631" s="24"/>
    </row>
    <row r="632" spans="1:11" x14ac:dyDescent="0.25">
      <c r="A632" s="22">
        <v>246</v>
      </c>
      <c r="B632" s="29">
        <v>46167</v>
      </c>
      <c r="C632" s="23" t="s">
        <v>426</v>
      </c>
      <c r="D632" s="37" t="s">
        <v>135</v>
      </c>
      <c r="E632" s="23" t="s">
        <v>148</v>
      </c>
      <c r="F632" s="31">
        <v>3871</v>
      </c>
      <c r="G632" s="31"/>
      <c r="H632" s="31">
        <f>Cty_Viet_Anh[[#This Row],[ĐƠN GIÁ]]*Cty_Viet_Anh[[#This Row],[SỐ LƯỢNG]]</f>
        <v>0</v>
      </c>
      <c r="I632" s="31"/>
      <c r="J632" s="31">
        <f ca="1">N(INDIRECT("R[-1]C", FALSE)) + Cty_Viet_Anh[[#This Row],[THÀNH TIỀN]] - Cty_Viet_Anh[[#This Row],[THANH TOÁN]]</f>
        <v>-17149699.999999981</v>
      </c>
      <c r="K632" s="133"/>
    </row>
    <row r="633" spans="1:11" x14ac:dyDescent="0.25">
      <c r="A633" s="22">
        <v>2946</v>
      </c>
      <c r="B633" s="29">
        <v>46167</v>
      </c>
      <c r="C633" s="23" t="s">
        <v>84</v>
      </c>
      <c r="D633" s="37" t="s">
        <v>2363</v>
      </c>
      <c r="E633" s="23" t="s">
        <v>148</v>
      </c>
      <c r="F633" s="31">
        <v>1550</v>
      </c>
      <c r="G633" s="31">
        <v>-2900</v>
      </c>
      <c r="H633" s="31">
        <f>Cty_Viet_Anh[[#This Row],[ĐƠN GIÁ]]*Cty_Viet_Anh[[#This Row],[SỐ LƯỢNG]]</f>
        <v>-4495000</v>
      </c>
      <c r="I633" s="31"/>
      <c r="J633" s="31">
        <f ca="1">N(INDIRECT("R[-1]C", FALSE)) + Cty_Viet_Anh[[#This Row],[THÀNH TIỀN]] - Cty_Viet_Anh[[#This Row],[THANH TOÁN]]</f>
        <v>-21644699.999999981</v>
      </c>
      <c r="K633" s="24"/>
    </row>
    <row r="634" spans="1:11" x14ac:dyDescent="0.25">
      <c r="A634" s="22">
        <v>5354</v>
      </c>
      <c r="B634" s="29">
        <v>46167</v>
      </c>
      <c r="C634" s="23" t="s">
        <v>84</v>
      </c>
      <c r="D634" s="37" t="s">
        <v>17</v>
      </c>
      <c r="E634" s="23" t="s">
        <v>502</v>
      </c>
      <c r="F634" s="31">
        <v>4562</v>
      </c>
      <c r="G634" s="31">
        <v>-550</v>
      </c>
      <c r="H634" s="31">
        <f>Cty_Viet_Anh[[#This Row],[ĐƠN GIÁ]]*Cty_Viet_Anh[[#This Row],[SỐ LƯỢNG]]</f>
        <v>-2509100</v>
      </c>
      <c r="I634" s="31"/>
      <c r="J634" s="31">
        <f ca="1">N(INDIRECT("R[-1]C", FALSE)) + Cty_Viet_Anh[[#This Row],[THÀNH TIỀN]] - Cty_Viet_Anh[[#This Row],[THANH TOÁN]]</f>
        <v>-24153799.999999981</v>
      </c>
      <c r="K634" s="24"/>
    </row>
    <row r="635" spans="1:11" x14ac:dyDescent="0.25">
      <c r="A635" s="22">
        <v>5354</v>
      </c>
      <c r="B635" s="29">
        <v>46167</v>
      </c>
      <c r="C635" s="23" t="s">
        <v>84</v>
      </c>
      <c r="D635" s="37" t="s">
        <v>93</v>
      </c>
      <c r="E635" s="23" t="s">
        <v>446</v>
      </c>
      <c r="F635" s="31">
        <v>6348</v>
      </c>
      <c r="G635" s="31">
        <v>-550</v>
      </c>
      <c r="H635" s="31">
        <f>Cty_Viet_Anh[[#This Row],[ĐƠN GIÁ]]*Cty_Viet_Anh[[#This Row],[SỐ LƯỢNG]]</f>
        <v>-3491400</v>
      </c>
      <c r="I635" s="31"/>
      <c r="J635" s="31">
        <f ca="1">N(INDIRECT("R[-1]C", FALSE)) + Cty_Viet_Anh[[#This Row],[THÀNH TIỀN]] - Cty_Viet_Anh[[#This Row],[THANH TOÁN]]</f>
        <v>-27645199.999999981</v>
      </c>
      <c r="K635" s="24" t="s">
        <v>2349</v>
      </c>
    </row>
    <row r="636" spans="1:11" x14ac:dyDescent="0.25">
      <c r="A636" s="22">
        <v>9590</v>
      </c>
      <c r="B636" s="29">
        <v>46167</v>
      </c>
      <c r="C636" s="23" t="s">
        <v>49</v>
      </c>
      <c r="D636" s="37" t="s">
        <v>135</v>
      </c>
      <c r="E636" s="23" t="s">
        <v>148</v>
      </c>
      <c r="F636" s="31">
        <v>5402</v>
      </c>
      <c r="G636" s="31"/>
      <c r="H636" s="31">
        <f>Cty_Viet_Anh[[#This Row],[ĐƠN GIÁ]]*Cty_Viet_Anh[[#This Row],[SỐ LƯỢNG]]</f>
        <v>0</v>
      </c>
      <c r="I636" s="31"/>
      <c r="J636" s="31">
        <f ca="1">N(INDIRECT("R[-1]C", FALSE)) + Cty_Viet_Anh[[#This Row],[THÀNH TIỀN]] - Cty_Viet_Anh[[#This Row],[THANH TOÁN]]</f>
        <v>-27645199.999999981</v>
      </c>
      <c r="K636" s="24" t="s">
        <v>2329</v>
      </c>
    </row>
    <row r="637" spans="1:11" ht="31.5" x14ac:dyDescent="0.25">
      <c r="A637" s="25">
        <v>9602</v>
      </c>
      <c r="B637" s="30">
        <v>46167</v>
      </c>
      <c r="C637" s="26" t="s">
        <v>49</v>
      </c>
      <c r="D637" s="38" t="s">
        <v>17</v>
      </c>
      <c r="E637" s="26" t="s">
        <v>2335</v>
      </c>
      <c r="F637" s="28">
        <v>2727</v>
      </c>
      <c r="G637" s="28"/>
      <c r="H637" s="28">
        <f>Cty_Viet_Anh[[#This Row],[ĐƠN GIÁ]]*Cty_Viet_Anh[[#This Row],[SỐ LƯỢNG]]</f>
        <v>0</v>
      </c>
      <c r="I637" s="28"/>
      <c r="J637" s="28">
        <f ca="1">N(INDIRECT("R[-1]C", FALSE)) + Cty_Viet_Anh[[#This Row],[THÀNH TIỀN]] - Cty_Viet_Anh[[#This Row],[THANH TOÁN]]</f>
        <v>-27645199.999999981</v>
      </c>
      <c r="K637" s="153" t="s">
        <v>2336</v>
      </c>
    </row>
    <row r="638" spans="1:11" x14ac:dyDescent="0.25">
      <c r="A638" s="25">
        <v>9602</v>
      </c>
      <c r="B638" s="30">
        <v>46167</v>
      </c>
      <c r="C638" s="26" t="s">
        <v>49</v>
      </c>
      <c r="D638" s="38" t="s">
        <v>17</v>
      </c>
      <c r="E638" s="26" t="s">
        <v>2337</v>
      </c>
      <c r="F638" s="28">
        <v>3515</v>
      </c>
      <c r="G638" s="28"/>
      <c r="H638" s="28">
        <f>Cty_Viet_Anh[[#This Row],[ĐƠN GIÁ]]*Cty_Viet_Anh[[#This Row],[SỐ LƯỢNG]]</f>
        <v>0</v>
      </c>
      <c r="I638" s="28"/>
      <c r="J638" s="28">
        <f ca="1">N(INDIRECT("R[-1]C", FALSE)) + Cty_Viet_Anh[[#This Row],[THÀNH TIỀN]] - Cty_Viet_Anh[[#This Row],[THANH TOÁN]]</f>
        <v>-27645199.999999981</v>
      </c>
      <c r="K638" s="153" t="s">
        <v>2338</v>
      </c>
    </row>
    <row r="639" spans="1:11" x14ac:dyDescent="0.25">
      <c r="A639" s="25">
        <v>9607</v>
      </c>
      <c r="B639" s="30">
        <v>46167</v>
      </c>
      <c r="C639" s="26" t="s">
        <v>49</v>
      </c>
      <c r="D639" s="38" t="s">
        <v>17</v>
      </c>
      <c r="E639" s="26" t="s">
        <v>40</v>
      </c>
      <c r="F639" s="28">
        <v>5580</v>
      </c>
      <c r="G639" s="28"/>
      <c r="H639" s="28">
        <f>Cty_Viet_Anh[[#This Row],[ĐƠN GIÁ]]*Cty_Viet_Anh[[#This Row],[SỐ LƯỢNG]]</f>
        <v>0</v>
      </c>
      <c r="I639" s="28"/>
      <c r="J639" s="28">
        <f ca="1">N(INDIRECT("R[-1]C", FALSE)) + Cty_Viet_Anh[[#This Row],[THÀNH TIỀN]] - Cty_Viet_Anh[[#This Row],[THANH TOÁN]]</f>
        <v>-27645199.999999981</v>
      </c>
      <c r="K639" s="153" t="s">
        <v>2346</v>
      </c>
    </row>
    <row r="640" spans="1:11" x14ac:dyDescent="0.25">
      <c r="A640" s="169">
        <v>9608</v>
      </c>
      <c r="B640" s="170">
        <v>46167</v>
      </c>
      <c r="C640" s="171" t="s">
        <v>49</v>
      </c>
      <c r="D640" s="172" t="s">
        <v>43</v>
      </c>
      <c r="E640" s="171" t="s">
        <v>915</v>
      </c>
      <c r="F640" s="173">
        <v>5273</v>
      </c>
      <c r="G640" s="173"/>
      <c r="H640" s="173">
        <f>Cty_Viet_Anh[[#This Row],[ĐƠN GIÁ]]*Cty_Viet_Anh[[#This Row],[SỐ LƯỢNG]]</f>
        <v>0</v>
      </c>
      <c r="I640" s="173"/>
      <c r="J640" s="173">
        <f ca="1">N(INDIRECT("R[-1]C", FALSE)) + Cty_Viet_Anh[[#This Row],[THÀNH TIỀN]] - Cty_Viet_Anh[[#This Row],[THANH TOÁN]]</f>
        <v>-27645199.999999981</v>
      </c>
      <c r="K640" s="198" t="s">
        <v>564</v>
      </c>
    </row>
    <row r="641" spans="1:11" x14ac:dyDescent="0.25">
      <c r="A641" s="22">
        <v>2950</v>
      </c>
      <c r="B641" s="29">
        <v>46168</v>
      </c>
      <c r="C641" s="23" t="s">
        <v>84</v>
      </c>
      <c r="D641" s="37" t="s">
        <v>43</v>
      </c>
      <c r="E641" s="23" t="s">
        <v>148</v>
      </c>
      <c r="F641" s="31">
        <v>2254</v>
      </c>
      <c r="G641" s="31">
        <v>-550</v>
      </c>
      <c r="H641" s="31">
        <f>Cty_Viet_Anh[[#This Row],[ĐƠN GIÁ]]*Cty_Viet_Anh[[#This Row],[SỐ LƯỢNG]]</f>
        <v>-1239700</v>
      </c>
      <c r="I641" s="31"/>
      <c r="J641" s="31">
        <f ca="1">N(INDIRECT("R[-1]C", FALSE)) + Cty_Viet_Anh[[#This Row],[THÀNH TIỀN]] - Cty_Viet_Anh[[#This Row],[THANH TOÁN]]</f>
        <v>-28884899.999999981</v>
      </c>
      <c r="K641" s="24"/>
    </row>
    <row r="642" spans="1:11" x14ac:dyDescent="0.25">
      <c r="A642" s="22"/>
      <c r="B642" s="29">
        <v>46168</v>
      </c>
      <c r="C642" s="23" t="s">
        <v>2214</v>
      </c>
      <c r="D642" s="37" t="s">
        <v>24</v>
      </c>
      <c r="E642" s="23"/>
      <c r="F642" s="31">
        <v>0</v>
      </c>
      <c r="G642" s="31"/>
      <c r="H642" s="31">
        <f>Cty_Viet_Anh[[#This Row],[ĐƠN GIÁ]]*Cty_Viet_Anh[[#This Row],[SỐ LƯỢNG]]</f>
        <v>0</v>
      </c>
      <c r="I642" s="31">
        <v>-126494000</v>
      </c>
      <c r="J642" s="31">
        <f ca="1">N(INDIRECT("R[-1]C", FALSE)) + Cty_Viet_Anh[[#This Row],[THÀNH TIỀN]] - Cty_Viet_Anh[[#This Row],[THANH TOÁN]]</f>
        <v>97609100.000000015</v>
      </c>
      <c r="K642" s="24"/>
    </row>
    <row r="643" spans="1:11" x14ac:dyDescent="0.25">
      <c r="A643" s="22">
        <v>5</v>
      </c>
      <c r="B643" s="29">
        <v>46169</v>
      </c>
      <c r="C643" s="23" t="s">
        <v>426</v>
      </c>
      <c r="D643" s="37" t="s">
        <v>93</v>
      </c>
      <c r="E643" s="23" t="s">
        <v>661</v>
      </c>
      <c r="F643" s="31">
        <v>3162</v>
      </c>
      <c r="G643" s="31">
        <v>-550</v>
      </c>
      <c r="H643" s="31">
        <f>Cty_Viet_Anh[[#This Row],[ĐƠN GIÁ]]*Cty_Viet_Anh[[#This Row],[SỐ LƯỢNG]]</f>
        <v>-1739100</v>
      </c>
      <c r="I643" s="31"/>
      <c r="J643" s="31">
        <f ca="1">N(INDIRECT("R[-1]C", FALSE)) + Cty_Viet_Anh[[#This Row],[THÀNH TIỀN]] - Cty_Viet_Anh[[#This Row],[THANH TOÁN]]</f>
        <v>95870000.000000015</v>
      </c>
      <c r="K643" s="24"/>
    </row>
    <row r="644" spans="1:11" x14ac:dyDescent="0.25">
      <c r="A644" s="25">
        <v>249</v>
      </c>
      <c r="B644" s="30">
        <v>46169</v>
      </c>
      <c r="C644" s="26" t="s">
        <v>426</v>
      </c>
      <c r="D644" s="38" t="s">
        <v>43</v>
      </c>
      <c r="E644" s="26" t="s">
        <v>148</v>
      </c>
      <c r="F644" s="28">
        <v>3039</v>
      </c>
      <c r="G644" s="28"/>
      <c r="H644" s="28">
        <f>Cty_Viet_Anh[[#This Row],[ĐƠN GIÁ]]*Cty_Viet_Anh[[#This Row],[SỐ LƯỢNG]]</f>
        <v>0</v>
      </c>
      <c r="I644" s="28"/>
      <c r="J644" s="28">
        <f ca="1">N(INDIRECT("R[-1]C", FALSE)) + Cty_Viet_Anh[[#This Row],[THÀNH TIỀN]] - Cty_Viet_Anh[[#This Row],[THANH TOÁN]]</f>
        <v>95870000.000000015</v>
      </c>
      <c r="K644" s="27"/>
    </row>
    <row r="645" spans="1:11" x14ac:dyDescent="0.25">
      <c r="A645" s="25">
        <v>5353</v>
      </c>
      <c r="B645" s="30">
        <v>46169</v>
      </c>
      <c r="C645" s="26" t="s">
        <v>84</v>
      </c>
      <c r="D645" s="38" t="s">
        <v>301</v>
      </c>
      <c r="E645" s="26" t="s">
        <v>81</v>
      </c>
      <c r="F645" s="28">
        <v>2768</v>
      </c>
      <c r="G645" s="28">
        <v>-1650</v>
      </c>
      <c r="H645" s="28">
        <f>Cty_Viet_Anh[[#This Row],[ĐƠN GIÁ]]*Cty_Viet_Anh[[#This Row],[SỐ LƯỢNG]]</f>
        <v>-4567200</v>
      </c>
      <c r="I645" s="28"/>
      <c r="J645" s="28">
        <f ca="1">N(INDIRECT("R[-1]C", FALSE)) + Cty_Viet_Anh[[#This Row],[THÀNH TIỀN]] - Cty_Viet_Anh[[#This Row],[THANH TOÁN]]</f>
        <v>91302800.000000015</v>
      </c>
      <c r="K645" s="27"/>
    </row>
    <row r="646" spans="1:11" x14ac:dyDescent="0.25">
      <c r="A646" s="22">
        <v>5358</v>
      </c>
      <c r="B646" s="29">
        <v>46169</v>
      </c>
      <c r="C646" s="23" t="s">
        <v>84</v>
      </c>
      <c r="D646" s="37" t="s">
        <v>17</v>
      </c>
      <c r="E646" s="23" t="s">
        <v>446</v>
      </c>
      <c r="F646" s="31">
        <v>1186</v>
      </c>
      <c r="G646" s="31">
        <v>-550</v>
      </c>
      <c r="H646" s="31">
        <f>Cty_Viet_Anh[[#This Row],[ĐƠN GIÁ]]*Cty_Viet_Anh[[#This Row],[SỐ LƯỢNG]]</f>
        <v>-652300</v>
      </c>
      <c r="I646" s="31"/>
      <c r="J646" s="31">
        <f ca="1">N(INDIRECT("R[-1]C", FALSE)) + Cty_Viet_Anh[[#This Row],[THÀNH TIỀN]] - Cty_Viet_Anh[[#This Row],[THANH TOÁN]]</f>
        <v>90650500.000000015</v>
      </c>
      <c r="K646" s="24"/>
    </row>
    <row r="647" spans="1:11" x14ac:dyDescent="0.25">
      <c r="A647" s="25">
        <v>9639</v>
      </c>
      <c r="B647" s="30">
        <v>46169</v>
      </c>
      <c r="C647" s="26" t="s">
        <v>49</v>
      </c>
      <c r="D647" s="38" t="s">
        <v>17</v>
      </c>
      <c r="E647" s="26" t="s">
        <v>446</v>
      </c>
      <c r="F647" s="28">
        <v>1183</v>
      </c>
      <c r="G647" s="28"/>
      <c r="H647" s="28">
        <f>Cty_Viet_Anh[[#This Row],[ĐƠN GIÁ]]*Cty_Viet_Anh[[#This Row],[SỐ LƯỢNG]]</f>
        <v>0</v>
      </c>
      <c r="I647" s="28"/>
      <c r="J647" s="28">
        <f ca="1">N(INDIRECT("R[-1]C", FALSE)) + Cty_Viet_Anh[[#This Row],[THÀNH TIỀN]] - Cty_Viet_Anh[[#This Row],[THANH TOÁN]]</f>
        <v>90650500.000000015</v>
      </c>
      <c r="K647" s="27" t="s">
        <v>2475</v>
      </c>
    </row>
    <row r="648" spans="1:11" x14ac:dyDescent="0.25">
      <c r="A648" s="25">
        <v>9639</v>
      </c>
      <c r="B648" s="30">
        <v>46169</v>
      </c>
      <c r="C648" s="26" t="s">
        <v>49</v>
      </c>
      <c r="D648" s="38" t="s">
        <v>17</v>
      </c>
      <c r="E648" s="26" t="s">
        <v>2476</v>
      </c>
      <c r="F648" s="28">
        <v>962</v>
      </c>
      <c r="G648" s="28"/>
      <c r="H648" s="28">
        <f>Cty_Viet_Anh[[#This Row],[ĐƠN GIÁ]]*Cty_Viet_Anh[[#This Row],[SỐ LƯỢNG]]</f>
        <v>0</v>
      </c>
      <c r="I648" s="28"/>
      <c r="J648" s="28">
        <f ca="1">N(INDIRECT("R[-1]C", FALSE)) + Cty_Viet_Anh[[#This Row],[THÀNH TIỀN]] - Cty_Viet_Anh[[#This Row],[THANH TOÁN]]</f>
        <v>90650500.000000015</v>
      </c>
      <c r="K648" s="27" t="s">
        <v>2477</v>
      </c>
    </row>
    <row r="649" spans="1:11" x14ac:dyDescent="0.25">
      <c r="A649" s="25">
        <v>9652</v>
      </c>
      <c r="B649" s="30">
        <v>46169</v>
      </c>
      <c r="C649" s="26" t="s">
        <v>49</v>
      </c>
      <c r="D649" s="38" t="s">
        <v>17</v>
      </c>
      <c r="E649" s="26" t="s">
        <v>62</v>
      </c>
      <c r="F649" s="28">
        <v>773</v>
      </c>
      <c r="G649" s="28"/>
      <c r="H649" s="28">
        <f>Cty_Viet_Anh[[#This Row],[ĐƠN GIÁ]]*Cty_Viet_Anh[[#This Row],[SỐ LƯỢNG]]</f>
        <v>0</v>
      </c>
      <c r="I649" s="28"/>
      <c r="J649" s="28">
        <f ca="1">N(INDIRECT("R[-1]C", FALSE)) + Cty_Viet_Anh[[#This Row],[THÀNH TIỀN]] - Cty_Viet_Anh[[#This Row],[THANH TOÁN]]</f>
        <v>90650500.000000015</v>
      </c>
      <c r="K649" s="27" t="s">
        <v>2483</v>
      </c>
    </row>
    <row r="650" spans="1:11" ht="31.5" x14ac:dyDescent="0.25">
      <c r="A650" s="25">
        <v>9655</v>
      </c>
      <c r="B650" s="30">
        <v>46169</v>
      </c>
      <c r="C650" s="26" t="s">
        <v>49</v>
      </c>
      <c r="D650" s="38" t="s">
        <v>26</v>
      </c>
      <c r="E650" s="26" t="s">
        <v>2287</v>
      </c>
      <c r="F650" s="28">
        <v>978</v>
      </c>
      <c r="G650" s="28"/>
      <c r="H650" s="28">
        <f>Cty_Viet_Anh[[#This Row],[ĐƠN GIÁ]]*Cty_Viet_Anh[[#This Row],[SỐ LƯỢNG]]</f>
        <v>0</v>
      </c>
      <c r="I650" s="28"/>
      <c r="J650" s="28">
        <f ca="1">N(INDIRECT("R[-1]C", FALSE)) + Cty_Viet_Anh[[#This Row],[THÀNH TIỀN]] - Cty_Viet_Anh[[#This Row],[THANH TOÁN]]</f>
        <v>90650500.000000015</v>
      </c>
      <c r="K650" s="153" t="s">
        <v>2487</v>
      </c>
    </row>
    <row r="651" spans="1:11" x14ac:dyDescent="0.25">
      <c r="A651" s="25">
        <v>9655</v>
      </c>
      <c r="B651" s="30">
        <v>46169</v>
      </c>
      <c r="C651" s="26" t="s">
        <v>49</v>
      </c>
      <c r="D651" s="38" t="s">
        <v>17</v>
      </c>
      <c r="E651" s="26" t="s">
        <v>2488</v>
      </c>
      <c r="F651" s="28">
        <v>2050</v>
      </c>
      <c r="G651" s="28"/>
      <c r="H651" s="28">
        <f>Cty_Viet_Anh[[#This Row],[ĐƠN GIÁ]]*Cty_Viet_Anh[[#This Row],[SỐ LƯỢNG]]</f>
        <v>0</v>
      </c>
      <c r="I651" s="28"/>
      <c r="J651" s="28">
        <f ca="1">N(INDIRECT("R[-1]C", FALSE)) + Cty_Viet_Anh[[#This Row],[THÀNH TIỀN]] - Cty_Viet_Anh[[#This Row],[THANH TOÁN]]</f>
        <v>90650500.000000015</v>
      </c>
      <c r="K651" s="153" t="s">
        <v>2489</v>
      </c>
    </row>
    <row r="652" spans="1:11" x14ac:dyDescent="0.25">
      <c r="A652" s="25">
        <v>9665</v>
      </c>
      <c r="B652" s="30">
        <v>46170</v>
      </c>
      <c r="C652" s="26" t="s">
        <v>49</v>
      </c>
      <c r="D652" s="38" t="s">
        <v>43</v>
      </c>
      <c r="E652" s="26" t="s">
        <v>136</v>
      </c>
      <c r="F652" s="28">
        <v>3028</v>
      </c>
      <c r="G652" s="28"/>
      <c r="H652" s="28">
        <f>Cty_Viet_Anh[[#This Row],[ĐƠN GIÁ]]*Cty_Viet_Anh[[#This Row],[SỐ LƯỢNG]]</f>
        <v>0</v>
      </c>
      <c r="I652" s="28"/>
      <c r="J652" s="28">
        <f ca="1">N(INDIRECT("R[-1]C", FALSE)) + Cty_Viet_Anh[[#This Row],[THÀNH TIỀN]] - Cty_Viet_Anh[[#This Row],[THANH TOÁN]]</f>
        <v>90650500.000000015</v>
      </c>
      <c r="K652" s="27" t="s">
        <v>1740</v>
      </c>
    </row>
    <row r="653" spans="1:11" x14ac:dyDescent="0.25">
      <c r="A653" s="25">
        <v>9670</v>
      </c>
      <c r="B653" s="30">
        <v>46170</v>
      </c>
      <c r="C653" s="26" t="s">
        <v>49</v>
      </c>
      <c r="D653" s="38" t="s">
        <v>17</v>
      </c>
      <c r="E653" s="26" t="s">
        <v>2503</v>
      </c>
      <c r="F653" s="28">
        <v>517</v>
      </c>
      <c r="G653" s="28"/>
      <c r="H653" s="28">
        <f>Cty_Viet_Anh[[#This Row],[ĐƠN GIÁ]]*Cty_Viet_Anh[[#This Row],[SỐ LƯỢNG]]</f>
        <v>0</v>
      </c>
      <c r="I653" s="28"/>
      <c r="J653" s="28">
        <f ca="1">N(INDIRECT("R[-1]C", FALSE)) + Cty_Viet_Anh[[#This Row],[THÀNH TIỀN]] - Cty_Viet_Anh[[#This Row],[THANH TOÁN]]</f>
        <v>90650500.000000015</v>
      </c>
      <c r="K653" s="27" t="s">
        <v>2504</v>
      </c>
    </row>
    <row r="654" spans="1:11" x14ac:dyDescent="0.25">
      <c r="A654" s="25">
        <v>9670</v>
      </c>
      <c r="B654" s="30">
        <v>46170</v>
      </c>
      <c r="C654" s="26" t="s">
        <v>49</v>
      </c>
      <c r="D654" s="38" t="s">
        <v>17</v>
      </c>
      <c r="E654" s="26" t="s">
        <v>446</v>
      </c>
      <c r="F654" s="28">
        <v>905</v>
      </c>
      <c r="G654" s="28"/>
      <c r="H654" s="28">
        <f>Cty_Viet_Anh[[#This Row],[ĐƠN GIÁ]]*Cty_Viet_Anh[[#This Row],[SỐ LƯỢNG]]</f>
        <v>0</v>
      </c>
      <c r="I654" s="28"/>
      <c r="J654" s="28">
        <f ca="1">N(INDIRECT("R[-1]C", FALSE)) + Cty_Viet_Anh[[#This Row],[THÀNH TIỀN]] - Cty_Viet_Anh[[#This Row],[THANH TOÁN]]</f>
        <v>90650500.000000015</v>
      </c>
      <c r="K654" s="27" t="s">
        <v>565</v>
      </c>
    </row>
    <row r="655" spans="1:11" x14ac:dyDescent="0.25">
      <c r="A655" s="25">
        <v>2972</v>
      </c>
      <c r="B655" s="30">
        <v>46171</v>
      </c>
      <c r="C655" s="26" t="s">
        <v>84</v>
      </c>
      <c r="D655" s="38" t="s">
        <v>2517</v>
      </c>
      <c r="E655" s="26" t="s">
        <v>62</v>
      </c>
      <c r="F655" s="28">
        <v>780</v>
      </c>
      <c r="G655" s="28">
        <v>-2000</v>
      </c>
      <c r="H655" s="28">
        <f>Cty_Viet_Anh[[#This Row],[ĐƠN GIÁ]]*Cty_Viet_Anh[[#This Row],[SỐ LƯỢNG]]</f>
        <v>-1560000</v>
      </c>
      <c r="I655" s="28"/>
      <c r="J655" s="28">
        <f ca="1">N(INDIRECT("R[-1]C", FALSE)) + Cty_Viet_Anh[[#This Row],[THÀNH TIỀN]] - Cty_Viet_Anh[[#This Row],[THANH TOÁN]]</f>
        <v>89090500.000000015</v>
      </c>
      <c r="K655" s="27"/>
    </row>
    <row r="656" spans="1:11" x14ac:dyDescent="0.25">
      <c r="A656" s="71">
        <v>5367</v>
      </c>
      <c r="B656" s="72">
        <v>46171</v>
      </c>
      <c r="C656" s="73" t="s">
        <v>84</v>
      </c>
      <c r="D656" s="56" t="s">
        <v>93</v>
      </c>
      <c r="E656" s="73">
        <v>0.5</v>
      </c>
      <c r="F656" s="74">
        <v>1738</v>
      </c>
      <c r="G656" s="74"/>
      <c r="H656" s="74">
        <f>Cty_Viet_Anh[[#This Row],[ĐƠN GIÁ]]*Cty_Viet_Anh[[#This Row],[SỐ LƯỢNG]]</f>
        <v>0</v>
      </c>
      <c r="I656" s="74"/>
      <c r="J656" s="74">
        <f ca="1">N(INDIRECT("R[-1]C", FALSE)) + Cty_Viet_Anh[[#This Row],[THÀNH TIỀN]] - Cty_Viet_Anh[[#This Row],[THANH TOÁN]]</f>
        <v>89090500.000000015</v>
      </c>
      <c r="K656" s="75"/>
    </row>
    <row r="657" spans="1:11" x14ac:dyDescent="0.25">
      <c r="A657" s="25">
        <v>9697</v>
      </c>
      <c r="B657" s="30">
        <v>46171</v>
      </c>
      <c r="C657" s="26" t="s">
        <v>49</v>
      </c>
      <c r="D657" s="38" t="s">
        <v>17</v>
      </c>
      <c r="E657" s="26" t="s">
        <v>891</v>
      </c>
      <c r="F657" s="28">
        <v>4379</v>
      </c>
      <c r="G657" s="28"/>
      <c r="H657" s="28">
        <f>Cty_Viet_Anh[[#This Row],[ĐƠN GIÁ]]*Cty_Viet_Anh[[#This Row],[SỐ LƯỢNG]]</f>
        <v>0</v>
      </c>
      <c r="I657" s="28"/>
      <c r="J657" s="28">
        <f ca="1">N(INDIRECT("R[-1]C", FALSE)) + Cty_Viet_Anh[[#This Row],[THÀNH TIỀN]] - Cty_Viet_Anh[[#This Row],[THANH TOÁN]]</f>
        <v>89090500.000000015</v>
      </c>
      <c r="K657" s="27" t="s">
        <v>2410</v>
      </c>
    </row>
    <row r="658" spans="1:11" x14ac:dyDescent="0.25">
      <c r="A658" s="25">
        <v>2985</v>
      </c>
      <c r="B658" s="30">
        <v>46172</v>
      </c>
      <c r="C658" s="26" t="s">
        <v>84</v>
      </c>
      <c r="D658" s="38" t="s">
        <v>17</v>
      </c>
      <c r="E658" s="26" t="s">
        <v>136</v>
      </c>
      <c r="F658" s="28">
        <v>1060</v>
      </c>
      <c r="G658" s="28">
        <v>-1500</v>
      </c>
      <c r="H658" s="28">
        <f>Cty_Viet_Anh[[#This Row],[ĐƠN GIÁ]]*Cty_Viet_Anh[[#This Row],[SỐ LƯỢNG]]</f>
        <v>-1590000</v>
      </c>
      <c r="I658" s="28"/>
      <c r="J658" s="28">
        <f ca="1">N(INDIRECT("R[-1]C", FALSE)) + Cty_Viet_Anh[[#This Row],[THÀNH TIỀN]] - Cty_Viet_Anh[[#This Row],[THANH TOÁN]]</f>
        <v>87500500.000000015</v>
      </c>
      <c r="K658" s="27"/>
    </row>
    <row r="659" spans="1:11" x14ac:dyDescent="0.25">
      <c r="A659" s="25">
        <v>5372</v>
      </c>
      <c r="B659" s="30">
        <v>46172</v>
      </c>
      <c r="C659" s="26" t="s">
        <v>84</v>
      </c>
      <c r="D659" s="38" t="s">
        <v>93</v>
      </c>
      <c r="E659" s="26" t="s">
        <v>136</v>
      </c>
      <c r="F659" s="28">
        <v>1034</v>
      </c>
      <c r="G659" s="28">
        <v>-550</v>
      </c>
      <c r="H659" s="28">
        <f>Cty_Viet_Anh[[#This Row],[ĐƠN GIÁ]]*Cty_Viet_Anh[[#This Row],[SỐ LƯỢNG]]</f>
        <v>-568700</v>
      </c>
      <c r="I659" s="28"/>
      <c r="J659" s="28">
        <f ca="1">N(INDIRECT("R[-1]C", FALSE)) + Cty_Viet_Anh[[#This Row],[THÀNH TIỀN]] - Cty_Viet_Anh[[#This Row],[THANH TOÁN]]</f>
        <v>86931800.000000015</v>
      </c>
      <c r="K659" s="27" t="s">
        <v>2528</v>
      </c>
    </row>
    <row r="660" spans="1:11" x14ac:dyDescent="0.25">
      <c r="A660" s="22">
        <v>5372</v>
      </c>
      <c r="B660" s="29">
        <v>46172</v>
      </c>
      <c r="C660" s="23" t="s">
        <v>84</v>
      </c>
      <c r="D660" s="37" t="s">
        <v>93</v>
      </c>
      <c r="E660" s="23" t="s">
        <v>416</v>
      </c>
      <c r="F660" s="31">
        <v>518</v>
      </c>
      <c r="G660" s="31">
        <v>-550</v>
      </c>
      <c r="H660" s="31">
        <f>Cty_Viet_Anh[[#This Row],[ĐƠN GIÁ]]*Cty_Viet_Anh[[#This Row],[SỐ LƯỢNG]]</f>
        <v>-284900</v>
      </c>
      <c r="I660" s="31"/>
      <c r="J660" s="31">
        <f ca="1">N(INDIRECT("R[-1]C", FALSE)) + Cty_Viet_Anh[[#This Row],[THÀNH TIỀN]] - Cty_Viet_Anh[[#This Row],[THANH TOÁN]]</f>
        <v>86646900.000000015</v>
      </c>
      <c r="K660" s="24" t="s">
        <v>2529</v>
      </c>
    </row>
    <row r="661" spans="1:11" x14ac:dyDescent="0.25">
      <c r="A661" s="22">
        <v>5372</v>
      </c>
      <c r="B661" s="29">
        <v>46172</v>
      </c>
      <c r="C661" s="23" t="s">
        <v>84</v>
      </c>
      <c r="D661" s="37" t="s">
        <v>93</v>
      </c>
      <c r="E661" s="23" t="s">
        <v>502</v>
      </c>
      <c r="F661" s="31">
        <v>4246</v>
      </c>
      <c r="G661" s="31">
        <v>-550</v>
      </c>
      <c r="H661" s="31">
        <f>Cty_Viet_Anh[[#This Row],[ĐƠN GIÁ]]*Cty_Viet_Anh[[#This Row],[SỐ LƯỢNG]]</f>
        <v>-2335300</v>
      </c>
      <c r="I661" s="31"/>
      <c r="J661" s="31">
        <f ca="1">N(INDIRECT("R[-1]C", FALSE)) + Cty_Viet_Anh[[#This Row],[THÀNH TIỀN]] - Cty_Viet_Anh[[#This Row],[THANH TOÁN]]</f>
        <v>84311600.000000015</v>
      </c>
      <c r="K661" s="24" t="s">
        <v>2410</v>
      </c>
    </row>
    <row r="662" spans="1:11" x14ac:dyDescent="0.25">
      <c r="A662" s="22">
        <v>9715</v>
      </c>
      <c r="B662" s="29">
        <v>46172</v>
      </c>
      <c r="C662" s="23" t="s">
        <v>49</v>
      </c>
      <c r="D662" s="37" t="s">
        <v>17</v>
      </c>
      <c r="E662" s="23" t="s">
        <v>136</v>
      </c>
      <c r="F662" s="31">
        <v>1060</v>
      </c>
      <c r="G662" s="31"/>
      <c r="H662" s="31">
        <f>Cty_Viet_Anh[[#This Row],[ĐƠN GIÁ]]*Cty_Viet_Anh[[#This Row],[SỐ LƯỢNG]]</f>
        <v>0</v>
      </c>
      <c r="I662" s="31"/>
      <c r="J662" s="31">
        <f ca="1">N(INDIRECT("R[-1]C", FALSE)) + Cty_Viet_Anh[[#This Row],[THÀNH TIỀN]] - Cty_Viet_Anh[[#This Row],[THANH TOÁN]]</f>
        <v>84311600.000000015</v>
      </c>
      <c r="K662" s="24" t="s">
        <v>2483</v>
      </c>
    </row>
    <row r="663" spans="1:11" x14ac:dyDescent="0.25">
      <c r="A663" s="22">
        <v>5375</v>
      </c>
      <c r="B663" s="29">
        <v>46174</v>
      </c>
      <c r="C663" s="23" t="s">
        <v>84</v>
      </c>
      <c r="D663" s="37" t="s">
        <v>93</v>
      </c>
      <c r="E663" s="23" t="s">
        <v>891</v>
      </c>
      <c r="F663" s="31">
        <v>2130</v>
      </c>
      <c r="G663" s="31">
        <v>-550</v>
      </c>
      <c r="H663" s="31">
        <f>Cty_Viet_Anh[[#This Row],[ĐƠN GIÁ]]*Cty_Viet_Anh[[#This Row],[SỐ LƯỢNG]]</f>
        <v>-1171500</v>
      </c>
      <c r="I663" s="31"/>
      <c r="J663" s="31">
        <f ca="1">N(INDIRECT("R[-1]C", FALSE)) + Cty_Viet_Anh[[#This Row],[THÀNH TIỀN]] - Cty_Viet_Anh[[#This Row],[THANH TOÁN]]</f>
        <v>83140100.000000015</v>
      </c>
      <c r="K663" s="24"/>
    </row>
    <row r="664" spans="1:11" x14ac:dyDescent="0.25">
      <c r="A664" s="25">
        <v>5376</v>
      </c>
      <c r="B664" s="30">
        <v>46174</v>
      </c>
      <c r="C664" s="26" t="s">
        <v>84</v>
      </c>
      <c r="D664" s="38" t="s">
        <v>17</v>
      </c>
      <c r="E664" s="26" t="s">
        <v>891</v>
      </c>
      <c r="F664" s="28">
        <v>4420</v>
      </c>
      <c r="G664" s="28">
        <v>-550</v>
      </c>
      <c r="H664" s="28">
        <f>Cty_Viet_Anh[[#This Row],[ĐƠN GIÁ]]*Cty_Viet_Anh[[#This Row],[SỐ LƯỢNG]]</f>
        <v>-2431000</v>
      </c>
      <c r="I664" s="28"/>
      <c r="J664" s="28">
        <f ca="1">N(INDIRECT("R[-1]C", FALSE)) + Cty_Viet_Anh[[#This Row],[THÀNH TIỀN]] - Cty_Viet_Anh[[#This Row],[THANH TOÁN]]</f>
        <v>80709100.000000015</v>
      </c>
      <c r="K664" s="27"/>
    </row>
    <row r="665" spans="1:11" x14ac:dyDescent="0.25">
      <c r="A665" s="25">
        <v>5377</v>
      </c>
      <c r="B665" s="30">
        <v>46174</v>
      </c>
      <c r="C665" s="26" t="s">
        <v>426</v>
      </c>
      <c r="D665" s="38" t="s">
        <v>520</v>
      </c>
      <c r="E665" s="26" t="s">
        <v>2554</v>
      </c>
      <c r="F665" s="28">
        <v>894</v>
      </c>
      <c r="G665" s="28"/>
      <c r="H665" s="28">
        <f>Cty_Viet_Anh[[#This Row],[ĐƠN GIÁ]]*Cty_Viet_Anh[[#This Row],[SỐ LƯỢNG]]</f>
        <v>0</v>
      </c>
      <c r="I665" s="28"/>
      <c r="J665" s="28">
        <f ca="1">N(INDIRECT("R[-1]C", FALSE)) + Cty_Viet_Anh[[#This Row],[THÀNH TIỀN]] - Cty_Viet_Anh[[#This Row],[THANH TOÁN]]</f>
        <v>80709100.000000015</v>
      </c>
      <c r="K665" s="27"/>
    </row>
    <row r="666" spans="1:11" x14ac:dyDescent="0.25">
      <c r="A666" s="25">
        <v>5377</v>
      </c>
      <c r="B666" s="30">
        <v>46174</v>
      </c>
      <c r="C666" s="26" t="s">
        <v>426</v>
      </c>
      <c r="D666" s="38" t="s">
        <v>520</v>
      </c>
      <c r="E666" s="26" t="s">
        <v>2555</v>
      </c>
      <c r="F666" s="28">
        <v>964</v>
      </c>
      <c r="G666" s="28"/>
      <c r="H666" s="28">
        <f>Cty_Viet_Anh[[#This Row],[ĐƠN GIÁ]]*Cty_Viet_Anh[[#This Row],[SỐ LƯỢNG]]</f>
        <v>0</v>
      </c>
      <c r="I666" s="28"/>
      <c r="J666" s="28">
        <f ca="1">N(INDIRECT("R[-1]C", FALSE)) + Cty_Viet_Anh[[#This Row],[THÀNH TIỀN]] - Cty_Viet_Anh[[#This Row],[THANH TOÁN]]</f>
        <v>80709100.000000015</v>
      </c>
      <c r="K666" s="27"/>
    </row>
    <row r="667" spans="1:11" x14ac:dyDescent="0.25">
      <c r="A667" s="25">
        <v>5377</v>
      </c>
      <c r="B667" s="30">
        <v>46174</v>
      </c>
      <c r="C667" s="26" t="s">
        <v>84</v>
      </c>
      <c r="D667" s="38" t="s">
        <v>17</v>
      </c>
      <c r="E667" s="26" t="s">
        <v>46</v>
      </c>
      <c r="F667" s="28">
        <v>3760</v>
      </c>
      <c r="G667" s="28">
        <v>-550</v>
      </c>
      <c r="H667" s="28">
        <f>Cty_Viet_Anh[[#This Row],[ĐƠN GIÁ]]*Cty_Viet_Anh[[#This Row],[SỐ LƯỢNG]]</f>
        <v>-2068000</v>
      </c>
      <c r="I667" s="28"/>
      <c r="J667" s="28">
        <f ca="1">N(INDIRECT("R[-1]C", FALSE)) + Cty_Viet_Anh[[#This Row],[THÀNH TIỀN]] - Cty_Viet_Anh[[#This Row],[THANH TOÁN]]</f>
        <v>78641100.000000015</v>
      </c>
      <c r="K667" s="27"/>
    </row>
    <row r="668" spans="1:11" x14ac:dyDescent="0.25">
      <c r="A668" s="25">
        <v>9732</v>
      </c>
      <c r="B668" s="30">
        <v>46174</v>
      </c>
      <c r="C668" s="26" t="s">
        <v>49</v>
      </c>
      <c r="D668" s="38" t="s">
        <v>17</v>
      </c>
      <c r="E668" s="26" t="s">
        <v>891</v>
      </c>
      <c r="F668" s="28">
        <v>4420</v>
      </c>
      <c r="G668" s="28"/>
      <c r="H668" s="28">
        <f>Cty_Viet_Anh[[#This Row],[ĐƠN GIÁ]]*Cty_Viet_Anh[[#This Row],[SỐ LƯỢNG]]</f>
        <v>0</v>
      </c>
      <c r="I668" s="28"/>
      <c r="J668" s="28">
        <f ca="1">N(INDIRECT("R[-1]C", FALSE)) + Cty_Viet_Anh[[#This Row],[THÀNH TIỀN]] - Cty_Viet_Anh[[#This Row],[THANH TOÁN]]</f>
        <v>78641100.000000015</v>
      </c>
      <c r="K668" s="27" t="s">
        <v>2557</v>
      </c>
    </row>
    <row r="669" spans="1:11" x14ac:dyDescent="0.25">
      <c r="A669" s="25">
        <v>9738</v>
      </c>
      <c r="B669" s="30">
        <v>46174</v>
      </c>
      <c r="C669" s="26" t="s">
        <v>49</v>
      </c>
      <c r="D669" s="38" t="s">
        <v>729</v>
      </c>
      <c r="E669" s="26" t="s">
        <v>460</v>
      </c>
      <c r="F669" s="28">
        <v>4053</v>
      </c>
      <c r="G669" s="28"/>
      <c r="H669" s="28">
        <f>Cty_Viet_Anh[[#This Row],[ĐƠN GIÁ]]*Cty_Viet_Anh[[#This Row],[SỐ LƯỢNG]]</f>
        <v>0</v>
      </c>
      <c r="I669" s="28"/>
      <c r="J669" s="28">
        <f ca="1">N(INDIRECT("R[-1]C", FALSE)) + Cty_Viet_Anh[[#This Row],[THÀNH TIỀN]] - Cty_Viet_Anh[[#This Row],[THANH TOÁN]]</f>
        <v>78641100.000000015</v>
      </c>
      <c r="K669" s="27" t="s">
        <v>2542</v>
      </c>
    </row>
    <row r="670" spans="1:11" x14ac:dyDescent="0.25">
      <c r="A670" s="22">
        <v>9738</v>
      </c>
      <c r="B670" s="29">
        <v>46174</v>
      </c>
      <c r="C670" s="23" t="s">
        <v>49</v>
      </c>
      <c r="D670" s="37" t="s">
        <v>17</v>
      </c>
      <c r="E670" s="23" t="s">
        <v>46</v>
      </c>
      <c r="F670" s="31">
        <v>3760</v>
      </c>
      <c r="G670" s="31"/>
      <c r="H670" s="31">
        <f>Cty_Viet_Anh[[#This Row],[ĐƠN GIÁ]]*Cty_Viet_Anh[[#This Row],[SỐ LƯỢNG]]</f>
        <v>0</v>
      </c>
      <c r="I670" s="31"/>
      <c r="J670" s="31">
        <f ca="1">N(INDIRECT("R[-1]C", FALSE)) + Cty_Viet_Anh[[#This Row],[THÀNH TIỀN]] - Cty_Viet_Anh[[#This Row],[THANH TOÁN]]</f>
        <v>78641100.000000015</v>
      </c>
      <c r="K670" s="24" t="s">
        <v>2556</v>
      </c>
    </row>
    <row r="671" spans="1:11" x14ac:dyDescent="0.25">
      <c r="A671" s="22">
        <v>9738</v>
      </c>
      <c r="B671" s="29">
        <v>46174</v>
      </c>
      <c r="C671" s="23" t="s">
        <v>49</v>
      </c>
      <c r="D671" s="37" t="s">
        <v>17</v>
      </c>
      <c r="E671" s="23" t="s">
        <v>2543</v>
      </c>
      <c r="F671" s="31">
        <v>1718</v>
      </c>
      <c r="G671" s="31"/>
      <c r="H671" s="31">
        <f>Cty_Viet_Anh[[#This Row],[ĐƠN GIÁ]]*Cty_Viet_Anh[[#This Row],[SỐ LƯỢNG]]</f>
        <v>0</v>
      </c>
      <c r="I671" s="31"/>
      <c r="J671" s="31">
        <f ca="1">N(INDIRECT("R[-1]C", FALSE)) + Cty_Viet_Anh[[#This Row],[THÀNH TIỀN]] - Cty_Viet_Anh[[#This Row],[THANH TOÁN]]</f>
        <v>78641100.000000015</v>
      </c>
      <c r="K671" s="24" t="s">
        <v>2558</v>
      </c>
    </row>
    <row r="672" spans="1:11" x14ac:dyDescent="0.25">
      <c r="A672" s="22">
        <v>5380</v>
      </c>
      <c r="B672" s="29">
        <v>46175</v>
      </c>
      <c r="C672" s="23" t="s">
        <v>84</v>
      </c>
      <c r="D672" s="37" t="s">
        <v>17</v>
      </c>
      <c r="E672" s="23" t="s">
        <v>2543</v>
      </c>
      <c r="F672" s="31">
        <v>1718</v>
      </c>
      <c r="G672" s="31">
        <v>-550</v>
      </c>
      <c r="H672" s="31">
        <f>Cty_Viet_Anh[[#This Row],[ĐƠN GIÁ]]*Cty_Viet_Anh[[#This Row],[SỐ LƯỢNG]]</f>
        <v>-944900</v>
      </c>
      <c r="I672" s="31"/>
      <c r="J672" s="31">
        <f ca="1">N(INDIRECT("R[-1]C", FALSE)) + Cty_Viet_Anh[[#This Row],[THÀNH TIỀN]] - Cty_Viet_Anh[[#This Row],[THANH TOÁN]]</f>
        <v>77696200.000000015</v>
      </c>
      <c r="K672" s="24"/>
    </row>
    <row r="673" spans="1:11" x14ac:dyDescent="0.25">
      <c r="A673" s="22">
        <v>7522</v>
      </c>
      <c r="B673" s="29">
        <v>46056</v>
      </c>
      <c r="C673" s="23" t="s">
        <v>49</v>
      </c>
      <c r="D673" s="37" t="s">
        <v>17</v>
      </c>
      <c r="E673" s="23" t="s">
        <v>469</v>
      </c>
      <c r="F673" s="31">
        <v>8318</v>
      </c>
      <c r="G673" s="31"/>
      <c r="H673" s="31">
        <f>Cty_Viet_Anh[[#This Row],[ĐƠN GIÁ]]*Cty_Viet_Anh[[#This Row],[SỐ LƯỢNG]]</f>
        <v>0</v>
      </c>
      <c r="I673" s="31"/>
      <c r="J673" s="31">
        <f ca="1">N(INDIRECT("R[-1]C", FALSE)) + Cty_Viet_Anh[[#This Row],[THÀNH TIỀN]] - Cty_Viet_Anh[[#This Row],[THANH TOÁN]]</f>
        <v>77696200.000000015</v>
      </c>
      <c r="K673" s="24"/>
    </row>
    <row r="674" spans="1:11" x14ac:dyDescent="0.25">
      <c r="A674" s="22">
        <v>7531</v>
      </c>
      <c r="B674" s="29">
        <v>46057</v>
      </c>
      <c r="C674" s="23" t="s">
        <v>49</v>
      </c>
      <c r="D674" s="37" t="s">
        <v>43</v>
      </c>
      <c r="E674" s="23" t="s">
        <v>267</v>
      </c>
      <c r="F674" s="31">
        <v>3624</v>
      </c>
      <c r="G674" s="31"/>
      <c r="H674" s="31">
        <f>Cty_Viet_Anh[[#This Row],[ĐƠN GIÁ]]*Cty_Viet_Anh[[#This Row],[SỐ LƯỢNG]]</f>
        <v>0</v>
      </c>
      <c r="I674" s="31"/>
      <c r="J674" s="31">
        <f ca="1">N(INDIRECT("R[-1]C", FALSE)) + Cty_Viet_Anh[[#This Row],[THÀNH TIỀN]] - Cty_Viet_Anh[[#This Row],[THANH TOÁN]]</f>
        <v>77696200.000000015</v>
      </c>
      <c r="K674" s="24"/>
    </row>
    <row r="675" spans="1:11" x14ac:dyDescent="0.25">
      <c r="A675" s="22">
        <v>7531</v>
      </c>
      <c r="B675" s="29">
        <v>46057</v>
      </c>
      <c r="C675" s="23" t="s">
        <v>49</v>
      </c>
      <c r="D675" s="37" t="s">
        <v>26</v>
      </c>
      <c r="E675" s="23" t="s">
        <v>2457</v>
      </c>
      <c r="F675" s="31">
        <v>1921</v>
      </c>
      <c r="G675" s="31"/>
      <c r="H675" s="31">
        <f>Cty_Viet_Anh[[#This Row],[ĐƠN GIÁ]]*Cty_Viet_Anh[[#This Row],[SỐ LƯỢNG]]</f>
        <v>0</v>
      </c>
      <c r="I675" s="31"/>
      <c r="J675" s="31">
        <f ca="1">N(INDIRECT("R[-1]C", FALSE)) + Cty_Viet_Anh[[#This Row],[THÀNH TIỀN]] - Cty_Viet_Anh[[#This Row],[THANH TOÁN]]</f>
        <v>77696200.000000015</v>
      </c>
      <c r="K675" s="24"/>
    </row>
    <row r="676" spans="1:11" x14ac:dyDescent="0.25">
      <c r="A676" s="22">
        <v>7538</v>
      </c>
      <c r="B676" s="29">
        <v>46057</v>
      </c>
      <c r="C676" s="23" t="s">
        <v>49</v>
      </c>
      <c r="D676" s="37" t="s">
        <v>277</v>
      </c>
      <c r="E676" s="23" t="s">
        <v>2561</v>
      </c>
      <c r="F676" s="31">
        <v>1962</v>
      </c>
      <c r="G676" s="31"/>
      <c r="H676" s="31">
        <f>Cty_Viet_Anh[[#This Row],[ĐƠN GIÁ]]*Cty_Viet_Anh[[#This Row],[SỐ LƯỢNG]]</f>
        <v>0</v>
      </c>
      <c r="I676" s="31"/>
      <c r="J676" s="31">
        <f ca="1">N(INDIRECT("R[-1]C", FALSE)) + Cty_Viet_Anh[[#This Row],[THÀNH TIỀN]] - Cty_Viet_Anh[[#This Row],[THANH TOÁN]]</f>
        <v>77696200.000000015</v>
      </c>
      <c r="K676" s="24"/>
    </row>
    <row r="677" spans="1:11" x14ac:dyDescent="0.25">
      <c r="A677" s="22">
        <v>7538</v>
      </c>
      <c r="B677" s="29">
        <v>46057</v>
      </c>
      <c r="C677" s="23" t="s">
        <v>49</v>
      </c>
      <c r="D677" s="37" t="s">
        <v>26</v>
      </c>
      <c r="E677" s="23" t="s">
        <v>2457</v>
      </c>
      <c r="F677" s="31">
        <v>1564</v>
      </c>
      <c r="G677" s="31"/>
      <c r="H677" s="31">
        <f>Cty_Viet_Anh[[#This Row],[ĐƠN GIÁ]]*Cty_Viet_Anh[[#This Row],[SỐ LƯỢNG]]</f>
        <v>0</v>
      </c>
      <c r="I677" s="31"/>
      <c r="J677" s="31">
        <f ca="1">N(INDIRECT("R[-1]C", FALSE)) + Cty_Viet_Anh[[#This Row],[THÀNH TIỀN]] - Cty_Viet_Anh[[#This Row],[THANH TOÁN]]</f>
        <v>77696200.000000015</v>
      </c>
      <c r="K677" s="24"/>
    </row>
    <row r="678" spans="1:11" x14ac:dyDescent="0.25">
      <c r="A678" s="22">
        <v>7570</v>
      </c>
      <c r="B678" s="29">
        <v>46058</v>
      </c>
      <c r="C678" s="23" t="s">
        <v>49</v>
      </c>
      <c r="D678" s="37" t="s">
        <v>17</v>
      </c>
      <c r="E678" s="23" t="s">
        <v>415</v>
      </c>
      <c r="F678" s="31">
        <v>5420</v>
      </c>
      <c r="G678" s="31"/>
      <c r="H678" s="31">
        <f>Cty_Viet_Anh[[#This Row],[ĐƠN GIÁ]]*Cty_Viet_Anh[[#This Row],[SỐ LƯỢNG]]</f>
        <v>0</v>
      </c>
      <c r="I678" s="31"/>
      <c r="J678" s="31">
        <f ca="1">N(INDIRECT("R[-1]C", FALSE)) + Cty_Viet_Anh[[#This Row],[THÀNH TIỀN]] - Cty_Viet_Anh[[#This Row],[THANH TOÁN]]</f>
        <v>77696200.000000015</v>
      </c>
      <c r="K678" s="24"/>
    </row>
    <row r="679" spans="1:11" x14ac:dyDescent="0.25">
      <c r="A679" s="22">
        <v>7574</v>
      </c>
      <c r="B679" s="29">
        <v>46059</v>
      </c>
      <c r="C679" s="23" t="s">
        <v>49</v>
      </c>
      <c r="D679" s="37" t="s">
        <v>17</v>
      </c>
      <c r="E679" s="23" t="s">
        <v>2563</v>
      </c>
      <c r="F679" s="31">
        <v>5570</v>
      </c>
      <c r="G679" s="31"/>
      <c r="H679" s="31">
        <f>Cty_Viet_Anh[[#This Row],[ĐƠN GIÁ]]*Cty_Viet_Anh[[#This Row],[SỐ LƯỢNG]]</f>
        <v>0</v>
      </c>
      <c r="I679" s="31"/>
      <c r="J679" s="31">
        <f ca="1">N(INDIRECT("R[-1]C", FALSE)) + Cty_Viet_Anh[[#This Row],[THÀNH TIỀN]] - Cty_Viet_Anh[[#This Row],[THANH TOÁN]]</f>
        <v>77696200.000000015</v>
      </c>
      <c r="K679" s="24"/>
    </row>
    <row r="680" spans="1:11" x14ac:dyDescent="0.25">
      <c r="A680" s="22">
        <v>7595</v>
      </c>
      <c r="B680" s="29">
        <v>46059</v>
      </c>
      <c r="C680" s="23" t="s">
        <v>49</v>
      </c>
      <c r="D680" s="37" t="s">
        <v>17</v>
      </c>
      <c r="E680" s="23" t="s">
        <v>469</v>
      </c>
      <c r="F680" s="31">
        <v>8270</v>
      </c>
      <c r="G680" s="31"/>
      <c r="H680" s="31">
        <f>Cty_Viet_Anh[[#This Row],[ĐƠN GIÁ]]*Cty_Viet_Anh[[#This Row],[SỐ LƯỢNG]]</f>
        <v>0</v>
      </c>
      <c r="I680" s="31"/>
      <c r="J680" s="31">
        <f ca="1">N(INDIRECT("R[-1]C", FALSE)) + Cty_Viet_Anh[[#This Row],[THÀNH TIỀN]] - Cty_Viet_Anh[[#This Row],[THANH TOÁN]]</f>
        <v>77696200.000000015</v>
      </c>
      <c r="K680" s="24"/>
    </row>
    <row r="681" spans="1:11" x14ac:dyDescent="0.25">
      <c r="A681" s="22">
        <v>7595</v>
      </c>
      <c r="B681" s="29">
        <v>46059</v>
      </c>
      <c r="C681" s="23" t="s">
        <v>49</v>
      </c>
      <c r="D681" s="37" t="s">
        <v>26</v>
      </c>
      <c r="E681" s="23" t="s">
        <v>820</v>
      </c>
      <c r="F681" s="31">
        <v>1325</v>
      </c>
      <c r="G681" s="31"/>
      <c r="H681" s="31">
        <f>Cty_Viet_Anh[[#This Row],[ĐƠN GIÁ]]*Cty_Viet_Anh[[#This Row],[SỐ LƯỢNG]]</f>
        <v>0</v>
      </c>
      <c r="I681" s="31"/>
      <c r="J681" s="31">
        <f ca="1">N(INDIRECT("R[-1]C", FALSE)) + Cty_Viet_Anh[[#This Row],[THÀNH TIỀN]] - Cty_Viet_Anh[[#This Row],[THANH TOÁN]]</f>
        <v>77696200.000000015</v>
      </c>
      <c r="K681" s="24"/>
    </row>
    <row r="682" spans="1:11" x14ac:dyDescent="0.25">
      <c r="A682" s="22">
        <v>7609</v>
      </c>
      <c r="B682" s="29">
        <v>46062</v>
      </c>
      <c r="C682" s="23" t="s">
        <v>49</v>
      </c>
      <c r="D682" s="37" t="s">
        <v>26</v>
      </c>
      <c r="E682" s="23" t="s">
        <v>2564</v>
      </c>
      <c r="F682" s="31">
        <v>8846</v>
      </c>
      <c r="G682" s="31"/>
      <c r="H682" s="31">
        <f>Cty_Viet_Anh[[#This Row],[ĐƠN GIÁ]]*Cty_Viet_Anh[[#This Row],[SỐ LƯỢNG]]</f>
        <v>0</v>
      </c>
      <c r="I682" s="31"/>
      <c r="J682" s="31">
        <f ca="1">N(INDIRECT("R[-1]C", FALSE)) + Cty_Viet_Anh[[#This Row],[THÀNH TIỀN]] - Cty_Viet_Anh[[#This Row],[THANH TOÁN]]</f>
        <v>77696200.000000015</v>
      </c>
      <c r="K682" s="24"/>
    </row>
    <row r="683" spans="1:11" x14ac:dyDescent="0.25">
      <c r="A683" s="22">
        <v>7648</v>
      </c>
      <c r="B683" s="29">
        <v>46065</v>
      </c>
      <c r="C683" s="23" t="s">
        <v>49</v>
      </c>
      <c r="D683" s="37" t="s">
        <v>17</v>
      </c>
      <c r="E683" s="23" t="s">
        <v>2114</v>
      </c>
      <c r="F683" s="31">
        <v>2211</v>
      </c>
      <c r="G683" s="31"/>
      <c r="H683" s="31">
        <f>Cty_Viet_Anh[[#This Row],[ĐƠN GIÁ]]*Cty_Viet_Anh[[#This Row],[SỐ LƯỢNG]]</f>
        <v>0</v>
      </c>
      <c r="I683" s="31"/>
      <c r="J683" s="31">
        <f ca="1">N(INDIRECT("R[-1]C", FALSE)) + Cty_Viet_Anh[[#This Row],[THÀNH TIỀN]] - Cty_Viet_Anh[[#This Row],[THANH TOÁN]]</f>
        <v>77696200.000000015</v>
      </c>
      <c r="K683" s="24"/>
    </row>
    <row r="684" spans="1:11" x14ac:dyDescent="0.25">
      <c r="A684" s="22">
        <v>7648</v>
      </c>
      <c r="B684" s="29">
        <v>46065</v>
      </c>
      <c r="C684" s="23" t="s">
        <v>49</v>
      </c>
      <c r="D684" s="37" t="s">
        <v>17</v>
      </c>
      <c r="E684" s="23" t="s">
        <v>2114</v>
      </c>
      <c r="F684" s="31">
        <v>864</v>
      </c>
      <c r="G684" s="31"/>
      <c r="H684" s="31">
        <f>Cty_Viet_Anh[[#This Row],[ĐƠN GIÁ]]*Cty_Viet_Anh[[#This Row],[SỐ LƯỢNG]]</f>
        <v>0</v>
      </c>
      <c r="I684" s="31"/>
      <c r="J684" s="31">
        <f ca="1">N(INDIRECT("R[-1]C", FALSE)) + Cty_Viet_Anh[[#This Row],[THÀNH TIỀN]] - Cty_Viet_Anh[[#This Row],[THANH TOÁN]]</f>
        <v>77696200.000000015</v>
      </c>
      <c r="K684" s="24"/>
    </row>
    <row r="685" spans="1:11" x14ac:dyDescent="0.25">
      <c r="A685" s="22">
        <v>7648</v>
      </c>
      <c r="B685" s="29">
        <v>46065</v>
      </c>
      <c r="C685" s="23" t="s">
        <v>49</v>
      </c>
      <c r="D685" s="37" t="s">
        <v>17</v>
      </c>
      <c r="E685" s="23" t="s">
        <v>723</v>
      </c>
      <c r="F685" s="31">
        <v>1966</v>
      </c>
      <c r="G685" s="31"/>
      <c r="H685" s="31">
        <f>Cty_Viet_Anh[[#This Row],[ĐƠN GIÁ]]*Cty_Viet_Anh[[#This Row],[SỐ LƯỢNG]]</f>
        <v>0</v>
      </c>
      <c r="I685" s="31"/>
      <c r="J685" s="31">
        <f ca="1">N(INDIRECT("R[-1]C", FALSE)) + Cty_Viet_Anh[[#This Row],[THÀNH TIỀN]] - Cty_Viet_Anh[[#This Row],[THANH TOÁN]]</f>
        <v>77696200.000000015</v>
      </c>
      <c r="K685" s="24"/>
    </row>
    <row r="686" spans="1:11" x14ac:dyDescent="0.25">
      <c r="A686" s="22">
        <v>7649</v>
      </c>
      <c r="B686" s="29">
        <v>46065</v>
      </c>
      <c r="C686" s="23" t="s">
        <v>49</v>
      </c>
      <c r="D686" s="37" t="s">
        <v>17</v>
      </c>
      <c r="E686" s="23" t="s">
        <v>2567</v>
      </c>
      <c r="F686" s="31">
        <v>694</v>
      </c>
      <c r="G686" s="31"/>
      <c r="H686" s="31">
        <f>Cty_Viet_Anh[[#This Row],[ĐƠN GIÁ]]*Cty_Viet_Anh[[#This Row],[SỐ LƯỢNG]]</f>
        <v>0</v>
      </c>
      <c r="I686" s="31"/>
      <c r="J686" s="31">
        <f ca="1">N(INDIRECT("R[-1]C", FALSE)) + Cty_Viet_Anh[[#This Row],[THÀNH TIỀN]] - Cty_Viet_Anh[[#This Row],[THANH TOÁN]]</f>
        <v>77696200.000000015</v>
      </c>
      <c r="K686" s="24"/>
    </row>
    <row r="687" spans="1:11" x14ac:dyDescent="0.25">
      <c r="A687" s="22">
        <v>7649</v>
      </c>
      <c r="B687" s="29">
        <v>46065</v>
      </c>
      <c r="C687" s="23" t="s">
        <v>49</v>
      </c>
      <c r="D687" s="37" t="s">
        <v>17</v>
      </c>
      <c r="E687" s="23" t="s">
        <v>2568</v>
      </c>
      <c r="F687" s="31">
        <v>657</v>
      </c>
      <c r="G687" s="31"/>
      <c r="H687" s="31">
        <f>Cty_Viet_Anh[[#This Row],[ĐƠN GIÁ]]*Cty_Viet_Anh[[#This Row],[SỐ LƯỢNG]]</f>
        <v>0</v>
      </c>
      <c r="I687" s="31"/>
      <c r="J687" s="31">
        <f ca="1">N(INDIRECT("R[-1]C", FALSE)) + Cty_Viet_Anh[[#This Row],[THÀNH TIỀN]] - Cty_Viet_Anh[[#This Row],[THANH TOÁN]]</f>
        <v>77696200.000000015</v>
      </c>
      <c r="K687" s="24"/>
    </row>
    <row r="688" spans="1:11" x14ac:dyDescent="0.25">
      <c r="A688" s="22">
        <v>7649</v>
      </c>
      <c r="B688" s="29">
        <v>46065</v>
      </c>
      <c r="C688" s="23" t="s">
        <v>49</v>
      </c>
      <c r="D688" s="37" t="s">
        <v>17</v>
      </c>
      <c r="E688" s="23" t="s">
        <v>2569</v>
      </c>
      <c r="F688" s="31">
        <v>1153</v>
      </c>
      <c r="G688" s="31"/>
      <c r="H688" s="31">
        <f>Cty_Viet_Anh[[#This Row],[ĐƠN GIÁ]]*Cty_Viet_Anh[[#This Row],[SỐ LƯỢNG]]</f>
        <v>0</v>
      </c>
      <c r="I688" s="31"/>
      <c r="J688" s="31">
        <f ca="1">N(INDIRECT("R[-1]C", FALSE)) + Cty_Viet_Anh[[#This Row],[THÀNH TIỀN]] - Cty_Viet_Anh[[#This Row],[THANH TOÁN]]</f>
        <v>77696200.000000015</v>
      </c>
      <c r="K688" s="24"/>
    </row>
    <row r="689" spans="1:11" x14ac:dyDescent="0.25">
      <c r="A689" s="22">
        <v>7649</v>
      </c>
      <c r="B689" s="29">
        <v>46065</v>
      </c>
      <c r="C689" s="23" t="s">
        <v>49</v>
      </c>
      <c r="D689" s="37" t="s">
        <v>17</v>
      </c>
      <c r="E689" s="23" t="s">
        <v>2114</v>
      </c>
      <c r="F689" s="31">
        <v>1225</v>
      </c>
      <c r="G689" s="31"/>
      <c r="H689" s="31">
        <f>Cty_Viet_Anh[[#This Row],[ĐƠN GIÁ]]*Cty_Viet_Anh[[#This Row],[SỐ LƯỢNG]]</f>
        <v>0</v>
      </c>
      <c r="I689" s="31"/>
      <c r="J689" s="31">
        <f ca="1">N(INDIRECT("R[-1]C", FALSE)) + Cty_Viet_Anh[[#This Row],[THÀNH TIỀN]] - Cty_Viet_Anh[[#This Row],[THANH TOÁN]]</f>
        <v>77696200.000000015</v>
      </c>
      <c r="K689" s="24"/>
    </row>
    <row r="690" spans="1:11" x14ac:dyDescent="0.25">
      <c r="A690" s="22">
        <v>7649</v>
      </c>
      <c r="B690" s="29">
        <v>46065</v>
      </c>
      <c r="C690" s="23" t="s">
        <v>49</v>
      </c>
      <c r="D690" s="37" t="s">
        <v>17</v>
      </c>
      <c r="E690" s="23" t="s">
        <v>2337</v>
      </c>
      <c r="F690" s="31">
        <v>486</v>
      </c>
      <c r="G690" s="31"/>
      <c r="H690" s="31">
        <f>Cty_Viet_Anh[[#This Row],[ĐƠN GIÁ]]*Cty_Viet_Anh[[#This Row],[SỐ LƯỢNG]]</f>
        <v>0</v>
      </c>
      <c r="I690" s="31"/>
      <c r="J690" s="31">
        <f ca="1">N(INDIRECT("R[-1]C", FALSE)) + Cty_Viet_Anh[[#This Row],[THÀNH TIỀN]] - Cty_Viet_Anh[[#This Row],[THANH TOÁN]]</f>
        <v>77696200.000000015</v>
      </c>
      <c r="K690" s="24"/>
    </row>
    <row r="691" spans="1:11" x14ac:dyDescent="0.25">
      <c r="A691" s="22">
        <v>7672</v>
      </c>
      <c r="B691" s="29">
        <v>46077</v>
      </c>
      <c r="C691" s="23" t="s">
        <v>49</v>
      </c>
      <c r="D691" s="37" t="s">
        <v>17</v>
      </c>
      <c r="E691" s="23" t="s">
        <v>2570</v>
      </c>
      <c r="F691" s="31">
        <v>924</v>
      </c>
      <c r="G691" s="31"/>
      <c r="H691" s="31">
        <f>Cty_Viet_Anh[[#This Row],[ĐƠN GIÁ]]*Cty_Viet_Anh[[#This Row],[SỐ LƯỢNG]]</f>
        <v>0</v>
      </c>
      <c r="I691" s="31"/>
      <c r="J691" s="31">
        <f ca="1">N(INDIRECT("R[-1]C", FALSE)) + Cty_Viet_Anh[[#This Row],[THÀNH TIỀN]] - Cty_Viet_Anh[[#This Row],[THANH TOÁN]]</f>
        <v>77696200.000000015</v>
      </c>
      <c r="K691" s="24"/>
    </row>
    <row r="692" spans="1:11" x14ac:dyDescent="0.25">
      <c r="A692" s="22">
        <v>7672</v>
      </c>
      <c r="B692" s="29">
        <v>46077</v>
      </c>
      <c r="C692" s="23" t="s">
        <v>49</v>
      </c>
      <c r="D692" s="37" t="s">
        <v>17</v>
      </c>
      <c r="E692" s="23" t="s">
        <v>2571</v>
      </c>
      <c r="F692" s="31">
        <v>515</v>
      </c>
      <c r="G692" s="31"/>
      <c r="H692" s="31">
        <f>Cty_Viet_Anh[[#This Row],[ĐƠN GIÁ]]*Cty_Viet_Anh[[#This Row],[SỐ LƯỢNG]]</f>
        <v>0</v>
      </c>
      <c r="I692" s="31"/>
      <c r="J692" s="31">
        <f ca="1">N(INDIRECT("R[-1]C", FALSE)) + Cty_Viet_Anh[[#This Row],[THÀNH TIỀN]] - Cty_Viet_Anh[[#This Row],[THANH TOÁN]]</f>
        <v>77696200.000000015</v>
      </c>
      <c r="K692" s="24"/>
    </row>
    <row r="693" spans="1:11" x14ac:dyDescent="0.25">
      <c r="A693" s="22">
        <v>7672</v>
      </c>
      <c r="B693" s="29">
        <v>46077</v>
      </c>
      <c r="C693" s="23" t="s">
        <v>49</v>
      </c>
      <c r="D693" s="37" t="s">
        <v>17</v>
      </c>
      <c r="E693" s="23" t="s">
        <v>469</v>
      </c>
      <c r="F693" s="31">
        <v>3691</v>
      </c>
      <c r="G693" s="31"/>
      <c r="H693" s="31">
        <f>Cty_Viet_Anh[[#This Row],[ĐƠN GIÁ]]*Cty_Viet_Anh[[#This Row],[SỐ LƯỢNG]]</f>
        <v>0</v>
      </c>
      <c r="I693" s="31"/>
      <c r="J693" s="31">
        <f ca="1">N(INDIRECT("R[-1]C", FALSE)) + Cty_Viet_Anh[[#This Row],[THÀNH TIỀN]] - Cty_Viet_Anh[[#This Row],[THANH TOÁN]]</f>
        <v>77696200.000000015</v>
      </c>
      <c r="K693" s="24"/>
    </row>
    <row r="694" spans="1:11" x14ac:dyDescent="0.25">
      <c r="A694" s="22">
        <v>7672</v>
      </c>
      <c r="B694" s="29">
        <v>46077</v>
      </c>
      <c r="C694" s="23" t="s">
        <v>49</v>
      </c>
      <c r="D694" s="37" t="s">
        <v>17</v>
      </c>
      <c r="E694" s="23" t="s">
        <v>469</v>
      </c>
      <c r="F694" s="31">
        <v>958</v>
      </c>
      <c r="G694" s="31"/>
      <c r="H694" s="31">
        <f>Cty_Viet_Anh[[#This Row],[ĐƠN GIÁ]]*Cty_Viet_Anh[[#This Row],[SỐ LƯỢNG]]</f>
        <v>0</v>
      </c>
      <c r="I694" s="31"/>
      <c r="J694" s="31">
        <f ca="1">N(INDIRECT("R[-1]C", FALSE)) + Cty_Viet_Anh[[#This Row],[THÀNH TIỀN]] - Cty_Viet_Anh[[#This Row],[THANH TOÁN]]</f>
        <v>77696200.000000015</v>
      </c>
      <c r="K694" s="24"/>
    </row>
    <row r="695" spans="1:11" x14ac:dyDescent="0.25">
      <c r="A695" s="22">
        <v>7672</v>
      </c>
      <c r="B695" s="29">
        <v>46077</v>
      </c>
      <c r="C695" s="23" t="s">
        <v>49</v>
      </c>
      <c r="D695" s="37" t="s">
        <v>470</v>
      </c>
      <c r="E695" s="23" t="s">
        <v>661</v>
      </c>
      <c r="F695" s="31">
        <v>1020</v>
      </c>
      <c r="G695" s="31"/>
      <c r="H695" s="31">
        <f>Cty_Viet_Anh[[#This Row],[ĐƠN GIÁ]]*Cty_Viet_Anh[[#This Row],[SỐ LƯỢNG]]</f>
        <v>0</v>
      </c>
      <c r="I695" s="31"/>
      <c r="J695" s="31">
        <f ca="1">N(INDIRECT("R[-1]C", FALSE)) + Cty_Viet_Anh[[#This Row],[THÀNH TIỀN]] - Cty_Viet_Anh[[#This Row],[THANH TOÁN]]</f>
        <v>77696200.000000015</v>
      </c>
      <c r="K695" s="24"/>
    </row>
    <row r="696" spans="1:11" x14ac:dyDescent="0.25">
      <c r="A696" s="22">
        <v>7680</v>
      </c>
      <c r="B696" s="29">
        <v>46077</v>
      </c>
      <c r="C696" s="23" t="s">
        <v>49</v>
      </c>
      <c r="D696" s="37" t="s">
        <v>17</v>
      </c>
      <c r="E696" s="23" t="s">
        <v>1082</v>
      </c>
      <c r="F696" s="31">
        <v>2664</v>
      </c>
      <c r="G696" s="31"/>
      <c r="H696" s="31">
        <f>Cty_Viet_Anh[[#This Row],[ĐƠN GIÁ]]*Cty_Viet_Anh[[#This Row],[SỐ LƯỢNG]]</f>
        <v>0</v>
      </c>
      <c r="I696" s="31"/>
      <c r="J696" s="31">
        <f ca="1">N(INDIRECT("R[-1]C", FALSE)) + Cty_Viet_Anh[[#This Row],[THÀNH TIỀN]] - Cty_Viet_Anh[[#This Row],[THANH TOÁN]]</f>
        <v>77696200.000000015</v>
      </c>
      <c r="K696" s="24"/>
    </row>
    <row r="697" spans="1:11" x14ac:dyDescent="0.25">
      <c r="A697" s="22">
        <v>7691</v>
      </c>
      <c r="B697" s="29">
        <v>46078</v>
      </c>
      <c r="C697" s="23" t="s">
        <v>49</v>
      </c>
      <c r="D697" s="37" t="s">
        <v>43</v>
      </c>
      <c r="E697" s="23" t="s">
        <v>146</v>
      </c>
      <c r="F697" s="31">
        <v>956</v>
      </c>
      <c r="G697" s="31"/>
      <c r="H697" s="31">
        <f>Cty_Viet_Anh[[#This Row],[ĐƠN GIÁ]]*Cty_Viet_Anh[[#This Row],[SỐ LƯỢNG]]</f>
        <v>0</v>
      </c>
      <c r="I697" s="31"/>
      <c r="J697" s="31">
        <f ca="1">N(INDIRECT("R[-1]C", FALSE)) + Cty_Viet_Anh[[#This Row],[THÀNH TIỀN]] - Cty_Viet_Anh[[#This Row],[THANH TOÁN]]</f>
        <v>77696200.000000015</v>
      </c>
      <c r="K697" s="24"/>
    </row>
    <row r="698" spans="1:11" x14ac:dyDescent="0.25">
      <c r="A698" s="22">
        <v>7701</v>
      </c>
      <c r="B698" s="29">
        <v>46078</v>
      </c>
      <c r="C698" s="23" t="s">
        <v>49</v>
      </c>
      <c r="D698" s="37" t="s">
        <v>32</v>
      </c>
      <c r="E698" s="23" t="s">
        <v>40</v>
      </c>
      <c r="F698" s="31">
        <v>4082</v>
      </c>
      <c r="G698" s="31"/>
      <c r="H698" s="31">
        <f>Cty_Viet_Anh[[#This Row],[ĐƠN GIÁ]]*Cty_Viet_Anh[[#This Row],[SỐ LƯỢNG]]</f>
        <v>0</v>
      </c>
      <c r="I698" s="31"/>
      <c r="J698" s="31">
        <f ca="1">N(INDIRECT("R[-1]C", FALSE)) + Cty_Viet_Anh[[#This Row],[THÀNH TIỀN]] - Cty_Viet_Anh[[#This Row],[THANH TOÁN]]</f>
        <v>77696200.000000015</v>
      </c>
      <c r="K698" s="24"/>
    </row>
    <row r="699" spans="1:11" x14ac:dyDescent="0.25">
      <c r="A699" s="22">
        <v>7709</v>
      </c>
      <c r="B699" s="29">
        <v>46078</v>
      </c>
      <c r="C699" s="23" t="s">
        <v>49</v>
      </c>
      <c r="D699" s="37" t="s">
        <v>43</v>
      </c>
      <c r="E699" s="23" t="s">
        <v>344</v>
      </c>
      <c r="F699" s="31">
        <v>3196</v>
      </c>
      <c r="G699" s="31"/>
      <c r="H699" s="31">
        <f>Cty_Viet_Anh[[#This Row],[ĐƠN GIÁ]]*Cty_Viet_Anh[[#This Row],[SỐ LƯỢNG]]</f>
        <v>0</v>
      </c>
      <c r="I699" s="31"/>
      <c r="J699" s="31">
        <f ca="1">N(INDIRECT("R[-1]C", FALSE)) + Cty_Viet_Anh[[#This Row],[THÀNH TIỀN]] - Cty_Viet_Anh[[#This Row],[THANH TOÁN]]</f>
        <v>77696200.000000015</v>
      </c>
      <c r="K699" s="24"/>
    </row>
    <row r="700" spans="1:11" x14ac:dyDescent="0.25">
      <c r="A700" s="22">
        <v>7722</v>
      </c>
      <c r="B700" s="29">
        <v>46079</v>
      </c>
      <c r="C700" s="23" t="s">
        <v>49</v>
      </c>
      <c r="D700" s="37" t="s">
        <v>17</v>
      </c>
      <c r="E700" s="23" t="s">
        <v>40</v>
      </c>
      <c r="F700" s="31">
        <v>7410</v>
      </c>
      <c r="G700" s="31"/>
      <c r="H700" s="31">
        <f>Cty_Viet_Anh[[#This Row],[ĐƠN GIÁ]]*Cty_Viet_Anh[[#This Row],[SỐ LƯỢNG]]</f>
        <v>0</v>
      </c>
      <c r="I700" s="31"/>
      <c r="J700" s="31">
        <f ca="1">N(INDIRECT("R[-1]C", FALSE)) + Cty_Viet_Anh[[#This Row],[THÀNH TIỀN]] - Cty_Viet_Anh[[#This Row],[THANH TOÁN]]</f>
        <v>77696200.000000015</v>
      </c>
      <c r="K700" s="24"/>
    </row>
    <row r="701" spans="1:11" x14ac:dyDescent="0.25">
      <c r="A701" s="22">
        <v>7735</v>
      </c>
      <c r="B701" s="29">
        <v>46080</v>
      </c>
      <c r="C701" s="23" t="s">
        <v>49</v>
      </c>
      <c r="D701" s="37" t="s">
        <v>45</v>
      </c>
      <c r="E701" s="23" t="s">
        <v>462</v>
      </c>
      <c r="F701" s="31">
        <v>3066</v>
      </c>
      <c r="G701" s="31"/>
      <c r="H701" s="31">
        <f>Cty_Viet_Anh[[#This Row],[ĐƠN GIÁ]]*Cty_Viet_Anh[[#This Row],[SỐ LƯỢNG]]</f>
        <v>0</v>
      </c>
      <c r="I701" s="31"/>
      <c r="J701" s="31">
        <f ca="1">N(INDIRECT("R[-1]C", FALSE)) + Cty_Viet_Anh[[#This Row],[THÀNH TIỀN]] - Cty_Viet_Anh[[#This Row],[THANH TOÁN]]</f>
        <v>77696200.000000015</v>
      </c>
      <c r="K701" s="24"/>
    </row>
    <row r="702" spans="1:11" x14ac:dyDescent="0.25">
      <c r="A702" s="22">
        <v>7735</v>
      </c>
      <c r="B702" s="29">
        <v>46080</v>
      </c>
      <c r="C702" s="23" t="s">
        <v>49</v>
      </c>
      <c r="D702" s="37" t="s">
        <v>17</v>
      </c>
      <c r="E702" s="23" t="s">
        <v>469</v>
      </c>
      <c r="F702" s="31">
        <v>8673</v>
      </c>
      <c r="G702" s="31"/>
      <c r="H702" s="31">
        <f>Cty_Viet_Anh[[#This Row],[ĐƠN GIÁ]]*Cty_Viet_Anh[[#This Row],[SỐ LƯỢNG]]</f>
        <v>0</v>
      </c>
      <c r="I702" s="31"/>
      <c r="J702" s="31">
        <f ca="1">N(INDIRECT("R[-1]C", FALSE)) + Cty_Viet_Anh[[#This Row],[THÀNH TIỀN]] - Cty_Viet_Anh[[#This Row],[THANH TOÁN]]</f>
        <v>77696200.000000015</v>
      </c>
      <c r="K702" s="24"/>
    </row>
    <row r="703" spans="1:11" x14ac:dyDescent="0.25">
      <c r="A703" s="22">
        <v>7754</v>
      </c>
      <c r="B703" s="29">
        <v>46081</v>
      </c>
      <c r="C703" s="23" t="s">
        <v>49</v>
      </c>
      <c r="D703" s="37" t="s">
        <v>17</v>
      </c>
      <c r="E703" s="23" t="s">
        <v>40</v>
      </c>
      <c r="F703" s="31">
        <v>5800</v>
      </c>
      <c r="G703" s="31"/>
      <c r="H703" s="31">
        <f>Cty_Viet_Anh[[#This Row],[ĐƠN GIÁ]]*Cty_Viet_Anh[[#This Row],[SỐ LƯỢNG]]</f>
        <v>0</v>
      </c>
      <c r="I703" s="31"/>
      <c r="J703" s="31">
        <f ca="1">N(INDIRECT("R[-1]C", FALSE)) + Cty_Viet_Anh[[#This Row],[THÀNH TIỀN]] - Cty_Viet_Anh[[#This Row],[THANH TOÁN]]</f>
        <v>77696200.000000015</v>
      </c>
      <c r="K703" s="24"/>
    </row>
    <row r="704" spans="1:11" x14ac:dyDescent="0.25">
      <c r="A704" s="22">
        <v>7754</v>
      </c>
      <c r="B704" s="29">
        <v>46081</v>
      </c>
      <c r="C704" s="23" t="s">
        <v>49</v>
      </c>
      <c r="D704" s="37" t="s">
        <v>301</v>
      </c>
      <c r="E704" s="23" t="s">
        <v>465</v>
      </c>
      <c r="F704" s="31">
        <v>3314</v>
      </c>
      <c r="G704" s="31"/>
      <c r="H704" s="31">
        <f>Cty_Viet_Anh[[#This Row],[ĐƠN GIÁ]]*Cty_Viet_Anh[[#This Row],[SỐ LƯỢNG]]</f>
        <v>0</v>
      </c>
      <c r="I704" s="31"/>
      <c r="J704" s="31">
        <f ca="1">N(INDIRECT("R[-1]C", FALSE)) + Cty_Viet_Anh[[#This Row],[THÀNH TIỀN]] - Cty_Viet_Anh[[#This Row],[THANH TOÁN]]</f>
        <v>77696200.000000015</v>
      </c>
      <c r="K704" s="24"/>
    </row>
    <row r="705" spans="1:11" x14ac:dyDescent="0.25">
      <c r="A705" s="22">
        <v>7773</v>
      </c>
      <c r="B705" s="29">
        <v>46081</v>
      </c>
      <c r="C705" s="23" t="s">
        <v>49</v>
      </c>
      <c r="D705" s="37" t="s">
        <v>45</v>
      </c>
      <c r="E705" s="23" t="s">
        <v>2578</v>
      </c>
      <c r="F705" s="31">
        <v>1600</v>
      </c>
      <c r="G705" s="31"/>
      <c r="H705" s="31">
        <f>Cty_Viet_Anh[[#This Row],[ĐƠN GIÁ]]*Cty_Viet_Anh[[#This Row],[SỐ LƯỢNG]]</f>
        <v>0</v>
      </c>
      <c r="I705" s="31"/>
      <c r="J705" s="31">
        <f ca="1">N(INDIRECT("R[-1]C", FALSE)) + Cty_Viet_Anh[[#This Row],[THÀNH TIỀN]] - Cty_Viet_Anh[[#This Row],[THANH TOÁN]]</f>
        <v>77696200.000000015</v>
      </c>
      <c r="K705" s="24"/>
    </row>
    <row r="706" spans="1:11" x14ac:dyDescent="0.25">
      <c r="A706" s="22">
        <v>7773</v>
      </c>
      <c r="B706" s="29">
        <v>46081</v>
      </c>
      <c r="C706" s="23" t="s">
        <v>49</v>
      </c>
      <c r="D706" s="37" t="s">
        <v>43</v>
      </c>
      <c r="E706" s="23" t="s">
        <v>259</v>
      </c>
      <c r="F706" s="31">
        <v>560</v>
      </c>
      <c r="G706" s="31"/>
      <c r="H706" s="31">
        <f>Cty_Viet_Anh[[#This Row],[ĐƠN GIÁ]]*Cty_Viet_Anh[[#This Row],[SỐ LƯỢNG]]</f>
        <v>0</v>
      </c>
      <c r="I706" s="31"/>
      <c r="J706" s="31">
        <f ca="1">N(INDIRECT("R[-1]C", FALSE)) + Cty_Viet_Anh[[#This Row],[THÀNH TIỀN]] - Cty_Viet_Anh[[#This Row],[THANH TOÁN]]</f>
        <v>77696200.000000015</v>
      </c>
      <c r="K706" s="24"/>
    </row>
  </sheetData>
  <phoneticPr fontId="9" type="noConversion"/>
  <pageMargins left="0.7" right="0.7" top="0.75" bottom="0.75" header="0.3" footer="0.3"/>
  <pageSetup paperSize="9" orientation="portrait" verticalDpi="0" r:id="rId1"/>
  <legacyDrawing r:id="rId2"/>
  <tableParts count="1">
    <tablePart r:id="rId3"/>
  </tablePart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FBECD9-DC02-4DA6-9D78-EFA6667235D7}">
  <sheetPr codeName="Sheet31"/>
  <dimension ref="A5:K40"/>
  <sheetViews>
    <sheetView workbookViewId="0">
      <selection activeCell="A13" sqref="A13:K13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34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2275555700</v>
      </c>
    </row>
    <row r="6" spans="1:11" ht="22.5" x14ac:dyDescent="0.25">
      <c r="D6" s="34" t="s">
        <v>669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Cty_Thep_Ha_Noi[[#This Row],[ĐƠN GIÁ]]*Cty_Thep_Ha_Noi[[#This Row],[SỐ LƯỢNG]]</f>
        <v>0</v>
      </c>
      <c r="I10" s="31"/>
      <c r="J10" s="31">
        <v>1369502217</v>
      </c>
      <c r="K10" s="24"/>
    </row>
    <row r="11" spans="1:11" x14ac:dyDescent="0.25">
      <c r="A11" s="22">
        <v>7813</v>
      </c>
      <c r="B11" s="29">
        <v>46084</v>
      </c>
      <c r="C11" s="23" t="s">
        <v>13</v>
      </c>
      <c r="D11" s="37" t="s">
        <v>17</v>
      </c>
      <c r="E11" s="23" t="s">
        <v>40</v>
      </c>
      <c r="F11" s="31">
        <f>530-14</f>
        <v>516</v>
      </c>
      <c r="G11" s="31">
        <v>62000</v>
      </c>
      <c r="H11" s="31">
        <f>Cty_Thep_Ha_Noi[[#This Row],[ĐƠN GIÁ]]*Cty_Thep_Ha_Noi[[#This Row],[SỐ LƯỢNG]]</f>
        <v>31992000</v>
      </c>
      <c r="I11" s="31"/>
      <c r="J11" s="31">
        <f>J10+Cty_Thep_Ha_Noi[[#This Row],[THÀNH TIỀN]]-Cty_Thep_Ha_Noi[[#This Row],[THANH TOÁN]]</f>
        <v>1401494217</v>
      </c>
      <c r="K11" s="24"/>
    </row>
    <row r="12" spans="1:11" x14ac:dyDescent="0.25">
      <c r="A12" s="22"/>
      <c r="B12" s="29">
        <v>46084</v>
      </c>
      <c r="C12" s="23" t="s">
        <v>21</v>
      </c>
      <c r="D12" s="37" t="s">
        <v>22</v>
      </c>
      <c r="E12" s="23" t="s">
        <v>261</v>
      </c>
      <c r="F12" s="31">
        <v>0</v>
      </c>
      <c r="G12" s="31">
        <v>0</v>
      </c>
      <c r="H12" s="31">
        <f>Cty_Thep_Ha_Noi[[#This Row],[ĐƠN GIÁ]]*Cty_Thep_Ha_Noi[[#This Row],[SỐ LƯỢNG]]</f>
        <v>0</v>
      </c>
      <c r="I12" s="31">
        <v>300000000</v>
      </c>
      <c r="J12" s="31">
        <f>J11+Cty_Thep_Ha_Noi[[#This Row],[THÀNH TIỀN]]-Cty_Thep_Ha_Noi[[#This Row],[THANH TOÁN]]</f>
        <v>1101494217</v>
      </c>
      <c r="K12" s="24"/>
    </row>
    <row r="13" spans="1:11" x14ac:dyDescent="0.25">
      <c r="A13" s="25"/>
      <c r="B13" s="30">
        <v>46084</v>
      </c>
      <c r="C13" s="26" t="s">
        <v>21</v>
      </c>
      <c r="D13" s="38" t="s">
        <v>260</v>
      </c>
      <c r="E13" s="26" t="s">
        <v>261</v>
      </c>
      <c r="F13" s="28">
        <v>0</v>
      </c>
      <c r="G13" s="28">
        <v>0</v>
      </c>
      <c r="H13" s="28">
        <f>Cty_Thep_Ha_Noi[[#This Row],[ĐƠN GIÁ]]*Cty_Thep_Ha_Noi[[#This Row],[SỐ LƯỢNG]]</f>
        <v>0</v>
      </c>
      <c r="I13" s="28">
        <v>41778000</v>
      </c>
      <c r="J13" s="28">
        <f>J12+Cty_Thep_Ha_Noi[[#This Row],[THÀNH TIỀN]]-Cty_Thep_Ha_Noi[[#This Row],[THANH TOÁN]]</f>
        <v>1059716217</v>
      </c>
      <c r="K13" s="27"/>
    </row>
    <row r="14" spans="1:11" x14ac:dyDescent="0.25">
      <c r="A14" s="25">
        <v>7854</v>
      </c>
      <c r="B14" s="30">
        <v>46086</v>
      </c>
      <c r="C14" s="26" t="s">
        <v>13</v>
      </c>
      <c r="D14" s="38" t="s">
        <v>17</v>
      </c>
      <c r="E14" s="26" t="s">
        <v>40</v>
      </c>
      <c r="F14" s="28">
        <f>6290-69</f>
        <v>6221</v>
      </c>
      <c r="G14" s="28">
        <v>61000</v>
      </c>
      <c r="H14" s="28">
        <f>Cty_Thep_Ha_Noi[[#This Row],[ĐƠN GIÁ]]*Cty_Thep_Ha_Noi[[#This Row],[SỐ LƯỢNG]]</f>
        <v>379481000</v>
      </c>
      <c r="I14" s="28"/>
      <c r="J14" s="28">
        <f>J13+Cty_Thep_Ha_Noi[[#This Row],[THÀNH TIỀN]]-Cty_Thep_Ha_Noi[[#This Row],[THANH TOÁN]]</f>
        <v>1439197217</v>
      </c>
      <c r="K14" s="27"/>
    </row>
    <row r="15" spans="1:11" x14ac:dyDescent="0.25">
      <c r="A15" s="25">
        <v>7952</v>
      </c>
      <c r="B15" s="30">
        <v>46090</v>
      </c>
      <c r="C15" s="26" t="s">
        <v>13</v>
      </c>
      <c r="D15" s="38" t="s">
        <v>17</v>
      </c>
      <c r="E15" s="26" t="s">
        <v>40</v>
      </c>
      <c r="F15" s="28">
        <f>86+94</f>
        <v>180</v>
      </c>
      <c r="G15" s="28">
        <v>64000</v>
      </c>
      <c r="H15" s="28">
        <f>Cty_Thep_Ha_Noi[[#This Row],[ĐƠN GIÁ]]*Cty_Thep_Ha_Noi[[#This Row],[SỐ LƯỢNG]]</f>
        <v>11520000</v>
      </c>
      <c r="I15" s="28"/>
      <c r="J15" s="28">
        <f>J14+Cty_Thep_Ha_Noi[[#This Row],[THÀNH TIỀN]]-Cty_Thep_Ha_Noi[[#This Row],[THANH TOÁN]]</f>
        <v>1450717217</v>
      </c>
      <c r="K15" s="27"/>
    </row>
    <row r="16" spans="1:11" x14ac:dyDescent="0.25">
      <c r="A16" s="25">
        <v>8002</v>
      </c>
      <c r="B16" s="30">
        <v>46092</v>
      </c>
      <c r="C16" s="26" t="s">
        <v>13</v>
      </c>
      <c r="D16" s="38" t="s">
        <v>32</v>
      </c>
      <c r="E16" s="26" t="s">
        <v>670</v>
      </c>
      <c r="F16" s="28">
        <v>1126</v>
      </c>
      <c r="G16" s="28">
        <v>41500</v>
      </c>
      <c r="H16" s="28">
        <f>Cty_Thep_Ha_Noi[[#This Row],[ĐƠN GIÁ]]*Cty_Thep_Ha_Noi[[#This Row],[SỐ LƯỢNG]]</f>
        <v>46729000</v>
      </c>
      <c r="I16" s="28"/>
      <c r="J16" s="28">
        <f>J15+Cty_Thep_Ha_Noi[[#This Row],[THÀNH TIỀN]]-Cty_Thep_Ha_Noi[[#This Row],[THANH TOÁN]]</f>
        <v>1497446217</v>
      </c>
      <c r="K16" s="27"/>
    </row>
    <row r="17" spans="1:11" x14ac:dyDescent="0.25">
      <c r="A17" s="25"/>
      <c r="B17" s="30">
        <v>46092</v>
      </c>
      <c r="C17" s="26" t="s">
        <v>21</v>
      </c>
      <c r="D17" s="38" t="s">
        <v>22</v>
      </c>
      <c r="E17" s="26" t="s">
        <v>261</v>
      </c>
      <c r="F17" s="28">
        <v>0</v>
      </c>
      <c r="G17" s="28">
        <v>0</v>
      </c>
      <c r="H17" s="28">
        <f>Cty_Thep_Ha_Noi[[#This Row],[ĐƠN GIÁ]]*Cty_Thep_Ha_Noi[[#This Row],[SỐ LƯỢNG]]</f>
        <v>0</v>
      </c>
      <c r="I17" s="28">
        <v>250000000</v>
      </c>
      <c r="J17" s="28">
        <f>J16+Cty_Thep_Ha_Noi[[#This Row],[THÀNH TIỀN]]-Cty_Thep_Ha_Noi[[#This Row],[THANH TOÁN]]</f>
        <v>1247446217</v>
      </c>
      <c r="K17" s="27"/>
    </row>
    <row r="18" spans="1:11" x14ac:dyDescent="0.25">
      <c r="A18" s="25">
        <v>8023</v>
      </c>
      <c r="B18" s="30">
        <v>46093</v>
      </c>
      <c r="C18" s="26" t="s">
        <v>13</v>
      </c>
      <c r="D18" s="38" t="s">
        <v>671</v>
      </c>
      <c r="E18" s="26" t="s">
        <v>672</v>
      </c>
      <c r="F18" s="28">
        <f>746+669+708+793+613+698+839-131-8</f>
        <v>4927</v>
      </c>
      <c r="G18" s="28">
        <v>61000</v>
      </c>
      <c r="H18" s="28">
        <f>Cty_Thep_Ha_Noi[[#This Row],[ĐƠN GIÁ]]*Cty_Thep_Ha_Noi[[#This Row],[SỐ LƯỢNG]]</f>
        <v>300547000</v>
      </c>
      <c r="I18" s="28"/>
      <c r="J18" s="28">
        <f>J17+Cty_Thep_Ha_Noi[[#This Row],[THÀNH TIỀN]]-Cty_Thep_Ha_Noi[[#This Row],[THANH TOÁN]]</f>
        <v>1547993217</v>
      </c>
      <c r="K18" s="27"/>
    </row>
    <row r="19" spans="1:11" x14ac:dyDescent="0.25">
      <c r="A19" s="25">
        <v>8054</v>
      </c>
      <c r="B19" s="30">
        <v>46094</v>
      </c>
      <c r="C19" s="26" t="s">
        <v>13</v>
      </c>
      <c r="D19" s="38" t="s">
        <v>17</v>
      </c>
      <c r="E19" s="26" t="s">
        <v>672</v>
      </c>
      <c r="F19" s="28">
        <f>651+1162+603+685-105-101-204</f>
        <v>2691</v>
      </c>
      <c r="G19" s="28">
        <v>61000</v>
      </c>
      <c r="H19" s="28">
        <f>Cty_Thep_Ha_Noi[[#This Row],[ĐƠN GIÁ]]*Cty_Thep_Ha_Noi[[#This Row],[SỐ LƯỢNG]]</f>
        <v>164151000</v>
      </c>
      <c r="I19" s="28"/>
      <c r="J19" s="28">
        <f>J18+Cty_Thep_Ha_Noi[[#This Row],[THÀNH TIỀN]]-Cty_Thep_Ha_Noi[[#This Row],[THANH TOÁN]]</f>
        <v>1712144217</v>
      </c>
      <c r="K19" s="27"/>
    </row>
    <row r="20" spans="1:11" x14ac:dyDescent="0.25">
      <c r="A20" s="25">
        <v>8054</v>
      </c>
      <c r="B20" s="30">
        <v>46094</v>
      </c>
      <c r="C20" s="26" t="s">
        <v>13</v>
      </c>
      <c r="D20" s="38" t="s">
        <v>2133</v>
      </c>
      <c r="E20" s="154">
        <v>0.08</v>
      </c>
      <c r="F20" s="28">
        <v>1</v>
      </c>
      <c r="G20" s="28">
        <v>-18182000</v>
      </c>
      <c r="H20" s="28">
        <f>Cty_Thep_Ha_Noi[[#This Row],[ĐƠN GIÁ]]*Cty_Thep_Ha_Noi[[#This Row],[SỐ LƯỢNG]]</f>
        <v>-18182000</v>
      </c>
      <c r="I20" s="28"/>
      <c r="J20" s="28">
        <f>J19+Cty_Thep_Ha_Noi[[#This Row],[THÀNH TIỀN]]-Cty_Thep_Ha_Noi[[#This Row],[THANH TOÁN]]</f>
        <v>1693962217</v>
      </c>
      <c r="K20" s="27"/>
    </row>
    <row r="21" spans="1:11" x14ac:dyDescent="0.25">
      <c r="A21" s="22"/>
      <c r="B21" s="29">
        <v>46101</v>
      </c>
      <c r="C21" s="23" t="s">
        <v>21</v>
      </c>
      <c r="D21" s="37" t="s">
        <v>24</v>
      </c>
      <c r="E21" s="23"/>
      <c r="F21" s="31">
        <v>0</v>
      </c>
      <c r="G21" s="31"/>
      <c r="H21" s="31">
        <f>Cty_Thep_Ha_Noi[[#This Row],[ĐƠN GIÁ]]*Cty_Thep_Ha_Noi[[#This Row],[SỐ LƯỢNG]]</f>
        <v>0</v>
      </c>
      <c r="I21" s="31">
        <v>250000000</v>
      </c>
      <c r="J21" s="31">
        <f>J20+Cty_Thep_Ha_Noi[[#This Row],[THÀNH TIỀN]]-Cty_Thep_Ha_Noi[[#This Row],[THANH TOÁN]]</f>
        <v>1443962217</v>
      </c>
      <c r="K21" s="24"/>
    </row>
    <row r="22" spans="1:11" x14ac:dyDescent="0.25">
      <c r="A22" s="25"/>
      <c r="B22" s="30">
        <v>46104</v>
      </c>
      <c r="C22" s="26" t="s">
        <v>21</v>
      </c>
      <c r="D22" s="38" t="s">
        <v>260</v>
      </c>
      <c r="E22" s="26" t="s">
        <v>261</v>
      </c>
      <c r="F22" s="28">
        <v>0</v>
      </c>
      <c r="G22" s="28">
        <v>0</v>
      </c>
      <c r="H22" s="28">
        <f>Cty_Thep_Ha_Noi[[#This Row],[ĐƠN GIÁ]]*Cty_Thep_Ha_Noi[[#This Row],[SỐ LƯỢNG]]</f>
        <v>0</v>
      </c>
      <c r="I22" s="28">
        <v>107269177</v>
      </c>
      <c r="J22" s="28">
        <f>J21+Cty_Thep_Ha_Noi[[#This Row],[THÀNH TIỀN]]-Cty_Thep_Ha_Noi[[#This Row],[THANH TOÁN]]</f>
        <v>1336693040</v>
      </c>
      <c r="K22" s="27"/>
    </row>
    <row r="23" spans="1:11" x14ac:dyDescent="0.25">
      <c r="A23" s="22"/>
      <c r="B23" s="29">
        <v>46113</v>
      </c>
      <c r="C23" s="23" t="s">
        <v>21</v>
      </c>
      <c r="D23" s="37" t="s">
        <v>24</v>
      </c>
      <c r="E23" s="23"/>
      <c r="F23" s="31">
        <v>0</v>
      </c>
      <c r="G23" s="31">
        <v>0</v>
      </c>
      <c r="H23" s="31">
        <f>Cty_Thep_Ha_Noi[[#This Row],[ĐƠN GIÁ]]*Cty_Thep_Ha_Noi[[#This Row],[SỐ LƯỢNG]]</f>
        <v>0</v>
      </c>
      <c r="I23" s="31">
        <v>250000000</v>
      </c>
      <c r="J23" s="31">
        <f>J22+Cty_Thep_Ha_Noi[[#This Row],[THÀNH TIỀN]]-Cty_Thep_Ha_Noi[[#This Row],[THANH TOÁN]]</f>
        <v>1086693040</v>
      </c>
      <c r="K23" s="24"/>
    </row>
    <row r="24" spans="1:11" x14ac:dyDescent="0.25">
      <c r="A24" s="22">
        <v>8615</v>
      </c>
      <c r="B24" s="29">
        <v>46119</v>
      </c>
      <c r="C24" s="23" t="s">
        <v>13</v>
      </c>
      <c r="D24" s="37" t="s">
        <v>17</v>
      </c>
      <c r="E24" s="23" t="s">
        <v>41</v>
      </c>
      <c r="F24" s="31">
        <v>763</v>
      </c>
      <c r="G24" s="31">
        <v>61000</v>
      </c>
      <c r="H24" s="31">
        <f>Cty_Thep_Ha_Noi[[#This Row],[ĐƠN GIÁ]]*Cty_Thep_Ha_Noi[[#This Row],[SỐ LƯỢNG]]</f>
        <v>46543000</v>
      </c>
      <c r="I24" s="31"/>
      <c r="J24" s="31">
        <f>J23+Cty_Thep_Ha_Noi[[#This Row],[THÀNH TIỀN]]-Cty_Thep_Ha_Noi[[#This Row],[THANH TOÁN]]</f>
        <v>1133236040</v>
      </c>
      <c r="K24" s="24"/>
    </row>
    <row r="25" spans="1:11" x14ac:dyDescent="0.25">
      <c r="A25" s="22"/>
      <c r="B25" s="29">
        <v>46121</v>
      </c>
      <c r="C25" s="23" t="s">
        <v>21</v>
      </c>
      <c r="D25" s="37" t="s">
        <v>24</v>
      </c>
      <c r="E25" s="23"/>
      <c r="F25" s="31">
        <v>0</v>
      </c>
      <c r="G25" s="31"/>
      <c r="H25" s="31">
        <f>Cty_Thep_Ha_Noi[[#This Row],[ĐƠN GIÁ]]*Cty_Thep_Ha_Noi[[#This Row],[SỐ LƯỢNG]]</f>
        <v>0</v>
      </c>
      <c r="I25" s="31">
        <v>200000000</v>
      </c>
      <c r="J25" s="31">
        <f>J24+Cty_Thep_Ha_Noi[[#This Row],[THÀNH TIỀN]]-Cty_Thep_Ha_Noi[[#This Row],[THANH TOÁN]]</f>
        <v>933236040</v>
      </c>
      <c r="K25" s="24"/>
    </row>
    <row r="26" spans="1:11" x14ac:dyDescent="0.25">
      <c r="A26" s="25"/>
      <c r="B26" s="30">
        <v>46129</v>
      </c>
      <c r="C26" s="26" t="s">
        <v>21</v>
      </c>
      <c r="D26" s="38" t="s">
        <v>24</v>
      </c>
      <c r="E26" s="26"/>
      <c r="F26" s="28">
        <v>0</v>
      </c>
      <c r="G26" s="28"/>
      <c r="H26" s="28">
        <f>Cty_Thep_Ha_Noi[[#This Row],[ĐƠN GIÁ]]*Cty_Thep_Ha_Noi[[#This Row],[SỐ LƯỢNG]]</f>
        <v>0</v>
      </c>
      <c r="I26" s="28">
        <v>200000000</v>
      </c>
      <c r="J26" s="28">
        <f>J25+Cty_Thep_Ha_Noi[[#This Row],[THÀNH TIỀN]]-Cty_Thep_Ha_Noi[[#This Row],[THANH TOÁN]]</f>
        <v>733236040</v>
      </c>
      <c r="K26" s="27"/>
    </row>
    <row r="27" spans="1:11" x14ac:dyDescent="0.25">
      <c r="A27" s="22">
        <v>8941</v>
      </c>
      <c r="B27" s="29">
        <v>46134</v>
      </c>
      <c r="C27" s="23" t="s">
        <v>13</v>
      </c>
      <c r="D27" s="37" t="s">
        <v>17</v>
      </c>
      <c r="E27" s="23" t="s">
        <v>40</v>
      </c>
      <c r="F27" s="31">
        <v>4652</v>
      </c>
      <c r="G27" s="31">
        <v>67000</v>
      </c>
      <c r="H27" s="31">
        <f>Cty_Thep_Ha_Noi[[#This Row],[ĐƠN GIÁ]]*Cty_Thep_Ha_Noi[[#This Row],[SỐ LƯỢNG]]</f>
        <v>311684000</v>
      </c>
      <c r="I27" s="31"/>
      <c r="J27" s="31">
        <f>J26+Cty_Thep_Ha_Noi[[#This Row],[THÀNH TIỀN]]-Cty_Thep_Ha_Noi[[#This Row],[THANH TOÁN]]</f>
        <v>1044920040</v>
      </c>
      <c r="K27" s="24"/>
    </row>
    <row r="28" spans="1:11" x14ac:dyDescent="0.25">
      <c r="A28" s="22"/>
      <c r="B28" s="29">
        <v>46136</v>
      </c>
      <c r="C28" s="23" t="s">
        <v>21</v>
      </c>
      <c r="D28" s="37" t="s">
        <v>22</v>
      </c>
      <c r="E28" s="23" t="s">
        <v>261</v>
      </c>
      <c r="F28" s="31">
        <v>0</v>
      </c>
      <c r="G28" s="31"/>
      <c r="H28" s="31">
        <f>Cty_Thep_Ha_Noi[[#This Row],[ĐƠN GIÁ]]*Cty_Thep_Ha_Noi[[#This Row],[SỐ LƯỢNG]]</f>
        <v>0</v>
      </c>
      <c r="I28" s="31">
        <v>150000000</v>
      </c>
      <c r="J28" s="31">
        <f>J27+Cty_Thep_Ha_Noi[[#This Row],[THÀNH TIỀN]]-Cty_Thep_Ha_Noi[[#This Row],[THANH TOÁN]]</f>
        <v>894920040</v>
      </c>
      <c r="K28" s="24"/>
    </row>
    <row r="29" spans="1:11" x14ac:dyDescent="0.25">
      <c r="A29" s="22">
        <v>9054</v>
      </c>
      <c r="B29" s="152">
        <v>46139</v>
      </c>
      <c r="C29" s="55" t="s">
        <v>13</v>
      </c>
      <c r="D29" s="149" t="s">
        <v>143</v>
      </c>
      <c r="E29" s="55" t="s">
        <v>469</v>
      </c>
      <c r="F29" s="57">
        <v>6025</v>
      </c>
      <c r="G29" s="57">
        <v>62500</v>
      </c>
      <c r="H29" s="57">
        <f>Cty_Thep_Ha_Noi[[#This Row],[ĐƠN GIÁ]]*Cty_Thep_Ha_Noi[[#This Row],[SỐ LƯỢNG]]</f>
        <v>376562500</v>
      </c>
      <c r="I29" s="57"/>
      <c r="J29" s="57">
        <f>J28+Cty_Thep_Ha_Noi[[#This Row],[THÀNH TIỀN]]-Cty_Thep_Ha_Noi[[#This Row],[THANH TOÁN]]</f>
        <v>1271482540</v>
      </c>
      <c r="K29" s="58" t="s">
        <v>2216</v>
      </c>
    </row>
    <row r="30" spans="1:11" x14ac:dyDescent="0.25">
      <c r="A30" s="22"/>
      <c r="B30" s="29">
        <v>46146</v>
      </c>
      <c r="C30" s="23" t="s">
        <v>21</v>
      </c>
      <c r="D30" s="37" t="s">
        <v>260</v>
      </c>
      <c r="E30" s="23" t="s">
        <v>261</v>
      </c>
      <c r="F30" s="31">
        <v>0</v>
      </c>
      <c r="G30" s="31"/>
      <c r="H30" s="31">
        <f>Cty_Thep_Ha_Noi[[#This Row],[ĐƠN GIÁ]]*Cty_Thep_Ha_Noi[[#This Row],[SỐ LƯỢNG]]</f>
        <v>0</v>
      </c>
      <c r="I30" s="31">
        <v>58455340</v>
      </c>
      <c r="J30" s="31">
        <f>J29+Cty_Thep_Ha_Noi[[#This Row],[THÀNH TIỀN]]-Cty_Thep_Ha_Noi[[#This Row],[THANH TOÁN]]</f>
        <v>1213027200</v>
      </c>
      <c r="K30" s="24"/>
    </row>
    <row r="31" spans="1:11" x14ac:dyDescent="0.25">
      <c r="A31" s="22"/>
      <c r="B31" s="29">
        <v>46149</v>
      </c>
      <c r="C31" s="23" t="s">
        <v>21</v>
      </c>
      <c r="D31" s="37" t="s">
        <v>24</v>
      </c>
      <c r="E31" s="23"/>
      <c r="F31" s="31">
        <v>0</v>
      </c>
      <c r="G31" s="31"/>
      <c r="H31" s="31">
        <f>Cty_Thep_Ha_Noi[[#This Row],[ĐƠN GIÁ]]*Cty_Thep_Ha_Noi[[#This Row],[SỐ LƯỢNG]]</f>
        <v>0</v>
      </c>
      <c r="I31" s="31">
        <v>170000000</v>
      </c>
      <c r="J31" s="31">
        <f>J30+Cty_Thep_Ha_Noi[[#This Row],[THÀNH TIỀN]]-Cty_Thep_Ha_Noi[[#This Row],[THANH TOÁN]]</f>
        <v>1043027200</v>
      </c>
      <c r="K31" s="24"/>
    </row>
    <row r="32" spans="1:11" x14ac:dyDescent="0.25">
      <c r="A32" s="22">
        <v>9342</v>
      </c>
      <c r="B32" s="29">
        <v>46154</v>
      </c>
      <c r="C32" s="23" t="s">
        <v>13</v>
      </c>
      <c r="D32" s="37" t="s">
        <v>17</v>
      </c>
      <c r="E32" s="23" t="s">
        <v>40</v>
      </c>
      <c r="F32" s="31">
        <v>4714</v>
      </c>
      <c r="G32" s="31">
        <v>68000</v>
      </c>
      <c r="H32" s="31">
        <f>Cty_Thep_Ha_Noi[[#This Row],[ĐƠN GIÁ]]*Cty_Thep_Ha_Noi[[#This Row],[SỐ LƯỢNG]]</f>
        <v>320552000</v>
      </c>
      <c r="I32" s="31"/>
      <c r="J32" s="31">
        <f>J31+Cty_Thep_Ha_Noi[[#This Row],[THÀNH TIỀN]]-Cty_Thep_Ha_Noi[[#This Row],[THANH TOÁN]]</f>
        <v>1363579200</v>
      </c>
      <c r="K32" s="24"/>
    </row>
    <row r="33" spans="1:11" x14ac:dyDescent="0.25">
      <c r="A33" s="22">
        <v>9348</v>
      </c>
      <c r="B33" s="29">
        <v>46155</v>
      </c>
      <c r="C33" s="23" t="s">
        <v>13</v>
      </c>
      <c r="D33" s="37" t="s">
        <v>45</v>
      </c>
      <c r="E33" s="23" t="s">
        <v>487</v>
      </c>
      <c r="F33" s="31">
        <v>6213</v>
      </c>
      <c r="G33" s="31">
        <v>32500</v>
      </c>
      <c r="H33" s="31">
        <f>Cty_Thep_Ha_Noi[[#This Row],[ĐƠN GIÁ]]*Cty_Thep_Ha_Noi[[#This Row],[SỐ LƯỢNG]]</f>
        <v>201922500</v>
      </c>
      <c r="I33" s="31"/>
      <c r="J33" s="31">
        <f>J32+Cty_Thep_Ha_Noi[[#This Row],[THÀNH TIỀN]]-Cty_Thep_Ha_Noi[[#This Row],[THANH TOÁN]]</f>
        <v>1565501700</v>
      </c>
      <c r="K33" s="24"/>
    </row>
    <row r="34" spans="1:11" x14ac:dyDescent="0.25">
      <c r="A34" s="25">
        <v>9415</v>
      </c>
      <c r="B34" s="30">
        <v>46157</v>
      </c>
      <c r="C34" s="26" t="s">
        <v>13</v>
      </c>
      <c r="D34" s="38" t="s">
        <v>17</v>
      </c>
      <c r="E34" s="26" t="s">
        <v>891</v>
      </c>
      <c r="F34" s="28">
        <v>4606</v>
      </c>
      <c r="G34" s="28">
        <v>66000</v>
      </c>
      <c r="H34" s="28">
        <f>Cty_Thep_Ha_Noi[[#This Row],[ĐƠN GIÁ]]*Cty_Thep_Ha_Noi[[#This Row],[SỐ LƯỢNG]]</f>
        <v>303996000</v>
      </c>
      <c r="I34" s="28"/>
      <c r="J34" s="28">
        <f>J33+Cty_Thep_Ha_Noi[[#This Row],[THÀNH TIỀN]]-Cty_Thep_Ha_Noi[[#This Row],[THANH TOÁN]]</f>
        <v>1869497700</v>
      </c>
      <c r="K34" s="27"/>
    </row>
    <row r="35" spans="1:11" x14ac:dyDescent="0.25">
      <c r="A35" s="22"/>
      <c r="B35" s="29">
        <v>46156</v>
      </c>
      <c r="C35" s="23" t="s">
        <v>21</v>
      </c>
      <c r="D35" s="37" t="s">
        <v>22</v>
      </c>
      <c r="E35" s="23" t="s">
        <v>261</v>
      </c>
      <c r="F35" s="31">
        <v>0</v>
      </c>
      <c r="G35" s="31"/>
      <c r="H35" s="31">
        <f>Cty_Thep_Ha_Noi[[#This Row],[ĐƠN GIÁ]]*Cty_Thep_Ha_Noi[[#This Row],[SỐ LƯỢNG]]</f>
        <v>0</v>
      </c>
      <c r="I35" s="31">
        <v>160000000</v>
      </c>
      <c r="J35" s="31">
        <f>J34+Cty_Thep_Ha_Noi[[#This Row],[THÀNH TIỀN]]-Cty_Thep_Ha_Noi[[#This Row],[THANH TOÁN]]</f>
        <v>1709497700</v>
      </c>
      <c r="K35" s="24"/>
    </row>
    <row r="36" spans="1:11" x14ac:dyDescent="0.25">
      <c r="A36" s="22">
        <v>9423</v>
      </c>
      <c r="B36" s="29">
        <v>46158</v>
      </c>
      <c r="C36" s="23" t="s">
        <v>13</v>
      </c>
      <c r="D36" s="37" t="s">
        <v>17</v>
      </c>
      <c r="E36" s="23" t="s">
        <v>842</v>
      </c>
      <c r="F36" s="31">
        <f>7472-33</f>
        <v>7439</v>
      </c>
      <c r="G36" s="31">
        <v>66000</v>
      </c>
      <c r="H36" s="31">
        <f>Cty_Thep_Ha_Noi[[#This Row],[ĐƠN GIÁ]]*Cty_Thep_Ha_Noi[[#This Row],[SỐ LƯỢNG]]</f>
        <v>490974000</v>
      </c>
      <c r="I36" s="31"/>
      <c r="J36" s="31">
        <f>J35+Cty_Thep_Ha_Noi[[#This Row],[THÀNH TIỀN]]-Cty_Thep_Ha_Noi[[#This Row],[THANH TOÁN]]</f>
        <v>2200471700</v>
      </c>
      <c r="K36" s="24"/>
    </row>
    <row r="37" spans="1:11" x14ac:dyDescent="0.25">
      <c r="A37" s="22">
        <v>9423</v>
      </c>
      <c r="B37" s="29">
        <v>46158</v>
      </c>
      <c r="C37" s="23" t="s">
        <v>13</v>
      </c>
      <c r="D37" s="37" t="s">
        <v>17</v>
      </c>
      <c r="E37" s="23" t="s">
        <v>891</v>
      </c>
      <c r="F37" s="31">
        <v>4498</v>
      </c>
      <c r="G37" s="31">
        <v>66000</v>
      </c>
      <c r="H37" s="31">
        <f>Cty_Thep_Ha_Noi[[#This Row],[ĐƠN GIÁ]]*Cty_Thep_Ha_Noi[[#This Row],[SỐ LƯỢNG]]</f>
        <v>296868000</v>
      </c>
      <c r="I37" s="31"/>
      <c r="J37" s="31">
        <f>J36+Cty_Thep_Ha_Noi[[#This Row],[THÀNH TIỀN]]-Cty_Thep_Ha_Noi[[#This Row],[THANH TOÁN]]</f>
        <v>2497339700</v>
      </c>
      <c r="K37" s="24"/>
    </row>
    <row r="38" spans="1:11" x14ac:dyDescent="0.25">
      <c r="A38" s="22"/>
      <c r="B38" s="29">
        <v>46164</v>
      </c>
      <c r="C38" s="23" t="s">
        <v>21</v>
      </c>
      <c r="D38" s="37" t="s">
        <v>22</v>
      </c>
      <c r="E38" s="23" t="s">
        <v>261</v>
      </c>
      <c r="F38" s="31">
        <v>0</v>
      </c>
      <c r="G38" s="31"/>
      <c r="H38" s="31">
        <f>Cty_Thep_Ha_Noi[[#This Row],[ĐƠN GIÁ]]*Cty_Thep_Ha_Noi[[#This Row],[SỐ LƯỢNG]]</f>
        <v>0</v>
      </c>
      <c r="I38" s="31">
        <v>240000000</v>
      </c>
      <c r="J38" s="31">
        <f>J37+Cty_Thep_Ha_Noi[[#This Row],[THÀNH TIỀN]]-Cty_Thep_Ha_Noi[[#This Row],[THANH TOÁN]]</f>
        <v>2257339700</v>
      </c>
      <c r="K38" s="24"/>
    </row>
    <row r="39" spans="1:11" x14ac:dyDescent="0.25">
      <c r="A39" s="22">
        <v>9645</v>
      </c>
      <c r="B39" s="29">
        <v>46169</v>
      </c>
      <c r="C39" s="23" t="s">
        <v>13</v>
      </c>
      <c r="D39" s="37" t="s">
        <v>17</v>
      </c>
      <c r="E39" s="23" t="s">
        <v>482</v>
      </c>
      <c r="F39" s="31">
        <v>264</v>
      </c>
      <c r="G39" s="31">
        <v>69000</v>
      </c>
      <c r="H39" s="31">
        <f>Cty_Thep_Ha_Noi[[#This Row],[ĐƠN GIÁ]]*Cty_Thep_Ha_Noi[[#This Row],[SỐ LƯỢNG]]</f>
        <v>18216000</v>
      </c>
      <c r="I39" s="31"/>
      <c r="J39" s="31">
        <f>J38+Cty_Thep_Ha_Noi[[#This Row],[THÀNH TIỀN]]-Cty_Thep_Ha_Noi[[#This Row],[THANH TOÁN]]</f>
        <v>2275555700</v>
      </c>
      <c r="K39" s="24"/>
    </row>
    <row r="40" spans="1:11" x14ac:dyDescent="0.25">
      <c r="A40" s="22"/>
      <c r="B40" s="29">
        <v>46178</v>
      </c>
      <c r="C40" s="23" t="s">
        <v>21</v>
      </c>
      <c r="D40" s="37" t="s">
        <v>22</v>
      </c>
      <c r="E40" s="23" t="s">
        <v>147</v>
      </c>
      <c r="F40" s="31">
        <v>0</v>
      </c>
      <c r="G40" s="31"/>
      <c r="H40" s="31">
        <f>Cty_Thep_Ha_Noi[[#This Row],[ĐƠN GIÁ]]*Cty_Thep_Ha_Noi[[#This Row],[SỐ LƯỢNG]]</f>
        <v>0</v>
      </c>
      <c r="I40" s="31">
        <v>170000000</v>
      </c>
      <c r="J40" s="31">
        <f>J39+Cty_Thep_Ha_Noi[[#This Row],[THÀNH TIỀN]]-Cty_Thep_Ha_Noi[[#This Row],[THANH TOÁN]]</f>
        <v>2105555700</v>
      </c>
      <c r="K40" s="24"/>
    </row>
  </sheetData>
  <pageMargins left="0.7" right="0.7" top="0.75" bottom="0.75" header="0.3" footer="0.3"/>
  <pageSetup paperSize="9" orientation="portrait" verticalDpi="0" r:id="rId1"/>
  <legacyDrawing r:id="rId2"/>
  <tableParts count="1">
    <tablePart r:id="rId3"/>
  </tablePart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11982-814D-428C-ADF6-D0804E1D9DAC}">
  <sheetPr codeName="Sheet32"/>
  <dimension ref="A5:P58"/>
  <sheetViews>
    <sheetView topLeftCell="A40" workbookViewId="0">
      <selection activeCell="H21" sqref="H21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32.5703125" style="1" bestFit="1" customWidth="1"/>
    <col min="12" max="14" width="9.140625" style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484974832</v>
      </c>
    </row>
    <row r="6" spans="1:16" ht="22.5" x14ac:dyDescent="0.25">
      <c r="D6" s="34" t="s">
        <v>673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C_Thuy_TH[[#This Row],[ĐƠN GIÁ]]*C_Thuy_TH[[#This Row],[SỐ LƯỢNG]]</f>
        <v>0</v>
      </c>
      <c r="I10" s="31"/>
      <c r="J10" s="31">
        <v>0</v>
      </c>
      <c r="K10" s="24"/>
    </row>
    <row r="11" spans="1:16" x14ac:dyDescent="0.25">
      <c r="A11" s="22">
        <v>7814</v>
      </c>
      <c r="B11" s="29">
        <v>46084</v>
      </c>
      <c r="C11" s="23" t="s">
        <v>13</v>
      </c>
      <c r="D11" s="37" t="s">
        <v>103</v>
      </c>
      <c r="E11" s="23" t="s">
        <v>674</v>
      </c>
      <c r="F11" s="31">
        <v>146</v>
      </c>
      <c r="G11" s="31">
        <v>36000</v>
      </c>
      <c r="H11" s="31">
        <f>C_Thuy_TH[[#This Row],[ĐƠN GIÁ]]*C_Thuy_TH[[#This Row],[SỐ LƯỢNG]]</f>
        <v>5256000</v>
      </c>
      <c r="I11" s="31"/>
      <c r="J11" s="31">
        <f>J10+C_Thuy_TH[[#This Row],[THÀNH TIỀN]]-C_Thuy_TH[[#This Row],[THANH TOÁN]]</f>
        <v>5256000</v>
      </c>
      <c r="K11" s="24"/>
    </row>
    <row r="12" spans="1:16" x14ac:dyDescent="0.25">
      <c r="A12" s="22">
        <v>7814</v>
      </c>
      <c r="B12" s="29">
        <v>46084</v>
      </c>
      <c r="C12" s="23" t="s">
        <v>13</v>
      </c>
      <c r="D12" s="37" t="s">
        <v>43</v>
      </c>
      <c r="E12" s="23" t="s">
        <v>203</v>
      </c>
      <c r="F12" s="31">
        <v>586</v>
      </c>
      <c r="G12" s="31">
        <v>55000</v>
      </c>
      <c r="H12" s="31">
        <f>C_Thuy_TH[[#This Row],[ĐƠN GIÁ]]*C_Thuy_TH[[#This Row],[SỐ LƯỢNG]]</f>
        <v>32230000</v>
      </c>
      <c r="I12" s="31"/>
      <c r="J12" s="31">
        <f>J11+C_Thuy_TH[[#This Row],[THÀNH TIỀN]]-C_Thuy_TH[[#This Row],[THANH TOÁN]]</f>
        <v>37486000</v>
      </c>
      <c r="K12" s="24"/>
    </row>
    <row r="13" spans="1:16" x14ac:dyDescent="0.25">
      <c r="A13" s="22">
        <v>7814</v>
      </c>
      <c r="B13" s="29">
        <v>46084</v>
      </c>
      <c r="C13" s="23" t="s">
        <v>13</v>
      </c>
      <c r="D13" s="37" t="s">
        <v>14</v>
      </c>
      <c r="E13" s="23" t="s">
        <v>148</v>
      </c>
      <c r="F13" s="31">
        <f>948-10-6</f>
        <v>932</v>
      </c>
      <c r="G13" s="31">
        <v>41000</v>
      </c>
      <c r="H13" s="31">
        <f>C_Thuy_TH[[#This Row],[ĐƠN GIÁ]]*C_Thuy_TH[[#This Row],[SỐ LƯỢNG]]</f>
        <v>38212000</v>
      </c>
      <c r="I13" s="31"/>
      <c r="J13" s="31">
        <f>J12+C_Thuy_TH[[#This Row],[THÀNH TIỀN]]-C_Thuy_TH[[#This Row],[THANH TOÁN]]</f>
        <v>75698000</v>
      </c>
      <c r="K13" s="24"/>
    </row>
    <row r="14" spans="1:16" x14ac:dyDescent="0.25">
      <c r="A14" s="22">
        <v>7846</v>
      </c>
      <c r="B14" s="29">
        <v>46085</v>
      </c>
      <c r="C14" s="23" t="s">
        <v>13</v>
      </c>
      <c r="D14" s="37" t="s">
        <v>43</v>
      </c>
      <c r="E14" s="23" t="s">
        <v>246</v>
      </c>
      <c r="F14" s="31">
        <v>526</v>
      </c>
      <c r="G14" s="31">
        <v>55000</v>
      </c>
      <c r="H14" s="31">
        <f>C_Thuy_TH[[#This Row],[ĐƠN GIÁ]]*C_Thuy_TH[[#This Row],[SỐ LƯỢNG]]</f>
        <v>28930000</v>
      </c>
      <c r="I14" s="31"/>
      <c r="J14" s="31">
        <f>J13+C_Thuy_TH[[#This Row],[THÀNH TIỀN]]-C_Thuy_TH[[#This Row],[THANH TOÁN]]</f>
        <v>104628000</v>
      </c>
      <c r="K14" s="24"/>
      <c r="P14" s="35"/>
    </row>
    <row r="15" spans="1:16" x14ac:dyDescent="0.25">
      <c r="A15" s="25">
        <v>7912</v>
      </c>
      <c r="B15" s="30">
        <v>46088</v>
      </c>
      <c r="C15" s="26" t="s">
        <v>13</v>
      </c>
      <c r="D15" s="37" t="s">
        <v>27</v>
      </c>
      <c r="E15" s="23" t="s">
        <v>675</v>
      </c>
      <c r="F15" s="31">
        <v>1062</v>
      </c>
      <c r="G15" s="31">
        <v>56000</v>
      </c>
      <c r="H15" s="31">
        <f>C_Thuy_TH[[#This Row],[ĐƠN GIÁ]]*C_Thuy_TH[[#This Row],[SỐ LƯỢNG]]</f>
        <v>59472000</v>
      </c>
      <c r="I15" s="28"/>
      <c r="J15" s="31">
        <f>J14+C_Thuy_TH[[#This Row],[THÀNH TIỀN]]-C_Thuy_TH[[#This Row],[THANH TOÁN]]</f>
        <v>164100000</v>
      </c>
      <c r="K15" s="27"/>
    </row>
    <row r="16" spans="1:16" x14ac:dyDescent="0.25">
      <c r="A16" s="25">
        <v>7912</v>
      </c>
      <c r="B16" s="30">
        <v>46088</v>
      </c>
      <c r="C16" s="26" t="s">
        <v>13</v>
      </c>
      <c r="D16" s="37" t="s">
        <v>27</v>
      </c>
      <c r="E16" s="23" t="s">
        <v>676</v>
      </c>
      <c r="F16" s="31">
        <v>1194</v>
      </c>
      <c r="G16" s="31">
        <v>56000</v>
      </c>
      <c r="H16" s="31">
        <f>C_Thuy_TH[[#This Row],[ĐƠN GIÁ]]*C_Thuy_TH[[#This Row],[SỐ LƯỢNG]]</f>
        <v>66864000</v>
      </c>
      <c r="I16" s="31"/>
      <c r="J16" s="31">
        <f>J15+C_Thuy_TH[[#This Row],[THÀNH TIỀN]]-C_Thuy_TH[[#This Row],[THANH TOÁN]]</f>
        <v>230964000</v>
      </c>
      <c r="K16" s="24"/>
    </row>
    <row r="17" spans="1:11" x14ac:dyDescent="0.25">
      <c r="A17" s="25">
        <v>7912</v>
      </c>
      <c r="B17" s="30">
        <v>46088</v>
      </c>
      <c r="C17" s="26" t="s">
        <v>13</v>
      </c>
      <c r="D17" s="37" t="s">
        <v>27</v>
      </c>
      <c r="E17" s="23" t="s">
        <v>677</v>
      </c>
      <c r="F17" s="31">
        <v>1090</v>
      </c>
      <c r="G17" s="31">
        <v>56000</v>
      </c>
      <c r="H17" s="31">
        <f>C_Thuy_TH[[#This Row],[ĐƠN GIÁ]]*C_Thuy_TH[[#This Row],[SỐ LƯỢNG]]</f>
        <v>61040000</v>
      </c>
      <c r="I17" s="31"/>
      <c r="J17" s="31">
        <f>J16+C_Thuy_TH[[#This Row],[THÀNH TIỀN]]-C_Thuy_TH[[#This Row],[THANH TOÁN]]</f>
        <v>292004000</v>
      </c>
      <c r="K17" s="24"/>
    </row>
    <row r="18" spans="1:11" x14ac:dyDescent="0.25">
      <c r="A18" s="25">
        <v>7912</v>
      </c>
      <c r="B18" s="30">
        <v>46088</v>
      </c>
      <c r="C18" s="26" t="s">
        <v>13</v>
      </c>
      <c r="D18" s="37" t="s">
        <v>27</v>
      </c>
      <c r="E18" s="23" t="s">
        <v>678</v>
      </c>
      <c r="F18" s="31">
        <v>214</v>
      </c>
      <c r="G18" s="31">
        <v>56000</v>
      </c>
      <c r="H18" s="31">
        <f>C_Thuy_TH[[#This Row],[ĐƠN GIÁ]]*C_Thuy_TH[[#This Row],[SỐ LƯỢNG]]</f>
        <v>11984000</v>
      </c>
      <c r="I18" s="31"/>
      <c r="J18" s="31">
        <f>J17+C_Thuy_TH[[#This Row],[THÀNH TIỀN]]-C_Thuy_TH[[#This Row],[THANH TOÁN]]</f>
        <v>303988000</v>
      </c>
      <c r="K18" s="24"/>
    </row>
    <row r="19" spans="1:11" x14ac:dyDescent="0.25">
      <c r="A19" s="25">
        <v>7912</v>
      </c>
      <c r="B19" s="30">
        <v>46088</v>
      </c>
      <c r="C19" s="26" t="s">
        <v>13</v>
      </c>
      <c r="D19" s="37" t="s">
        <v>27</v>
      </c>
      <c r="E19" s="23" t="s">
        <v>679</v>
      </c>
      <c r="F19" s="31">
        <v>510</v>
      </c>
      <c r="G19" s="31">
        <v>56000</v>
      </c>
      <c r="H19" s="31">
        <f>C_Thuy_TH[[#This Row],[ĐƠN GIÁ]]*C_Thuy_TH[[#This Row],[SỐ LƯỢNG]]</f>
        <v>28560000</v>
      </c>
      <c r="I19" s="31"/>
      <c r="J19" s="31">
        <f>J18+C_Thuy_TH[[#This Row],[THÀNH TIỀN]]-C_Thuy_TH[[#This Row],[THANH TOÁN]]</f>
        <v>332548000</v>
      </c>
      <c r="K19" s="24"/>
    </row>
    <row r="20" spans="1:11" x14ac:dyDescent="0.25">
      <c r="A20" s="25">
        <v>7912</v>
      </c>
      <c r="B20" s="30">
        <v>46088</v>
      </c>
      <c r="C20" s="26" t="s">
        <v>13</v>
      </c>
      <c r="D20" s="37" t="s">
        <v>43</v>
      </c>
      <c r="E20" s="23" t="s">
        <v>41</v>
      </c>
      <c r="F20" s="31">
        <v>616</v>
      </c>
      <c r="G20" s="31">
        <v>58000</v>
      </c>
      <c r="H20" s="31">
        <f>C_Thuy_TH[[#This Row],[ĐƠN GIÁ]]*C_Thuy_TH[[#This Row],[SỐ LƯỢNG]]</f>
        <v>35728000</v>
      </c>
      <c r="I20" s="31"/>
      <c r="J20" s="31">
        <f>J19+C_Thuy_TH[[#This Row],[THÀNH TIỀN]]-C_Thuy_TH[[#This Row],[THANH TOÁN]]</f>
        <v>368276000</v>
      </c>
      <c r="K20" s="24"/>
    </row>
    <row r="21" spans="1:11" x14ac:dyDescent="0.25">
      <c r="A21" s="25">
        <v>7912</v>
      </c>
      <c r="B21" s="30">
        <v>46088</v>
      </c>
      <c r="C21" s="23" t="s">
        <v>680</v>
      </c>
      <c r="D21" s="37" t="s">
        <v>118</v>
      </c>
      <c r="E21" s="23" t="s">
        <v>118</v>
      </c>
      <c r="F21" s="31">
        <v>-8</v>
      </c>
      <c r="G21" s="31">
        <v>56000</v>
      </c>
      <c r="H21" s="31">
        <f>C_Thuy_TH[[#This Row],[ĐƠN GIÁ]]*C_Thuy_TH[[#This Row],[SỐ LƯỢNG]]</f>
        <v>-448000</v>
      </c>
      <c r="I21" s="31"/>
      <c r="J21" s="31">
        <f>J20+C_Thuy_TH[[#This Row],[THÀNH TIỀN]]-C_Thuy_TH[[#This Row],[THANH TOÁN]]</f>
        <v>367828000</v>
      </c>
      <c r="K21" s="24"/>
    </row>
    <row r="22" spans="1:11" x14ac:dyDescent="0.25">
      <c r="A22" s="22"/>
      <c r="B22" s="29">
        <v>46098</v>
      </c>
      <c r="C22" s="23" t="s">
        <v>21</v>
      </c>
      <c r="D22" s="37" t="s">
        <v>22</v>
      </c>
      <c r="E22" s="23" t="s">
        <v>147</v>
      </c>
      <c r="F22" s="31">
        <v>0</v>
      </c>
      <c r="G22" s="31">
        <v>0</v>
      </c>
      <c r="H22" s="31">
        <f>C_Thuy_TH[[#This Row],[ĐƠN GIÁ]]*C_Thuy_TH[[#This Row],[SỐ LƯỢNG]]</f>
        <v>0</v>
      </c>
      <c r="I22" s="31">
        <v>100000000</v>
      </c>
      <c r="J22" s="31">
        <f>J21+C_Thuy_TH[[#This Row],[THÀNH TIỀN]]-C_Thuy_TH[[#This Row],[THANH TOÁN]]</f>
        <v>267828000</v>
      </c>
      <c r="K22" s="24"/>
    </row>
    <row r="23" spans="1:11" x14ac:dyDescent="0.25">
      <c r="A23" s="22">
        <v>8370</v>
      </c>
      <c r="B23" s="29">
        <v>46108</v>
      </c>
      <c r="C23" s="23" t="s">
        <v>13</v>
      </c>
      <c r="D23" s="38" t="s">
        <v>50</v>
      </c>
      <c r="E23" s="26" t="s">
        <v>28</v>
      </c>
      <c r="F23" s="28">
        <v>1810</v>
      </c>
      <c r="G23" s="28">
        <v>56000</v>
      </c>
      <c r="H23" s="28">
        <f>C_Thuy_TH[[#This Row],[ĐƠN GIÁ]]*C_Thuy_TH[[#This Row],[SỐ LƯỢNG]]</f>
        <v>101360000</v>
      </c>
      <c r="I23" s="28"/>
      <c r="J23" s="28">
        <f>J22+C_Thuy_TH[[#This Row],[THÀNH TIỀN]]-C_Thuy_TH[[#This Row],[THANH TOÁN]]</f>
        <v>369188000</v>
      </c>
      <c r="K23" s="27"/>
    </row>
    <row r="24" spans="1:11" x14ac:dyDescent="0.25">
      <c r="A24" s="22">
        <v>8370</v>
      </c>
      <c r="B24" s="29">
        <v>46108</v>
      </c>
      <c r="C24" s="23" t="s">
        <v>13</v>
      </c>
      <c r="D24" s="38" t="s">
        <v>27</v>
      </c>
      <c r="E24" s="26" t="s">
        <v>681</v>
      </c>
      <c r="F24" s="28">
        <v>1166</v>
      </c>
      <c r="G24" s="28">
        <v>58000</v>
      </c>
      <c r="H24" s="28">
        <f>C_Thuy_TH[[#This Row],[ĐƠN GIÁ]]*C_Thuy_TH[[#This Row],[SỐ LƯỢNG]]</f>
        <v>67628000</v>
      </c>
      <c r="I24" s="28"/>
      <c r="J24" s="28">
        <f>J23+C_Thuy_TH[[#This Row],[THÀNH TIỀN]]-C_Thuy_TH[[#This Row],[THANH TOÁN]]</f>
        <v>436816000</v>
      </c>
      <c r="K24" s="27"/>
    </row>
    <row r="25" spans="1:11" x14ac:dyDescent="0.25">
      <c r="A25" s="25">
        <v>8370</v>
      </c>
      <c r="B25" s="30">
        <v>46108</v>
      </c>
      <c r="C25" s="26" t="s">
        <v>13</v>
      </c>
      <c r="D25" s="38" t="s">
        <v>27</v>
      </c>
      <c r="E25" s="26" t="s">
        <v>682</v>
      </c>
      <c r="F25" s="28">
        <v>582</v>
      </c>
      <c r="G25" s="28">
        <v>58000</v>
      </c>
      <c r="H25" s="28">
        <f>C_Thuy_TH[[#This Row],[ĐƠN GIÁ]]*C_Thuy_TH[[#This Row],[SỐ LƯỢNG]]</f>
        <v>33756000</v>
      </c>
      <c r="I25" s="28"/>
      <c r="J25" s="28">
        <f>J24+C_Thuy_TH[[#This Row],[THÀNH TIỀN]]-C_Thuy_TH[[#This Row],[THANH TOÁN]]</f>
        <v>470572000</v>
      </c>
      <c r="K25" s="27"/>
    </row>
    <row r="26" spans="1:11" x14ac:dyDescent="0.25">
      <c r="A26" s="22"/>
      <c r="B26" s="29">
        <v>46109</v>
      </c>
      <c r="C26" s="26" t="s">
        <v>21</v>
      </c>
      <c r="D26" s="38" t="s">
        <v>22</v>
      </c>
      <c r="E26" s="26" t="s">
        <v>147</v>
      </c>
      <c r="F26" s="28">
        <v>0</v>
      </c>
      <c r="G26" s="28">
        <v>0</v>
      </c>
      <c r="H26" s="31">
        <f>C_Thuy_TH[[#This Row],[ĐƠN GIÁ]]*C_Thuy_TH[[#This Row],[SỐ LƯỢNG]]</f>
        <v>0</v>
      </c>
      <c r="I26" s="31">
        <v>202742668</v>
      </c>
      <c r="J26" s="31">
        <f>J25+C_Thuy_TH[[#This Row],[THÀNH TIỀN]]-C_Thuy_TH[[#This Row],[THANH TOÁN]]</f>
        <v>267829332</v>
      </c>
      <c r="K26" s="24"/>
    </row>
    <row r="27" spans="1:11" x14ac:dyDescent="0.25">
      <c r="A27" s="22"/>
      <c r="B27" s="29">
        <v>46120</v>
      </c>
      <c r="C27" s="23" t="s">
        <v>21</v>
      </c>
      <c r="D27" s="37" t="s">
        <v>22</v>
      </c>
      <c r="E27" s="23" t="s">
        <v>147</v>
      </c>
      <c r="F27" s="31">
        <v>0</v>
      </c>
      <c r="G27" s="31"/>
      <c r="H27" s="31">
        <f>C_Thuy_TH[[#This Row],[ĐƠN GIÁ]]*C_Thuy_TH[[#This Row],[SỐ LƯỢNG]]</f>
        <v>0</v>
      </c>
      <c r="I27" s="31">
        <v>100000000</v>
      </c>
      <c r="J27" s="31">
        <f>J26+C_Thuy_TH[[#This Row],[THÀNH TIỀN]]-C_Thuy_TH[[#This Row],[THANH TOÁN]]</f>
        <v>167829332</v>
      </c>
      <c r="K27" s="24"/>
    </row>
    <row r="28" spans="1:11" x14ac:dyDescent="0.25">
      <c r="A28" s="22">
        <v>8815</v>
      </c>
      <c r="B28" s="29">
        <v>46128</v>
      </c>
      <c r="C28" s="23" t="s">
        <v>13</v>
      </c>
      <c r="D28" s="37" t="s">
        <v>14</v>
      </c>
      <c r="E28" s="23" t="s">
        <v>41</v>
      </c>
      <c r="F28" s="31">
        <v>778</v>
      </c>
      <c r="G28" s="31">
        <v>42000</v>
      </c>
      <c r="H28" s="31">
        <f>C_Thuy_TH[[#This Row],[ĐƠN GIÁ]]*C_Thuy_TH[[#This Row],[SỐ LƯỢNG]]</f>
        <v>32676000</v>
      </c>
      <c r="I28" s="31"/>
      <c r="J28" s="31">
        <f>J27+C_Thuy_TH[[#This Row],[THÀNH TIỀN]]-C_Thuy_TH[[#This Row],[THANH TOÁN]]</f>
        <v>200505332</v>
      </c>
      <c r="K28" s="24"/>
    </row>
    <row r="29" spans="1:11" x14ac:dyDescent="0.25">
      <c r="A29" s="22">
        <v>8815</v>
      </c>
      <c r="B29" s="29">
        <v>46128</v>
      </c>
      <c r="C29" s="23" t="s">
        <v>13</v>
      </c>
      <c r="D29" s="37" t="s">
        <v>14</v>
      </c>
      <c r="E29" s="23" t="s">
        <v>136</v>
      </c>
      <c r="F29" s="31">
        <v>756</v>
      </c>
      <c r="G29" s="31">
        <v>42000</v>
      </c>
      <c r="H29" s="31">
        <f>C_Thuy_TH[[#This Row],[ĐƠN GIÁ]]*C_Thuy_TH[[#This Row],[SỐ LƯỢNG]]</f>
        <v>31752000</v>
      </c>
      <c r="I29" s="31"/>
      <c r="J29" s="31">
        <f>J28+C_Thuy_TH[[#This Row],[THÀNH TIỀN]]-C_Thuy_TH[[#This Row],[THANH TOÁN]]</f>
        <v>232257332</v>
      </c>
      <c r="K29" s="24"/>
    </row>
    <row r="30" spans="1:11" x14ac:dyDescent="0.25">
      <c r="A30" s="22">
        <v>8815</v>
      </c>
      <c r="B30" s="29">
        <v>46128</v>
      </c>
      <c r="C30" s="23" t="s">
        <v>13</v>
      </c>
      <c r="D30" s="37" t="s">
        <v>683</v>
      </c>
      <c r="E30" s="23" t="s">
        <v>449</v>
      </c>
      <c r="F30" s="31">
        <v>34</v>
      </c>
      <c r="G30" s="31">
        <v>49000</v>
      </c>
      <c r="H30" s="31">
        <f>C_Thuy_TH[[#This Row],[ĐƠN GIÁ]]*C_Thuy_TH[[#This Row],[SỐ LƯỢNG]]</f>
        <v>1666000</v>
      </c>
      <c r="I30" s="31"/>
      <c r="J30" s="31">
        <f>J29+C_Thuy_TH[[#This Row],[THÀNH TIỀN]]-C_Thuy_TH[[#This Row],[THANH TOÁN]]</f>
        <v>233923332</v>
      </c>
      <c r="K30" s="24"/>
    </row>
    <row r="31" spans="1:11" x14ac:dyDescent="0.25">
      <c r="A31" s="22">
        <v>8815</v>
      </c>
      <c r="B31" s="29">
        <v>46128</v>
      </c>
      <c r="C31" s="23" t="s">
        <v>13</v>
      </c>
      <c r="D31" s="37" t="s">
        <v>36</v>
      </c>
      <c r="E31" s="23" t="s">
        <v>684</v>
      </c>
      <c r="F31" s="31">
        <v>40</v>
      </c>
      <c r="G31" s="31">
        <v>64000</v>
      </c>
      <c r="H31" s="31">
        <f>C_Thuy_TH[[#This Row],[ĐƠN GIÁ]]*C_Thuy_TH[[#This Row],[SỐ LƯỢNG]]</f>
        <v>2560000</v>
      </c>
      <c r="I31" s="31"/>
      <c r="J31" s="31">
        <f>J30+C_Thuy_TH[[#This Row],[THÀNH TIỀN]]-C_Thuy_TH[[#This Row],[THANH TOÁN]]</f>
        <v>236483332</v>
      </c>
      <c r="K31" s="24"/>
    </row>
    <row r="32" spans="1:11" x14ac:dyDescent="0.25">
      <c r="A32" s="22">
        <v>8815</v>
      </c>
      <c r="B32" s="29">
        <v>46128</v>
      </c>
      <c r="C32" s="23" t="s">
        <v>13</v>
      </c>
      <c r="D32" s="37" t="s">
        <v>50</v>
      </c>
      <c r="E32" s="23" t="s">
        <v>685</v>
      </c>
      <c r="F32" s="31">
        <v>678</v>
      </c>
      <c r="G32" s="31">
        <v>61000</v>
      </c>
      <c r="H32" s="31">
        <f>C_Thuy_TH[[#This Row],[ĐƠN GIÁ]]*C_Thuy_TH[[#This Row],[SỐ LƯỢNG]]</f>
        <v>41358000</v>
      </c>
      <c r="I32" s="31"/>
      <c r="J32" s="31">
        <f>J31+C_Thuy_TH[[#This Row],[THÀNH TIỀN]]-C_Thuy_TH[[#This Row],[THANH TOÁN]]</f>
        <v>277841332</v>
      </c>
      <c r="K32" s="24"/>
    </row>
    <row r="33" spans="1:11" x14ac:dyDescent="0.25">
      <c r="A33" s="25">
        <v>8815</v>
      </c>
      <c r="B33" s="30">
        <v>46128</v>
      </c>
      <c r="C33" s="26" t="s">
        <v>13</v>
      </c>
      <c r="D33" s="38" t="s">
        <v>36</v>
      </c>
      <c r="E33" s="26" t="s">
        <v>188</v>
      </c>
      <c r="F33" s="28">
        <v>470</v>
      </c>
      <c r="G33" s="28">
        <v>57000</v>
      </c>
      <c r="H33" s="28">
        <f>C_Thuy_TH[[#This Row],[ĐƠN GIÁ]]*C_Thuy_TH[[#This Row],[SỐ LƯỢNG]]</f>
        <v>26790000</v>
      </c>
      <c r="I33" s="28"/>
      <c r="J33" s="28">
        <f>J32+C_Thuy_TH[[#This Row],[THÀNH TIỀN]]-C_Thuy_TH[[#This Row],[THANH TOÁN]]</f>
        <v>304631332</v>
      </c>
      <c r="K33" s="27"/>
    </row>
    <row r="34" spans="1:11" x14ac:dyDescent="0.25">
      <c r="A34" s="22">
        <v>8815</v>
      </c>
      <c r="B34" s="29">
        <v>46128</v>
      </c>
      <c r="C34" s="23" t="s">
        <v>13</v>
      </c>
      <c r="D34" s="37" t="s">
        <v>317</v>
      </c>
      <c r="E34" s="23" t="s">
        <v>40</v>
      </c>
      <c r="F34" s="31">
        <v>392</v>
      </c>
      <c r="G34" s="31">
        <v>67000</v>
      </c>
      <c r="H34" s="31">
        <f>C_Thuy_TH[[#This Row],[ĐƠN GIÁ]]*C_Thuy_TH[[#This Row],[SỐ LƯỢNG]]</f>
        <v>26264000</v>
      </c>
      <c r="I34" s="31"/>
      <c r="J34" s="31">
        <f>J33+C_Thuy_TH[[#This Row],[THÀNH TIỀN]]-C_Thuy_TH[[#This Row],[THANH TOÁN]]</f>
        <v>330895332</v>
      </c>
      <c r="K34" s="24"/>
    </row>
    <row r="35" spans="1:11" x14ac:dyDescent="0.25">
      <c r="A35" s="22"/>
      <c r="B35" s="29">
        <v>46129</v>
      </c>
      <c r="C35" s="23" t="s">
        <v>21</v>
      </c>
      <c r="D35" s="37" t="s">
        <v>22</v>
      </c>
      <c r="E35" s="23" t="s">
        <v>147</v>
      </c>
      <c r="F35" s="31">
        <v>0</v>
      </c>
      <c r="G35" s="31"/>
      <c r="H35" s="31">
        <f>C_Thuy_TH[[#This Row],[ĐƠN GIÁ]]*C_Thuy_TH[[#This Row],[SỐ LƯỢNG]]</f>
        <v>0</v>
      </c>
      <c r="I35" s="31">
        <v>100000000</v>
      </c>
      <c r="J35" s="31">
        <f>J34+C_Thuy_TH[[#This Row],[THÀNH TIỀN]]-C_Thuy_TH[[#This Row],[THANH TOÁN]]</f>
        <v>230895332</v>
      </c>
      <c r="K35" s="24"/>
    </row>
    <row r="36" spans="1:11" x14ac:dyDescent="0.25">
      <c r="A36" s="22"/>
      <c r="B36" s="29">
        <v>46134</v>
      </c>
      <c r="C36" s="23" t="s">
        <v>21</v>
      </c>
      <c r="D36" s="37" t="s">
        <v>22</v>
      </c>
      <c r="E36" s="23" t="s">
        <v>147</v>
      </c>
      <c r="F36" s="31">
        <v>0</v>
      </c>
      <c r="G36" s="31"/>
      <c r="H36" s="31">
        <f>C_Thuy_TH[[#This Row],[ĐƠN GIÁ]]*C_Thuy_TH[[#This Row],[SỐ LƯỢNG]]</f>
        <v>0</v>
      </c>
      <c r="I36" s="31">
        <v>67156000</v>
      </c>
      <c r="J36" s="31">
        <f>J35+C_Thuy_TH[[#This Row],[THÀNH TIỀN]]-C_Thuy_TH[[#This Row],[THANH TOÁN]]</f>
        <v>163739332</v>
      </c>
      <c r="K36" s="24"/>
    </row>
    <row r="37" spans="1:11" x14ac:dyDescent="0.25">
      <c r="A37" s="22">
        <v>9013</v>
      </c>
      <c r="B37" s="29">
        <v>46137</v>
      </c>
      <c r="C37" s="23" t="s">
        <v>13</v>
      </c>
      <c r="D37" s="37" t="s">
        <v>43</v>
      </c>
      <c r="E37" s="23" t="s">
        <v>41</v>
      </c>
      <c r="F37" s="31">
        <v>711</v>
      </c>
      <c r="G37" s="31">
        <v>61500</v>
      </c>
      <c r="H37" s="31">
        <f>C_Thuy_TH[[#This Row],[ĐƠN GIÁ]]*C_Thuy_TH[[#This Row],[SỐ LƯỢNG]]</f>
        <v>43726500</v>
      </c>
      <c r="I37" s="31"/>
      <c r="J37" s="31">
        <f>J36+C_Thuy_TH[[#This Row],[THÀNH TIỀN]]-C_Thuy_TH[[#This Row],[THANH TOÁN]]</f>
        <v>207465832</v>
      </c>
      <c r="K37" s="24"/>
    </row>
    <row r="38" spans="1:11" x14ac:dyDescent="0.25">
      <c r="A38" s="22">
        <v>9013</v>
      </c>
      <c r="B38" s="29">
        <v>46137</v>
      </c>
      <c r="C38" s="23" t="s">
        <v>13</v>
      </c>
      <c r="D38" s="37" t="s">
        <v>43</v>
      </c>
      <c r="E38" s="23" t="s">
        <v>1225</v>
      </c>
      <c r="F38" s="31">
        <v>980</v>
      </c>
      <c r="G38" s="31">
        <v>61000</v>
      </c>
      <c r="H38" s="31">
        <f>C_Thuy_TH[[#This Row],[ĐƠN GIÁ]]*C_Thuy_TH[[#This Row],[SỐ LƯỢNG]]</f>
        <v>59780000</v>
      </c>
      <c r="I38" s="31"/>
      <c r="J38" s="31">
        <f>J37+C_Thuy_TH[[#This Row],[THÀNH TIỀN]]-C_Thuy_TH[[#This Row],[THANH TOÁN]]</f>
        <v>267245832</v>
      </c>
      <c r="K38" s="24"/>
    </row>
    <row r="39" spans="1:11" x14ac:dyDescent="0.25">
      <c r="A39" s="22">
        <v>9013</v>
      </c>
      <c r="B39" s="29">
        <v>46137</v>
      </c>
      <c r="C39" s="23" t="s">
        <v>13</v>
      </c>
      <c r="D39" s="37" t="s">
        <v>43</v>
      </c>
      <c r="E39" s="23" t="s">
        <v>154</v>
      </c>
      <c r="F39" s="31">
        <v>2575</v>
      </c>
      <c r="G39" s="31">
        <v>60000</v>
      </c>
      <c r="H39" s="31">
        <f>C_Thuy_TH[[#This Row],[ĐƠN GIÁ]]*C_Thuy_TH[[#This Row],[SỐ LƯỢNG]]</f>
        <v>154500000</v>
      </c>
      <c r="I39" s="31"/>
      <c r="J39" s="31">
        <f>J38+C_Thuy_TH[[#This Row],[THÀNH TIỀN]]-C_Thuy_TH[[#This Row],[THANH TOÁN]]</f>
        <v>421745832</v>
      </c>
      <c r="K39" s="24"/>
    </row>
    <row r="40" spans="1:11" x14ac:dyDescent="0.25">
      <c r="A40" s="22">
        <v>9013</v>
      </c>
      <c r="B40" s="29">
        <v>46137</v>
      </c>
      <c r="C40" s="23" t="s">
        <v>13</v>
      </c>
      <c r="D40" s="37" t="s">
        <v>43</v>
      </c>
      <c r="E40" s="23" t="s">
        <v>248</v>
      </c>
      <c r="F40" s="31">
        <v>621</v>
      </c>
      <c r="G40" s="31">
        <v>60000</v>
      </c>
      <c r="H40" s="31">
        <f>C_Thuy_TH[[#This Row],[ĐƠN GIÁ]]*C_Thuy_TH[[#This Row],[SỐ LƯỢNG]]</f>
        <v>37260000</v>
      </c>
      <c r="I40" s="31"/>
      <c r="J40" s="31">
        <f>J39+C_Thuy_TH[[#This Row],[THÀNH TIỀN]]-C_Thuy_TH[[#This Row],[THANH TOÁN]]</f>
        <v>459005832</v>
      </c>
      <c r="K40" s="24"/>
    </row>
    <row r="41" spans="1:11" x14ac:dyDescent="0.25">
      <c r="A41" s="22">
        <v>9013</v>
      </c>
      <c r="B41" s="29">
        <v>46137</v>
      </c>
      <c r="C41" s="23" t="s">
        <v>13</v>
      </c>
      <c r="D41" s="37" t="s">
        <v>17</v>
      </c>
      <c r="E41" s="23" t="s">
        <v>146</v>
      </c>
      <c r="F41" s="31">
        <v>1564</v>
      </c>
      <c r="G41" s="31">
        <v>60000</v>
      </c>
      <c r="H41" s="28">
        <f>C_Thuy_TH[[#This Row],[ĐƠN GIÁ]]*C_Thuy_TH[[#This Row],[SỐ LƯỢNG]]</f>
        <v>93840000</v>
      </c>
      <c r="I41" s="28"/>
      <c r="J41" s="28">
        <f>J40+C_Thuy_TH[[#This Row],[THÀNH TIỀN]]-C_Thuy_TH[[#This Row],[THANH TOÁN]]</f>
        <v>552845832</v>
      </c>
      <c r="K41" s="27"/>
    </row>
    <row r="42" spans="1:11" x14ac:dyDescent="0.25">
      <c r="A42" s="22">
        <v>9014</v>
      </c>
      <c r="B42" s="29">
        <v>46137</v>
      </c>
      <c r="C42" s="23" t="s">
        <v>13</v>
      </c>
      <c r="D42" s="37" t="s">
        <v>43</v>
      </c>
      <c r="E42" s="23" t="s">
        <v>44</v>
      </c>
      <c r="F42" s="31">
        <v>1308</v>
      </c>
      <c r="G42" s="31">
        <v>60000</v>
      </c>
      <c r="H42" s="31">
        <f>C_Thuy_TH[[#This Row],[ĐƠN GIÁ]]*C_Thuy_TH[[#This Row],[SỐ LƯỢNG]]</f>
        <v>78480000</v>
      </c>
      <c r="I42" s="31"/>
      <c r="J42" s="31">
        <f>J41+C_Thuy_TH[[#This Row],[THÀNH TIỀN]]-C_Thuy_TH[[#This Row],[THANH TOÁN]]</f>
        <v>631325832</v>
      </c>
      <c r="K42" s="24"/>
    </row>
    <row r="43" spans="1:11" x14ac:dyDescent="0.25">
      <c r="A43" s="22">
        <v>9014</v>
      </c>
      <c r="B43" s="29">
        <v>46137</v>
      </c>
      <c r="C43" s="23" t="s">
        <v>13</v>
      </c>
      <c r="D43" s="37" t="s">
        <v>32</v>
      </c>
      <c r="E43" s="23" t="s">
        <v>40</v>
      </c>
      <c r="F43" s="31">
        <v>412</v>
      </c>
      <c r="G43" s="31">
        <v>43500</v>
      </c>
      <c r="H43" s="31">
        <f>C_Thuy_TH[[#This Row],[ĐƠN GIÁ]]*C_Thuy_TH[[#This Row],[SỐ LƯỢNG]]</f>
        <v>17922000</v>
      </c>
      <c r="I43" s="31"/>
      <c r="J43" s="31">
        <f>J42+C_Thuy_TH[[#This Row],[THÀNH TIỀN]]-C_Thuy_TH[[#This Row],[THANH TOÁN]]</f>
        <v>649247832</v>
      </c>
      <c r="K43" s="24"/>
    </row>
    <row r="44" spans="1:11" x14ac:dyDescent="0.25">
      <c r="A44" s="22">
        <v>9014</v>
      </c>
      <c r="B44" s="29">
        <v>46137</v>
      </c>
      <c r="C44" s="23" t="s">
        <v>13</v>
      </c>
      <c r="D44" s="37" t="s">
        <v>32</v>
      </c>
      <c r="E44" s="23" t="s">
        <v>62</v>
      </c>
      <c r="F44" s="31">
        <v>494</v>
      </c>
      <c r="G44" s="31">
        <v>43000</v>
      </c>
      <c r="H44" s="31">
        <f>C_Thuy_TH[[#This Row],[ĐƠN GIÁ]]*C_Thuy_TH[[#This Row],[SỐ LƯỢNG]]</f>
        <v>21242000</v>
      </c>
      <c r="I44" s="31"/>
      <c r="J44" s="31">
        <f>J43+C_Thuy_TH[[#This Row],[THÀNH TIỀN]]-C_Thuy_TH[[#This Row],[THANH TOÁN]]</f>
        <v>670489832</v>
      </c>
      <c r="K44" s="24"/>
    </row>
    <row r="45" spans="1:11" x14ac:dyDescent="0.25">
      <c r="A45" s="22">
        <v>9014</v>
      </c>
      <c r="B45" s="29">
        <v>46137</v>
      </c>
      <c r="C45" s="23" t="s">
        <v>13</v>
      </c>
      <c r="D45" s="37" t="s">
        <v>43</v>
      </c>
      <c r="E45" s="23" t="s">
        <v>134</v>
      </c>
      <c r="F45" s="31">
        <v>859</v>
      </c>
      <c r="G45" s="31">
        <v>59500</v>
      </c>
      <c r="H45" s="31">
        <f>C_Thuy_TH[[#This Row],[ĐƠN GIÁ]]*C_Thuy_TH[[#This Row],[SỐ LƯỢNG]]</f>
        <v>51110500</v>
      </c>
      <c r="I45" s="31"/>
      <c r="J45" s="31">
        <f>J44+C_Thuy_TH[[#This Row],[THÀNH TIỀN]]-C_Thuy_TH[[#This Row],[THANH TOÁN]]</f>
        <v>721600332</v>
      </c>
      <c r="K45" s="24"/>
    </row>
    <row r="46" spans="1:11" x14ac:dyDescent="0.25">
      <c r="A46" s="22"/>
      <c r="B46" s="29">
        <v>46141</v>
      </c>
      <c r="C46" s="23" t="s">
        <v>21</v>
      </c>
      <c r="D46" s="37" t="s">
        <v>22</v>
      </c>
      <c r="E46" s="23" t="s">
        <v>147</v>
      </c>
      <c r="F46" s="31">
        <v>0</v>
      </c>
      <c r="G46" s="31"/>
      <c r="H46" s="31">
        <f>C_Thuy_TH[[#This Row],[ĐƠN GIÁ]]*C_Thuy_TH[[#This Row],[SỐ LƯỢNG]]</f>
        <v>0</v>
      </c>
      <c r="I46" s="31">
        <v>163066000</v>
      </c>
      <c r="J46" s="31">
        <f>J45+C_Thuy_TH[[#This Row],[THÀNH TIỀN]]-C_Thuy_TH[[#This Row],[THANH TOÁN]]</f>
        <v>558534332</v>
      </c>
      <c r="K46" s="24"/>
    </row>
    <row r="47" spans="1:11" x14ac:dyDescent="0.25">
      <c r="A47" s="22">
        <v>9201</v>
      </c>
      <c r="B47" s="29">
        <v>46148</v>
      </c>
      <c r="C47" s="23" t="s">
        <v>13</v>
      </c>
      <c r="D47" s="37" t="s">
        <v>43</v>
      </c>
      <c r="E47" s="23" t="s">
        <v>154</v>
      </c>
      <c r="F47" s="31">
        <v>819</v>
      </c>
      <c r="G47" s="31">
        <v>61500</v>
      </c>
      <c r="H47" s="31">
        <f>C_Thuy_TH[[#This Row],[ĐƠN GIÁ]]*C_Thuy_TH[[#This Row],[SỐ LƯỢNG]]</f>
        <v>50368500</v>
      </c>
      <c r="I47" s="31"/>
      <c r="J47" s="31">
        <f>J46+C_Thuy_TH[[#This Row],[THÀNH TIỀN]]-C_Thuy_TH[[#This Row],[THANH TOÁN]]</f>
        <v>608902832</v>
      </c>
      <c r="K47" s="24"/>
    </row>
    <row r="48" spans="1:11" x14ac:dyDescent="0.25">
      <c r="A48" s="22">
        <v>9201</v>
      </c>
      <c r="B48" s="29">
        <v>46148</v>
      </c>
      <c r="C48" s="23" t="s">
        <v>13</v>
      </c>
      <c r="D48" s="37" t="s">
        <v>1951</v>
      </c>
      <c r="E48" s="23" t="s">
        <v>1952</v>
      </c>
      <c r="F48" s="31">
        <v>71</v>
      </c>
      <c r="G48" s="31">
        <v>123000</v>
      </c>
      <c r="H48" s="31">
        <f>C_Thuy_TH[[#This Row],[ĐƠN GIÁ]]*C_Thuy_TH[[#This Row],[SỐ LƯỢNG]]</f>
        <v>8733000</v>
      </c>
      <c r="I48" s="31"/>
      <c r="J48" s="31">
        <f>J47+C_Thuy_TH[[#This Row],[THÀNH TIỀN]]-C_Thuy_TH[[#This Row],[THANH TOÁN]]</f>
        <v>617635832</v>
      </c>
      <c r="K48" s="24"/>
    </row>
    <row r="49" spans="1:11" x14ac:dyDescent="0.25">
      <c r="A49" s="22"/>
      <c r="B49" s="29">
        <v>46150</v>
      </c>
      <c r="C49" s="23" t="s">
        <v>21</v>
      </c>
      <c r="D49" s="37" t="s">
        <v>22</v>
      </c>
      <c r="E49" s="23" t="s">
        <v>147</v>
      </c>
      <c r="F49" s="31">
        <v>0</v>
      </c>
      <c r="G49" s="31"/>
      <c r="H49" s="31">
        <f>C_Thuy_TH[[#This Row],[ĐƠN GIÁ]]*C_Thuy_TH[[#This Row],[SỐ LƯỢNG]]</f>
        <v>0</v>
      </c>
      <c r="I49" s="31">
        <v>150000000</v>
      </c>
      <c r="J49" s="31">
        <f>J48+C_Thuy_TH[[#This Row],[THÀNH TIỀN]]-C_Thuy_TH[[#This Row],[THANH TOÁN]]</f>
        <v>467635832</v>
      </c>
      <c r="K49" s="24"/>
    </row>
    <row r="50" spans="1:11" x14ac:dyDescent="0.25">
      <c r="A50" s="22">
        <v>9429</v>
      </c>
      <c r="B50" s="29">
        <v>46158</v>
      </c>
      <c r="C50" s="23" t="s">
        <v>13</v>
      </c>
      <c r="D50" s="37" t="s">
        <v>43</v>
      </c>
      <c r="E50" s="23" t="s">
        <v>444</v>
      </c>
      <c r="F50" s="31">
        <v>858</v>
      </c>
      <c r="G50" s="31">
        <v>56000</v>
      </c>
      <c r="H50" s="31">
        <f>C_Thuy_TH[[#This Row],[ĐƠN GIÁ]]*C_Thuy_TH[[#This Row],[SỐ LƯỢNG]]</f>
        <v>48048000</v>
      </c>
      <c r="I50" s="31"/>
      <c r="J50" s="31">
        <f>J49+C_Thuy_TH[[#This Row],[THÀNH TIỀN]]-C_Thuy_TH[[#This Row],[THANH TOÁN]]</f>
        <v>515683832</v>
      </c>
      <c r="K50" s="24"/>
    </row>
    <row r="51" spans="1:11" x14ac:dyDescent="0.25">
      <c r="A51" s="22">
        <v>9429</v>
      </c>
      <c r="B51" s="29">
        <v>46158</v>
      </c>
      <c r="C51" s="23" t="s">
        <v>13</v>
      </c>
      <c r="D51" s="37" t="s">
        <v>43</v>
      </c>
      <c r="E51" s="23" t="s">
        <v>148</v>
      </c>
      <c r="F51" s="31">
        <v>697</v>
      </c>
      <c r="G51" s="31">
        <v>60000</v>
      </c>
      <c r="H51" s="31">
        <f>C_Thuy_TH[[#This Row],[ĐƠN GIÁ]]*C_Thuy_TH[[#This Row],[SỐ LƯỢNG]]</f>
        <v>41820000</v>
      </c>
      <c r="I51" s="31"/>
      <c r="J51" s="31">
        <f>J50+C_Thuy_TH[[#This Row],[THÀNH TIỀN]]-C_Thuy_TH[[#This Row],[THANH TOÁN]]</f>
        <v>557503832</v>
      </c>
      <c r="K51" s="24"/>
    </row>
    <row r="52" spans="1:11" x14ac:dyDescent="0.25">
      <c r="A52" s="22">
        <v>9429</v>
      </c>
      <c r="B52" s="29">
        <v>46158</v>
      </c>
      <c r="C52" s="23" t="s">
        <v>13</v>
      </c>
      <c r="D52" s="37" t="s">
        <v>14</v>
      </c>
      <c r="E52" s="23" t="s">
        <v>134</v>
      </c>
      <c r="F52" s="31">
        <v>730</v>
      </c>
      <c r="G52" s="31">
        <v>41500</v>
      </c>
      <c r="H52" s="31">
        <f>C_Thuy_TH[[#This Row],[ĐƠN GIÁ]]*C_Thuy_TH[[#This Row],[SỐ LƯỢNG]]</f>
        <v>30295000</v>
      </c>
      <c r="I52" s="31"/>
      <c r="J52" s="31">
        <f>J51+C_Thuy_TH[[#This Row],[THÀNH TIỀN]]-C_Thuy_TH[[#This Row],[THANH TOÁN]]</f>
        <v>587798832</v>
      </c>
      <c r="K52" s="24"/>
    </row>
    <row r="53" spans="1:11" x14ac:dyDescent="0.25">
      <c r="A53" s="22"/>
      <c r="B53" s="29">
        <v>46158</v>
      </c>
      <c r="C53" s="23" t="s">
        <v>21</v>
      </c>
      <c r="D53" s="37" t="s">
        <v>22</v>
      </c>
      <c r="E53" s="23" t="s">
        <v>147</v>
      </c>
      <c r="F53" s="31">
        <v>0</v>
      </c>
      <c r="G53" s="31"/>
      <c r="H53" s="31">
        <f>C_Thuy_TH[[#This Row],[ĐƠN GIÁ]]*C_Thuy_TH[[#This Row],[SỐ LƯỢNG]]</f>
        <v>0</v>
      </c>
      <c r="I53" s="31">
        <v>100000000</v>
      </c>
      <c r="J53" s="31">
        <f>J52+C_Thuy_TH[[#This Row],[THÀNH TIỀN]]-C_Thuy_TH[[#This Row],[THANH TOÁN]]</f>
        <v>487798832</v>
      </c>
      <c r="K53" s="24"/>
    </row>
    <row r="54" spans="1:11" x14ac:dyDescent="0.25">
      <c r="A54" s="22">
        <v>9529</v>
      </c>
      <c r="B54" s="29">
        <v>46163</v>
      </c>
      <c r="C54" s="23" t="s">
        <v>13</v>
      </c>
      <c r="D54" s="37" t="s">
        <v>43</v>
      </c>
      <c r="E54" s="23" t="s">
        <v>1812</v>
      </c>
      <c r="F54" s="31">
        <v>570</v>
      </c>
      <c r="G54" s="31">
        <v>60000</v>
      </c>
      <c r="H54" s="31">
        <f>C_Thuy_TH[[#This Row],[ĐƠN GIÁ]]*C_Thuy_TH[[#This Row],[SỐ LƯỢNG]]</f>
        <v>34200000</v>
      </c>
      <c r="I54" s="31"/>
      <c r="J54" s="31">
        <f>J53+C_Thuy_TH[[#This Row],[THÀNH TIỀN]]-C_Thuy_TH[[#This Row],[THANH TOÁN]]</f>
        <v>521998832</v>
      </c>
      <c r="K54" s="24"/>
    </row>
    <row r="55" spans="1:11" x14ac:dyDescent="0.25">
      <c r="A55" s="22"/>
      <c r="B55" s="29">
        <v>46166</v>
      </c>
      <c r="C55" s="23" t="s">
        <v>21</v>
      </c>
      <c r="D55" s="37" t="s">
        <v>22</v>
      </c>
      <c r="E55" s="23" t="s">
        <v>147</v>
      </c>
      <c r="F55" s="31">
        <v>0</v>
      </c>
      <c r="G55" s="31"/>
      <c r="H55" s="31">
        <f>C_Thuy_TH[[#This Row],[ĐƠN GIÁ]]*C_Thuy_TH[[#This Row],[SỐ LƯỢNG]]</f>
        <v>0</v>
      </c>
      <c r="I55" s="31">
        <v>100000000</v>
      </c>
      <c r="J55" s="31">
        <f>J54+C_Thuy_TH[[#This Row],[THÀNH TIỀN]]-C_Thuy_TH[[#This Row],[THANH TOÁN]]</f>
        <v>421998832</v>
      </c>
      <c r="K55" s="24"/>
    </row>
    <row r="56" spans="1:11" x14ac:dyDescent="0.25">
      <c r="A56" s="22">
        <v>9765</v>
      </c>
      <c r="B56" s="29">
        <v>46176</v>
      </c>
      <c r="C56" s="23" t="s">
        <v>13</v>
      </c>
      <c r="D56" s="37" t="s">
        <v>270</v>
      </c>
      <c r="E56" s="23" t="s">
        <v>134</v>
      </c>
      <c r="F56" s="31">
        <v>840</v>
      </c>
      <c r="G56" s="31">
        <v>67000</v>
      </c>
      <c r="H56" s="31">
        <f>C_Thuy_TH[[#This Row],[ĐƠN GIÁ]]*C_Thuy_TH[[#This Row],[SỐ LƯỢNG]]</f>
        <v>56280000</v>
      </c>
      <c r="I56" s="31"/>
      <c r="J56" s="31">
        <f>J55+C_Thuy_TH[[#This Row],[THÀNH TIỀN]]-C_Thuy_TH[[#This Row],[THANH TOÁN]]</f>
        <v>478278832</v>
      </c>
      <c r="K56" s="24"/>
    </row>
    <row r="57" spans="1:11" x14ac:dyDescent="0.25">
      <c r="A57" s="22">
        <v>9765</v>
      </c>
      <c r="B57" s="29">
        <v>46176</v>
      </c>
      <c r="C57" s="23" t="s">
        <v>13</v>
      </c>
      <c r="D57" s="37" t="s">
        <v>26</v>
      </c>
      <c r="E57" s="23" t="s">
        <v>40</v>
      </c>
      <c r="F57" s="31">
        <v>186</v>
      </c>
      <c r="G57" s="31">
        <v>36000</v>
      </c>
      <c r="H57" s="31">
        <f>C_Thuy_TH[[#This Row],[ĐƠN GIÁ]]*C_Thuy_TH[[#This Row],[SỐ LƯỢNG]]</f>
        <v>6696000</v>
      </c>
      <c r="I57" s="31"/>
      <c r="J57" s="31">
        <f>J56+C_Thuy_TH[[#This Row],[THÀNH TIỀN]]-C_Thuy_TH[[#This Row],[THANH TOÁN]]</f>
        <v>484974832</v>
      </c>
      <c r="K57" s="24"/>
    </row>
    <row r="58" spans="1:11" x14ac:dyDescent="0.25">
      <c r="A58" s="22"/>
      <c r="B58" s="29">
        <v>46174</v>
      </c>
      <c r="C58" s="23" t="s">
        <v>21</v>
      </c>
      <c r="D58" s="37" t="s">
        <v>22</v>
      </c>
      <c r="E58" s="23" t="s">
        <v>147</v>
      </c>
      <c r="F58" s="31">
        <v>0</v>
      </c>
      <c r="G58" s="31"/>
      <c r="H58" s="31">
        <f>C_Thuy_TH[[#This Row],[ĐƠN GIÁ]]*C_Thuy_TH[[#This Row],[SỐ LƯỢNG]]</f>
        <v>0</v>
      </c>
      <c r="I58" s="31">
        <v>100000000</v>
      </c>
      <c r="J58" s="31">
        <f>J57+C_Thuy_TH[[#This Row],[THÀNH TIỀN]]-C_Thuy_TH[[#This Row],[THANH TOÁN]]</f>
        <v>384974832</v>
      </c>
      <c r="K58" s="24"/>
    </row>
  </sheetData>
  <phoneticPr fontId="9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2ACC8-1792-4807-A051-6FA339C91734}">
  <sheetPr codeName="Sheet34"/>
  <dimension ref="A5:P78"/>
  <sheetViews>
    <sheetView topLeftCell="A4" workbookViewId="0">
      <selection activeCell="K17" sqref="K17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5.28515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1075845511</v>
      </c>
    </row>
    <row r="6" spans="1:16" ht="22.5" x14ac:dyDescent="0.25">
      <c r="D6" s="34" t="s">
        <v>686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ht="16.5" customHeight="1" x14ac:dyDescent="0.25">
      <c r="A10" s="22"/>
      <c r="B10" s="29">
        <v>46081</v>
      </c>
      <c r="C10" s="23" t="s">
        <v>12</v>
      </c>
      <c r="D10" s="37"/>
      <c r="E10" s="23"/>
      <c r="F10" s="31">
        <v>1</v>
      </c>
      <c r="G10" s="31">
        <v>183949000</v>
      </c>
      <c r="H10" s="31">
        <f>Cty_Van_Xuan[[#This Row],[ĐƠN GIÁ]]*Cty_Van_Xuan[[#This Row],[SỐ LƯỢNG]]</f>
        <v>183949000</v>
      </c>
      <c r="I10" s="31"/>
      <c r="J10" s="31">
        <f ca="1">N(INDIRECT("R[-1]C", FALSE)) + Cty_Van_Xuan[[#This Row],[THÀNH TIỀN]] - Cty_Van_Xuan[[#This Row],[THANH TOÁN]]</f>
        <v>183949000</v>
      </c>
      <c r="K10" s="24"/>
    </row>
    <row r="11" spans="1:16" x14ac:dyDescent="0.25">
      <c r="A11" s="45">
        <v>7815</v>
      </c>
      <c r="B11" s="155">
        <v>46084</v>
      </c>
      <c r="C11" s="49" t="s">
        <v>13</v>
      </c>
      <c r="D11" s="46" t="s">
        <v>50</v>
      </c>
      <c r="E11" s="48" t="s">
        <v>2152</v>
      </c>
      <c r="F11" s="47">
        <v>106</v>
      </c>
      <c r="G11" s="47">
        <v>58000</v>
      </c>
      <c r="H11" s="47">
        <f>Cty_Van_Xuan[[#This Row],[ĐƠN GIÁ]]*Cty_Van_Xuan[[#This Row],[SỐ LƯỢNG]]</f>
        <v>6148000</v>
      </c>
      <c r="I11" s="47"/>
      <c r="J11" s="31">
        <f ca="1">N(INDIRECT("R[-1]C", FALSE)) + Cty_Van_Xuan[[#This Row],[THÀNH TIỀN]] - Cty_Van_Xuan[[#This Row],[THANH TOÁN]]</f>
        <v>190097000</v>
      </c>
      <c r="K11" s="42"/>
    </row>
    <row r="12" spans="1:16" x14ac:dyDescent="0.25">
      <c r="A12" s="45">
        <v>7815</v>
      </c>
      <c r="B12" s="155">
        <v>46084</v>
      </c>
      <c r="C12" s="49" t="s">
        <v>13</v>
      </c>
      <c r="D12" s="46" t="s">
        <v>50</v>
      </c>
      <c r="E12" s="48" t="s">
        <v>2001</v>
      </c>
      <c r="F12" s="47">
        <v>286</v>
      </c>
      <c r="G12" s="47">
        <v>58000</v>
      </c>
      <c r="H12" s="47">
        <f>Cty_Van_Xuan[[#This Row],[ĐƠN GIÁ]]*Cty_Van_Xuan[[#This Row],[SỐ LƯỢNG]]</f>
        <v>16588000</v>
      </c>
      <c r="I12" s="47"/>
      <c r="J12" s="31">
        <f ca="1">N(INDIRECT("R[-1]C", FALSE)) + Cty_Van_Xuan[[#This Row],[THÀNH TIỀN]] - Cty_Van_Xuan[[#This Row],[THANH TOÁN]]</f>
        <v>206685000</v>
      </c>
      <c r="K12" s="24"/>
    </row>
    <row r="13" spans="1:16" x14ac:dyDescent="0.25">
      <c r="A13" s="22">
        <v>1883</v>
      </c>
      <c r="B13" s="29">
        <v>46084</v>
      </c>
      <c r="C13" s="23" t="s">
        <v>692</v>
      </c>
      <c r="D13" s="37" t="s">
        <v>109</v>
      </c>
      <c r="E13" s="23" t="s">
        <v>693</v>
      </c>
      <c r="F13" s="31">
        <v>876</v>
      </c>
      <c r="G13" s="31">
        <v>-54500</v>
      </c>
      <c r="H13" s="31">
        <f>Cty_Van_Xuan[[#This Row],[ĐƠN GIÁ]]*Cty_Van_Xuan[[#This Row],[SỐ LƯỢNG]]</f>
        <v>-47742000</v>
      </c>
      <c r="I13" s="31"/>
      <c r="J13" s="31">
        <f ca="1">N(INDIRECT("R[-1]C", FALSE)) + Cty_Van_Xuan[[#This Row],[THÀNH TIỀN]] - Cty_Van_Xuan[[#This Row],[THANH TOÁN]]</f>
        <v>158943000</v>
      </c>
      <c r="K13" s="24"/>
    </row>
    <row r="14" spans="1:16" x14ac:dyDescent="0.25">
      <c r="A14" s="22">
        <v>1883</v>
      </c>
      <c r="B14" s="29">
        <v>46084</v>
      </c>
      <c r="C14" s="23" t="s">
        <v>692</v>
      </c>
      <c r="D14" s="37" t="s">
        <v>109</v>
      </c>
      <c r="E14" s="23" t="s">
        <v>694</v>
      </c>
      <c r="F14" s="31">
        <v>2912</v>
      </c>
      <c r="G14" s="31">
        <v>-54500</v>
      </c>
      <c r="H14" s="31">
        <f>Cty_Van_Xuan[[#This Row],[ĐƠN GIÁ]]*Cty_Van_Xuan[[#This Row],[SỐ LƯỢNG]]</f>
        <v>-158704000</v>
      </c>
      <c r="I14" s="28"/>
      <c r="J14" s="31">
        <f ca="1">N(INDIRECT("R[-1]C", FALSE)) + Cty_Van_Xuan[[#This Row],[THÀNH TIỀN]] - Cty_Van_Xuan[[#This Row],[THANH TOÁN]]</f>
        <v>239000</v>
      </c>
      <c r="K14" s="27"/>
      <c r="P14" s="35"/>
    </row>
    <row r="15" spans="1:16" x14ac:dyDescent="0.25">
      <c r="A15" s="22">
        <v>1883</v>
      </c>
      <c r="B15" s="29">
        <v>46084</v>
      </c>
      <c r="C15" s="26" t="s">
        <v>692</v>
      </c>
      <c r="D15" s="37" t="s">
        <v>109</v>
      </c>
      <c r="E15" s="23" t="s">
        <v>695</v>
      </c>
      <c r="F15" s="31">
        <v>5822</v>
      </c>
      <c r="G15" s="31">
        <v>-54500</v>
      </c>
      <c r="H15" s="31">
        <f>Cty_Van_Xuan[[#This Row],[ĐƠN GIÁ]]*Cty_Van_Xuan[[#This Row],[SỐ LƯỢNG]]</f>
        <v>-317299000</v>
      </c>
      <c r="I15" s="31"/>
      <c r="J15" s="31">
        <f ca="1">N(INDIRECT("R[-1]C", FALSE)) + Cty_Van_Xuan[[#This Row],[THÀNH TIỀN]] - Cty_Van_Xuan[[#This Row],[THANH TOÁN]]</f>
        <v>-317060000</v>
      </c>
      <c r="K15" s="24"/>
    </row>
    <row r="16" spans="1:16" x14ac:dyDescent="0.25">
      <c r="A16" s="25">
        <v>1881</v>
      </c>
      <c r="B16" s="30">
        <v>46084</v>
      </c>
      <c r="C16" s="26" t="s">
        <v>692</v>
      </c>
      <c r="D16" s="38" t="s">
        <v>109</v>
      </c>
      <c r="E16" s="26" t="s">
        <v>696</v>
      </c>
      <c r="F16" s="28">
        <v>2036</v>
      </c>
      <c r="G16" s="28">
        <v>-54500</v>
      </c>
      <c r="H16" s="31">
        <f>Cty_Van_Xuan[[#This Row],[ĐƠN GIÁ]]*Cty_Van_Xuan[[#This Row],[SỐ LƯỢNG]]</f>
        <v>-110962000</v>
      </c>
      <c r="I16" s="28">
        <f>-646000000-400000000</f>
        <v>-1046000000</v>
      </c>
      <c r="J16" s="31">
        <f ca="1">N(INDIRECT("R[-1]C", FALSE)) + Cty_Van_Xuan[[#This Row],[THÀNH TIỀN]] - Cty_Van_Xuan[[#This Row],[THANH TOÁN]]</f>
        <v>617978000</v>
      </c>
      <c r="K16" s="27" t="s">
        <v>2537</v>
      </c>
    </row>
    <row r="17" spans="1:11" x14ac:dyDescent="0.25">
      <c r="A17" s="25">
        <v>1875</v>
      </c>
      <c r="B17" s="30">
        <v>46084</v>
      </c>
      <c r="C17" s="26" t="s">
        <v>692</v>
      </c>
      <c r="D17" s="38" t="s">
        <v>109</v>
      </c>
      <c r="E17" s="26" t="s">
        <v>697</v>
      </c>
      <c r="F17" s="28">
        <v>164</v>
      </c>
      <c r="G17" s="28">
        <v>-64000</v>
      </c>
      <c r="H17" s="31">
        <f>Cty_Van_Xuan[[#This Row],[ĐƠN GIÁ]]*Cty_Van_Xuan[[#This Row],[SỐ LƯỢNG]]</f>
        <v>-10496000</v>
      </c>
      <c r="I17" s="28">
        <v>-150000000</v>
      </c>
      <c r="J17" s="31">
        <f ca="1">N(INDIRECT("R[-1]C", FALSE)) + Cty_Van_Xuan[[#This Row],[THÀNH TIỀN]] - Cty_Van_Xuan[[#This Row],[THANH TOÁN]]</f>
        <v>757482000</v>
      </c>
      <c r="K17" s="27"/>
    </row>
    <row r="18" spans="1:11" x14ac:dyDescent="0.25">
      <c r="A18" s="22">
        <v>1875</v>
      </c>
      <c r="B18" s="29">
        <v>46084</v>
      </c>
      <c r="C18" s="23" t="s">
        <v>692</v>
      </c>
      <c r="D18" s="37" t="s">
        <v>109</v>
      </c>
      <c r="E18" s="23" t="s">
        <v>698</v>
      </c>
      <c r="F18" s="31">
        <v>336</v>
      </c>
      <c r="G18" s="31">
        <v>-64000</v>
      </c>
      <c r="H18" s="31">
        <f>Cty_Van_Xuan[[#This Row],[ĐƠN GIÁ]]*Cty_Van_Xuan[[#This Row],[SỐ LƯỢNG]]</f>
        <v>-21504000</v>
      </c>
      <c r="I18" s="31"/>
      <c r="J18" s="31">
        <f ca="1">N(INDIRECT("R[-1]C", FALSE)) + Cty_Van_Xuan[[#This Row],[THÀNH TIỀN]] - Cty_Van_Xuan[[#This Row],[THANH TOÁN]]</f>
        <v>735978000</v>
      </c>
      <c r="K18" s="24"/>
    </row>
    <row r="19" spans="1:11" x14ac:dyDescent="0.25">
      <c r="A19" s="25">
        <v>7857</v>
      </c>
      <c r="B19" s="30">
        <v>46086</v>
      </c>
      <c r="C19" s="26" t="s">
        <v>13</v>
      </c>
      <c r="D19" s="38" t="s">
        <v>14</v>
      </c>
      <c r="E19" s="115" t="s">
        <v>687</v>
      </c>
      <c r="F19" s="28">
        <v>98</v>
      </c>
      <c r="G19" s="28">
        <v>44000</v>
      </c>
      <c r="H19" s="31">
        <f>Cty_Van_Xuan[[#This Row],[ĐƠN GIÁ]]*Cty_Van_Xuan[[#This Row],[SỐ LƯỢNG]]</f>
        <v>4312000</v>
      </c>
      <c r="I19" s="28"/>
      <c r="J19" s="31">
        <f ca="1">N(INDIRECT("R[-1]C", FALSE)) + Cty_Van_Xuan[[#This Row],[THÀNH TIỀN]] - Cty_Van_Xuan[[#This Row],[THANH TOÁN]]</f>
        <v>740290000</v>
      </c>
      <c r="K19" s="27"/>
    </row>
    <row r="20" spans="1:11" x14ac:dyDescent="0.25">
      <c r="A20" s="25"/>
      <c r="B20" s="30">
        <v>46086</v>
      </c>
      <c r="C20" s="26" t="s">
        <v>21</v>
      </c>
      <c r="D20" s="38" t="s">
        <v>22</v>
      </c>
      <c r="E20" s="23" t="s">
        <v>261</v>
      </c>
      <c r="F20" s="31">
        <v>0</v>
      </c>
      <c r="G20" s="31">
        <v>0</v>
      </c>
      <c r="H20" s="31">
        <f>Cty_Van_Xuan[[#This Row],[ĐƠN GIÁ]]*Cty_Van_Xuan[[#This Row],[SỐ LƯỢNG]]</f>
        <v>0</v>
      </c>
      <c r="I20" s="31">
        <v>1045680407</v>
      </c>
      <c r="J20" s="31">
        <f ca="1">N(INDIRECT("R[-1]C", FALSE)) + Cty_Van_Xuan[[#This Row],[THÀNH TIỀN]] - Cty_Van_Xuan[[#This Row],[THANH TOÁN]]</f>
        <v>-305390407</v>
      </c>
      <c r="K20" s="24"/>
    </row>
    <row r="21" spans="1:11" x14ac:dyDescent="0.25">
      <c r="A21" s="25">
        <v>7940</v>
      </c>
      <c r="B21" s="30">
        <v>46090</v>
      </c>
      <c r="C21" s="26" t="s">
        <v>13</v>
      </c>
      <c r="D21" s="38" t="s">
        <v>50</v>
      </c>
      <c r="E21" s="49" t="s">
        <v>688</v>
      </c>
      <c r="F21" s="31">
        <v>470</v>
      </c>
      <c r="G21" s="31">
        <v>57000</v>
      </c>
      <c r="H21" s="31">
        <f>Cty_Van_Xuan[[#This Row],[ĐƠN GIÁ]]*Cty_Van_Xuan[[#This Row],[SỐ LƯỢNG]]</f>
        <v>26790000</v>
      </c>
      <c r="I21" s="31"/>
      <c r="J21" s="31">
        <f ca="1">N(INDIRECT("R[-1]C", FALSE)) + Cty_Van_Xuan[[#This Row],[THÀNH TIỀN]] - Cty_Van_Xuan[[#This Row],[THANH TOÁN]]</f>
        <v>-278600407</v>
      </c>
      <c r="K21" s="24"/>
    </row>
    <row r="22" spans="1:11" x14ac:dyDescent="0.25">
      <c r="A22" s="25">
        <v>7940</v>
      </c>
      <c r="B22" s="30">
        <v>46090</v>
      </c>
      <c r="C22" s="26" t="s">
        <v>13</v>
      </c>
      <c r="D22" s="38" t="s">
        <v>43</v>
      </c>
      <c r="E22" s="26" t="s">
        <v>248</v>
      </c>
      <c r="F22" s="28">
        <v>2700</v>
      </c>
      <c r="G22" s="28">
        <v>58000</v>
      </c>
      <c r="H22" s="31">
        <f>Cty_Van_Xuan[[#This Row],[ĐƠN GIÁ]]*Cty_Van_Xuan[[#This Row],[SỐ LƯỢNG]]</f>
        <v>156600000</v>
      </c>
      <c r="I22" s="28"/>
      <c r="J22" s="31">
        <f ca="1">N(INDIRECT("R[-1]C", FALSE)) + Cty_Van_Xuan[[#This Row],[THÀNH TIỀN]] - Cty_Van_Xuan[[#This Row],[THANH TOÁN]]</f>
        <v>-122000407</v>
      </c>
      <c r="K22" s="27"/>
    </row>
    <row r="23" spans="1:11" x14ac:dyDescent="0.25">
      <c r="A23" s="25">
        <v>7963</v>
      </c>
      <c r="B23" s="30">
        <v>46090</v>
      </c>
      <c r="C23" s="26" t="s">
        <v>13</v>
      </c>
      <c r="D23" s="38" t="s">
        <v>26</v>
      </c>
      <c r="E23" s="26" t="s">
        <v>689</v>
      </c>
      <c r="F23" s="28">
        <f>1608+901</f>
        <v>2509</v>
      </c>
      <c r="G23" s="28">
        <v>33000</v>
      </c>
      <c r="H23" s="31">
        <f>Cty_Van_Xuan[[#This Row],[ĐƠN GIÁ]]*Cty_Van_Xuan[[#This Row],[SỐ LƯỢNG]]</f>
        <v>82797000</v>
      </c>
      <c r="I23" s="28"/>
      <c r="J23" s="31">
        <f ca="1">N(INDIRECT("R[-1]C", FALSE)) + Cty_Van_Xuan[[#This Row],[THÀNH TIỀN]] - Cty_Van_Xuan[[#This Row],[THANH TOÁN]]</f>
        <v>-39203407</v>
      </c>
      <c r="K23" s="27"/>
    </row>
    <row r="24" spans="1:11" x14ac:dyDescent="0.25">
      <c r="A24" s="25">
        <v>2116</v>
      </c>
      <c r="B24" s="30">
        <v>46093</v>
      </c>
      <c r="C24" s="26" t="s">
        <v>692</v>
      </c>
      <c r="D24" s="38" t="s">
        <v>109</v>
      </c>
      <c r="E24" s="26" t="s">
        <v>699</v>
      </c>
      <c r="F24" s="28">
        <v>1644</v>
      </c>
      <c r="G24" s="28">
        <v>-56500</v>
      </c>
      <c r="H24" s="31">
        <f>Cty_Van_Xuan[[#This Row],[ĐƠN GIÁ]]*Cty_Van_Xuan[[#This Row],[SỐ LƯỢNG]]</f>
        <v>-92886000</v>
      </c>
      <c r="I24" s="28"/>
      <c r="J24" s="31">
        <f ca="1">N(INDIRECT("R[-1]C", FALSE)) + Cty_Van_Xuan[[#This Row],[THÀNH TIỀN]] - Cty_Van_Xuan[[#This Row],[THANH TOÁN]]</f>
        <v>-132089407</v>
      </c>
      <c r="K24" s="116"/>
    </row>
    <row r="25" spans="1:11" x14ac:dyDescent="0.25">
      <c r="A25" s="25">
        <v>2116</v>
      </c>
      <c r="B25" s="30">
        <v>46093</v>
      </c>
      <c r="C25" s="26" t="s">
        <v>692</v>
      </c>
      <c r="D25" s="38" t="s">
        <v>109</v>
      </c>
      <c r="E25" s="26" t="s">
        <v>700</v>
      </c>
      <c r="F25" s="28">
        <v>3656</v>
      </c>
      <c r="G25" s="28">
        <v>-56500</v>
      </c>
      <c r="H25" s="31">
        <f>Cty_Van_Xuan[[#This Row],[ĐƠN GIÁ]]*Cty_Van_Xuan[[#This Row],[SỐ LƯỢNG]]</f>
        <v>-206564000</v>
      </c>
      <c r="I25" s="28"/>
      <c r="J25" s="31">
        <f ca="1">N(INDIRECT("R[-1]C", FALSE)) + Cty_Van_Xuan[[#This Row],[THÀNH TIỀN]] - Cty_Van_Xuan[[#This Row],[THANH TOÁN]]</f>
        <v>-338653407</v>
      </c>
      <c r="K25" s="27"/>
    </row>
    <row r="26" spans="1:11" x14ac:dyDescent="0.25">
      <c r="A26" s="101"/>
      <c r="B26" s="102">
        <v>46093</v>
      </c>
      <c r="C26" s="103" t="s">
        <v>21</v>
      </c>
      <c r="D26" s="104" t="s">
        <v>22</v>
      </c>
      <c r="E26" s="92" t="s">
        <v>261</v>
      </c>
      <c r="F26" s="94">
        <v>0</v>
      </c>
      <c r="G26" s="94">
        <v>0</v>
      </c>
      <c r="H26" s="31">
        <f>Cty_Van_Xuan[[#This Row],[ĐƠN GIÁ]]*Cty_Van_Xuan[[#This Row],[SỐ LƯỢNG]]</f>
        <v>0</v>
      </c>
      <c r="I26" s="31">
        <v>148628200</v>
      </c>
      <c r="J26" s="31">
        <f ca="1">N(INDIRECT("R[-1]C", FALSE)) + Cty_Van_Xuan[[#This Row],[THÀNH TIỀN]] - Cty_Van_Xuan[[#This Row],[THANH TOÁN]]</f>
        <v>-487281607</v>
      </c>
      <c r="K26" s="24"/>
    </row>
    <row r="27" spans="1:11" x14ac:dyDescent="0.25">
      <c r="A27" s="22">
        <v>8289</v>
      </c>
      <c r="B27" s="29">
        <v>46102</v>
      </c>
      <c r="C27" s="23" t="s">
        <v>13</v>
      </c>
      <c r="D27" s="37" t="s">
        <v>103</v>
      </c>
      <c r="E27" s="23" t="s">
        <v>690</v>
      </c>
      <c r="F27" s="31">
        <v>3132</v>
      </c>
      <c r="G27" s="31">
        <v>37000</v>
      </c>
      <c r="H27" s="31">
        <f>Cty_Van_Xuan[[#This Row],[ĐƠN GIÁ]]*Cty_Van_Xuan[[#This Row],[SỐ LƯỢNG]]</f>
        <v>115884000</v>
      </c>
      <c r="I27" s="31"/>
      <c r="J27" s="31">
        <f ca="1">N(INDIRECT("R[-1]C", FALSE)) + Cty_Van_Xuan[[#This Row],[THÀNH TIỀN]] - Cty_Van_Xuan[[#This Row],[THANH TOÁN]]</f>
        <v>-371397607</v>
      </c>
      <c r="K27" s="24"/>
    </row>
    <row r="28" spans="1:11" x14ac:dyDescent="0.25">
      <c r="A28" s="90">
        <v>8206</v>
      </c>
      <c r="B28" s="91">
        <v>46102</v>
      </c>
      <c r="C28" s="92" t="s">
        <v>13</v>
      </c>
      <c r="D28" s="93" t="s">
        <v>691</v>
      </c>
      <c r="E28" s="92" t="s">
        <v>1352</v>
      </c>
      <c r="F28" s="94">
        <v>1098</v>
      </c>
      <c r="G28" s="94">
        <v>37500</v>
      </c>
      <c r="H28" s="31">
        <f>Cty_Van_Xuan[[#This Row],[ĐƠN GIÁ]]*Cty_Van_Xuan[[#This Row],[SỐ LƯỢNG]]</f>
        <v>41175000</v>
      </c>
      <c r="I28" s="31"/>
      <c r="J28" s="31">
        <f ca="1">N(INDIRECT("R[-1]C", FALSE)) + Cty_Van_Xuan[[#This Row],[THÀNH TIỀN]] - Cty_Van_Xuan[[#This Row],[THANH TOÁN]]</f>
        <v>-330222607</v>
      </c>
      <c r="K28" s="24"/>
    </row>
    <row r="29" spans="1:11" x14ac:dyDescent="0.25">
      <c r="A29" s="22">
        <v>8458</v>
      </c>
      <c r="B29" s="29">
        <v>46113</v>
      </c>
      <c r="C29" s="23" t="s">
        <v>13</v>
      </c>
      <c r="D29" s="37" t="s">
        <v>691</v>
      </c>
      <c r="E29" s="23" t="s">
        <v>148</v>
      </c>
      <c r="F29" s="31">
        <v>5330</v>
      </c>
      <c r="G29" s="31">
        <v>37000</v>
      </c>
      <c r="H29" s="31">
        <f>Cty_Van_Xuan[[#This Row],[ĐƠN GIÁ]]*Cty_Van_Xuan[[#This Row],[SỐ LƯỢNG]]</f>
        <v>197210000</v>
      </c>
      <c r="I29" s="31"/>
      <c r="J29" s="31">
        <f ca="1">N(INDIRECT("R[-1]C", FALSE)) + Cty_Van_Xuan[[#This Row],[THÀNH TIỀN]] - Cty_Van_Xuan[[#This Row],[THANH TOÁN]]</f>
        <v>-133012607</v>
      </c>
      <c r="K29" s="24"/>
    </row>
    <row r="30" spans="1:11" x14ac:dyDescent="0.25">
      <c r="A30" s="22">
        <v>8588</v>
      </c>
      <c r="B30" s="29">
        <v>46118</v>
      </c>
      <c r="C30" s="23" t="s">
        <v>13</v>
      </c>
      <c r="D30" s="37" t="s">
        <v>135</v>
      </c>
      <c r="E30" s="23" t="s">
        <v>148</v>
      </c>
      <c r="F30" s="31">
        <v>1600</v>
      </c>
      <c r="G30" s="31">
        <v>37000</v>
      </c>
      <c r="H30" s="31">
        <f>Cty_Van_Xuan[[#This Row],[ĐƠN GIÁ]]*Cty_Van_Xuan[[#This Row],[SỐ LƯỢNG]]</f>
        <v>59200000</v>
      </c>
      <c r="I30" s="31"/>
      <c r="J30" s="31">
        <f ca="1">N(INDIRECT("R[-1]C", FALSE)) + Cty_Van_Xuan[[#This Row],[THÀNH TIỀN]] - Cty_Van_Xuan[[#This Row],[THANH TOÁN]]</f>
        <v>-73812607</v>
      </c>
      <c r="K30" s="24"/>
    </row>
    <row r="31" spans="1:11" x14ac:dyDescent="0.25">
      <c r="A31" s="22">
        <v>8670</v>
      </c>
      <c r="B31" s="29">
        <v>46122</v>
      </c>
      <c r="C31" s="23" t="s">
        <v>13</v>
      </c>
      <c r="D31" s="37" t="s">
        <v>691</v>
      </c>
      <c r="E31" s="23" t="s">
        <v>136</v>
      </c>
      <c r="F31" s="31">
        <v>4455</v>
      </c>
      <c r="G31" s="31">
        <v>36700</v>
      </c>
      <c r="H31" s="31">
        <f>Cty_Van_Xuan[[#This Row],[ĐƠN GIÁ]]*Cty_Van_Xuan[[#This Row],[SỐ LƯỢNG]]</f>
        <v>163498500</v>
      </c>
      <c r="I31" s="31"/>
      <c r="J31" s="31">
        <f ca="1">N(INDIRECT("R[-1]C", FALSE)) + Cty_Van_Xuan[[#This Row],[THÀNH TIỀN]] - Cty_Van_Xuan[[#This Row],[THANH TOÁN]]</f>
        <v>89685893</v>
      </c>
      <c r="K31" s="24"/>
    </row>
    <row r="32" spans="1:11" x14ac:dyDescent="0.25">
      <c r="A32" s="22">
        <v>8670</v>
      </c>
      <c r="B32" s="29">
        <v>46122</v>
      </c>
      <c r="C32" s="23" t="s">
        <v>13</v>
      </c>
      <c r="D32" s="37" t="s">
        <v>54</v>
      </c>
      <c r="E32" s="23" t="s">
        <v>221</v>
      </c>
      <c r="F32" s="31">
        <v>550</v>
      </c>
      <c r="G32" s="31">
        <v>35000</v>
      </c>
      <c r="H32" s="31">
        <f>Cty_Van_Xuan[[#This Row],[ĐƠN GIÁ]]*Cty_Van_Xuan[[#This Row],[SỐ LƯỢNG]]</f>
        <v>19250000</v>
      </c>
      <c r="I32" s="31"/>
      <c r="J32" s="31">
        <f ca="1">N(INDIRECT("R[-1]C", FALSE)) + Cty_Van_Xuan[[#This Row],[THÀNH TIỀN]] - Cty_Van_Xuan[[#This Row],[THANH TOÁN]]</f>
        <v>108935893</v>
      </c>
      <c r="K32" s="24"/>
    </row>
    <row r="33" spans="1:11" x14ac:dyDescent="0.25">
      <c r="A33" s="22">
        <v>8672</v>
      </c>
      <c r="B33" s="29">
        <v>46122</v>
      </c>
      <c r="C33" s="23" t="s">
        <v>13</v>
      </c>
      <c r="D33" s="37" t="s">
        <v>701</v>
      </c>
      <c r="E33" s="23" t="s">
        <v>136</v>
      </c>
      <c r="F33" s="31">
        <v>5276</v>
      </c>
      <c r="G33" s="31">
        <v>41000</v>
      </c>
      <c r="H33" s="31">
        <f>Cty_Van_Xuan[[#This Row],[ĐƠN GIÁ]]*Cty_Van_Xuan[[#This Row],[SỐ LƯỢNG]]</f>
        <v>216316000</v>
      </c>
      <c r="I33" s="31"/>
      <c r="J33" s="31">
        <f ca="1">N(INDIRECT("R[-1]C", FALSE)) + Cty_Van_Xuan[[#This Row],[THÀNH TIỀN]] - Cty_Van_Xuan[[#This Row],[THANH TOÁN]]</f>
        <v>325251893</v>
      </c>
      <c r="K33" s="24"/>
    </row>
    <row r="34" spans="1:11" x14ac:dyDescent="0.25">
      <c r="A34" s="22">
        <v>8688</v>
      </c>
      <c r="B34" s="29">
        <v>46122</v>
      </c>
      <c r="C34" s="23" t="s">
        <v>13</v>
      </c>
      <c r="D34" s="37" t="s">
        <v>702</v>
      </c>
      <c r="E34" s="23" t="s">
        <v>148</v>
      </c>
      <c r="F34" s="31">
        <v>5280</v>
      </c>
      <c r="G34" s="31">
        <v>41000</v>
      </c>
      <c r="H34" s="31">
        <f>Cty_Van_Xuan[[#This Row],[ĐƠN GIÁ]]*Cty_Van_Xuan[[#This Row],[SỐ LƯỢNG]]</f>
        <v>216480000</v>
      </c>
      <c r="I34" s="31"/>
      <c r="J34" s="31">
        <f ca="1">N(INDIRECT("R[-1]C", FALSE)) + Cty_Van_Xuan[[#This Row],[THÀNH TIỀN]] - Cty_Van_Xuan[[#This Row],[THANH TOÁN]]</f>
        <v>541731893</v>
      </c>
      <c r="K34" s="24"/>
    </row>
    <row r="35" spans="1:11" x14ac:dyDescent="0.25">
      <c r="A35" s="22">
        <v>8695</v>
      </c>
      <c r="B35" s="29">
        <v>46123</v>
      </c>
      <c r="C35" s="23" t="s">
        <v>13</v>
      </c>
      <c r="D35" s="37" t="s">
        <v>702</v>
      </c>
      <c r="E35" s="23" t="s">
        <v>41</v>
      </c>
      <c r="F35" s="31">
        <v>5465</v>
      </c>
      <c r="G35" s="31">
        <v>41000</v>
      </c>
      <c r="H35" s="31">
        <f>Cty_Van_Xuan[[#This Row],[ĐƠN GIÁ]]*Cty_Van_Xuan[[#This Row],[SỐ LƯỢNG]]</f>
        <v>224065000</v>
      </c>
      <c r="I35" s="31"/>
      <c r="J35" s="31">
        <f ca="1">N(INDIRECT("R[-1]C", FALSE)) + Cty_Van_Xuan[[#This Row],[THÀNH TIỀN]] - Cty_Van_Xuan[[#This Row],[THANH TOÁN]]</f>
        <v>765796893</v>
      </c>
      <c r="K35" s="24"/>
    </row>
    <row r="36" spans="1:11" x14ac:dyDescent="0.25">
      <c r="A36" s="22">
        <v>8695</v>
      </c>
      <c r="B36" s="29">
        <v>46123</v>
      </c>
      <c r="C36" s="23" t="s">
        <v>13</v>
      </c>
      <c r="D36" s="37" t="s">
        <v>702</v>
      </c>
      <c r="E36" s="23" t="s">
        <v>146</v>
      </c>
      <c r="F36" s="31">
        <v>4252</v>
      </c>
      <c r="G36" s="31">
        <v>41000</v>
      </c>
      <c r="H36" s="31">
        <f>Cty_Van_Xuan[[#This Row],[ĐƠN GIÁ]]*Cty_Van_Xuan[[#This Row],[SỐ LƯỢNG]]</f>
        <v>174332000</v>
      </c>
      <c r="I36" s="31"/>
      <c r="J36" s="31">
        <f ca="1">N(INDIRECT("R[-1]C", FALSE)) + Cty_Van_Xuan[[#This Row],[THÀNH TIỀN]] - Cty_Van_Xuan[[#This Row],[THANH TOÁN]]</f>
        <v>940128893</v>
      </c>
      <c r="K36" s="24"/>
    </row>
    <row r="37" spans="1:11" x14ac:dyDescent="0.25">
      <c r="A37" s="22">
        <v>2738</v>
      </c>
      <c r="B37" s="29">
        <v>46125</v>
      </c>
      <c r="C37" s="23" t="s">
        <v>692</v>
      </c>
      <c r="D37" s="37" t="s">
        <v>109</v>
      </c>
      <c r="E37" s="23" t="s">
        <v>707</v>
      </c>
      <c r="F37" s="31">
        <v>1100</v>
      </c>
      <c r="G37" s="31">
        <v>-59000</v>
      </c>
      <c r="H37" s="31">
        <f>Cty_Van_Xuan[[#This Row],[ĐƠN GIÁ]]*Cty_Van_Xuan[[#This Row],[SỐ LƯỢNG]]</f>
        <v>-64900000</v>
      </c>
      <c r="I37" s="31"/>
      <c r="J37" s="31">
        <f ca="1">N(INDIRECT("R[-1]C", FALSE)) + Cty_Van_Xuan[[#This Row],[THÀNH TIỀN]] - Cty_Van_Xuan[[#This Row],[THANH TOÁN]]</f>
        <v>875228893</v>
      </c>
      <c r="K37" s="24"/>
    </row>
    <row r="38" spans="1:11" x14ac:dyDescent="0.25">
      <c r="A38" s="22">
        <v>2738</v>
      </c>
      <c r="B38" s="29">
        <v>46125</v>
      </c>
      <c r="C38" s="23" t="s">
        <v>692</v>
      </c>
      <c r="D38" s="37" t="s">
        <v>109</v>
      </c>
      <c r="E38" s="23" t="s">
        <v>708</v>
      </c>
      <c r="F38" s="31">
        <v>292</v>
      </c>
      <c r="G38" s="31">
        <v>-59000</v>
      </c>
      <c r="H38" s="31">
        <f>Cty_Van_Xuan[[#This Row],[ĐƠN GIÁ]]*Cty_Van_Xuan[[#This Row],[SỐ LƯỢNG]]</f>
        <v>-17228000</v>
      </c>
      <c r="I38" s="31"/>
      <c r="J38" s="31">
        <f ca="1">N(INDIRECT("R[-1]C", FALSE)) + Cty_Van_Xuan[[#This Row],[THÀNH TIỀN]] - Cty_Van_Xuan[[#This Row],[THANH TOÁN]]</f>
        <v>858000893</v>
      </c>
      <c r="K38" s="24"/>
    </row>
    <row r="39" spans="1:11" x14ac:dyDescent="0.25">
      <c r="A39" s="22">
        <v>2738</v>
      </c>
      <c r="B39" s="29">
        <v>46125</v>
      </c>
      <c r="C39" s="23" t="s">
        <v>692</v>
      </c>
      <c r="D39" s="37" t="s">
        <v>109</v>
      </c>
      <c r="E39" s="23" t="s">
        <v>709</v>
      </c>
      <c r="F39" s="31">
        <v>182</v>
      </c>
      <c r="G39" s="31">
        <v>-59000</v>
      </c>
      <c r="H39" s="31">
        <f>Cty_Van_Xuan[[#This Row],[ĐƠN GIÁ]]*Cty_Van_Xuan[[#This Row],[SỐ LƯỢNG]]</f>
        <v>-10738000</v>
      </c>
      <c r="I39" s="31"/>
      <c r="J39" s="31">
        <f ca="1">N(INDIRECT("R[-1]C", FALSE)) + Cty_Van_Xuan[[#This Row],[THÀNH TIỀN]] - Cty_Van_Xuan[[#This Row],[THANH TOÁN]]</f>
        <v>847262893</v>
      </c>
      <c r="K39" s="24"/>
    </row>
    <row r="40" spans="1:11" x14ac:dyDescent="0.25">
      <c r="A40" s="22">
        <v>8770</v>
      </c>
      <c r="B40" s="29">
        <v>46126</v>
      </c>
      <c r="C40" s="23" t="s">
        <v>13</v>
      </c>
      <c r="D40" s="37" t="s">
        <v>703</v>
      </c>
      <c r="E40" s="23" t="s">
        <v>704</v>
      </c>
      <c r="F40" s="31">
        <v>378</v>
      </c>
      <c r="G40" s="31">
        <v>35000</v>
      </c>
      <c r="H40" s="31">
        <f>Cty_Van_Xuan[[#This Row],[ĐƠN GIÁ]]*Cty_Van_Xuan[[#This Row],[SỐ LƯỢNG]]</f>
        <v>13230000</v>
      </c>
      <c r="I40" s="31"/>
      <c r="J40" s="31">
        <f ca="1">N(INDIRECT("R[-1]C", FALSE)) + Cty_Van_Xuan[[#This Row],[THÀNH TIỀN]] - Cty_Van_Xuan[[#This Row],[THANH TOÁN]]</f>
        <v>860492893</v>
      </c>
      <c r="K40" s="24"/>
    </row>
    <row r="41" spans="1:11" x14ac:dyDescent="0.25">
      <c r="A41" s="22">
        <v>8770</v>
      </c>
      <c r="B41" s="29">
        <v>46126</v>
      </c>
      <c r="C41" s="23" t="s">
        <v>13</v>
      </c>
      <c r="D41" s="37" t="s">
        <v>703</v>
      </c>
      <c r="E41" s="23" t="s">
        <v>705</v>
      </c>
      <c r="F41" s="31">
        <v>166</v>
      </c>
      <c r="G41" s="31">
        <v>34000</v>
      </c>
      <c r="H41" s="31">
        <f>Cty_Van_Xuan[[#This Row],[ĐƠN GIÁ]]*Cty_Van_Xuan[[#This Row],[SỐ LƯỢNG]]</f>
        <v>5644000</v>
      </c>
      <c r="I41" s="31"/>
      <c r="J41" s="31">
        <f ca="1">N(INDIRECT("R[-1]C", FALSE)) + Cty_Van_Xuan[[#This Row],[THÀNH TIỀN]] - Cty_Van_Xuan[[#This Row],[THANH TOÁN]]</f>
        <v>866136893</v>
      </c>
      <c r="K41" s="24"/>
    </row>
    <row r="42" spans="1:11" x14ac:dyDescent="0.25">
      <c r="A42" s="22">
        <v>8770</v>
      </c>
      <c r="B42" s="29">
        <v>46126</v>
      </c>
      <c r="C42" s="23" t="s">
        <v>13</v>
      </c>
      <c r="D42" s="37" t="s">
        <v>703</v>
      </c>
      <c r="E42" s="23" t="s">
        <v>706</v>
      </c>
      <c r="F42" s="31">
        <v>188</v>
      </c>
      <c r="G42" s="31">
        <v>28000</v>
      </c>
      <c r="H42" s="31">
        <f>Cty_Van_Xuan[[#This Row],[ĐƠN GIÁ]]*Cty_Van_Xuan[[#This Row],[SỐ LƯỢNG]]</f>
        <v>5264000</v>
      </c>
      <c r="I42" s="31"/>
      <c r="J42" s="31">
        <f ca="1">N(INDIRECT("R[-1]C", FALSE)) + Cty_Van_Xuan[[#This Row],[THÀNH TIỀN]] - Cty_Van_Xuan[[#This Row],[THANH TOÁN]]</f>
        <v>871400893</v>
      </c>
      <c r="K42" s="24"/>
    </row>
    <row r="43" spans="1:11" x14ac:dyDescent="0.25">
      <c r="A43" s="22">
        <v>2680</v>
      </c>
      <c r="B43" s="29">
        <v>46126</v>
      </c>
      <c r="C43" s="23" t="s">
        <v>692</v>
      </c>
      <c r="D43" s="37" t="s">
        <v>109</v>
      </c>
      <c r="E43" s="23" t="s">
        <v>709</v>
      </c>
      <c r="F43" s="31">
        <v>732</v>
      </c>
      <c r="G43" s="31">
        <v>-59000</v>
      </c>
      <c r="H43" s="31">
        <f>Cty_Van_Xuan[[#This Row],[ĐƠN GIÁ]]*Cty_Van_Xuan[[#This Row],[SỐ LƯỢNG]]</f>
        <v>-43188000</v>
      </c>
      <c r="I43" s="31"/>
      <c r="J43" s="31">
        <f ca="1">N(INDIRECT("R[-1]C", FALSE)) + Cty_Van_Xuan[[#This Row],[THÀNH TIỀN]] - Cty_Van_Xuan[[#This Row],[THANH TOÁN]]</f>
        <v>828212893</v>
      </c>
      <c r="K43" s="24"/>
    </row>
    <row r="44" spans="1:11" x14ac:dyDescent="0.25">
      <c r="A44" s="90">
        <v>2676</v>
      </c>
      <c r="B44" s="91">
        <v>46126</v>
      </c>
      <c r="C44" s="92" t="s">
        <v>692</v>
      </c>
      <c r="D44" s="93" t="s">
        <v>109</v>
      </c>
      <c r="E44" s="92" t="s">
        <v>709</v>
      </c>
      <c r="F44" s="94">
        <v>182</v>
      </c>
      <c r="G44" s="94">
        <v>-59000</v>
      </c>
      <c r="H44" s="31">
        <f>Cty_Van_Xuan[[#This Row],[ĐƠN GIÁ]]*Cty_Van_Xuan[[#This Row],[SỐ LƯỢNG]]</f>
        <v>-10738000</v>
      </c>
      <c r="I44" s="31"/>
      <c r="J44" s="31">
        <f ca="1">N(INDIRECT("R[-1]C", FALSE)) + Cty_Van_Xuan[[#This Row],[THÀNH TIỀN]] - Cty_Van_Xuan[[#This Row],[THANH TOÁN]]</f>
        <v>817474893</v>
      </c>
      <c r="K44" s="24"/>
    </row>
    <row r="45" spans="1:11" x14ac:dyDescent="0.25">
      <c r="A45" s="22">
        <v>8788</v>
      </c>
      <c r="B45" s="29">
        <v>46127</v>
      </c>
      <c r="C45" s="23" t="s">
        <v>13</v>
      </c>
      <c r="D45" s="37" t="s">
        <v>26</v>
      </c>
      <c r="E45" s="23" t="s">
        <v>62</v>
      </c>
      <c r="F45" s="31">
        <v>1804</v>
      </c>
      <c r="G45" s="31">
        <v>33000</v>
      </c>
      <c r="H45" s="31">
        <f>Cty_Van_Xuan[[#This Row],[ĐƠN GIÁ]]*Cty_Van_Xuan[[#This Row],[SỐ LƯỢNG]]</f>
        <v>59532000</v>
      </c>
      <c r="I45" s="31"/>
      <c r="J45" s="31">
        <f ca="1">N(INDIRECT("R[-1]C", FALSE)) + Cty_Van_Xuan[[#This Row],[THÀNH TIỀN]] - Cty_Van_Xuan[[#This Row],[THANH TOÁN]]</f>
        <v>877006893</v>
      </c>
      <c r="K45" s="24">
        <v>1810</v>
      </c>
    </row>
    <row r="46" spans="1:11" x14ac:dyDescent="0.25">
      <c r="A46" s="151">
        <v>2768</v>
      </c>
      <c r="B46" s="152">
        <v>46127</v>
      </c>
      <c r="C46" s="55" t="s">
        <v>692</v>
      </c>
      <c r="D46" s="149" t="s">
        <v>109</v>
      </c>
      <c r="E46" s="55" t="s">
        <v>708</v>
      </c>
      <c r="F46" s="57">
        <v>874</v>
      </c>
      <c r="G46" s="57"/>
      <c r="H46" s="57">
        <f>Cty_Van_Xuan[[#This Row],[ĐƠN GIÁ]]*Cty_Van_Xuan[[#This Row],[SỐ LƯỢNG]]</f>
        <v>0</v>
      </c>
      <c r="I46" s="57"/>
      <c r="J46" s="57">
        <f ca="1">N(INDIRECT("R[-1]C", FALSE)) + Cty_Van_Xuan[[#This Row],[THÀNH TIỀN]] - Cty_Van_Xuan[[#This Row],[THANH TOÁN]]</f>
        <v>877006893</v>
      </c>
      <c r="K46" s="58"/>
    </row>
    <row r="47" spans="1:11" x14ac:dyDescent="0.25">
      <c r="A47" s="90">
        <v>8808</v>
      </c>
      <c r="B47" s="91">
        <v>46128</v>
      </c>
      <c r="C47" s="92" t="s">
        <v>13</v>
      </c>
      <c r="D47" s="93" t="s">
        <v>702</v>
      </c>
      <c r="E47" s="92" t="s">
        <v>136</v>
      </c>
      <c r="F47" s="94">
        <v>5242</v>
      </c>
      <c r="G47" s="94">
        <v>41000</v>
      </c>
      <c r="H47" s="31">
        <f>Cty_Van_Xuan[[#This Row],[ĐƠN GIÁ]]*Cty_Van_Xuan[[#This Row],[SỐ LƯỢNG]]</f>
        <v>214922000</v>
      </c>
      <c r="I47" s="31"/>
      <c r="J47" s="31">
        <f ca="1">N(INDIRECT("R[-1]C", FALSE)) + Cty_Van_Xuan[[#This Row],[THÀNH TIỀN]] - Cty_Van_Xuan[[#This Row],[THANH TOÁN]]</f>
        <v>1091928893</v>
      </c>
      <c r="K47" s="24"/>
    </row>
    <row r="48" spans="1:11" x14ac:dyDescent="0.25">
      <c r="A48" s="90">
        <v>8808</v>
      </c>
      <c r="B48" s="91">
        <v>46128</v>
      </c>
      <c r="C48" s="92" t="s">
        <v>13</v>
      </c>
      <c r="D48" s="93" t="s">
        <v>702</v>
      </c>
      <c r="E48" s="92" t="s">
        <v>146</v>
      </c>
      <c r="F48" s="94">
        <v>4228</v>
      </c>
      <c r="G48" s="94">
        <v>41000</v>
      </c>
      <c r="H48" s="31">
        <f>Cty_Van_Xuan[[#This Row],[ĐƠN GIÁ]]*Cty_Van_Xuan[[#This Row],[SỐ LƯỢNG]]</f>
        <v>173348000</v>
      </c>
      <c r="I48" s="31"/>
      <c r="J48" s="31">
        <f ca="1">N(INDIRECT("R[-1]C", FALSE)) + Cty_Van_Xuan[[#This Row],[THÀNH TIỀN]] - Cty_Van_Xuan[[#This Row],[THANH TOÁN]]</f>
        <v>1265276893</v>
      </c>
      <c r="K48" s="24"/>
    </row>
    <row r="49" spans="1:11" x14ac:dyDescent="0.25">
      <c r="A49" s="22"/>
      <c r="B49" s="29">
        <v>46132</v>
      </c>
      <c r="C49" s="23" t="s">
        <v>654</v>
      </c>
      <c r="D49" s="37" t="s">
        <v>22</v>
      </c>
      <c r="E49" s="23" t="s">
        <v>83</v>
      </c>
      <c r="F49" s="31">
        <v>0</v>
      </c>
      <c r="G49" s="31"/>
      <c r="H49" s="31">
        <f>Cty_Van_Xuan[[#This Row],[ĐƠN GIÁ]]*Cty_Van_Xuan[[#This Row],[SỐ LƯỢNG]]</f>
        <v>0</v>
      </c>
      <c r="I49" s="31">
        <v>-380000000</v>
      </c>
      <c r="J49" s="31">
        <f ca="1">N(INDIRECT("R[-1]C", FALSE)) + Cty_Van_Xuan[[#This Row],[THÀNH TIỀN]] - Cty_Van_Xuan[[#This Row],[THANH TOÁN]]</f>
        <v>1645276893</v>
      </c>
      <c r="K49" s="24"/>
    </row>
    <row r="50" spans="1:11" x14ac:dyDescent="0.25">
      <c r="A50" s="22">
        <v>8902</v>
      </c>
      <c r="B50" s="29">
        <v>46132</v>
      </c>
      <c r="C50" s="23" t="s">
        <v>13</v>
      </c>
      <c r="D50" s="37" t="s">
        <v>1739</v>
      </c>
      <c r="E50" s="23" t="s">
        <v>283</v>
      </c>
      <c r="F50" s="31">
        <v>5188</v>
      </c>
      <c r="G50" s="31">
        <v>36500</v>
      </c>
      <c r="H50" s="31">
        <f>Cty_Van_Xuan[[#This Row],[ĐƠN GIÁ]]*Cty_Van_Xuan[[#This Row],[SỐ LƯỢNG]]</f>
        <v>189362000</v>
      </c>
      <c r="I50" s="31"/>
      <c r="J50" s="31">
        <f ca="1">N(INDIRECT("R[-1]C", FALSE)) + Cty_Van_Xuan[[#This Row],[THÀNH TIỀN]] - Cty_Van_Xuan[[#This Row],[THANH TOÁN]]</f>
        <v>1834638893</v>
      </c>
      <c r="K50" s="24"/>
    </row>
    <row r="51" spans="1:11" x14ac:dyDescent="0.25">
      <c r="A51" s="22"/>
      <c r="B51" s="29">
        <v>46132</v>
      </c>
      <c r="C51" s="23" t="s">
        <v>21</v>
      </c>
      <c r="D51" s="37" t="s">
        <v>22</v>
      </c>
      <c r="E51" s="23" t="s">
        <v>261</v>
      </c>
      <c r="F51" s="31">
        <v>0</v>
      </c>
      <c r="G51" s="31"/>
      <c r="H51" s="31">
        <f>Cty_Van_Xuan[[#This Row],[ĐƠN GIÁ]]*Cty_Van_Xuan[[#This Row],[SỐ LƯỢNG]]</f>
        <v>0</v>
      </c>
      <c r="I51" s="31">
        <v>386380051</v>
      </c>
      <c r="J51" s="31">
        <f ca="1">N(INDIRECT("R[-1]C", FALSE)) + Cty_Van_Xuan[[#This Row],[THÀNH TIỀN]] - Cty_Van_Xuan[[#This Row],[THANH TOÁN]]</f>
        <v>1448258842</v>
      </c>
      <c r="K51" s="24"/>
    </row>
    <row r="52" spans="1:11" x14ac:dyDescent="0.25">
      <c r="A52" s="22"/>
      <c r="B52" s="29">
        <v>46136</v>
      </c>
      <c r="C52" s="23" t="s">
        <v>654</v>
      </c>
      <c r="D52" s="37" t="s">
        <v>22</v>
      </c>
      <c r="E52" s="23" t="s">
        <v>83</v>
      </c>
      <c r="F52" s="31">
        <v>0</v>
      </c>
      <c r="G52" s="31"/>
      <c r="H52" s="31">
        <f>Cty_Van_Xuan[[#This Row],[ĐƠN GIÁ]]*Cty_Van_Xuan[[#This Row],[SỐ LƯỢNG]]</f>
        <v>0</v>
      </c>
      <c r="I52" s="31">
        <v>-180000000</v>
      </c>
      <c r="J52" s="31">
        <f ca="1">N(INDIRECT("R[-1]C", FALSE)) + Cty_Van_Xuan[[#This Row],[THÀNH TIỀN]] - Cty_Van_Xuan[[#This Row],[THANH TOÁN]]</f>
        <v>1628258842</v>
      </c>
      <c r="K52" s="24"/>
    </row>
    <row r="53" spans="1:11" x14ac:dyDescent="0.25">
      <c r="A53" s="22">
        <v>8995</v>
      </c>
      <c r="B53" s="29">
        <v>46136</v>
      </c>
      <c r="C53" s="23" t="s">
        <v>13</v>
      </c>
      <c r="D53" s="37" t="s">
        <v>50</v>
      </c>
      <c r="E53" s="23" t="s">
        <v>288</v>
      </c>
      <c r="F53" s="31">
        <v>80</v>
      </c>
      <c r="G53" s="31">
        <v>62000</v>
      </c>
      <c r="H53" s="31">
        <f>Cty_Van_Xuan[[#This Row],[ĐƠN GIÁ]]*Cty_Van_Xuan[[#This Row],[SỐ LƯỢNG]]</f>
        <v>4960000</v>
      </c>
      <c r="I53" s="31"/>
      <c r="J53" s="31">
        <f ca="1">N(INDIRECT("R[-1]C", FALSE)) + Cty_Van_Xuan[[#This Row],[THÀNH TIỀN]] - Cty_Van_Xuan[[#This Row],[THANH TOÁN]]</f>
        <v>1633218842</v>
      </c>
      <c r="K53" s="24"/>
    </row>
    <row r="54" spans="1:11" x14ac:dyDescent="0.25">
      <c r="A54" s="22"/>
      <c r="B54" s="29">
        <v>46136</v>
      </c>
      <c r="C54" s="23" t="s">
        <v>654</v>
      </c>
      <c r="D54" s="37" t="s">
        <v>22</v>
      </c>
      <c r="E54" s="23" t="s">
        <v>261</v>
      </c>
      <c r="F54" s="31">
        <v>0</v>
      </c>
      <c r="G54" s="31"/>
      <c r="H54" s="31">
        <f>Cty_Van_Xuan[[#This Row],[ĐƠN GIÁ]]*Cty_Van_Xuan[[#This Row],[SỐ LƯỢNG]]</f>
        <v>0</v>
      </c>
      <c r="I54" s="31">
        <v>-300000000</v>
      </c>
      <c r="J54" s="31">
        <f ca="1">N(INDIRECT("R[-1]C", FALSE)) + Cty_Van_Xuan[[#This Row],[THÀNH TIỀN]] - Cty_Van_Xuan[[#This Row],[THANH TOÁN]]</f>
        <v>1933218842</v>
      </c>
      <c r="K54" s="24"/>
    </row>
    <row r="55" spans="1:11" x14ac:dyDescent="0.25">
      <c r="A55" s="90"/>
      <c r="B55" s="91">
        <v>46136</v>
      </c>
      <c r="C55" s="92" t="s">
        <v>21</v>
      </c>
      <c r="D55" s="93" t="s">
        <v>22</v>
      </c>
      <c r="E55" s="92" t="s">
        <v>261</v>
      </c>
      <c r="F55" s="94">
        <v>0</v>
      </c>
      <c r="G55" s="94"/>
      <c r="H55" s="31">
        <f>Cty_Van_Xuan[[#This Row],[ĐƠN GIÁ]]*Cty_Van_Xuan[[#This Row],[SỐ LƯỢNG]]</f>
        <v>0</v>
      </c>
      <c r="I55" s="31">
        <v>180000000</v>
      </c>
      <c r="J55" s="31">
        <f ca="1">N(INDIRECT("R[-1]C", FALSE)) + Cty_Van_Xuan[[#This Row],[THÀNH TIỀN]] - Cty_Van_Xuan[[#This Row],[THANH TOÁN]]</f>
        <v>1753218842</v>
      </c>
      <c r="K55" s="24"/>
    </row>
    <row r="56" spans="1:11" x14ac:dyDescent="0.25">
      <c r="A56" s="90"/>
      <c r="B56" s="91">
        <v>46136</v>
      </c>
      <c r="C56" s="92" t="s">
        <v>21</v>
      </c>
      <c r="D56" s="93" t="s">
        <v>22</v>
      </c>
      <c r="E56" s="92" t="s">
        <v>261</v>
      </c>
      <c r="F56" s="94">
        <v>0</v>
      </c>
      <c r="G56" s="94"/>
      <c r="H56" s="31">
        <f>Cty_Van_Xuan[[#This Row],[ĐƠN GIÁ]]*Cty_Van_Xuan[[#This Row],[SỐ LƯỢNG]]</f>
        <v>0</v>
      </c>
      <c r="I56" s="31">
        <v>300331664</v>
      </c>
      <c r="J56" s="31">
        <f ca="1">N(INDIRECT("R[-1]C", FALSE)) + Cty_Van_Xuan[[#This Row],[THÀNH TIỀN]] - Cty_Van_Xuan[[#This Row],[THANH TOÁN]]</f>
        <v>1452887178</v>
      </c>
      <c r="K56" s="24"/>
    </row>
    <row r="57" spans="1:11" x14ac:dyDescent="0.25">
      <c r="A57" s="22">
        <v>9016</v>
      </c>
      <c r="B57" s="29">
        <v>46137</v>
      </c>
      <c r="C57" s="23" t="s">
        <v>13</v>
      </c>
      <c r="D57" s="37" t="s">
        <v>1831</v>
      </c>
      <c r="E57" s="23" t="s">
        <v>141</v>
      </c>
      <c r="F57" s="31">
        <v>5340</v>
      </c>
      <c r="G57" s="31">
        <v>70000</v>
      </c>
      <c r="H57" s="31">
        <f>Cty_Van_Xuan[[#This Row],[ĐƠN GIÁ]]*Cty_Van_Xuan[[#This Row],[SỐ LƯỢNG]]</f>
        <v>373800000</v>
      </c>
      <c r="I57" s="31"/>
      <c r="J57" s="31">
        <f ca="1">N(INDIRECT("R[-1]C", FALSE)) + Cty_Van_Xuan[[#This Row],[THÀNH TIỀN]] - Cty_Van_Xuan[[#This Row],[THANH TOÁN]]</f>
        <v>1826687178</v>
      </c>
      <c r="K57" s="24"/>
    </row>
    <row r="58" spans="1:11" x14ac:dyDescent="0.25">
      <c r="A58" s="22">
        <v>9173</v>
      </c>
      <c r="B58" s="29">
        <v>46147</v>
      </c>
      <c r="C58" s="23" t="s">
        <v>13</v>
      </c>
      <c r="D58" s="37" t="s">
        <v>32</v>
      </c>
      <c r="E58" s="23" t="s">
        <v>230</v>
      </c>
      <c r="F58" s="31">
        <v>800</v>
      </c>
      <c r="G58" s="31">
        <v>45200</v>
      </c>
      <c r="H58" s="31">
        <f>Cty_Van_Xuan[[#This Row],[ĐƠN GIÁ]]*Cty_Van_Xuan[[#This Row],[SỐ LƯỢNG]]</f>
        <v>36160000</v>
      </c>
      <c r="I58" s="31"/>
      <c r="J58" s="31">
        <f ca="1">N(INDIRECT("R[-1]C", FALSE)) + Cty_Van_Xuan[[#This Row],[THÀNH TIỀN]] - Cty_Van_Xuan[[#This Row],[THANH TOÁN]]</f>
        <v>1862847178</v>
      </c>
      <c r="K58" s="24" t="s">
        <v>1805</v>
      </c>
    </row>
    <row r="59" spans="1:11" x14ac:dyDescent="0.25">
      <c r="A59" s="90">
        <v>2807</v>
      </c>
      <c r="B59" s="91">
        <v>46154</v>
      </c>
      <c r="C59" s="92" t="s">
        <v>692</v>
      </c>
      <c r="D59" s="93" t="s">
        <v>17</v>
      </c>
      <c r="E59" s="92" t="s">
        <v>2066</v>
      </c>
      <c r="F59" s="94">
        <v>4682</v>
      </c>
      <c r="G59" s="94">
        <v>-67000</v>
      </c>
      <c r="H59" s="31">
        <f>Cty_Van_Xuan[[#This Row],[ĐƠN GIÁ]]*Cty_Van_Xuan[[#This Row],[SỐ LƯỢNG]]</f>
        <v>-313694000</v>
      </c>
      <c r="I59" s="31"/>
      <c r="J59" s="31">
        <f ca="1">N(INDIRECT("R[-1]C", FALSE)) + Cty_Van_Xuan[[#This Row],[THÀNH TIỀN]] - Cty_Van_Xuan[[#This Row],[THANH TOÁN]]</f>
        <v>1549153178</v>
      </c>
      <c r="K59" s="24"/>
    </row>
    <row r="60" spans="1:11" x14ac:dyDescent="0.25">
      <c r="A60" s="22">
        <v>9349</v>
      </c>
      <c r="B60" s="29">
        <v>46155</v>
      </c>
      <c r="C60" s="23" t="s">
        <v>13</v>
      </c>
      <c r="D60" s="37" t="s">
        <v>2096</v>
      </c>
      <c r="E60" s="23" t="s">
        <v>250</v>
      </c>
      <c r="F60" s="31">
        <v>5816</v>
      </c>
      <c r="G60" s="31">
        <v>35500</v>
      </c>
      <c r="H60" s="31">
        <f>Cty_Van_Xuan[[#This Row],[ĐƠN GIÁ]]*Cty_Van_Xuan[[#This Row],[SỐ LƯỢNG]]</f>
        <v>206468000</v>
      </c>
      <c r="I60" s="31"/>
      <c r="J60" s="31">
        <f ca="1">N(INDIRECT("R[-1]C", FALSE)) + Cty_Van_Xuan[[#This Row],[THÀNH TIỀN]] - Cty_Van_Xuan[[#This Row],[THANH TOÁN]]</f>
        <v>1755621178</v>
      </c>
      <c r="K60" s="24"/>
    </row>
    <row r="61" spans="1:11" x14ac:dyDescent="0.25">
      <c r="A61" s="25">
        <v>9369</v>
      </c>
      <c r="B61" s="30">
        <v>46156</v>
      </c>
      <c r="C61" s="26" t="s">
        <v>13</v>
      </c>
      <c r="D61" s="38" t="s">
        <v>2096</v>
      </c>
      <c r="E61" s="26" t="s">
        <v>250</v>
      </c>
      <c r="F61" s="28">
        <v>6110</v>
      </c>
      <c r="G61" s="28">
        <v>35500</v>
      </c>
      <c r="H61" s="31">
        <f>Cty_Van_Xuan[[#This Row],[ĐƠN GIÁ]]*Cty_Van_Xuan[[#This Row],[SỐ LƯỢNG]]</f>
        <v>216905000</v>
      </c>
      <c r="I61" s="28"/>
      <c r="J61" s="31">
        <f ca="1">N(INDIRECT("R[-1]C", FALSE)) + Cty_Van_Xuan[[#This Row],[THÀNH TIỀN]] - Cty_Van_Xuan[[#This Row],[THANH TOÁN]]</f>
        <v>1972526178</v>
      </c>
      <c r="K61" s="27"/>
    </row>
    <row r="62" spans="1:11" x14ac:dyDescent="0.25">
      <c r="A62" s="22">
        <v>3220</v>
      </c>
      <c r="B62" s="29">
        <v>46157</v>
      </c>
      <c r="C62" s="23" t="s">
        <v>692</v>
      </c>
      <c r="D62" s="37" t="s">
        <v>43</v>
      </c>
      <c r="E62" s="23" t="s">
        <v>62</v>
      </c>
      <c r="F62" s="31">
        <v>5026</v>
      </c>
      <c r="G62" s="31">
        <v>-63000</v>
      </c>
      <c r="H62" s="31">
        <f>Cty_Van_Xuan[[#This Row],[ĐƠN GIÁ]]*Cty_Van_Xuan[[#This Row],[SỐ LƯỢNG]]</f>
        <v>-316638000</v>
      </c>
      <c r="I62" s="31"/>
      <c r="J62" s="31">
        <f ca="1">N(INDIRECT("R[-1]C", FALSE)) + Cty_Van_Xuan[[#This Row],[THÀNH TIỀN]] - Cty_Van_Xuan[[#This Row],[THANH TOÁN]]</f>
        <v>1655888178</v>
      </c>
      <c r="K62" s="24"/>
    </row>
    <row r="63" spans="1:11" x14ac:dyDescent="0.25">
      <c r="A63" s="22">
        <v>3355</v>
      </c>
      <c r="B63" s="29">
        <v>46160</v>
      </c>
      <c r="C63" s="23" t="s">
        <v>692</v>
      </c>
      <c r="D63" s="37" t="s">
        <v>109</v>
      </c>
      <c r="E63" s="23" t="s">
        <v>709</v>
      </c>
      <c r="F63" s="31">
        <v>1098</v>
      </c>
      <c r="G63" s="31">
        <v>-62000</v>
      </c>
      <c r="H63" s="31">
        <f>Cty_Van_Xuan[[#This Row],[ĐƠN GIÁ]]*Cty_Van_Xuan[[#This Row],[SỐ LƯỢNG]]</f>
        <v>-68076000</v>
      </c>
      <c r="I63" s="31"/>
      <c r="J63" s="31">
        <f ca="1">N(INDIRECT("R[-1]C", FALSE)) + Cty_Van_Xuan[[#This Row],[THÀNH TIỀN]] - Cty_Van_Xuan[[#This Row],[THANH TOÁN]]</f>
        <v>1587812178</v>
      </c>
      <c r="K63" s="24"/>
    </row>
    <row r="64" spans="1:11" x14ac:dyDescent="0.25">
      <c r="A64" s="25">
        <v>3355</v>
      </c>
      <c r="B64" s="30">
        <v>46160</v>
      </c>
      <c r="C64" s="26" t="s">
        <v>692</v>
      </c>
      <c r="D64" s="38" t="s">
        <v>109</v>
      </c>
      <c r="E64" s="26" t="s">
        <v>2211</v>
      </c>
      <c r="F64" s="28">
        <v>436</v>
      </c>
      <c r="G64" s="28">
        <v>-62000</v>
      </c>
      <c r="H64" s="31">
        <f>Cty_Van_Xuan[[#This Row],[ĐƠN GIÁ]]*Cty_Van_Xuan[[#This Row],[SỐ LƯỢNG]]</f>
        <v>-27032000</v>
      </c>
      <c r="I64" s="28"/>
      <c r="J64" s="28">
        <f ca="1">N(INDIRECT("R[-1]C", FALSE)) + Cty_Van_Xuan[[#This Row],[THÀNH TIỀN]] - Cty_Van_Xuan[[#This Row],[THANH TOÁN]]</f>
        <v>1560780178</v>
      </c>
      <c r="K64" s="27"/>
    </row>
    <row r="65" spans="1:11" x14ac:dyDescent="0.25">
      <c r="A65" s="22">
        <v>9522</v>
      </c>
      <c r="B65" s="29">
        <v>46163</v>
      </c>
      <c r="C65" s="23" t="s">
        <v>13</v>
      </c>
      <c r="D65" s="37" t="s">
        <v>195</v>
      </c>
      <c r="E65" s="23" t="s">
        <v>2261</v>
      </c>
      <c r="F65" s="31">
        <v>680</v>
      </c>
      <c r="G65" s="31">
        <v>29000</v>
      </c>
      <c r="H65" s="31">
        <f>Cty_Van_Xuan[[#This Row],[ĐƠN GIÁ]]*Cty_Van_Xuan[[#This Row],[SỐ LƯỢNG]]</f>
        <v>19720000</v>
      </c>
      <c r="I65" s="31"/>
      <c r="J65" s="31">
        <f ca="1">N(INDIRECT("R[-1]C", FALSE)) + Cty_Van_Xuan[[#This Row],[THÀNH TIỀN]] - Cty_Van_Xuan[[#This Row],[THANH TOÁN]]</f>
        <v>1580500178</v>
      </c>
      <c r="K65" s="24"/>
    </row>
    <row r="66" spans="1:11" x14ac:dyDescent="0.25">
      <c r="A66" s="22">
        <v>9522</v>
      </c>
      <c r="B66" s="29">
        <v>46163</v>
      </c>
      <c r="C66" s="23" t="s">
        <v>13</v>
      </c>
      <c r="D66" s="37" t="s">
        <v>26</v>
      </c>
      <c r="E66" s="23" t="s">
        <v>62</v>
      </c>
      <c r="F66" s="31">
        <v>1737</v>
      </c>
      <c r="G66" s="31">
        <v>33000</v>
      </c>
      <c r="H66" s="31">
        <f>Cty_Van_Xuan[[#This Row],[ĐƠN GIÁ]]*Cty_Van_Xuan[[#This Row],[SỐ LƯỢNG]]</f>
        <v>57321000</v>
      </c>
      <c r="I66" s="31"/>
      <c r="J66" s="31">
        <f ca="1">N(INDIRECT("R[-1]C", FALSE)) + Cty_Van_Xuan[[#This Row],[THÀNH TIỀN]] - Cty_Van_Xuan[[#This Row],[THANH TOÁN]]</f>
        <v>1637821178</v>
      </c>
      <c r="K66" s="24"/>
    </row>
    <row r="67" spans="1:11" x14ac:dyDescent="0.25">
      <c r="A67" s="22"/>
      <c r="B67" s="29">
        <v>46164</v>
      </c>
      <c r="C67" s="23" t="s">
        <v>21</v>
      </c>
      <c r="D67" s="37" t="s">
        <v>22</v>
      </c>
      <c r="E67" s="23" t="s">
        <v>261</v>
      </c>
      <c r="F67" s="31">
        <v>0</v>
      </c>
      <c r="G67" s="31"/>
      <c r="H67" s="31">
        <f>Cty_Van_Xuan[[#This Row],[ĐƠN GIÁ]]*Cty_Van_Xuan[[#This Row],[SỐ LƯỢNG]]</f>
        <v>0</v>
      </c>
      <c r="I67" s="31">
        <v>432799167</v>
      </c>
      <c r="J67" s="31">
        <f ca="1">N(INDIRECT("R[-1]C", FALSE)) + Cty_Van_Xuan[[#This Row],[THÀNH TIỀN]] - Cty_Van_Xuan[[#This Row],[THANH TOÁN]]</f>
        <v>1205022011</v>
      </c>
      <c r="K67" s="24"/>
    </row>
    <row r="68" spans="1:11" x14ac:dyDescent="0.25">
      <c r="A68" s="22">
        <v>9575</v>
      </c>
      <c r="B68" s="29">
        <v>46165</v>
      </c>
      <c r="C68" s="23" t="s">
        <v>13</v>
      </c>
      <c r="D68" s="37" t="s">
        <v>702</v>
      </c>
      <c r="E68" s="23" t="s">
        <v>2315</v>
      </c>
      <c r="F68" s="31">
        <v>510</v>
      </c>
      <c r="G68" s="31">
        <v>42000</v>
      </c>
      <c r="H68" s="31">
        <f>Cty_Van_Xuan[[#This Row],[ĐƠN GIÁ]]*Cty_Van_Xuan[[#This Row],[SỐ LƯỢNG]]</f>
        <v>21420000</v>
      </c>
      <c r="I68" s="31"/>
      <c r="J68" s="31">
        <f ca="1">N(INDIRECT("R[-1]C", FALSE)) + Cty_Van_Xuan[[#This Row],[THÀNH TIỀN]] - Cty_Van_Xuan[[#This Row],[THANH TOÁN]]</f>
        <v>1226442011</v>
      </c>
      <c r="K68" s="24">
        <v>514</v>
      </c>
    </row>
    <row r="69" spans="1:11" x14ac:dyDescent="0.25">
      <c r="A69" s="25">
        <v>3431</v>
      </c>
      <c r="B69" s="30">
        <v>46165</v>
      </c>
      <c r="C69" s="26" t="s">
        <v>692</v>
      </c>
      <c r="D69" s="38" t="s">
        <v>109</v>
      </c>
      <c r="E69" s="26" t="s">
        <v>1399</v>
      </c>
      <c r="F69" s="28">
        <v>2916</v>
      </c>
      <c r="G69" s="28">
        <v>-62000</v>
      </c>
      <c r="H69" s="28">
        <f>Cty_Van_Xuan[[#This Row],[ĐƠN GIÁ]]*Cty_Van_Xuan[[#This Row],[SỐ LƯỢNG]]</f>
        <v>-180792000</v>
      </c>
      <c r="I69" s="28"/>
      <c r="J69" s="28">
        <f ca="1">N(INDIRECT("R[-1]C", FALSE)) + Cty_Van_Xuan[[#This Row],[THÀNH TIỀN]] - Cty_Van_Xuan[[#This Row],[THANH TOÁN]]</f>
        <v>1045650011</v>
      </c>
      <c r="K69" s="27"/>
    </row>
    <row r="70" spans="1:11" x14ac:dyDescent="0.25">
      <c r="A70" s="22">
        <v>9589</v>
      </c>
      <c r="B70" s="29">
        <v>46165</v>
      </c>
      <c r="C70" s="23" t="s">
        <v>13</v>
      </c>
      <c r="D70" s="37" t="s">
        <v>2328</v>
      </c>
      <c r="E70" s="23" t="s">
        <v>1163</v>
      </c>
      <c r="F70" s="31">
        <v>6021</v>
      </c>
      <c r="G70" s="31">
        <v>35500</v>
      </c>
      <c r="H70" s="31">
        <f>Cty_Van_Xuan[[#This Row],[ĐƠN GIÁ]]*Cty_Van_Xuan[[#This Row],[SỐ LƯỢNG]]</f>
        <v>213745500</v>
      </c>
      <c r="I70" s="31"/>
      <c r="J70" s="31">
        <f ca="1">N(INDIRECT("R[-1]C", FALSE)) + Cty_Van_Xuan[[#This Row],[THÀNH TIỀN]] - Cty_Van_Xuan[[#This Row],[THANH TOÁN]]</f>
        <v>1259395511</v>
      </c>
      <c r="K70" s="24"/>
    </row>
    <row r="71" spans="1:11" x14ac:dyDescent="0.25">
      <c r="A71" s="22">
        <v>3462</v>
      </c>
      <c r="B71" s="29">
        <v>46168</v>
      </c>
      <c r="C71" s="23" t="s">
        <v>692</v>
      </c>
      <c r="D71" s="37" t="s">
        <v>109</v>
      </c>
      <c r="E71" s="23" t="s">
        <v>2351</v>
      </c>
      <c r="F71" s="31">
        <v>238</v>
      </c>
      <c r="G71" s="31">
        <v>-62000</v>
      </c>
      <c r="H71" s="31">
        <f>Cty_Van_Xuan[[#This Row],[ĐƠN GIÁ]]*Cty_Van_Xuan[[#This Row],[SỐ LƯỢNG]]</f>
        <v>-14756000</v>
      </c>
      <c r="I71" s="31"/>
      <c r="J71" s="31">
        <f ca="1">N(INDIRECT("R[-1]C", FALSE)) + Cty_Van_Xuan[[#This Row],[THÀNH TIỀN]] - Cty_Van_Xuan[[#This Row],[THANH TOÁN]]</f>
        <v>1244639511</v>
      </c>
      <c r="K71" s="24"/>
    </row>
    <row r="72" spans="1:11" x14ac:dyDescent="0.25">
      <c r="A72" s="22">
        <v>3462</v>
      </c>
      <c r="B72" s="29">
        <v>46168</v>
      </c>
      <c r="C72" s="23" t="s">
        <v>692</v>
      </c>
      <c r="D72" s="37" t="s">
        <v>109</v>
      </c>
      <c r="E72" s="23" t="s">
        <v>708</v>
      </c>
      <c r="F72" s="31">
        <v>1170</v>
      </c>
      <c r="G72" s="31">
        <v>-62000</v>
      </c>
      <c r="H72" s="31">
        <f>Cty_Van_Xuan[[#This Row],[ĐƠN GIÁ]]*Cty_Van_Xuan[[#This Row],[SỐ LƯỢNG]]</f>
        <v>-72540000</v>
      </c>
      <c r="I72" s="31"/>
      <c r="J72" s="31">
        <f ca="1">N(INDIRECT("R[-1]C", FALSE)) + Cty_Van_Xuan[[#This Row],[THÀNH TIỀN]] - Cty_Van_Xuan[[#This Row],[THANH TOÁN]]</f>
        <v>1172099511</v>
      </c>
      <c r="K72" s="24"/>
    </row>
    <row r="73" spans="1:11" x14ac:dyDescent="0.25">
      <c r="A73" s="22">
        <v>3462</v>
      </c>
      <c r="B73" s="29">
        <v>46168</v>
      </c>
      <c r="C73" s="23" t="s">
        <v>692</v>
      </c>
      <c r="D73" s="37" t="s">
        <v>109</v>
      </c>
      <c r="E73" s="23" t="s">
        <v>2352</v>
      </c>
      <c r="F73" s="31">
        <v>366</v>
      </c>
      <c r="G73" s="31">
        <v>-63000</v>
      </c>
      <c r="H73" s="31">
        <f>Cty_Van_Xuan[[#This Row],[ĐƠN GIÁ]]*Cty_Van_Xuan[[#This Row],[SỐ LƯỢNG]]</f>
        <v>-23058000</v>
      </c>
      <c r="I73" s="31"/>
      <c r="J73" s="31">
        <f ca="1">N(INDIRECT("R[-1]C", FALSE)) + Cty_Van_Xuan[[#This Row],[THÀNH TIỀN]] - Cty_Van_Xuan[[#This Row],[THANH TOÁN]]</f>
        <v>1149041511</v>
      </c>
      <c r="K73" s="24"/>
    </row>
    <row r="74" spans="1:11" x14ac:dyDescent="0.25">
      <c r="A74" s="22">
        <v>3462</v>
      </c>
      <c r="B74" s="29">
        <v>46168</v>
      </c>
      <c r="C74" s="23" t="s">
        <v>692</v>
      </c>
      <c r="D74" s="37" t="s">
        <v>109</v>
      </c>
      <c r="E74" s="23" t="s">
        <v>2353</v>
      </c>
      <c r="F74" s="31">
        <v>488</v>
      </c>
      <c r="G74" s="31">
        <v>-70000</v>
      </c>
      <c r="H74" s="31">
        <f>Cty_Van_Xuan[[#This Row],[ĐƠN GIÁ]]*Cty_Van_Xuan[[#This Row],[SỐ LƯỢNG]]</f>
        <v>-34160000</v>
      </c>
      <c r="I74" s="31"/>
      <c r="J74" s="31">
        <f ca="1">N(INDIRECT("R[-1]C", FALSE)) + Cty_Van_Xuan[[#This Row],[THÀNH TIỀN]] - Cty_Van_Xuan[[#This Row],[THANH TOÁN]]</f>
        <v>1114881511</v>
      </c>
      <c r="K74" s="24"/>
    </row>
    <row r="75" spans="1:11" x14ac:dyDescent="0.25">
      <c r="A75" s="22">
        <v>3462</v>
      </c>
      <c r="B75" s="29">
        <v>46168</v>
      </c>
      <c r="C75" s="23" t="s">
        <v>692</v>
      </c>
      <c r="D75" s="37" t="s">
        <v>109</v>
      </c>
      <c r="E75" s="23" t="s">
        <v>2354</v>
      </c>
      <c r="F75" s="31">
        <v>356</v>
      </c>
      <c r="G75" s="31">
        <v>-70000</v>
      </c>
      <c r="H75" s="31">
        <f>Cty_Van_Xuan[[#This Row],[ĐƠN GIÁ]]*Cty_Van_Xuan[[#This Row],[SỐ LƯỢNG]]</f>
        <v>-24920000</v>
      </c>
      <c r="I75" s="31"/>
      <c r="J75" s="31">
        <f ca="1">N(INDIRECT("R[-1]C", FALSE)) + Cty_Van_Xuan[[#This Row],[THÀNH TIỀN]] - Cty_Van_Xuan[[#This Row],[THANH TOÁN]]</f>
        <v>1089961511</v>
      </c>
      <c r="K75" s="24"/>
    </row>
    <row r="76" spans="1:11" x14ac:dyDescent="0.25">
      <c r="A76" s="25">
        <v>3468</v>
      </c>
      <c r="B76" s="30">
        <v>46168</v>
      </c>
      <c r="C76" s="26" t="s">
        <v>692</v>
      </c>
      <c r="D76" s="38" t="s">
        <v>109</v>
      </c>
      <c r="E76" s="26" t="s">
        <v>708</v>
      </c>
      <c r="F76" s="28">
        <v>296</v>
      </c>
      <c r="G76" s="28">
        <v>-62500</v>
      </c>
      <c r="H76" s="28">
        <f>Cty_Van_Xuan[[#This Row],[ĐƠN GIÁ]]*Cty_Van_Xuan[[#This Row],[SỐ LƯỢNG]]</f>
        <v>-18500000</v>
      </c>
      <c r="I76" s="28"/>
      <c r="J76" s="28">
        <f ca="1">N(INDIRECT("R[-1]C", FALSE)) + Cty_Van_Xuan[[#This Row],[THÀNH TIỀN]] - Cty_Van_Xuan[[#This Row],[THANH TOÁN]]</f>
        <v>1071461511</v>
      </c>
      <c r="K76" s="27"/>
    </row>
    <row r="77" spans="1:11" x14ac:dyDescent="0.25">
      <c r="A77" s="22">
        <v>9725</v>
      </c>
      <c r="B77" s="29">
        <v>46172</v>
      </c>
      <c r="C77" s="23" t="s">
        <v>13</v>
      </c>
      <c r="D77" s="37" t="s">
        <v>17</v>
      </c>
      <c r="E77" s="23" t="s">
        <v>2527</v>
      </c>
      <c r="F77" s="31">
        <v>64</v>
      </c>
      <c r="G77" s="31">
        <v>68500</v>
      </c>
      <c r="H77" s="31">
        <f>Cty_Van_Xuan[[#This Row],[ĐƠN GIÁ]]*Cty_Van_Xuan[[#This Row],[SỐ LƯỢNG]]</f>
        <v>4384000</v>
      </c>
      <c r="I77" s="31"/>
      <c r="J77" s="31">
        <f ca="1">N(INDIRECT("R[-1]C", FALSE)) + Cty_Van_Xuan[[#This Row],[THÀNH TIỀN]] - Cty_Van_Xuan[[#This Row],[THANH TOÁN]]</f>
        <v>1075845511</v>
      </c>
      <c r="K77" s="24"/>
    </row>
    <row r="78" spans="1:11" x14ac:dyDescent="0.25">
      <c r="A78" s="22"/>
      <c r="B78" s="29">
        <v>46171</v>
      </c>
      <c r="C78" s="23" t="s">
        <v>21</v>
      </c>
      <c r="D78" s="37" t="s">
        <v>260</v>
      </c>
      <c r="E78" s="23" t="s">
        <v>261</v>
      </c>
      <c r="F78" s="31">
        <v>0</v>
      </c>
      <c r="G78" s="31"/>
      <c r="H78" s="31">
        <f>Cty_Van_Xuan[[#This Row],[ĐƠN GIÁ]]*Cty_Van_Xuan[[#This Row],[SỐ LƯỢNG]]</f>
        <v>0</v>
      </c>
      <c r="I78" s="31">
        <v>388272841</v>
      </c>
      <c r="J78" s="31">
        <f ca="1">N(INDIRECT("R[-1]C", FALSE)) + Cty_Van_Xuan[[#This Row],[THÀNH TIỀN]] - Cty_Van_Xuan[[#This Row],[THANH TOÁN]]</f>
        <v>687572670</v>
      </c>
      <c r="K78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10C642-7F51-47FB-986A-26D50DFBB848}">
  <sheetPr codeName="Sheet33"/>
  <dimension ref="A5:P92"/>
  <sheetViews>
    <sheetView topLeftCell="A64" workbookViewId="0">
      <selection activeCell="A93" sqref="A93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703737000</v>
      </c>
    </row>
    <row r="6" spans="1:16" ht="22.5" x14ac:dyDescent="0.25">
      <c r="D6" s="34" t="s">
        <v>710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>
        <v>46081</v>
      </c>
      <c r="C10" s="23" t="s">
        <v>12</v>
      </c>
      <c r="D10" s="37"/>
      <c r="E10" s="23"/>
      <c r="F10" s="31">
        <v>1</v>
      </c>
      <c r="G10" s="31">
        <v>154050000</v>
      </c>
      <c r="H10" s="31">
        <f>E_Dac_ND[[#This Row],[ĐƠN GIÁ]]*E_Dac_ND[[#This Row],[SỐ LƯỢNG]]</f>
        <v>154050000</v>
      </c>
      <c r="I10" s="31"/>
      <c r="J10" s="31">
        <f ca="1">N(INDIRECT("R[-1]C", FALSE)) + E_Dac_ND[[#This Row],[THÀNH TIỀN]] - E_Dac_ND[[#This Row],[THANH TOÁN]]</f>
        <v>154050000</v>
      </c>
      <c r="K10" s="24"/>
    </row>
    <row r="11" spans="1:16" x14ac:dyDescent="0.25">
      <c r="A11" s="22">
        <v>7816</v>
      </c>
      <c r="B11" s="29">
        <v>46084</v>
      </c>
      <c r="C11" s="23" t="s">
        <v>13</v>
      </c>
      <c r="D11" s="37" t="s">
        <v>17</v>
      </c>
      <c r="E11" s="23" t="s">
        <v>711</v>
      </c>
      <c r="F11" s="31">
        <f>560-12+318-6</f>
        <v>860</v>
      </c>
      <c r="G11" s="31">
        <v>54000</v>
      </c>
      <c r="H11" s="31">
        <f>E_Dac_ND[[#This Row],[ĐƠN GIÁ]]*E_Dac_ND[[#This Row],[SỐ LƯỢNG]]</f>
        <v>46440000</v>
      </c>
      <c r="I11" s="31"/>
      <c r="J11" s="31">
        <f ca="1">N(INDIRECT("R[-1]C", FALSE)) + E_Dac_ND[[#This Row],[THÀNH TIỀN]] - E_Dac_ND[[#This Row],[THANH TOÁN]]</f>
        <v>200490000</v>
      </c>
      <c r="K11" s="24" t="s">
        <v>128</v>
      </c>
    </row>
    <row r="12" spans="1:16" x14ac:dyDescent="0.25">
      <c r="A12" s="25"/>
      <c r="B12" s="30">
        <v>46084</v>
      </c>
      <c r="C12" s="26" t="s">
        <v>21</v>
      </c>
      <c r="D12" s="38" t="s">
        <v>22</v>
      </c>
      <c r="E12" s="26" t="s">
        <v>718</v>
      </c>
      <c r="F12" s="28">
        <v>0</v>
      </c>
      <c r="G12" s="28">
        <v>0</v>
      </c>
      <c r="H12" s="28">
        <f>E_Dac_ND[[#This Row],[ĐƠN GIÁ]]*E_Dac_ND[[#This Row],[SỐ LƯỢNG]]</f>
        <v>0</v>
      </c>
      <c r="I12" s="28">
        <v>46440000</v>
      </c>
      <c r="J12" s="28">
        <f ca="1">N(INDIRECT("R[-1]C", FALSE)) + E_Dac_ND[[#This Row],[THÀNH TIỀN]] - E_Dac_ND[[#This Row],[THANH TOÁN]]</f>
        <v>154050000</v>
      </c>
      <c r="K12" s="27"/>
    </row>
    <row r="13" spans="1:16" x14ac:dyDescent="0.25">
      <c r="A13" s="25"/>
      <c r="B13" s="30">
        <v>46085</v>
      </c>
      <c r="C13" s="26" t="s">
        <v>21</v>
      </c>
      <c r="D13" s="38" t="s">
        <v>22</v>
      </c>
      <c r="E13" s="23" t="s">
        <v>23</v>
      </c>
      <c r="F13" s="31">
        <v>0</v>
      </c>
      <c r="G13" s="28">
        <v>0</v>
      </c>
      <c r="H13" s="31">
        <f>E_Dac_ND[[#This Row],[ĐƠN GIÁ]]*E_Dac_ND[[#This Row],[SỐ LƯỢNG]]</f>
        <v>0</v>
      </c>
      <c r="I13" s="31">
        <v>100000000</v>
      </c>
      <c r="J13" s="31">
        <f ca="1">N(INDIRECT("R[-1]C", FALSE)) + E_Dac_ND[[#This Row],[THÀNH TIỀN]] - E_Dac_ND[[#This Row],[THANH TOÁN]]</f>
        <v>54050000</v>
      </c>
      <c r="K13" s="24"/>
    </row>
    <row r="14" spans="1:16" x14ac:dyDescent="0.25">
      <c r="A14" s="25"/>
      <c r="B14" s="30">
        <v>46092</v>
      </c>
      <c r="C14" s="26" t="s">
        <v>21</v>
      </c>
      <c r="D14" s="38" t="s">
        <v>24</v>
      </c>
      <c r="E14" s="23"/>
      <c r="F14" s="31">
        <v>0</v>
      </c>
      <c r="G14" s="28"/>
      <c r="H14" s="31">
        <f>E_Dac_ND[[#This Row],[ĐƠN GIÁ]]*E_Dac_ND[[#This Row],[SỐ LƯỢNG]]</f>
        <v>0</v>
      </c>
      <c r="I14" s="31">
        <v>150000000</v>
      </c>
      <c r="J14" s="31">
        <f ca="1">N(INDIRECT("R[-1]C", FALSE)) + E_Dac_ND[[#This Row],[THÀNH TIỀN]] - E_Dac_ND[[#This Row],[THANH TOÁN]]</f>
        <v>-95950000</v>
      </c>
      <c r="K14" s="24"/>
      <c r="P14" s="35"/>
    </row>
    <row r="15" spans="1:16" x14ac:dyDescent="0.25">
      <c r="A15" s="25"/>
      <c r="B15" s="30">
        <v>46093</v>
      </c>
      <c r="C15" s="26" t="s">
        <v>21</v>
      </c>
      <c r="D15" s="38" t="s">
        <v>22</v>
      </c>
      <c r="E15" s="23" t="s">
        <v>718</v>
      </c>
      <c r="F15" s="31">
        <v>0</v>
      </c>
      <c r="G15" s="28">
        <v>0</v>
      </c>
      <c r="H15" s="31">
        <f>E_Dac_ND[[#This Row],[ĐƠN GIÁ]]*E_Dac_ND[[#This Row],[SỐ LƯỢNG]]</f>
        <v>0</v>
      </c>
      <c r="I15" s="31">
        <v>30000000</v>
      </c>
      <c r="J15" s="31">
        <f ca="1">N(INDIRECT("R[-1]C", FALSE)) + E_Dac_ND[[#This Row],[THÀNH TIỀN]] - E_Dac_ND[[#This Row],[THANH TOÁN]]</f>
        <v>-125950000</v>
      </c>
      <c r="K15" s="24"/>
    </row>
    <row r="16" spans="1:16" x14ac:dyDescent="0.25">
      <c r="A16" s="25"/>
      <c r="B16" s="30">
        <v>46093</v>
      </c>
      <c r="C16" s="26" t="s">
        <v>21</v>
      </c>
      <c r="D16" s="38" t="s">
        <v>22</v>
      </c>
      <c r="E16" s="23" t="s">
        <v>718</v>
      </c>
      <c r="F16" s="31">
        <v>0</v>
      </c>
      <c r="G16" s="28">
        <v>0</v>
      </c>
      <c r="H16" s="31">
        <f>E_Dac_ND[[#This Row],[ĐƠN GIÁ]]*E_Dac_ND[[#This Row],[SỐ LƯỢNG]]</f>
        <v>0</v>
      </c>
      <c r="I16" s="31">
        <v>20000000</v>
      </c>
      <c r="J16" s="31">
        <f ca="1">N(INDIRECT("R[-1]C", FALSE)) + E_Dac_ND[[#This Row],[THÀNH TIỀN]] - E_Dac_ND[[#This Row],[THANH TOÁN]]</f>
        <v>-145950000</v>
      </c>
      <c r="K16" s="24"/>
    </row>
    <row r="17" spans="1:11" x14ac:dyDescent="0.25">
      <c r="A17" s="25"/>
      <c r="B17" s="30">
        <v>46094</v>
      </c>
      <c r="C17" s="26" t="s">
        <v>21</v>
      </c>
      <c r="D17" s="38" t="s">
        <v>22</v>
      </c>
      <c r="E17" s="26" t="s">
        <v>718</v>
      </c>
      <c r="F17" s="28">
        <v>0</v>
      </c>
      <c r="G17" s="28">
        <v>0</v>
      </c>
      <c r="H17" s="28">
        <f>E_Dac_ND[[#This Row],[ĐƠN GIÁ]]*E_Dac_ND[[#This Row],[SỐ LƯỢNG]]</f>
        <v>0</v>
      </c>
      <c r="I17" s="28">
        <v>4050000</v>
      </c>
      <c r="J17" s="28">
        <f ca="1">N(INDIRECT("R[-1]C", FALSE)) + E_Dac_ND[[#This Row],[THÀNH TIỀN]] - E_Dac_ND[[#This Row],[THANH TOÁN]]</f>
        <v>-150000000</v>
      </c>
      <c r="K17" s="27"/>
    </row>
    <row r="18" spans="1:11" x14ac:dyDescent="0.25">
      <c r="A18" s="25">
        <v>8090</v>
      </c>
      <c r="B18" s="30">
        <v>46095</v>
      </c>
      <c r="C18" s="26" t="s">
        <v>13</v>
      </c>
      <c r="D18" s="38" t="s">
        <v>109</v>
      </c>
      <c r="E18" s="26" t="s">
        <v>712</v>
      </c>
      <c r="F18" s="28">
        <v>582</v>
      </c>
      <c r="G18" s="28">
        <v>54700</v>
      </c>
      <c r="H18" s="28">
        <f>E_Dac_ND[[#This Row],[ĐƠN GIÁ]]*E_Dac_ND[[#This Row],[SỐ LƯỢNG]]</f>
        <v>31835400</v>
      </c>
      <c r="I18" s="28"/>
      <c r="J18" s="28">
        <f ca="1">N(INDIRECT("R[-1]C", FALSE)) + E_Dac_ND[[#This Row],[THÀNH TIỀN]] - E_Dac_ND[[#This Row],[THANH TOÁN]]</f>
        <v>-118164600</v>
      </c>
      <c r="K18" s="27"/>
    </row>
    <row r="19" spans="1:11" x14ac:dyDescent="0.25">
      <c r="A19" s="25">
        <v>8090</v>
      </c>
      <c r="B19" s="30">
        <v>46095</v>
      </c>
      <c r="C19" s="26" t="s">
        <v>13</v>
      </c>
      <c r="D19" s="38" t="s">
        <v>109</v>
      </c>
      <c r="E19" s="26" t="s">
        <v>713</v>
      </c>
      <c r="F19" s="28">
        <v>1072</v>
      </c>
      <c r="G19" s="28">
        <v>54700</v>
      </c>
      <c r="H19" s="28">
        <f>E_Dac_ND[[#This Row],[ĐƠN GIÁ]]*E_Dac_ND[[#This Row],[SỐ LƯỢNG]]</f>
        <v>58638400</v>
      </c>
      <c r="I19" s="28"/>
      <c r="J19" s="28">
        <f ca="1">N(INDIRECT("R[-1]C", FALSE)) + E_Dac_ND[[#This Row],[THÀNH TIỀN]] - E_Dac_ND[[#This Row],[THANH TOÁN]]</f>
        <v>-59526200</v>
      </c>
      <c r="K19" s="27"/>
    </row>
    <row r="20" spans="1:11" x14ac:dyDescent="0.25">
      <c r="A20" s="25">
        <v>8090</v>
      </c>
      <c r="B20" s="30">
        <v>46095</v>
      </c>
      <c r="C20" s="26" t="s">
        <v>13</v>
      </c>
      <c r="D20" s="38" t="s">
        <v>109</v>
      </c>
      <c r="E20" s="26" t="s">
        <v>151</v>
      </c>
      <c r="F20" s="28">
        <v>180</v>
      </c>
      <c r="G20" s="28">
        <v>54700</v>
      </c>
      <c r="H20" s="28">
        <f>E_Dac_ND[[#This Row],[ĐƠN GIÁ]]*E_Dac_ND[[#This Row],[SỐ LƯỢNG]]</f>
        <v>9846000</v>
      </c>
      <c r="I20" s="28"/>
      <c r="J20" s="28">
        <f ca="1">N(INDIRECT("R[-1]C", FALSE)) + E_Dac_ND[[#This Row],[THÀNH TIỀN]] - E_Dac_ND[[#This Row],[THANH TOÁN]]</f>
        <v>-49680200</v>
      </c>
      <c r="K20" s="27"/>
    </row>
    <row r="21" spans="1:11" x14ac:dyDescent="0.25">
      <c r="A21" s="25">
        <v>8090</v>
      </c>
      <c r="B21" s="30">
        <v>46095</v>
      </c>
      <c r="C21" s="26" t="s">
        <v>13</v>
      </c>
      <c r="D21" s="38" t="s">
        <v>109</v>
      </c>
      <c r="E21" s="26" t="s">
        <v>714</v>
      </c>
      <c r="F21" s="28">
        <v>538</v>
      </c>
      <c r="G21" s="28">
        <v>54700</v>
      </c>
      <c r="H21" s="28">
        <f>E_Dac_ND[[#This Row],[ĐƠN GIÁ]]*E_Dac_ND[[#This Row],[SỐ LƯỢNG]]</f>
        <v>29428600</v>
      </c>
      <c r="I21" s="28"/>
      <c r="J21" s="28">
        <f ca="1">N(INDIRECT("R[-1]C", FALSE)) + E_Dac_ND[[#This Row],[THÀNH TIỀN]] - E_Dac_ND[[#This Row],[THANH TOÁN]]</f>
        <v>-20251600</v>
      </c>
      <c r="K21" s="27"/>
    </row>
    <row r="22" spans="1:11" x14ac:dyDescent="0.25">
      <c r="A22" s="25">
        <v>8090</v>
      </c>
      <c r="B22" s="30">
        <v>46095</v>
      </c>
      <c r="C22" s="26" t="s">
        <v>13</v>
      </c>
      <c r="D22" s="38" t="s">
        <v>109</v>
      </c>
      <c r="E22" s="26" t="s">
        <v>715</v>
      </c>
      <c r="F22" s="28">
        <v>720</v>
      </c>
      <c r="G22" s="28">
        <v>54700</v>
      </c>
      <c r="H22" s="28">
        <f>E_Dac_ND[[#This Row],[ĐƠN GIÁ]]*E_Dac_ND[[#This Row],[SỐ LƯỢNG]]</f>
        <v>39384000</v>
      </c>
      <c r="I22" s="28"/>
      <c r="J22" s="28">
        <f ca="1">N(INDIRECT("R[-1]C", FALSE)) + E_Dac_ND[[#This Row],[THÀNH TIỀN]] - E_Dac_ND[[#This Row],[THANH TOÁN]]</f>
        <v>19132400</v>
      </c>
      <c r="K22" s="27"/>
    </row>
    <row r="23" spans="1:11" x14ac:dyDescent="0.25">
      <c r="A23" s="25"/>
      <c r="B23" s="30">
        <v>46095</v>
      </c>
      <c r="C23" s="26" t="s">
        <v>21</v>
      </c>
      <c r="D23" s="38" t="s">
        <v>22</v>
      </c>
      <c r="E23" s="26" t="s">
        <v>718</v>
      </c>
      <c r="F23" s="28">
        <v>0</v>
      </c>
      <c r="G23" s="28">
        <v>0</v>
      </c>
      <c r="H23" s="28">
        <f>E_Dac_ND[[#This Row],[ĐƠN GIÁ]]*E_Dac_ND[[#This Row],[SỐ LƯỢNG]]</f>
        <v>0</v>
      </c>
      <c r="I23" s="28">
        <v>19132000</v>
      </c>
      <c r="J23" s="28">
        <f ca="1">N(INDIRECT("R[-1]C", FALSE)) + E_Dac_ND[[#This Row],[THÀNH TIỀN]] - E_Dac_ND[[#This Row],[THANH TOÁN]]</f>
        <v>400</v>
      </c>
      <c r="K23" s="27"/>
    </row>
    <row r="24" spans="1:11" x14ac:dyDescent="0.25">
      <c r="A24" s="25">
        <v>8308</v>
      </c>
      <c r="B24" s="30">
        <v>46105</v>
      </c>
      <c r="C24" s="26" t="s">
        <v>13</v>
      </c>
      <c r="D24" s="38" t="s">
        <v>17</v>
      </c>
      <c r="E24" s="26" t="s">
        <v>46</v>
      </c>
      <c r="F24" s="28">
        <v>1022</v>
      </c>
      <c r="G24" s="28">
        <v>58500</v>
      </c>
      <c r="H24" s="28">
        <f>E_Dac_ND[[#This Row],[ĐƠN GIÁ]]*E_Dac_ND[[#This Row],[SỐ LƯỢNG]]</f>
        <v>59787000</v>
      </c>
      <c r="I24" s="28"/>
      <c r="J24" s="28">
        <f ca="1">N(INDIRECT("R[-1]C", FALSE)) + E_Dac_ND[[#This Row],[THÀNH TIỀN]] - E_Dac_ND[[#This Row],[THANH TOÁN]]</f>
        <v>59787400</v>
      </c>
      <c r="K24" s="27"/>
    </row>
    <row r="25" spans="1:11" x14ac:dyDescent="0.25">
      <c r="A25" s="25"/>
      <c r="B25" s="30">
        <v>46105</v>
      </c>
      <c r="C25" s="26" t="s">
        <v>21</v>
      </c>
      <c r="D25" s="38" t="s">
        <v>22</v>
      </c>
      <c r="E25" s="26" t="s">
        <v>718</v>
      </c>
      <c r="F25" s="28">
        <v>0</v>
      </c>
      <c r="G25" s="28">
        <v>0</v>
      </c>
      <c r="H25" s="28">
        <f>E_Dac_ND[[#This Row],[ĐƠN GIÁ]]*E_Dac_ND[[#This Row],[SỐ LƯỢNG]]</f>
        <v>0</v>
      </c>
      <c r="I25" s="28">
        <f>10000000+49787000</f>
        <v>59787000</v>
      </c>
      <c r="J25" s="28">
        <f ca="1">N(INDIRECT("R[-1]C", FALSE)) + E_Dac_ND[[#This Row],[THÀNH TIỀN]] - E_Dac_ND[[#This Row],[THANH TOÁN]]</f>
        <v>400</v>
      </c>
      <c r="K25" s="27"/>
    </row>
    <row r="26" spans="1:11" x14ac:dyDescent="0.25">
      <c r="A26" s="25">
        <v>8349</v>
      </c>
      <c r="B26" s="30">
        <v>46107</v>
      </c>
      <c r="C26" s="26" t="s">
        <v>13</v>
      </c>
      <c r="D26" s="38" t="s">
        <v>17</v>
      </c>
      <c r="E26" s="26" t="s">
        <v>46</v>
      </c>
      <c r="F26" s="28">
        <v>1020</v>
      </c>
      <c r="G26" s="28">
        <v>59500</v>
      </c>
      <c r="H26" s="28">
        <f>E_Dac_ND[[#This Row],[ĐƠN GIÁ]]*E_Dac_ND[[#This Row],[SỐ LƯỢNG]]</f>
        <v>60690000</v>
      </c>
      <c r="I26" s="28"/>
      <c r="J26" s="28">
        <f ca="1">N(INDIRECT("R[-1]C", FALSE)) + E_Dac_ND[[#This Row],[THÀNH TIỀN]] - E_Dac_ND[[#This Row],[THANH TOÁN]]</f>
        <v>60690400</v>
      </c>
      <c r="K26" s="27"/>
    </row>
    <row r="27" spans="1:11" x14ac:dyDescent="0.25">
      <c r="A27" s="25">
        <v>8349</v>
      </c>
      <c r="B27" s="30">
        <v>46107</v>
      </c>
      <c r="C27" s="26" t="s">
        <v>13</v>
      </c>
      <c r="D27" s="38" t="s">
        <v>109</v>
      </c>
      <c r="E27" s="26" t="s">
        <v>716</v>
      </c>
      <c r="F27" s="28">
        <v>650</v>
      </c>
      <c r="G27" s="28">
        <v>55500</v>
      </c>
      <c r="H27" s="28">
        <f>E_Dac_ND[[#This Row],[ĐƠN GIÁ]]*E_Dac_ND[[#This Row],[SỐ LƯỢNG]]</f>
        <v>36075000</v>
      </c>
      <c r="I27" s="28"/>
      <c r="J27" s="28">
        <f ca="1">N(INDIRECT("R[-1]C", FALSE)) + E_Dac_ND[[#This Row],[THÀNH TIỀN]] - E_Dac_ND[[#This Row],[THANH TOÁN]]</f>
        <v>96765400</v>
      </c>
      <c r="K27" s="27"/>
    </row>
    <row r="28" spans="1:11" x14ac:dyDescent="0.25">
      <c r="A28" s="25"/>
      <c r="B28" s="30">
        <v>46107</v>
      </c>
      <c r="C28" s="26" t="s">
        <v>21</v>
      </c>
      <c r="D28" s="38" t="s">
        <v>22</v>
      </c>
      <c r="E28" s="26" t="s">
        <v>718</v>
      </c>
      <c r="F28" s="28">
        <v>0</v>
      </c>
      <c r="G28" s="28">
        <v>0</v>
      </c>
      <c r="H28" s="28">
        <f>E_Dac_ND[[#This Row],[ĐƠN GIÁ]]*E_Dac_ND[[#This Row],[SỐ LƯỢNG]]</f>
        <v>0</v>
      </c>
      <c r="I28" s="28">
        <f>61000000+35000000</f>
        <v>96000000</v>
      </c>
      <c r="J28" s="28">
        <f ca="1">N(INDIRECT("R[-1]C", FALSE)) + E_Dac_ND[[#This Row],[THÀNH TIỀN]] - E_Dac_ND[[#This Row],[THANH TOÁN]]</f>
        <v>765400</v>
      </c>
      <c r="K28" s="27"/>
    </row>
    <row r="29" spans="1:11" x14ac:dyDescent="0.25">
      <c r="A29" s="22">
        <v>8418</v>
      </c>
      <c r="B29" s="30">
        <v>46111</v>
      </c>
      <c r="C29" s="26" t="s">
        <v>13</v>
      </c>
      <c r="D29" s="38" t="s">
        <v>43</v>
      </c>
      <c r="E29" s="26" t="s">
        <v>688</v>
      </c>
      <c r="F29" s="28">
        <v>232</v>
      </c>
      <c r="G29" s="28">
        <v>55000</v>
      </c>
      <c r="H29" s="28">
        <f>E_Dac_ND[[#This Row],[ĐƠN GIÁ]]*E_Dac_ND[[#This Row],[SỐ LƯỢNG]]</f>
        <v>12760000</v>
      </c>
      <c r="I29" s="31"/>
      <c r="J29" s="31">
        <f ca="1">N(INDIRECT("R[-1]C", FALSE)) + E_Dac_ND[[#This Row],[THÀNH TIỀN]] - E_Dac_ND[[#This Row],[THANH TOÁN]]</f>
        <v>13525400</v>
      </c>
      <c r="K29" s="24"/>
    </row>
    <row r="30" spans="1:11" x14ac:dyDescent="0.25">
      <c r="A30" s="25">
        <v>8418</v>
      </c>
      <c r="B30" s="30">
        <v>46111</v>
      </c>
      <c r="C30" s="26" t="s">
        <v>13</v>
      </c>
      <c r="D30" s="38" t="s">
        <v>43</v>
      </c>
      <c r="E30" s="26" t="s">
        <v>717</v>
      </c>
      <c r="F30" s="28">
        <v>288</v>
      </c>
      <c r="G30" s="28">
        <v>55500</v>
      </c>
      <c r="H30" s="28">
        <f>E_Dac_ND[[#This Row],[ĐƠN GIÁ]]*E_Dac_ND[[#This Row],[SỐ LƯỢNG]]</f>
        <v>15984000</v>
      </c>
      <c r="I30" s="28"/>
      <c r="J30" s="28">
        <f ca="1">N(INDIRECT("R[-1]C", FALSE)) + E_Dac_ND[[#This Row],[THÀNH TIỀN]] - E_Dac_ND[[#This Row],[THANH TOÁN]]</f>
        <v>29509400</v>
      </c>
      <c r="K30" s="27"/>
    </row>
    <row r="31" spans="1:11" x14ac:dyDescent="0.25">
      <c r="A31" s="25">
        <v>8418</v>
      </c>
      <c r="B31" s="30">
        <v>46111</v>
      </c>
      <c r="C31" s="26" t="s">
        <v>13</v>
      </c>
      <c r="D31" s="38" t="s">
        <v>442</v>
      </c>
      <c r="E31" s="26" t="s">
        <v>73</v>
      </c>
      <c r="F31" s="28">
        <v>430</v>
      </c>
      <c r="G31" s="28">
        <v>55500</v>
      </c>
      <c r="H31" s="28">
        <f>E_Dac_ND[[#This Row],[ĐƠN GIÁ]]*E_Dac_ND[[#This Row],[SỐ LƯỢNG]]</f>
        <v>23865000</v>
      </c>
      <c r="I31" s="28"/>
      <c r="J31" s="28">
        <f ca="1">N(INDIRECT("R[-1]C", FALSE)) + E_Dac_ND[[#This Row],[THÀNH TIỀN]] - E_Dac_ND[[#This Row],[THANH TOÁN]]</f>
        <v>53374400</v>
      </c>
      <c r="K31" s="27"/>
    </row>
    <row r="32" spans="1:11" x14ac:dyDescent="0.25">
      <c r="A32" s="22"/>
      <c r="B32" s="29">
        <v>46111</v>
      </c>
      <c r="C32" s="23" t="s">
        <v>21</v>
      </c>
      <c r="D32" s="37" t="s">
        <v>22</v>
      </c>
      <c r="E32" s="23" t="s">
        <v>718</v>
      </c>
      <c r="F32" s="31">
        <v>0</v>
      </c>
      <c r="G32" s="31">
        <v>0</v>
      </c>
      <c r="H32" s="31">
        <f>E_Dac_ND[[#This Row],[ĐƠN GIÁ]]*E_Dac_ND[[#This Row],[SỐ LƯỢNG]]</f>
        <v>0</v>
      </c>
      <c r="I32" s="31">
        <v>53374000</v>
      </c>
      <c r="J32" s="31">
        <f ca="1">N(INDIRECT("R[-1]C", FALSE)) + E_Dac_ND[[#This Row],[THÀNH TIỀN]] - E_Dac_ND[[#This Row],[THANH TOÁN]]</f>
        <v>400</v>
      </c>
      <c r="K32" s="24"/>
    </row>
    <row r="33" spans="1:11" x14ac:dyDescent="0.25">
      <c r="A33" s="22">
        <v>8541</v>
      </c>
      <c r="B33" s="29">
        <v>46115</v>
      </c>
      <c r="C33" s="23" t="s">
        <v>13</v>
      </c>
      <c r="D33" s="37" t="s">
        <v>17</v>
      </c>
      <c r="E33" s="23" t="s">
        <v>46</v>
      </c>
      <c r="F33" s="31">
        <v>766</v>
      </c>
      <c r="G33" s="31">
        <v>60000</v>
      </c>
      <c r="H33" s="31">
        <f>E_Dac_ND[[#This Row],[ĐƠN GIÁ]]*E_Dac_ND[[#This Row],[SỐ LƯỢNG]]</f>
        <v>45960000</v>
      </c>
      <c r="I33" s="31"/>
      <c r="J33" s="31">
        <f ca="1">N(INDIRECT("R[-1]C", FALSE)) + E_Dac_ND[[#This Row],[THÀNH TIỀN]] - E_Dac_ND[[#This Row],[THANH TOÁN]]</f>
        <v>45960400</v>
      </c>
      <c r="K33" s="24"/>
    </row>
    <row r="34" spans="1:11" x14ac:dyDescent="0.25">
      <c r="A34" s="22"/>
      <c r="B34" s="29">
        <v>46115</v>
      </c>
      <c r="C34" s="23" t="s">
        <v>21</v>
      </c>
      <c r="D34" s="37" t="s">
        <v>22</v>
      </c>
      <c r="E34" s="23" t="s">
        <v>2067</v>
      </c>
      <c r="F34" s="31">
        <v>0</v>
      </c>
      <c r="G34" s="31"/>
      <c r="H34" s="31">
        <f>E_Dac_ND[[#This Row],[ĐƠN GIÁ]]*E_Dac_ND[[#This Row],[SỐ LƯỢNG]]</f>
        <v>0</v>
      </c>
      <c r="I34" s="31">
        <v>45960000</v>
      </c>
      <c r="J34" s="31">
        <f ca="1">N(INDIRECT("R[-1]C", FALSE)) + E_Dac_ND[[#This Row],[THÀNH TIỀN]] - E_Dac_ND[[#This Row],[THANH TOÁN]]</f>
        <v>400</v>
      </c>
      <c r="K34" s="24"/>
    </row>
    <row r="35" spans="1:11" x14ac:dyDescent="0.25">
      <c r="A35" s="22">
        <v>8576</v>
      </c>
      <c r="B35" s="29">
        <v>46118</v>
      </c>
      <c r="C35" s="23" t="s">
        <v>13</v>
      </c>
      <c r="D35" s="37" t="s">
        <v>17</v>
      </c>
      <c r="E35" s="23" t="s">
        <v>719</v>
      </c>
      <c r="F35" s="31">
        <v>480</v>
      </c>
      <c r="G35" s="31">
        <v>60000</v>
      </c>
      <c r="H35" s="31">
        <f>E_Dac_ND[[#This Row],[ĐƠN GIÁ]]*E_Dac_ND[[#This Row],[SỐ LƯỢNG]]</f>
        <v>28800000</v>
      </c>
      <c r="I35" s="31"/>
      <c r="J35" s="31">
        <f ca="1">N(INDIRECT("R[-1]C", FALSE)) + E_Dac_ND[[#This Row],[THÀNH TIỀN]] - E_Dac_ND[[#This Row],[THANH TOÁN]]</f>
        <v>28800400</v>
      </c>
      <c r="K35" s="24"/>
    </row>
    <row r="36" spans="1:11" x14ac:dyDescent="0.25">
      <c r="A36" s="22"/>
      <c r="B36" s="29">
        <v>46118</v>
      </c>
      <c r="C36" s="23" t="s">
        <v>21</v>
      </c>
      <c r="D36" s="37" t="s">
        <v>24</v>
      </c>
      <c r="E36" s="23"/>
      <c r="F36" s="31">
        <v>0</v>
      </c>
      <c r="G36" s="31"/>
      <c r="H36" s="31">
        <f>E_Dac_ND[[#This Row],[ĐƠN GIÁ]]*E_Dac_ND[[#This Row],[SỐ LƯỢNG]]</f>
        <v>0</v>
      </c>
      <c r="I36" s="31">
        <v>100000000</v>
      </c>
      <c r="J36" s="31">
        <f ca="1">N(INDIRECT("R[-1]C", FALSE)) + E_Dac_ND[[#This Row],[THÀNH TIỀN]] - E_Dac_ND[[#This Row],[THANH TOÁN]]</f>
        <v>-71199600</v>
      </c>
      <c r="K36" s="24"/>
    </row>
    <row r="37" spans="1:11" x14ac:dyDescent="0.25">
      <c r="A37" s="22"/>
      <c r="B37" s="29">
        <v>46120</v>
      </c>
      <c r="C37" s="23" t="s">
        <v>725</v>
      </c>
      <c r="D37" s="37" t="s">
        <v>22</v>
      </c>
      <c r="E37" s="23" t="s">
        <v>47</v>
      </c>
      <c r="F37" s="31">
        <v>0</v>
      </c>
      <c r="G37" s="31"/>
      <c r="H37" s="31">
        <f>E_Dac_ND[[#This Row],[ĐƠN GIÁ]]*E_Dac_ND[[#This Row],[SỐ LƯỢNG]]</f>
        <v>0</v>
      </c>
      <c r="I37" s="31">
        <v>20000000</v>
      </c>
      <c r="J37" s="31">
        <f ca="1">N(INDIRECT("R[-1]C", FALSE)) + E_Dac_ND[[#This Row],[THÀNH TIỀN]] - E_Dac_ND[[#This Row],[THANH TOÁN]]</f>
        <v>-91199600</v>
      </c>
      <c r="K37" s="24"/>
    </row>
    <row r="38" spans="1:11" x14ac:dyDescent="0.25">
      <c r="A38" s="22">
        <v>8648</v>
      </c>
      <c r="B38" s="29">
        <v>46121</v>
      </c>
      <c r="C38" s="23" t="s">
        <v>13</v>
      </c>
      <c r="D38" s="37" t="s">
        <v>17</v>
      </c>
      <c r="E38" s="23" t="s">
        <v>25</v>
      </c>
      <c r="F38" s="31">
        <v>482</v>
      </c>
      <c r="G38" s="31">
        <v>56000</v>
      </c>
      <c r="H38" s="31">
        <f>E_Dac_ND[[#This Row],[ĐƠN GIÁ]]*E_Dac_ND[[#This Row],[SỐ LƯỢNG]]</f>
        <v>26992000</v>
      </c>
      <c r="I38" s="31"/>
      <c r="J38" s="31">
        <f ca="1">N(INDIRECT("R[-1]C", FALSE)) + E_Dac_ND[[#This Row],[THÀNH TIỀN]] - E_Dac_ND[[#This Row],[THANH TOÁN]]</f>
        <v>-64207600</v>
      </c>
      <c r="K38" s="24"/>
    </row>
    <row r="39" spans="1:11" x14ac:dyDescent="0.25">
      <c r="A39" s="22">
        <v>8648</v>
      </c>
      <c r="B39" s="29">
        <v>46121</v>
      </c>
      <c r="C39" s="23" t="s">
        <v>13</v>
      </c>
      <c r="D39" s="37" t="s">
        <v>109</v>
      </c>
      <c r="E39" s="23" t="s">
        <v>678</v>
      </c>
      <c r="F39" s="31">
        <v>1488</v>
      </c>
      <c r="G39" s="31">
        <v>55500</v>
      </c>
      <c r="H39" s="31">
        <f>E_Dac_ND[[#This Row],[ĐƠN GIÁ]]*E_Dac_ND[[#This Row],[SỐ LƯỢNG]]</f>
        <v>82584000</v>
      </c>
      <c r="I39" s="31"/>
      <c r="J39" s="31">
        <f ca="1">N(INDIRECT("R[-1]C", FALSE)) + E_Dac_ND[[#This Row],[THÀNH TIỀN]] - E_Dac_ND[[#This Row],[THANH TOÁN]]</f>
        <v>18376400</v>
      </c>
      <c r="K39" s="24"/>
    </row>
    <row r="40" spans="1:11" x14ac:dyDescent="0.25">
      <c r="A40" s="22"/>
      <c r="B40" s="29">
        <v>46121</v>
      </c>
      <c r="C40" s="23" t="s">
        <v>21</v>
      </c>
      <c r="D40" s="37" t="s">
        <v>22</v>
      </c>
      <c r="E40" s="23" t="s">
        <v>726</v>
      </c>
      <c r="F40" s="31">
        <v>0</v>
      </c>
      <c r="G40" s="31"/>
      <c r="H40" s="31">
        <f>E_Dac_ND[[#This Row],[ĐƠN GIÁ]]*E_Dac_ND[[#This Row],[SỐ LƯỢNG]]</f>
        <v>0</v>
      </c>
      <c r="I40" s="31">
        <v>9576000</v>
      </c>
      <c r="J40" s="31">
        <f ca="1">N(INDIRECT("R[-1]C", FALSE)) + E_Dac_ND[[#This Row],[THÀNH TIỀN]] - E_Dac_ND[[#This Row],[THANH TOÁN]]</f>
        <v>8800400</v>
      </c>
      <c r="K40" s="24"/>
    </row>
    <row r="41" spans="1:11" x14ac:dyDescent="0.25">
      <c r="A41" s="22">
        <v>8684</v>
      </c>
      <c r="B41" s="29">
        <v>46122</v>
      </c>
      <c r="C41" s="23" t="s">
        <v>13</v>
      </c>
      <c r="D41" s="37" t="s">
        <v>17</v>
      </c>
      <c r="E41" s="23" t="s">
        <v>25</v>
      </c>
      <c r="F41" s="31">
        <v>898</v>
      </c>
      <c r="G41" s="31">
        <v>59500</v>
      </c>
      <c r="H41" s="31">
        <f>E_Dac_ND[[#This Row],[ĐƠN GIÁ]]*E_Dac_ND[[#This Row],[SỐ LƯỢNG]]</f>
        <v>53431000</v>
      </c>
      <c r="I41" s="31"/>
      <c r="J41" s="31">
        <f ca="1">N(INDIRECT("R[-1]C", FALSE)) + E_Dac_ND[[#This Row],[THÀNH TIỀN]] - E_Dac_ND[[#This Row],[THANH TOÁN]]</f>
        <v>62231400</v>
      </c>
      <c r="K41" s="24"/>
    </row>
    <row r="42" spans="1:11" x14ac:dyDescent="0.25">
      <c r="A42" s="22">
        <v>8684</v>
      </c>
      <c r="B42" s="29">
        <v>46122</v>
      </c>
      <c r="C42" s="23" t="s">
        <v>13</v>
      </c>
      <c r="D42" s="37" t="s">
        <v>720</v>
      </c>
      <c r="E42" s="23" t="s">
        <v>721</v>
      </c>
      <c r="F42" s="31">
        <v>482</v>
      </c>
      <c r="G42" s="31">
        <v>-1000</v>
      </c>
      <c r="H42" s="31">
        <f>E_Dac_ND[[#This Row],[ĐƠN GIÁ]]*E_Dac_ND[[#This Row],[SỐ LƯỢNG]]</f>
        <v>-482000</v>
      </c>
      <c r="I42" s="31"/>
      <c r="J42" s="31">
        <f ca="1">N(INDIRECT("R[-1]C", FALSE)) + E_Dac_ND[[#This Row],[THÀNH TIỀN]] - E_Dac_ND[[#This Row],[THANH TOÁN]]</f>
        <v>61749400</v>
      </c>
      <c r="K42" s="24"/>
    </row>
    <row r="43" spans="1:11" x14ac:dyDescent="0.25">
      <c r="A43" s="22"/>
      <c r="B43" s="29">
        <v>46122</v>
      </c>
      <c r="C43" s="23" t="s">
        <v>21</v>
      </c>
      <c r="D43" s="37" t="s">
        <v>22</v>
      </c>
      <c r="E43" s="23" t="s">
        <v>726</v>
      </c>
      <c r="F43" s="31">
        <v>0</v>
      </c>
      <c r="G43" s="31"/>
      <c r="H43" s="31">
        <f>E_Dac_ND[[#This Row],[ĐƠN GIÁ]]*E_Dac_ND[[#This Row],[SỐ LƯỢNG]]</f>
        <v>0</v>
      </c>
      <c r="I43" s="31">
        <v>25949000</v>
      </c>
      <c r="J43" s="31">
        <f ca="1">N(INDIRECT("R[-1]C", FALSE)) + E_Dac_ND[[#This Row],[THÀNH TIỀN]] - E_Dac_ND[[#This Row],[THANH TOÁN]]</f>
        <v>35800400</v>
      </c>
      <c r="K43" s="24"/>
    </row>
    <row r="44" spans="1:11" x14ac:dyDescent="0.25">
      <c r="A44" s="22"/>
      <c r="B44" s="29">
        <v>46122</v>
      </c>
      <c r="C44" s="23" t="s">
        <v>21</v>
      </c>
      <c r="D44" s="37" t="s">
        <v>22</v>
      </c>
      <c r="E44" s="23" t="s">
        <v>261</v>
      </c>
      <c r="F44" s="31">
        <v>0</v>
      </c>
      <c r="G44" s="31"/>
      <c r="H44" s="31">
        <f>E_Dac_ND[[#This Row],[ĐƠN GIÁ]]*E_Dac_ND[[#This Row],[SỐ LƯỢNG]]</f>
        <v>0</v>
      </c>
      <c r="I44" s="31">
        <v>28799760</v>
      </c>
      <c r="J44" s="31">
        <f ca="1">N(INDIRECT("R[-1]C", FALSE)) + E_Dac_ND[[#This Row],[THÀNH TIỀN]] - E_Dac_ND[[#This Row],[THANH TOÁN]]</f>
        <v>7000640</v>
      </c>
      <c r="K44" s="24"/>
    </row>
    <row r="45" spans="1:11" x14ac:dyDescent="0.25">
      <c r="A45" s="22"/>
      <c r="B45" s="29">
        <v>46122</v>
      </c>
      <c r="C45" s="23" t="s">
        <v>21</v>
      </c>
      <c r="D45" s="37" t="s">
        <v>24</v>
      </c>
      <c r="E45" s="23"/>
      <c r="F45" s="31">
        <v>0</v>
      </c>
      <c r="G45" s="31"/>
      <c r="H45" s="31">
        <f>E_Dac_ND[[#This Row],[ĐƠN GIÁ]]*E_Dac_ND[[#This Row],[SỐ LƯỢNG]]</f>
        <v>0</v>
      </c>
      <c r="I45" s="31">
        <v>27000000</v>
      </c>
      <c r="J45" s="31">
        <f ca="1">N(INDIRECT("R[-1]C", FALSE)) + E_Dac_ND[[#This Row],[THÀNH TIỀN]] - E_Dac_ND[[#This Row],[THANH TOÁN]]</f>
        <v>-19999360</v>
      </c>
      <c r="K45" s="24"/>
    </row>
    <row r="46" spans="1:11" x14ac:dyDescent="0.25">
      <c r="A46" s="22">
        <v>8828</v>
      </c>
      <c r="B46" s="29">
        <v>46128</v>
      </c>
      <c r="C46" s="23" t="s">
        <v>13</v>
      </c>
      <c r="D46" s="37" t="s">
        <v>50</v>
      </c>
      <c r="E46" s="23" t="s">
        <v>722</v>
      </c>
      <c r="F46" s="31">
        <v>1554</v>
      </c>
      <c r="G46" s="31">
        <v>56500</v>
      </c>
      <c r="H46" s="31">
        <f>E_Dac_ND[[#This Row],[ĐƠN GIÁ]]*E_Dac_ND[[#This Row],[SỐ LƯỢNG]]</f>
        <v>87801000</v>
      </c>
      <c r="I46" s="31"/>
      <c r="J46" s="31">
        <f ca="1">N(INDIRECT("R[-1]C", FALSE)) + E_Dac_ND[[#This Row],[THÀNH TIỀN]] - E_Dac_ND[[#This Row],[THANH TOÁN]]</f>
        <v>67801640</v>
      </c>
      <c r="K46" s="24"/>
    </row>
    <row r="47" spans="1:11" x14ac:dyDescent="0.25">
      <c r="A47" s="22">
        <v>8828</v>
      </c>
      <c r="B47" s="29">
        <v>46128</v>
      </c>
      <c r="C47" s="23" t="s">
        <v>680</v>
      </c>
      <c r="D47" s="37" t="s">
        <v>277</v>
      </c>
      <c r="E47" s="23">
        <v>0.4</v>
      </c>
      <c r="F47" s="31">
        <v>2</v>
      </c>
      <c r="G47" s="31">
        <v>-59500</v>
      </c>
      <c r="H47" s="31">
        <f>E_Dac_ND[[#This Row],[ĐƠN GIÁ]]*E_Dac_ND[[#This Row],[SỐ LƯỢNG]]</f>
        <v>-119000</v>
      </c>
      <c r="I47" s="31"/>
      <c r="J47" s="31">
        <f ca="1">N(INDIRECT("R[-1]C", FALSE)) + E_Dac_ND[[#This Row],[THÀNH TIỀN]] - E_Dac_ND[[#This Row],[THANH TOÁN]]</f>
        <v>67682640</v>
      </c>
      <c r="K47" s="24"/>
    </row>
    <row r="48" spans="1:11" x14ac:dyDescent="0.25">
      <c r="A48" s="22">
        <v>8838</v>
      </c>
      <c r="B48" s="29">
        <v>46128</v>
      </c>
      <c r="C48" s="23" t="s">
        <v>13</v>
      </c>
      <c r="D48" s="37" t="s">
        <v>17</v>
      </c>
      <c r="E48" s="23" t="s">
        <v>723</v>
      </c>
      <c r="F48" s="31">
        <v>1012</v>
      </c>
      <c r="G48" s="31">
        <v>55000</v>
      </c>
      <c r="H48" s="31">
        <f>E_Dac_ND[[#This Row],[ĐƠN GIÁ]]*E_Dac_ND[[#This Row],[SỐ LƯỢNG]]</f>
        <v>55660000</v>
      </c>
      <c r="I48" s="31"/>
      <c r="J48" s="31">
        <f ca="1">N(INDIRECT("R[-1]C", FALSE)) + E_Dac_ND[[#This Row],[THÀNH TIỀN]] - E_Dac_ND[[#This Row],[THANH TOÁN]]</f>
        <v>123342640</v>
      </c>
      <c r="K48" s="24" t="s">
        <v>42</v>
      </c>
    </row>
    <row r="49" spans="1:11" x14ac:dyDescent="0.25">
      <c r="A49" s="22">
        <v>8838</v>
      </c>
      <c r="B49" s="29">
        <v>46128</v>
      </c>
      <c r="C49" s="23" t="s">
        <v>13</v>
      </c>
      <c r="D49" s="37" t="s">
        <v>17</v>
      </c>
      <c r="E49" s="23" t="s">
        <v>469</v>
      </c>
      <c r="F49" s="31">
        <v>480</v>
      </c>
      <c r="G49" s="31">
        <v>55000</v>
      </c>
      <c r="H49" s="31">
        <f>E_Dac_ND[[#This Row],[ĐƠN GIÁ]]*E_Dac_ND[[#This Row],[SỐ LƯỢNG]]</f>
        <v>26400000</v>
      </c>
      <c r="I49" s="31"/>
      <c r="J49" s="31">
        <f ca="1">N(INDIRECT("R[-1]C", FALSE)) + E_Dac_ND[[#This Row],[THÀNH TIỀN]] - E_Dac_ND[[#This Row],[THANH TOÁN]]</f>
        <v>149742640</v>
      </c>
      <c r="K49" s="24" t="s">
        <v>42</v>
      </c>
    </row>
    <row r="50" spans="1:11" x14ac:dyDescent="0.25">
      <c r="A50" s="22">
        <v>8838</v>
      </c>
      <c r="B50" s="29">
        <v>46128</v>
      </c>
      <c r="C50" s="23" t="s">
        <v>13</v>
      </c>
      <c r="D50" s="37" t="s">
        <v>17</v>
      </c>
      <c r="E50" s="23" t="s">
        <v>724</v>
      </c>
      <c r="F50" s="31">
        <v>507</v>
      </c>
      <c r="G50" s="31">
        <v>55000</v>
      </c>
      <c r="H50" s="31">
        <f>E_Dac_ND[[#This Row],[ĐƠN GIÁ]]*E_Dac_ND[[#This Row],[SỐ LƯỢNG]]</f>
        <v>27885000</v>
      </c>
      <c r="I50" s="31"/>
      <c r="J50" s="31">
        <f ca="1">N(INDIRECT("R[-1]C", FALSE)) + E_Dac_ND[[#This Row],[THÀNH TIỀN]] - E_Dac_ND[[#This Row],[THANH TOÁN]]</f>
        <v>177627640</v>
      </c>
      <c r="K50" s="24" t="s">
        <v>42</v>
      </c>
    </row>
    <row r="51" spans="1:11" x14ac:dyDescent="0.25">
      <c r="A51" s="22">
        <v>8838</v>
      </c>
      <c r="B51" s="29">
        <v>46128</v>
      </c>
      <c r="C51" s="23" t="s">
        <v>13</v>
      </c>
      <c r="D51" s="37" t="s">
        <v>17</v>
      </c>
      <c r="E51" s="23" t="s">
        <v>44</v>
      </c>
      <c r="F51" s="31">
        <v>318</v>
      </c>
      <c r="G51" s="31">
        <v>55000</v>
      </c>
      <c r="H51" s="31">
        <f>E_Dac_ND[[#This Row],[ĐƠN GIÁ]]*E_Dac_ND[[#This Row],[SỐ LƯỢNG]]</f>
        <v>17490000</v>
      </c>
      <c r="I51" s="31"/>
      <c r="J51" s="31">
        <f ca="1">N(INDIRECT("R[-1]C", FALSE)) + E_Dac_ND[[#This Row],[THÀNH TIỀN]] - E_Dac_ND[[#This Row],[THANH TOÁN]]</f>
        <v>195117640</v>
      </c>
      <c r="K51" s="24" t="s">
        <v>42</v>
      </c>
    </row>
    <row r="52" spans="1:11" x14ac:dyDescent="0.25">
      <c r="A52" s="22"/>
      <c r="B52" s="29">
        <v>46128</v>
      </c>
      <c r="C52" s="23" t="s">
        <v>21</v>
      </c>
      <c r="D52" s="37" t="s">
        <v>24</v>
      </c>
      <c r="E52" s="23"/>
      <c r="F52" s="31">
        <v>0</v>
      </c>
      <c r="G52" s="31"/>
      <c r="H52" s="31">
        <f>E_Dac_ND[[#This Row],[ĐƠN GIÁ]]*E_Dac_ND[[#This Row],[SỐ LƯỢNG]]</f>
        <v>0</v>
      </c>
      <c r="I52" s="31">
        <v>500000000</v>
      </c>
      <c r="J52" s="31">
        <f ca="1">N(INDIRECT("R[-1]C", FALSE)) + E_Dac_ND[[#This Row],[THÀNH TIỀN]] - E_Dac_ND[[#This Row],[THANH TOÁN]]</f>
        <v>-304882360</v>
      </c>
      <c r="K52" s="24"/>
    </row>
    <row r="53" spans="1:11" x14ac:dyDescent="0.25">
      <c r="A53" s="22">
        <v>8853</v>
      </c>
      <c r="B53" s="29">
        <v>46129</v>
      </c>
      <c r="C53" s="23" t="s">
        <v>13</v>
      </c>
      <c r="D53" s="37" t="s">
        <v>17</v>
      </c>
      <c r="E53" s="23" t="s">
        <v>2073</v>
      </c>
      <c r="F53" s="31">
        <v>11094</v>
      </c>
      <c r="G53" s="31">
        <v>55000</v>
      </c>
      <c r="H53" s="31">
        <f>E_Dac_ND[[#This Row],[ĐƠN GIÁ]]*E_Dac_ND[[#This Row],[SỐ LƯỢNG]]</f>
        <v>610170000</v>
      </c>
      <c r="I53" s="31"/>
      <c r="J53" s="31">
        <f ca="1">N(INDIRECT("R[-1]C", FALSE)) + E_Dac_ND[[#This Row],[THÀNH TIỀN]] - E_Dac_ND[[#This Row],[THANH TOÁN]]</f>
        <v>305287640</v>
      </c>
      <c r="K53" s="24"/>
    </row>
    <row r="54" spans="1:11" x14ac:dyDescent="0.25">
      <c r="A54" s="22"/>
      <c r="B54" s="29">
        <v>46134</v>
      </c>
      <c r="C54" s="23" t="s">
        <v>21</v>
      </c>
      <c r="D54" s="37" t="s">
        <v>24</v>
      </c>
      <c r="E54" s="23"/>
      <c r="F54" s="31">
        <v>0</v>
      </c>
      <c r="G54" s="31"/>
      <c r="H54" s="31">
        <f>E_Dac_ND[[#This Row],[ĐƠN GIÁ]]*E_Dac_ND[[#This Row],[SỐ LƯỢNG]]</f>
        <v>0</v>
      </c>
      <c r="I54" s="31">
        <v>58000000</v>
      </c>
      <c r="J54" s="31">
        <f ca="1">N(INDIRECT("R[-1]C", FALSE)) + E_Dac_ND[[#This Row],[THÀNH TIỀN]] - E_Dac_ND[[#This Row],[THANH TOÁN]]</f>
        <v>247287640</v>
      </c>
      <c r="K54" s="24"/>
    </row>
    <row r="55" spans="1:11" x14ac:dyDescent="0.25">
      <c r="A55" s="22"/>
      <c r="B55" s="29">
        <v>46135</v>
      </c>
      <c r="C55" s="23" t="s">
        <v>21</v>
      </c>
      <c r="D55" s="37" t="s">
        <v>22</v>
      </c>
      <c r="E55" s="23" t="s">
        <v>726</v>
      </c>
      <c r="F55" s="31">
        <v>0</v>
      </c>
      <c r="G55" s="31"/>
      <c r="H55" s="31">
        <f>E_Dac_ND[[#This Row],[ĐƠN GIÁ]]*E_Dac_ND[[#This Row],[SỐ LƯỢNG]]</f>
        <v>0</v>
      </c>
      <c r="I55" s="31">
        <v>66792000</v>
      </c>
      <c r="J55" s="31">
        <f ca="1">N(INDIRECT("R[-1]C", FALSE)) + E_Dac_ND[[#This Row],[THÀNH TIỀN]] - E_Dac_ND[[#This Row],[THANH TOÁN]]</f>
        <v>180495640</v>
      </c>
      <c r="K55" s="24"/>
    </row>
    <row r="56" spans="1:11" x14ac:dyDescent="0.25">
      <c r="A56" s="22">
        <v>8964</v>
      </c>
      <c r="B56" s="29">
        <v>46135</v>
      </c>
      <c r="C56" s="23" t="s">
        <v>13</v>
      </c>
      <c r="D56" s="37" t="s">
        <v>17</v>
      </c>
      <c r="E56" s="23" t="s">
        <v>46</v>
      </c>
      <c r="F56" s="31">
        <v>1095</v>
      </c>
      <c r="G56" s="31">
        <v>60500</v>
      </c>
      <c r="H56" s="31">
        <f>E_Dac_ND[[#This Row],[ĐƠN GIÁ]]*E_Dac_ND[[#This Row],[SỐ LƯỢNG]]</f>
        <v>66247500</v>
      </c>
      <c r="I56" s="31"/>
      <c r="J56" s="31">
        <f ca="1">N(INDIRECT("R[-1]C", FALSE)) + E_Dac_ND[[#This Row],[THÀNH TIỀN]] - E_Dac_ND[[#This Row],[THANH TOÁN]]</f>
        <v>246743140</v>
      </c>
      <c r="K56" s="24"/>
    </row>
    <row r="57" spans="1:11" x14ac:dyDescent="0.25">
      <c r="A57" s="22"/>
      <c r="B57" s="29">
        <v>46135</v>
      </c>
      <c r="C57" s="23" t="s">
        <v>21</v>
      </c>
      <c r="D57" s="37" t="s">
        <v>22</v>
      </c>
      <c r="E57" s="23" t="s">
        <v>1907</v>
      </c>
      <c r="F57" s="31">
        <v>0</v>
      </c>
      <c r="G57" s="31"/>
      <c r="H57" s="31">
        <f>E_Dac_ND[[#This Row],[ĐƠN GIÁ]]*E_Dac_ND[[#This Row],[SỐ LƯỢNG]]</f>
        <v>0</v>
      </c>
      <c r="I57" s="31">
        <v>60000000</v>
      </c>
      <c r="J57" s="31">
        <f ca="1">N(INDIRECT("R[-1]C", FALSE)) + E_Dac_ND[[#This Row],[THÀNH TIỀN]] - E_Dac_ND[[#This Row],[THANH TOÁN]]</f>
        <v>186743140</v>
      </c>
      <c r="K57" s="24"/>
    </row>
    <row r="58" spans="1:11" x14ac:dyDescent="0.25">
      <c r="A58" s="22">
        <v>8987</v>
      </c>
      <c r="B58" s="29">
        <v>46136</v>
      </c>
      <c r="C58" s="23" t="s">
        <v>13</v>
      </c>
      <c r="D58" s="37" t="s">
        <v>17</v>
      </c>
      <c r="E58" s="23" t="s">
        <v>78</v>
      </c>
      <c r="F58" s="31">
        <v>576</v>
      </c>
      <c r="G58" s="31">
        <v>57000</v>
      </c>
      <c r="H58" s="31">
        <f>E_Dac_ND[[#This Row],[ĐƠN GIÁ]]*E_Dac_ND[[#This Row],[SỐ LƯỢNG]]</f>
        <v>32832000</v>
      </c>
      <c r="I58" s="31"/>
      <c r="J58" s="31">
        <f ca="1">N(INDIRECT("R[-1]C", FALSE)) + E_Dac_ND[[#This Row],[THÀNH TIỀN]] - E_Dac_ND[[#This Row],[THANH TOÁN]]</f>
        <v>219575140</v>
      </c>
      <c r="K58" s="24" t="s">
        <v>42</v>
      </c>
    </row>
    <row r="59" spans="1:11" x14ac:dyDescent="0.25">
      <c r="A59" s="22"/>
      <c r="B59" s="29">
        <v>46137</v>
      </c>
      <c r="C59" s="23" t="s">
        <v>21</v>
      </c>
      <c r="D59" s="37" t="s">
        <v>22</v>
      </c>
      <c r="E59" s="23" t="s">
        <v>727</v>
      </c>
      <c r="F59" s="31">
        <v>0</v>
      </c>
      <c r="G59" s="31"/>
      <c r="H59" s="31">
        <f>E_Dac_ND[[#This Row],[ĐƠN GIÁ]]*E_Dac_ND[[#This Row],[SỐ LƯỢNG]]</f>
        <v>0</v>
      </c>
      <c r="I59" s="31">
        <v>28304000</v>
      </c>
      <c r="J59" s="31">
        <f ca="1">N(INDIRECT("R[-1]C", FALSE)) + E_Dac_ND[[#This Row],[THÀNH TIỀN]] - E_Dac_ND[[#This Row],[THANH TOÁN]]</f>
        <v>191271140</v>
      </c>
      <c r="K59" s="24"/>
    </row>
    <row r="60" spans="1:11" x14ac:dyDescent="0.25">
      <c r="A60" s="22">
        <v>9027</v>
      </c>
      <c r="B60" s="29">
        <v>46137</v>
      </c>
      <c r="C60" s="23" t="s">
        <v>13</v>
      </c>
      <c r="D60" s="37" t="s">
        <v>17</v>
      </c>
      <c r="E60" s="23" t="s">
        <v>46</v>
      </c>
      <c r="F60" s="31">
        <v>464</v>
      </c>
      <c r="G60" s="31">
        <v>61000</v>
      </c>
      <c r="H60" s="31">
        <f>E_Dac_ND[[#This Row],[ĐƠN GIÁ]]*E_Dac_ND[[#This Row],[SỐ LƯỢNG]]</f>
        <v>28304000</v>
      </c>
      <c r="I60" s="31"/>
      <c r="J60" s="31">
        <f ca="1">N(INDIRECT("R[-1]C", FALSE)) + E_Dac_ND[[#This Row],[THÀNH TIỀN]] - E_Dac_ND[[#This Row],[THANH TOÁN]]</f>
        <v>219575140</v>
      </c>
      <c r="K60" s="24"/>
    </row>
    <row r="61" spans="1:11" x14ac:dyDescent="0.25">
      <c r="A61" s="22">
        <v>9061</v>
      </c>
      <c r="B61" s="29">
        <v>46139</v>
      </c>
      <c r="C61" s="23" t="s">
        <v>13</v>
      </c>
      <c r="D61" s="37" t="s">
        <v>17</v>
      </c>
      <c r="E61" s="23" t="s">
        <v>25</v>
      </c>
      <c r="F61" s="31">
        <v>440</v>
      </c>
      <c r="G61" s="31">
        <v>61000</v>
      </c>
      <c r="H61" s="31">
        <f>E_Dac_ND[[#This Row],[ĐƠN GIÁ]]*E_Dac_ND[[#This Row],[SỐ LƯỢNG]]</f>
        <v>26840000</v>
      </c>
      <c r="I61" s="31"/>
      <c r="J61" s="31">
        <f ca="1">N(INDIRECT("R[-1]C", FALSE)) + E_Dac_ND[[#This Row],[THÀNH TIỀN]] - E_Dac_ND[[#This Row],[THANH TOÁN]]</f>
        <v>246415140</v>
      </c>
      <c r="K61" s="24" t="s">
        <v>42</v>
      </c>
    </row>
    <row r="62" spans="1:11" x14ac:dyDescent="0.25">
      <c r="A62" s="22">
        <v>9061</v>
      </c>
      <c r="B62" s="29">
        <v>46139</v>
      </c>
      <c r="C62" s="23" t="s">
        <v>13</v>
      </c>
      <c r="D62" s="37" t="s">
        <v>26</v>
      </c>
      <c r="E62" s="23" t="s">
        <v>230</v>
      </c>
      <c r="F62" s="31">
        <v>556</v>
      </c>
      <c r="G62" s="31">
        <v>33000</v>
      </c>
      <c r="H62" s="31">
        <f>E_Dac_ND[[#This Row],[ĐƠN GIÁ]]*E_Dac_ND[[#This Row],[SỐ LƯỢNG]]</f>
        <v>18348000</v>
      </c>
      <c r="I62" s="31"/>
      <c r="J62" s="31">
        <f ca="1">N(INDIRECT("R[-1]C", FALSE)) + E_Dac_ND[[#This Row],[THÀNH TIỀN]] - E_Dac_ND[[#This Row],[THANH TOÁN]]</f>
        <v>264763140</v>
      </c>
      <c r="K62" s="24" t="s">
        <v>42</v>
      </c>
    </row>
    <row r="63" spans="1:11" x14ac:dyDescent="0.25">
      <c r="A63" s="22"/>
      <c r="B63" s="29">
        <v>46139</v>
      </c>
      <c r="C63" s="23" t="s">
        <v>21</v>
      </c>
      <c r="D63" s="37" t="s">
        <v>24</v>
      </c>
      <c r="E63" s="23"/>
      <c r="F63" s="31">
        <v>0</v>
      </c>
      <c r="G63" s="31"/>
      <c r="H63" s="31">
        <f>E_Dac_ND[[#This Row],[ĐƠN GIÁ]]*E_Dac_ND[[#This Row],[SỐ LƯỢNG]]</f>
        <v>0</v>
      </c>
      <c r="I63" s="31">
        <v>140000000</v>
      </c>
      <c r="J63" s="31">
        <f ca="1">N(INDIRECT("R[-1]C", FALSE)) + E_Dac_ND[[#This Row],[THÀNH TIỀN]] - E_Dac_ND[[#This Row],[THANH TOÁN]]</f>
        <v>124763140</v>
      </c>
      <c r="K63" s="24"/>
    </row>
    <row r="64" spans="1:11" x14ac:dyDescent="0.25">
      <c r="A64" s="22"/>
      <c r="B64" s="29">
        <v>46140</v>
      </c>
      <c r="C64" s="23" t="s">
        <v>21</v>
      </c>
      <c r="D64" s="37" t="s">
        <v>22</v>
      </c>
      <c r="E64" s="23" t="s">
        <v>727</v>
      </c>
      <c r="F64" s="31">
        <v>0</v>
      </c>
      <c r="G64" s="31"/>
      <c r="H64" s="31">
        <f>E_Dac_ND[[#This Row],[ĐƠN GIÁ]]*E_Dac_ND[[#This Row],[SỐ LƯỢNG]]</f>
        <v>0</v>
      </c>
      <c r="I64" s="31">
        <v>97678000</v>
      </c>
      <c r="J64" s="31">
        <f ca="1">N(INDIRECT("R[-1]C", FALSE)) + E_Dac_ND[[#This Row],[THÀNH TIỀN]] - E_Dac_ND[[#This Row],[THANH TOÁN]]</f>
        <v>27085140</v>
      </c>
      <c r="K64" s="24"/>
    </row>
    <row r="65" spans="1:11" x14ac:dyDescent="0.25">
      <c r="A65" s="22">
        <v>9097</v>
      </c>
      <c r="B65" s="29">
        <v>46140</v>
      </c>
      <c r="C65" s="23" t="s">
        <v>13</v>
      </c>
      <c r="D65" s="37" t="s">
        <v>17</v>
      </c>
      <c r="E65" s="23" t="s">
        <v>25</v>
      </c>
      <c r="F65" s="31">
        <v>742</v>
      </c>
      <c r="G65" s="31">
        <v>61000</v>
      </c>
      <c r="H65" s="31">
        <f>E_Dac_ND[[#This Row],[ĐƠN GIÁ]]*E_Dac_ND[[#This Row],[SỐ LƯỢNG]]</f>
        <v>45262000</v>
      </c>
      <c r="I65" s="31"/>
      <c r="J65" s="31">
        <f ca="1">N(INDIRECT("R[-1]C", FALSE)) + E_Dac_ND[[#This Row],[THÀNH TIỀN]] - E_Dac_ND[[#This Row],[THANH TOÁN]]</f>
        <v>72347140</v>
      </c>
      <c r="K65" s="24" t="s">
        <v>42</v>
      </c>
    </row>
    <row r="66" spans="1:11" x14ac:dyDescent="0.25">
      <c r="A66" s="22">
        <v>9097</v>
      </c>
      <c r="B66" s="29">
        <v>46140</v>
      </c>
      <c r="C66" s="23" t="s">
        <v>13</v>
      </c>
      <c r="D66" s="37" t="s">
        <v>17</v>
      </c>
      <c r="E66" s="23" t="s">
        <v>25</v>
      </c>
      <c r="F66" s="31">
        <v>936</v>
      </c>
      <c r="G66" s="31">
        <v>56000</v>
      </c>
      <c r="H66" s="31">
        <f>E_Dac_ND[[#This Row],[ĐƠN GIÁ]]*E_Dac_ND[[#This Row],[SỐ LƯỢNG]]</f>
        <v>52416000</v>
      </c>
      <c r="I66" s="31"/>
      <c r="J66" s="31">
        <f ca="1">N(INDIRECT("R[-1]C", FALSE)) + E_Dac_ND[[#This Row],[THÀNH TIỀN]] - E_Dac_ND[[#This Row],[THANH TOÁN]]</f>
        <v>124763140</v>
      </c>
      <c r="K66" s="24" t="s">
        <v>42</v>
      </c>
    </row>
    <row r="67" spans="1:11" x14ac:dyDescent="0.25">
      <c r="A67" s="22"/>
      <c r="B67" s="29">
        <v>46140</v>
      </c>
      <c r="C67" s="23" t="s">
        <v>21</v>
      </c>
      <c r="D67" s="37" t="s">
        <v>24</v>
      </c>
      <c r="E67" s="23"/>
      <c r="F67" s="31">
        <v>0</v>
      </c>
      <c r="G67" s="31"/>
      <c r="H67" s="31">
        <f>E_Dac_ND[[#This Row],[ĐƠN GIÁ]]*E_Dac_ND[[#This Row],[SỐ LƯỢNG]]</f>
        <v>0</v>
      </c>
      <c r="I67" s="31">
        <v>118220000</v>
      </c>
      <c r="J67" s="31">
        <f ca="1">N(INDIRECT("R[-1]C", FALSE)) + E_Dac_ND[[#This Row],[THÀNH TIỀN]] - E_Dac_ND[[#This Row],[THANH TOÁN]]</f>
        <v>6543140</v>
      </c>
      <c r="K67" s="24"/>
    </row>
    <row r="68" spans="1:11" x14ac:dyDescent="0.25">
      <c r="A68" s="22"/>
      <c r="B68" s="29">
        <v>46140</v>
      </c>
      <c r="C68" s="23" t="s">
        <v>680</v>
      </c>
      <c r="D68" s="37"/>
      <c r="E68" s="23"/>
      <c r="F68" s="31">
        <v>113</v>
      </c>
      <c r="G68" s="31">
        <v>-55000</v>
      </c>
      <c r="H68" s="31">
        <f>E_Dac_ND[[#This Row],[ĐƠN GIÁ]]*E_Dac_ND[[#This Row],[SỐ LƯỢNG]]</f>
        <v>-6215000</v>
      </c>
      <c r="I68" s="31">
        <v>328140</v>
      </c>
      <c r="J68" s="31">
        <f ca="1">N(INDIRECT("R[-1]C", FALSE)) + E_Dac_ND[[#This Row],[THÀNH TIỀN]] - E_Dac_ND[[#This Row],[THANH TOÁN]]</f>
        <v>0</v>
      </c>
      <c r="K68" s="24"/>
    </row>
    <row r="69" spans="1:11" x14ac:dyDescent="0.25">
      <c r="A69" s="22"/>
      <c r="B69" s="29">
        <v>46145</v>
      </c>
      <c r="C69" s="23" t="s">
        <v>21</v>
      </c>
      <c r="D69" s="37" t="s">
        <v>22</v>
      </c>
      <c r="E69" s="23" t="s">
        <v>726</v>
      </c>
      <c r="F69" s="31">
        <v>0</v>
      </c>
      <c r="G69" s="31"/>
      <c r="H69" s="31">
        <f>E_Dac_ND[[#This Row],[ĐƠN GIÁ]]*E_Dac_ND[[#This Row],[SỐ LƯỢNG]]</f>
        <v>0</v>
      </c>
      <c r="I69" s="31">
        <v>20000000</v>
      </c>
      <c r="J69" s="31">
        <f ca="1">N(INDIRECT("R[-1]C", FALSE)) + E_Dac_ND[[#This Row],[THÀNH TIỀN]] - E_Dac_ND[[#This Row],[THANH TOÁN]]</f>
        <v>-20000000</v>
      </c>
      <c r="K69" s="24"/>
    </row>
    <row r="70" spans="1:11" x14ac:dyDescent="0.25">
      <c r="A70" s="22"/>
      <c r="B70" s="29">
        <v>46148</v>
      </c>
      <c r="C70" s="23" t="s">
        <v>21</v>
      </c>
      <c r="D70" s="37" t="s">
        <v>22</v>
      </c>
      <c r="E70" s="23" t="s">
        <v>726</v>
      </c>
      <c r="F70" s="31">
        <v>0</v>
      </c>
      <c r="G70" s="31"/>
      <c r="H70" s="31">
        <f>E_Dac_ND[[#This Row],[ĐƠN GIÁ]]*E_Dac_ND[[#This Row],[SỐ LƯỢNG]]</f>
        <v>0</v>
      </c>
      <c r="I70" s="31">
        <v>45000000</v>
      </c>
      <c r="J70" s="31">
        <f ca="1">N(INDIRECT("R[-1]C", FALSE)) + E_Dac_ND[[#This Row],[THÀNH TIỀN]] - E_Dac_ND[[#This Row],[THANH TOÁN]]</f>
        <v>-65000000</v>
      </c>
      <c r="K70" s="24"/>
    </row>
    <row r="71" spans="1:11" x14ac:dyDescent="0.25">
      <c r="A71" s="22"/>
      <c r="B71" s="29">
        <v>46148</v>
      </c>
      <c r="C71" s="23" t="s">
        <v>21</v>
      </c>
      <c r="D71" s="37" t="s">
        <v>22</v>
      </c>
      <c r="E71" s="23" t="s">
        <v>726</v>
      </c>
      <c r="F71" s="31">
        <v>0</v>
      </c>
      <c r="G71" s="31"/>
      <c r="H71" s="31">
        <f>E_Dac_ND[[#This Row],[ĐƠN GIÁ]]*E_Dac_ND[[#This Row],[SỐ LƯỢNG]]</f>
        <v>0</v>
      </c>
      <c r="I71" s="31">
        <v>113250000</v>
      </c>
      <c r="J71" s="31">
        <f ca="1">N(INDIRECT("R[-1]C", FALSE)) + E_Dac_ND[[#This Row],[THÀNH TIỀN]] - E_Dac_ND[[#This Row],[THANH TOÁN]]</f>
        <v>-178250000</v>
      </c>
      <c r="K71" s="24"/>
    </row>
    <row r="72" spans="1:11" x14ac:dyDescent="0.25">
      <c r="A72" s="22">
        <v>9226</v>
      </c>
      <c r="B72" s="29">
        <v>46149</v>
      </c>
      <c r="C72" s="23" t="s">
        <v>13</v>
      </c>
      <c r="D72" s="37" t="s">
        <v>17</v>
      </c>
      <c r="E72" s="23" t="s">
        <v>446</v>
      </c>
      <c r="F72" s="31">
        <v>687</v>
      </c>
      <c r="G72" s="31"/>
      <c r="H72" s="31">
        <f>E_Dac_ND[[#This Row],[ĐƠN GIÁ]]*E_Dac_ND[[#This Row],[SỐ LƯỢNG]]</f>
        <v>0</v>
      </c>
      <c r="I72" s="31"/>
      <c r="J72" s="31">
        <f ca="1">N(INDIRECT("R[-1]C", FALSE)) + E_Dac_ND[[#This Row],[THÀNH TIỀN]] - E_Dac_ND[[#This Row],[THANH TOÁN]]</f>
        <v>-178250000</v>
      </c>
      <c r="K72" s="24"/>
    </row>
    <row r="73" spans="1:11" x14ac:dyDescent="0.25">
      <c r="A73" s="22">
        <v>9232</v>
      </c>
      <c r="B73" s="29">
        <v>46149</v>
      </c>
      <c r="C73" s="23" t="s">
        <v>13</v>
      </c>
      <c r="D73" s="37" t="s">
        <v>17</v>
      </c>
      <c r="E73" s="23" t="s">
        <v>46</v>
      </c>
      <c r="F73" s="31">
        <v>932</v>
      </c>
      <c r="G73" s="31">
        <v>62500</v>
      </c>
      <c r="H73" s="31">
        <f>E_Dac_ND[[#This Row],[ĐƠN GIÁ]]*E_Dac_ND[[#This Row],[SỐ LƯỢNG]]</f>
        <v>58250000</v>
      </c>
      <c r="I73" s="31"/>
      <c r="J73" s="31">
        <f ca="1">N(INDIRECT("R[-1]C", FALSE)) + E_Dac_ND[[#This Row],[THÀNH TIỀN]] - E_Dac_ND[[#This Row],[THANH TOÁN]]</f>
        <v>-120000000</v>
      </c>
      <c r="K73" s="24" t="s">
        <v>42</v>
      </c>
    </row>
    <row r="74" spans="1:11" x14ac:dyDescent="0.25">
      <c r="A74" s="22"/>
      <c r="B74" s="29">
        <v>46149</v>
      </c>
      <c r="C74" s="23" t="s">
        <v>21</v>
      </c>
      <c r="D74" s="37" t="s">
        <v>24</v>
      </c>
      <c r="E74" s="23"/>
      <c r="F74" s="31">
        <v>0</v>
      </c>
      <c r="G74" s="31"/>
      <c r="H74" s="31">
        <f>E_Dac_ND[[#This Row],[ĐƠN GIÁ]]*E_Dac_ND[[#This Row],[SỐ LƯỢNG]]</f>
        <v>0</v>
      </c>
      <c r="I74" s="31">
        <v>200000000</v>
      </c>
      <c r="J74" s="31">
        <f ca="1">N(INDIRECT("R[-1]C", FALSE)) + E_Dac_ND[[#This Row],[THÀNH TIỀN]] - E_Dac_ND[[#This Row],[THANH TOÁN]]</f>
        <v>-320000000</v>
      </c>
      <c r="K74" s="24"/>
    </row>
    <row r="75" spans="1:11" x14ac:dyDescent="0.25">
      <c r="A75" s="22">
        <v>9265</v>
      </c>
      <c r="B75" s="29">
        <v>46150</v>
      </c>
      <c r="C75" s="23" t="s">
        <v>13</v>
      </c>
      <c r="D75" s="37" t="s">
        <v>17</v>
      </c>
      <c r="E75" s="23" t="s">
        <v>78</v>
      </c>
      <c r="F75" s="31">
        <v>1490</v>
      </c>
      <c r="G75" s="31">
        <v>57000</v>
      </c>
      <c r="H75" s="31">
        <f>E_Dac_ND[[#This Row],[ĐƠN GIÁ]]*E_Dac_ND[[#This Row],[SỐ LƯỢNG]]</f>
        <v>84930000</v>
      </c>
      <c r="I75" s="31"/>
      <c r="J75" s="31">
        <f ca="1">N(INDIRECT("R[-1]C", FALSE)) + E_Dac_ND[[#This Row],[THÀNH TIỀN]] - E_Dac_ND[[#This Row],[THANH TOÁN]]</f>
        <v>-235070000</v>
      </c>
      <c r="K75" s="24"/>
    </row>
    <row r="76" spans="1:11" x14ac:dyDescent="0.25">
      <c r="A76" s="25"/>
      <c r="B76" s="30">
        <v>46150</v>
      </c>
      <c r="C76" s="26" t="s">
        <v>21</v>
      </c>
      <c r="D76" s="38" t="s">
        <v>22</v>
      </c>
      <c r="E76" s="26" t="s">
        <v>2067</v>
      </c>
      <c r="F76" s="28">
        <v>0</v>
      </c>
      <c r="G76" s="28"/>
      <c r="H76" s="28">
        <f>E_Dac_ND[[#This Row],[ĐƠN GIÁ]]*E_Dac_ND[[#This Row],[SỐ LƯỢNG]]</f>
        <v>0</v>
      </c>
      <c r="I76" s="28">
        <v>30000000</v>
      </c>
      <c r="J76" s="28">
        <f ca="1">N(INDIRECT("R[-1]C", FALSE)) + E_Dac_ND[[#This Row],[THÀNH TIỀN]] - E_Dac_ND[[#This Row],[THANH TOÁN]]</f>
        <v>-265070000</v>
      </c>
      <c r="K76" s="27"/>
    </row>
    <row r="77" spans="1:11" x14ac:dyDescent="0.25">
      <c r="A77" s="25">
        <v>9279</v>
      </c>
      <c r="B77" s="30">
        <v>46151</v>
      </c>
      <c r="C77" s="26" t="s">
        <v>13</v>
      </c>
      <c r="D77" s="38" t="s">
        <v>1842</v>
      </c>
      <c r="E77" s="26" t="s">
        <v>1851</v>
      </c>
      <c r="F77" s="28">
        <v>5320</v>
      </c>
      <c r="G77" s="28">
        <v>67000</v>
      </c>
      <c r="H77" s="28">
        <f>E_Dac_ND[[#This Row],[ĐƠN GIÁ]]*E_Dac_ND[[#This Row],[SỐ LƯỢNG]]</f>
        <v>356440000</v>
      </c>
      <c r="I77" s="28"/>
      <c r="J77" s="28">
        <f ca="1">N(INDIRECT("R[-1]C", FALSE)) + E_Dac_ND[[#This Row],[THÀNH TIỀN]] - E_Dac_ND[[#This Row],[THANH TOÁN]]</f>
        <v>91370000</v>
      </c>
      <c r="K77" s="27" t="s">
        <v>42</v>
      </c>
    </row>
    <row r="78" spans="1:11" x14ac:dyDescent="0.25">
      <c r="A78" s="22">
        <v>9279</v>
      </c>
      <c r="B78" s="29">
        <v>46151</v>
      </c>
      <c r="C78" s="23" t="s">
        <v>13</v>
      </c>
      <c r="D78" s="37" t="s">
        <v>17</v>
      </c>
      <c r="E78" s="23" t="s">
        <v>46</v>
      </c>
      <c r="F78" s="31">
        <v>1192</v>
      </c>
      <c r="G78" s="31">
        <v>62500</v>
      </c>
      <c r="H78" s="31">
        <f>E_Dac_ND[[#This Row],[ĐƠN GIÁ]]*E_Dac_ND[[#This Row],[SỐ LƯỢNG]]</f>
        <v>74500000</v>
      </c>
      <c r="I78" s="31"/>
      <c r="J78" s="31">
        <f ca="1">N(INDIRECT("R[-1]C", FALSE)) + E_Dac_ND[[#This Row],[THÀNH TIỀN]] - E_Dac_ND[[#This Row],[THANH TOÁN]]</f>
        <v>165870000</v>
      </c>
      <c r="K78" s="24" t="s">
        <v>42</v>
      </c>
    </row>
    <row r="79" spans="1:11" x14ac:dyDescent="0.25">
      <c r="A79" s="22"/>
      <c r="B79" s="29">
        <v>46151</v>
      </c>
      <c r="C79" s="23" t="s">
        <v>21</v>
      </c>
      <c r="D79" s="37" t="s">
        <v>22</v>
      </c>
      <c r="E79" s="23" t="s">
        <v>726</v>
      </c>
      <c r="F79" s="31">
        <v>0</v>
      </c>
      <c r="G79" s="31"/>
      <c r="H79" s="31">
        <f>E_Dac_ND[[#This Row],[ĐƠN GIÁ]]*E_Dac_ND[[#This Row],[SỐ LƯỢNG]]</f>
        <v>0</v>
      </c>
      <c r="I79" s="31">
        <v>50000000</v>
      </c>
      <c r="J79" s="31">
        <f ca="1">N(INDIRECT("R[-1]C", FALSE)) + E_Dac_ND[[#This Row],[THÀNH TIỀN]] - E_Dac_ND[[#This Row],[THANH TOÁN]]</f>
        <v>115870000</v>
      </c>
      <c r="K79" s="24"/>
    </row>
    <row r="80" spans="1:11" x14ac:dyDescent="0.25">
      <c r="A80" s="22"/>
      <c r="B80" s="29">
        <v>46152</v>
      </c>
      <c r="C80" s="23" t="s">
        <v>21</v>
      </c>
      <c r="D80" s="37" t="s">
        <v>22</v>
      </c>
      <c r="E80" s="23" t="s">
        <v>726</v>
      </c>
      <c r="F80" s="31">
        <v>0</v>
      </c>
      <c r="G80" s="31"/>
      <c r="H80" s="31">
        <f>E_Dac_ND[[#This Row],[ĐƠN GIÁ]]*E_Dac_ND[[#This Row],[SỐ LƯỢNG]]</f>
        <v>0</v>
      </c>
      <c r="I80" s="31">
        <v>25000000</v>
      </c>
      <c r="J80" s="31">
        <f ca="1">N(INDIRECT("R[-1]C", FALSE)) + E_Dac_ND[[#This Row],[THÀNH TIỀN]] - E_Dac_ND[[#This Row],[THANH TOÁN]]</f>
        <v>90870000</v>
      </c>
      <c r="K80" s="24"/>
    </row>
    <row r="81" spans="1:11" x14ac:dyDescent="0.25">
      <c r="A81" s="22"/>
      <c r="B81" s="29">
        <v>46155</v>
      </c>
      <c r="C81" s="23" t="s">
        <v>21</v>
      </c>
      <c r="D81" s="37" t="s">
        <v>24</v>
      </c>
      <c r="E81" s="23"/>
      <c r="F81" s="31">
        <v>0</v>
      </c>
      <c r="G81" s="31"/>
      <c r="H81" s="31">
        <f>E_Dac_ND[[#This Row],[ĐƠN GIÁ]]*E_Dac_ND[[#This Row],[SỐ LƯỢNG]]</f>
        <v>0</v>
      </c>
      <c r="I81" s="31">
        <v>515000000</v>
      </c>
      <c r="J81" s="31">
        <f ca="1">N(INDIRECT("R[-1]C", FALSE)) + E_Dac_ND[[#This Row],[THÀNH TIỀN]] - E_Dac_ND[[#This Row],[THANH TOÁN]]</f>
        <v>-424130000</v>
      </c>
      <c r="K81" s="24"/>
    </row>
    <row r="82" spans="1:11" x14ac:dyDescent="0.25">
      <c r="A82" s="22"/>
      <c r="B82" s="29">
        <v>46162</v>
      </c>
      <c r="C82" s="23" t="s">
        <v>21</v>
      </c>
      <c r="D82" s="37" t="s">
        <v>22</v>
      </c>
      <c r="E82" s="23" t="s">
        <v>726</v>
      </c>
      <c r="F82" s="31">
        <v>0</v>
      </c>
      <c r="G82" s="31"/>
      <c r="H82" s="31">
        <f>E_Dac_ND[[#This Row],[ĐƠN GIÁ]]*E_Dac_ND[[#This Row],[SỐ LƯỢNG]]</f>
        <v>0</v>
      </c>
      <c r="I82" s="31">
        <v>100000000</v>
      </c>
      <c r="J82" s="31">
        <f ca="1">N(INDIRECT("R[-1]C", FALSE)) + E_Dac_ND[[#This Row],[THÀNH TIỀN]] - E_Dac_ND[[#This Row],[THANH TOÁN]]</f>
        <v>-524130000</v>
      </c>
      <c r="K82" s="24"/>
    </row>
    <row r="83" spans="1:11" x14ac:dyDescent="0.25">
      <c r="A83" s="22">
        <v>9525</v>
      </c>
      <c r="B83" s="29">
        <v>46163</v>
      </c>
      <c r="C83" s="23" t="s">
        <v>13</v>
      </c>
      <c r="D83" s="37" t="s">
        <v>143</v>
      </c>
      <c r="E83" s="23" t="s">
        <v>2264</v>
      </c>
      <c r="F83" s="31">
        <v>21345</v>
      </c>
      <c r="G83" s="31">
        <v>52000</v>
      </c>
      <c r="H83" s="31">
        <f>E_Dac_ND[[#This Row],[ĐƠN GIÁ]]*E_Dac_ND[[#This Row],[SỐ LƯỢNG]]</f>
        <v>1109940000</v>
      </c>
      <c r="I83" s="31"/>
      <c r="J83" s="31">
        <f ca="1">N(INDIRECT("R[-1]C", FALSE)) + E_Dac_ND[[#This Row],[THÀNH TIỀN]] - E_Dac_ND[[#This Row],[THANH TOÁN]]</f>
        <v>585810000</v>
      </c>
      <c r="K83" s="24" t="s">
        <v>42</v>
      </c>
    </row>
    <row r="84" spans="1:11" x14ac:dyDescent="0.25">
      <c r="A84" s="22">
        <v>9554</v>
      </c>
      <c r="B84" s="29">
        <v>46164</v>
      </c>
      <c r="C84" s="23" t="s">
        <v>13</v>
      </c>
      <c r="D84" s="37" t="s">
        <v>173</v>
      </c>
      <c r="E84" s="23" t="s">
        <v>2055</v>
      </c>
      <c r="F84" s="31">
        <v>278</v>
      </c>
      <c r="G84" s="31">
        <v>66000</v>
      </c>
      <c r="H84" s="31">
        <f>E_Dac_ND[[#This Row],[ĐƠN GIÁ]]*E_Dac_ND[[#This Row],[SỐ LƯỢNG]]</f>
        <v>18348000</v>
      </c>
      <c r="I84" s="31"/>
      <c r="J84" s="31">
        <f ca="1">N(INDIRECT("R[-1]C", FALSE)) + E_Dac_ND[[#This Row],[THÀNH TIỀN]] - E_Dac_ND[[#This Row],[THANH TOÁN]]</f>
        <v>604158000</v>
      </c>
      <c r="K84" s="24" t="s">
        <v>231</v>
      </c>
    </row>
    <row r="85" spans="1:11" x14ac:dyDescent="0.25">
      <c r="A85" s="22">
        <v>9588</v>
      </c>
      <c r="B85" s="29">
        <v>46167</v>
      </c>
      <c r="C85" s="23" t="s">
        <v>13</v>
      </c>
      <c r="D85" s="37" t="s">
        <v>17</v>
      </c>
      <c r="E85" s="23" t="s">
        <v>416</v>
      </c>
      <c r="F85" s="31">
        <v>548</v>
      </c>
      <c r="G85" s="31">
        <v>58500</v>
      </c>
      <c r="H85" s="31">
        <f>E_Dac_ND[[#This Row],[ĐƠN GIÁ]]*E_Dac_ND[[#This Row],[SỐ LƯỢNG]]</f>
        <v>32058000</v>
      </c>
      <c r="I85" s="31"/>
      <c r="J85" s="31">
        <f ca="1">N(INDIRECT("R[-1]C", FALSE)) + E_Dac_ND[[#This Row],[THÀNH TIỀN]] - E_Dac_ND[[#This Row],[THANH TOÁN]]</f>
        <v>636216000</v>
      </c>
      <c r="K85" s="24" t="s">
        <v>231</v>
      </c>
    </row>
    <row r="86" spans="1:11" x14ac:dyDescent="0.25">
      <c r="A86" s="22">
        <v>9588</v>
      </c>
      <c r="B86" s="29">
        <v>46167</v>
      </c>
      <c r="C86" s="23" t="s">
        <v>13</v>
      </c>
      <c r="D86" s="37" t="s">
        <v>17</v>
      </c>
      <c r="E86" s="23" t="s">
        <v>2319</v>
      </c>
      <c r="F86" s="31">
        <v>977</v>
      </c>
      <c r="G86" s="31">
        <v>59000</v>
      </c>
      <c r="H86" s="31">
        <f>E_Dac_ND[[#This Row],[ĐƠN GIÁ]]*E_Dac_ND[[#This Row],[SỐ LƯỢNG]]</f>
        <v>57643000</v>
      </c>
      <c r="I86" s="31"/>
      <c r="J86" s="31">
        <f ca="1">N(INDIRECT("R[-1]C", FALSE)) + E_Dac_ND[[#This Row],[THÀNH TIỀN]] - E_Dac_ND[[#This Row],[THANH TOÁN]]</f>
        <v>693859000</v>
      </c>
      <c r="K86" s="24"/>
    </row>
    <row r="87" spans="1:11" x14ac:dyDescent="0.25">
      <c r="A87" s="22"/>
      <c r="B87" s="29">
        <v>46162</v>
      </c>
      <c r="C87" s="23" t="s">
        <v>21</v>
      </c>
      <c r="D87" s="37" t="s">
        <v>2157</v>
      </c>
      <c r="E87" s="23"/>
      <c r="F87" s="31">
        <v>0</v>
      </c>
      <c r="G87" s="31"/>
      <c r="H87" s="31">
        <f>E_Dac_ND[[#This Row],[ĐƠN GIÁ]]*E_Dac_ND[[#This Row],[SỐ LƯỢNG]]</f>
        <v>0</v>
      </c>
      <c r="I87" s="31">
        <v>25000000</v>
      </c>
      <c r="J87" s="31">
        <f ca="1">N(INDIRECT("R[-1]C", FALSE)) + E_Dac_ND[[#This Row],[THÀNH TIỀN]] - E_Dac_ND[[#This Row],[THANH TOÁN]]</f>
        <v>668859000</v>
      </c>
      <c r="K87" s="24"/>
    </row>
    <row r="88" spans="1:11" x14ac:dyDescent="0.25">
      <c r="A88" s="22"/>
      <c r="B88" s="29">
        <v>46163</v>
      </c>
      <c r="C88" s="23" t="s">
        <v>21</v>
      </c>
      <c r="D88" s="37" t="s">
        <v>2157</v>
      </c>
      <c r="E88" s="23"/>
      <c r="F88" s="31">
        <v>0</v>
      </c>
      <c r="G88" s="31"/>
      <c r="H88" s="31">
        <f>E_Dac_ND[[#This Row],[ĐƠN GIÁ]]*E_Dac_ND[[#This Row],[SỐ LƯỢNG]]</f>
        <v>0</v>
      </c>
      <c r="I88" s="31">
        <v>55000000</v>
      </c>
      <c r="J88" s="31">
        <f ca="1">N(INDIRECT("R[-1]C", FALSE)) + E_Dac_ND[[#This Row],[THÀNH TIỀN]] - E_Dac_ND[[#This Row],[THANH TOÁN]]</f>
        <v>613859000</v>
      </c>
      <c r="K88" s="24"/>
    </row>
    <row r="89" spans="1:11" x14ac:dyDescent="0.25">
      <c r="A89" s="22">
        <v>9699</v>
      </c>
      <c r="B89" s="29">
        <v>46171</v>
      </c>
      <c r="C89" s="23" t="s">
        <v>13</v>
      </c>
      <c r="D89" s="37" t="s">
        <v>14</v>
      </c>
      <c r="E89" s="23" t="s">
        <v>146</v>
      </c>
      <c r="F89" s="31">
        <v>947</v>
      </c>
      <c r="G89" s="31">
        <v>40000</v>
      </c>
      <c r="H89" s="31">
        <f>E_Dac_ND[[#This Row],[ĐƠN GIÁ]]*E_Dac_ND[[#This Row],[SỐ LƯỢNG]]</f>
        <v>37880000</v>
      </c>
      <c r="I89" s="31"/>
      <c r="J89" s="31">
        <f ca="1">N(INDIRECT("R[-1]C", FALSE)) + E_Dac_ND[[#This Row],[THÀNH TIỀN]] - E_Dac_ND[[#This Row],[THANH TOÁN]]</f>
        <v>651739000</v>
      </c>
      <c r="K89" s="24"/>
    </row>
    <row r="90" spans="1:11" x14ac:dyDescent="0.25">
      <c r="A90" s="25"/>
      <c r="B90" s="30"/>
      <c r="C90" s="26"/>
      <c r="D90" s="38"/>
      <c r="E90" s="26"/>
      <c r="F90" s="28">
        <f>1091+958+901</f>
        <v>2950</v>
      </c>
      <c r="G90" s="28"/>
      <c r="H90" s="28">
        <f>E_Dac_ND[[#This Row],[ĐƠN GIÁ]]*E_Dac_ND[[#This Row],[SỐ LƯỢNG]]</f>
        <v>0</v>
      </c>
      <c r="I90" s="28"/>
      <c r="J90" s="28">
        <f ca="1">N(INDIRECT("R[-1]C", FALSE)) + E_Dac_ND[[#This Row],[THÀNH TIỀN]] - E_Dac_ND[[#This Row],[THANH TOÁN]]</f>
        <v>651739000</v>
      </c>
      <c r="K90" s="27">
        <v>302450000</v>
      </c>
    </row>
    <row r="91" spans="1:11" x14ac:dyDescent="0.25">
      <c r="A91" s="22">
        <v>9758</v>
      </c>
      <c r="B91" s="29">
        <v>46175</v>
      </c>
      <c r="C91" s="23" t="s">
        <v>13</v>
      </c>
      <c r="D91" s="37" t="s">
        <v>265</v>
      </c>
      <c r="E91" s="23" t="s">
        <v>62</v>
      </c>
      <c r="F91" s="31">
        <v>204</v>
      </c>
      <c r="G91" s="31">
        <v>69500</v>
      </c>
      <c r="H91" s="31">
        <f>E_Dac_ND[[#This Row],[ĐƠN GIÁ]]*E_Dac_ND[[#This Row],[SỐ LƯỢNG]]</f>
        <v>14178000</v>
      </c>
      <c r="I91" s="31"/>
      <c r="J91" s="31">
        <f ca="1">N(INDIRECT("R[-1]C", FALSE)) + E_Dac_ND[[#This Row],[THÀNH TIỀN]] - E_Dac_ND[[#This Row],[THANH TOÁN]]</f>
        <v>665917000</v>
      </c>
      <c r="K91" s="24"/>
    </row>
    <row r="92" spans="1:11" x14ac:dyDescent="0.25">
      <c r="A92" s="22">
        <v>9758</v>
      </c>
      <c r="B92" s="29">
        <v>46175</v>
      </c>
      <c r="C92" s="23" t="s">
        <v>13</v>
      </c>
      <c r="D92" s="37" t="s">
        <v>265</v>
      </c>
      <c r="E92" s="23" t="s">
        <v>33</v>
      </c>
      <c r="F92" s="31">
        <v>610</v>
      </c>
      <c r="G92" s="31">
        <v>62000</v>
      </c>
      <c r="H92" s="31">
        <f>E_Dac_ND[[#This Row],[ĐƠN GIÁ]]*E_Dac_ND[[#This Row],[SỐ LƯỢNG]]</f>
        <v>37820000</v>
      </c>
      <c r="I92" s="31"/>
      <c r="J92" s="31">
        <f ca="1">N(INDIRECT("R[-1]C", FALSE)) + E_Dac_ND[[#This Row],[THÀNH TIỀN]] - E_Dac_ND[[#This Row],[THANH TOÁN]]</f>
        <v>703737000</v>
      </c>
      <c r="K92" s="24"/>
    </row>
  </sheetData>
  <phoneticPr fontId="9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416EB-4377-49EE-B580-2C78F2CDE34D}">
  <sheetPr codeName="Sheet35"/>
  <dimension ref="A5:K209"/>
  <sheetViews>
    <sheetView topLeftCell="A188" workbookViewId="0">
      <selection activeCell="D187" sqref="D187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133800706</v>
      </c>
    </row>
    <row r="6" spans="1:11" ht="22.5" x14ac:dyDescent="0.25">
      <c r="D6" s="34" t="s">
        <v>728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>
        <v>7013</v>
      </c>
      <c r="B10" s="29">
        <v>46028</v>
      </c>
      <c r="C10" s="23" t="s">
        <v>49</v>
      </c>
      <c r="D10" s="37" t="s">
        <v>43</v>
      </c>
      <c r="E10" s="23" t="s">
        <v>344</v>
      </c>
      <c r="F10" s="31">
        <v>15778</v>
      </c>
      <c r="G10" s="31"/>
      <c r="H10" s="31">
        <f>Cty_Dai_Thuy[[#This Row],[ĐƠN GIÁ]]*Cty_Dai_Thuy[[#This Row],[SỐ LƯỢNG]]</f>
        <v>0</v>
      </c>
      <c r="I10" s="31"/>
      <c r="J10" s="31">
        <f ca="1">N(INDIRECT("R[-1]C", FALSE)) + Cty_Dai_Thuy[[#This Row],[THÀNH TIỀN]] - Cty_Dai_Thuy[[#This Row],[THANH TOÁN]]</f>
        <v>0</v>
      </c>
      <c r="K10" s="24" t="s">
        <v>2376</v>
      </c>
    </row>
    <row r="11" spans="1:11" x14ac:dyDescent="0.25">
      <c r="A11" s="22">
        <v>7013</v>
      </c>
      <c r="B11" s="29">
        <v>46028</v>
      </c>
      <c r="C11" s="23" t="s">
        <v>49</v>
      </c>
      <c r="D11" s="37" t="s">
        <v>143</v>
      </c>
      <c r="E11" s="23" t="s">
        <v>2333</v>
      </c>
      <c r="F11" s="31">
        <v>17434</v>
      </c>
      <c r="G11" s="31"/>
      <c r="H11" s="31">
        <f>Cty_Dai_Thuy[[#This Row],[ĐƠN GIÁ]]*Cty_Dai_Thuy[[#This Row],[SỐ LƯỢNG]]</f>
        <v>0</v>
      </c>
      <c r="I11" s="31"/>
      <c r="J11" s="31">
        <f ca="1">N(INDIRECT("R[-1]C", FALSE)) + Cty_Dai_Thuy[[#This Row],[THÀNH TIỀN]] - Cty_Dai_Thuy[[#This Row],[THANH TOÁN]]</f>
        <v>0</v>
      </c>
      <c r="K11" s="24" t="s">
        <v>2377</v>
      </c>
    </row>
    <row r="12" spans="1:11" x14ac:dyDescent="0.25">
      <c r="A12" s="22">
        <v>7013</v>
      </c>
      <c r="B12" s="29">
        <v>46028</v>
      </c>
      <c r="C12" s="23" t="s">
        <v>49</v>
      </c>
      <c r="D12" s="37" t="s">
        <v>43</v>
      </c>
      <c r="E12" s="23" t="s">
        <v>2378</v>
      </c>
      <c r="F12" s="31">
        <v>858</v>
      </c>
      <c r="G12" s="31"/>
      <c r="H12" s="31">
        <f>Cty_Dai_Thuy[[#This Row],[ĐƠN GIÁ]]*Cty_Dai_Thuy[[#This Row],[SỐ LƯỢNG]]</f>
        <v>0</v>
      </c>
      <c r="I12" s="31"/>
      <c r="J12" s="31">
        <f ca="1">N(INDIRECT("R[-1]C", FALSE)) + Cty_Dai_Thuy[[#This Row],[THÀNH TIỀN]] - Cty_Dai_Thuy[[#This Row],[THANH TOÁN]]</f>
        <v>0</v>
      </c>
      <c r="K12" s="24"/>
    </row>
    <row r="13" spans="1:11" x14ac:dyDescent="0.25">
      <c r="A13" s="25">
        <v>7013</v>
      </c>
      <c r="B13" s="30">
        <v>46028</v>
      </c>
      <c r="C13" s="26" t="s">
        <v>49</v>
      </c>
      <c r="D13" s="38" t="s">
        <v>43</v>
      </c>
      <c r="E13" s="26" t="s">
        <v>2378</v>
      </c>
      <c r="F13" s="28">
        <v>2819</v>
      </c>
      <c r="G13" s="28"/>
      <c r="H13" s="28">
        <f>Cty_Dai_Thuy[[#This Row],[ĐƠN GIÁ]]*Cty_Dai_Thuy[[#This Row],[SỐ LƯỢNG]]</f>
        <v>0</v>
      </c>
      <c r="I13" s="28"/>
      <c r="J13" s="28">
        <f ca="1">N(INDIRECT("R[-1]C", FALSE)) + Cty_Dai_Thuy[[#This Row],[THÀNH TIỀN]] - Cty_Dai_Thuy[[#This Row],[THANH TOÁN]]</f>
        <v>0</v>
      </c>
      <c r="K13" s="27"/>
    </row>
    <row r="14" spans="1:11" x14ac:dyDescent="0.25">
      <c r="A14" s="25">
        <v>7013</v>
      </c>
      <c r="B14" s="30">
        <v>46028</v>
      </c>
      <c r="C14" s="26" t="s">
        <v>49</v>
      </c>
      <c r="D14" s="38" t="s">
        <v>43</v>
      </c>
      <c r="E14" s="23" t="s">
        <v>2378</v>
      </c>
      <c r="F14" s="31">
        <v>1751</v>
      </c>
      <c r="G14" s="31"/>
      <c r="H14" s="31">
        <f>Cty_Dai_Thuy[[#This Row],[ĐƠN GIÁ]]*Cty_Dai_Thuy[[#This Row],[SỐ LƯỢNG]]</f>
        <v>0</v>
      </c>
      <c r="I14" s="31"/>
      <c r="J14" s="31">
        <f ca="1">N(INDIRECT("R[-1]C", FALSE)) + Cty_Dai_Thuy[[#This Row],[THÀNH TIỀN]] - Cty_Dai_Thuy[[#This Row],[THANH TOÁN]]</f>
        <v>0</v>
      </c>
      <c r="K14" s="24"/>
    </row>
    <row r="15" spans="1:11" x14ac:dyDescent="0.25">
      <c r="A15" s="25">
        <v>7013</v>
      </c>
      <c r="B15" s="30">
        <v>46028</v>
      </c>
      <c r="C15" s="26" t="s">
        <v>49</v>
      </c>
      <c r="D15" s="38" t="s">
        <v>43</v>
      </c>
      <c r="E15" s="26" t="s">
        <v>2379</v>
      </c>
      <c r="F15" s="28">
        <v>931</v>
      </c>
      <c r="G15" s="31"/>
      <c r="H15" s="28">
        <f>Cty_Dai_Thuy[[#This Row],[ĐƠN GIÁ]]*Cty_Dai_Thuy[[#This Row],[SỐ LƯỢNG]]</f>
        <v>0</v>
      </c>
      <c r="I15" s="28"/>
      <c r="J15" s="28">
        <f ca="1">N(INDIRECT("R[-1]C", FALSE)) + Cty_Dai_Thuy[[#This Row],[THÀNH TIỀN]] - Cty_Dai_Thuy[[#This Row],[THANH TOÁN]]</f>
        <v>0</v>
      </c>
      <c r="K15" s="27"/>
    </row>
    <row r="16" spans="1:11" x14ac:dyDescent="0.25">
      <c r="A16" s="25">
        <v>7013</v>
      </c>
      <c r="B16" s="30">
        <v>46028</v>
      </c>
      <c r="C16" s="26" t="s">
        <v>49</v>
      </c>
      <c r="D16" s="38" t="s">
        <v>43</v>
      </c>
      <c r="E16" s="26" t="s">
        <v>2380</v>
      </c>
      <c r="F16" s="28">
        <v>13731</v>
      </c>
      <c r="G16" s="28"/>
      <c r="H16" s="28">
        <f>Cty_Dai_Thuy[[#This Row],[ĐƠN GIÁ]]*Cty_Dai_Thuy[[#This Row],[SỐ LƯỢNG]]</f>
        <v>0</v>
      </c>
      <c r="I16" s="28"/>
      <c r="J16" s="28">
        <f ca="1">N(INDIRECT("R[-1]C", FALSE)) + Cty_Dai_Thuy[[#This Row],[THÀNH TIỀN]] - Cty_Dai_Thuy[[#This Row],[THANH TOÁN]]</f>
        <v>0</v>
      </c>
      <c r="K16" s="27"/>
    </row>
    <row r="17" spans="1:11" x14ac:dyDescent="0.25">
      <c r="A17" s="25">
        <v>7013</v>
      </c>
      <c r="B17" s="30">
        <v>46028</v>
      </c>
      <c r="C17" s="26" t="s">
        <v>49</v>
      </c>
      <c r="D17" s="38" t="s">
        <v>143</v>
      </c>
      <c r="E17" s="26" t="s">
        <v>146</v>
      </c>
      <c r="F17" s="28">
        <v>969</v>
      </c>
      <c r="G17" s="28"/>
      <c r="H17" s="28">
        <f>Cty_Dai_Thuy[[#This Row],[ĐƠN GIÁ]]*Cty_Dai_Thuy[[#This Row],[SỐ LƯỢNG]]</f>
        <v>0</v>
      </c>
      <c r="I17" s="28"/>
      <c r="J17" s="28">
        <f ca="1">N(INDIRECT("R[-1]C", FALSE)) + Cty_Dai_Thuy[[#This Row],[THÀNH TIỀN]] - Cty_Dai_Thuy[[#This Row],[THANH TOÁN]]</f>
        <v>0</v>
      </c>
      <c r="K17" s="27"/>
    </row>
    <row r="18" spans="1:11" x14ac:dyDescent="0.25">
      <c r="A18" s="25">
        <v>7013</v>
      </c>
      <c r="B18" s="30">
        <v>46028</v>
      </c>
      <c r="C18" s="26" t="s">
        <v>49</v>
      </c>
      <c r="D18" s="38" t="s">
        <v>143</v>
      </c>
      <c r="E18" s="23" t="s">
        <v>490</v>
      </c>
      <c r="F18" s="31">
        <v>5331</v>
      </c>
      <c r="G18" s="31"/>
      <c r="H18" s="31">
        <f>Cty_Dai_Thuy[[#This Row],[ĐƠN GIÁ]]*Cty_Dai_Thuy[[#This Row],[SỐ LƯỢNG]]</f>
        <v>0</v>
      </c>
      <c r="I18" s="31"/>
      <c r="J18" s="31">
        <f ca="1">N(INDIRECT("R[-1]C", FALSE)) + Cty_Dai_Thuy[[#This Row],[THÀNH TIỀN]] - Cty_Dai_Thuy[[#This Row],[THANH TOÁN]]</f>
        <v>0</v>
      </c>
      <c r="K18" s="24"/>
    </row>
    <row r="19" spans="1:11" x14ac:dyDescent="0.25">
      <c r="A19" s="25">
        <v>7016</v>
      </c>
      <c r="B19" s="30">
        <v>46028</v>
      </c>
      <c r="C19" s="26" t="s">
        <v>49</v>
      </c>
      <c r="D19" s="38" t="s">
        <v>192</v>
      </c>
      <c r="E19" s="23" t="s">
        <v>2386</v>
      </c>
      <c r="F19" s="31">
        <v>4900</v>
      </c>
      <c r="G19" s="31"/>
      <c r="H19" s="31">
        <f>Cty_Dai_Thuy[[#This Row],[ĐƠN GIÁ]]*Cty_Dai_Thuy[[#This Row],[SỐ LƯỢNG]]</f>
        <v>0</v>
      </c>
      <c r="I19" s="31"/>
      <c r="J19" s="31">
        <f ca="1">N(INDIRECT("R[-1]C", FALSE)) + Cty_Dai_Thuy[[#This Row],[THÀNH TIỀN]] - Cty_Dai_Thuy[[#This Row],[THANH TOÁN]]</f>
        <v>0</v>
      </c>
      <c r="K19" s="24" t="s">
        <v>2387</v>
      </c>
    </row>
    <row r="20" spans="1:11" x14ac:dyDescent="0.25">
      <c r="A20" s="25">
        <v>7045</v>
      </c>
      <c r="B20" s="30">
        <v>46030</v>
      </c>
      <c r="C20" s="26" t="s">
        <v>49</v>
      </c>
      <c r="D20" s="38" t="s">
        <v>301</v>
      </c>
      <c r="E20" s="26" t="s">
        <v>2390</v>
      </c>
      <c r="F20" s="28">
        <v>1016</v>
      </c>
      <c r="G20" s="28"/>
      <c r="H20" s="28">
        <f>Cty_Dai_Thuy[[#This Row],[ĐƠN GIÁ]]*Cty_Dai_Thuy[[#This Row],[SỐ LƯỢNG]]</f>
        <v>0</v>
      </c>
      <c r="I20" s="28"/>
      <c r="J20" s="28">
        <f ca="1">N(INDIRECT("R[-1]C", FALSE)) + Cty_Dai_Thuy[[#This Row],[THÀNH TIỀN]] - Cty_Dai_Thuy[[#This Row],[THANH TOÁN]]</f>
        <v>0</v>
      </c>
      <c r="K20" s="27" t="s">
        <v>1770</v>
      </c>
    </row>
    <row r="21" spans="1:11" x14ac:dyDescent="0.25">
      <c r="A21" s="25">
        <v>7046</v>
      </c>
      <c r="B21" s="30">
        <v>46030</v>
      </c>
      <c r="C21" s="26" t="s">
        <v>49</v>
      </c>
      <c r="D21" s="38" t="s">
        <v>77</v>
      </c>
      <c r="E21" s="26" t="s">
        <v>2391</v>
      </c>
      <c r="F21" s="28">
        <v>6141</v>
      </c>
      <c r="G21" s="28"/>
      <c r="H21" s="28">
        <f>Cty_Dai_Thuy[[#This Row],[ĐƠN GIÁ]]*Cty_Dai_Thuy[[#This Row],[SỐ LƯỢNG]]</f>
        <v>0</v>
      </c>
      <c r="I21" s="28"/>
      <c r="J21" s="28">
        <f ca="1">N(INDIRECT("R[-1]C", FALSE)) + Cty_Dai_Thuy[[#This Row],[THÀNH TIỀN]] - Cty_Dai_Thuy[[#This Row],[THANH TOÁN]]</f>
        <v>0</v>
      </c>
      <c r="K21" s="27" t="s">
        <v>2392</v>
      </c>
    </row>
    <row r="22" spans="1:11" x14ac:dyDescent="0.25">
      <c r="A22" s="25">
        <v>7046</v>
      </c>
      <c r="B22" s="30">
        <v>46030</v>
      </c>
      <c r="C22" s="26" t="s">
        <v>49</v>
      </c>
      <c r="D22" s="38" t="s">
        <v>77</v>
      </c>
      <c r="E22" s="26" t="s">
        <v>2393</v>
      </c>
      <c r="F22" s="28">
        <v>1632</v>
      </c>
      <c r="G22" s="28"/>
      <c r="H22" s="28">
        <f>Cty_Dai_Thuy[[#This Row],[ĐƠN GIÁ]]*Cty_Dai_Thuy[[#This Row],[SỐ LƯỢNG]]</f>
        <v>0</v>
      </c>
      <c r="I22" s="28"/>
      <c r="J22" s="28">
        <f ca="1">N(INDIRECT("R[-1]C", FALSE)) + Cty_Dai_Thuy[[#This Row],[THÀNH TIỀN]] - Cty_Dai_Thuy[[#This Row],[THANH TOÁN]]</f>
        <v>0</v>
      </c>
      <c r="K22" s="27" t="s">
        <v>2394</v>
      </c>
    </row>
    <row r="23" spans="1:11" x14ac:dyDescent="0.25">
      <c r="A23" s="25">
        <v>7076</v>
      </c>
      <c r="B23" s="30">
        <v>46031</v>
      </c>
      <c r="C23" s="26" t="s">
        <v>49</v>
      </c>
      <c r="D23" s="38" t="s">
        <v>301</v>
      </c>
      <c r="E23" s="26" t="s">
        <v>2390</v>
      </c>
      <c r="F23" s="28">
        <v>946</v>
      </c>
      <c r="G23" s="28"/>
      <c r="H23" s="28">
        <f>Cty_Dai_Thuy[[#This Row],[ĐƠN GIÁ]]*Cty_Dai_Thuy[[#This Row],[SỐ LƯỢNG]]</f>
        <v>0</v>
      </c>
      <c r="I23" s="28"/>
      <c r="J23" s="28">
        <f ca="1">N(INDIRECT("R[-1]C", FALSE)) + Cty_Dai_Thuy[[#This Row],[THÀNH TIỀN]] - Cty_Dai_Thuy[[#This Row],[THANH TOÁN]]</f>
        <v>0</v>
      </c>
      <c r="K23" s="27" t="s">
        <v>2402</v>
      </c>
    </row>
    <row r="24" spans="1:11" ht="31.5" x14ac:dyDescent="0.25">
      <c r="A24" s="25">
        <v>7080</v>
      </c>
      <c r="B24" s="30">
        <v>46031</v>
      </c>
      <c r="C24" s="26" t="s">
        <v>49</v>
      </c>
      <c r="D24" s="38" t="s">
        <v>301</v>
      </c>
      <c r="E24" s="23" t="s">
        <v>2405</v>
      </c>
      <c r="F24" s="31">
        <v>9064</v>
      </c>
      <c r="G24" s="31"/>
      <c r="H24" s="31">
        <f>Cty_Dai_Thuy[[#This Row],[ĐƠN GIÁ]]*Cty_Dai_Thuy[[#This Row],[SỐ LƯỢNG]]</f>
        <v>0</v>
      </c>
      <c r="I24" s="31"/>
      <c r="J24" s="31">
        <f ca="1">N(INDIRECT("R[-1]C", FALSE)) + Cty_Dai_Thuy[[#This Row],[THÀNH TIỀN]] - Cty_Dai_Thuy[[#This Row],[THANH TOÁN]]</f>
        <v>0</v>
      </c>
      <c r="K24" s="133" t="s">
        <v>2406</v>
      </c>
    </row>
    <row r="25" spans="1:11" x14ac:dyDescent="0.25">
      <c r="A25" s="25">
        <v>7252</v>
      </c>
      <c r="B25" s="30">
        <v>46041</v>
      </c>
      <c r="C25" s="26" t="s">
        <v>49</v>
      </c>
      <c r="D25" s="38" t="s">
        <v>17</v>
      </c>
      <c r="E25" s="26" t="s">
        <v>78</v>
      </c>
      <c r="F25" s="28">
        <v>17434</v>
      </c>
      <c r="G25" s="28"/>
      <c r="H25" s="28">
        <f>Cty_Dai_Thuy[[#This Row],[ĐƠN GIÁ]]*Cty_Dai_Thuy[[#This Row],[SỐ LƯỢNG]]</f>
        <v>0</v>
      </c>
      <c r="I25" s="28"/>
      <c r="J25" s="28">
        <f ca="1">N(INDIRECT("R[-1]C", FALSE)) + Cty_Dai_Thuy[[#This Row],[THÀNH TIỀN]] - Cty_Dai_Thuy[[#This Row],[THANH TOÁN]]</f>
        <v>0</v>
      </c>
      <c r="K25" s="153" t="s">
        <v>2433</v>
      </c>
    </row>
    <row r="26" spans="1:11" ht="47.25" x14ac:dyDescent="0.25">
      <c r="A26" s="25">
        <v>7480</v>
      </c>
      <c r="B26" s="30">
        <v>46052</v>
      </c>
      <c r="C26" s="26" t="s">
        <v>49</v>
      </c>
      <c r="D26" s="38" t="s">
        <v>143</v>
      </c>
      <c r="E26" s="26" t="s">
        <v>469</v>
      </c>
      <c r="F26" s="28">
        <v>55875</v>
      </c>
      <c r="G26" s="28"/>
      <c r="H26" s="28">
        <f>Cty_Dai_Thuy[[#This Row],[ĐƠN GIÁ]]*Cty_Dai_Thuy[[#This Row],[SỐ LƯỢNG]]</f>
        <v>0</v>
      </c>
      <c r="I26" s="28"/>
      <c r="J26" s="28">
        <f ca="1">N(INDIRECT("R[-1]C", FALSE)) + Cty_Dai_Thuy[[#This Row],[THÀNH TIỀN]] - Cty_Dai_Thuy[[#This Row],[THANH TOÁN]]</f>
        <v>0</v>
      </c>
      <c r="K26" s="153" t="s">
        <v>2467</v>
      </c>
    </row>
    <row r="27" spans="1:11" x14ac:dyDescent="0.25">
      <c r="A27" s="25"/>
      <c r="B27" s="30">
        <v>46081</v>
      </c>
      <c r="C27" s="26" t="s">
        <v>12</v>
      </c>
      <c r="D27" s="38"/>
      <c r="E27" s="26"/>
      <c r="F27" s="28">
        <v>1</v>
      </c>
      <c r="G27" s="28">
        <v>-2715294</v>
      </c>
      <c r="H27" s="28">
        <f>Cty_Dai_Thuy[[#This Row],[ĐƠN GIÁ]]*Cty_Dai_Thuy[[#This Row],[SỐ LƯỢNG]]</f>
        <v>-2715294</v>
      </c>
      <c r="I27" s="28"/>
      <c r="J27" s="28">
        <f ca="1">N(INDIRECT("R[-1]C", FALSE)) + Cty_Dai_Thuy[[#This Row],[THÀNH TIỀN]] - Cty_Dai_Thuy[[#This Row],[THANH TOÁN]]</f>
        <v>-2715294</v>
      </c>
      <c r="K27" s="27"/>
    </row>
    <row r="28" spans="1:11" x14ac:dyDescent="0.25">
      <c r="A28" s="25">
        <v>7817</v>
      </c>
      <c r="B28" s="30">
        <v>46084</v>
      </c>
      <c r="C28" s="26" t="s">
        <v>49</v>
      </c>
      <c r="D28" s="38" t="s">
        <v>729</v>
      </c>
      <c r="E28" s="26" t="s">
        <v>730</v>
      </c>
      <c r="F28" s="28">
        <f>3030+1545+1000+1231</f>
        <v>6806</v>
      </c>
      <c r="G28" s="28"/>
      <c r="H28" s="28">
        <f>Cty_Dai_Thuy[[#This Row],[ĐƠN GIÁ]]*Cty_Dai_Thuy[[#This Row],[SỐ LƯỢNG]]</f>
        <v>0</v>
      </c>
      <c r="I28" s="28"/>
      <c r="J28" s="28">
        <f ca="1">N(INDIRECT("R[-1]C", FALSE)) + Cty_Dai_Thuy[[#This Row],[THÀNH TIỀN]] - Cty_Dai_Thuy[[#This Row],[THANH TOÁN]]</f>
        <v>-2715294</v>
      </c>
      <c r="K28" s="27"/>
    </row>
    <row r="29" spans="1:11" x14ac:dyDescent="0.25">
      <c r="A29" s="25">
        <v>7817</v>
      </c>
      <c r="B29" s="30">
        <v>46084</v>
      </c>
      <c r="C29" s="26" t="s">
        <v>49</v>
      </c>
      <c r="D29" s="38" t="s">
        <v>729</v>
      </c>
      <c r="E29" s="26" t="s">
        <v>480</v>
      </c>
      <c r="F29" s="28">
        <v>974</v>
      </c>
      <c r="G29" s="28"/>
      <c r="H29" s="28">
        <f>Cty_Dai_Thuy[[#This Row],[ĐƠN GIÁ]]*Cty_Dai_Thuy[[#This Row],[SỐ LƯỢNG]]</f>
        <v>0</v>
      </c>
      <c r="I29" s="28"/>
      <c r="J29" s="28">
        <f ca="1">N(INDIRECT("R[-1]C", FALSE)) + Cty_Dai_Thuy[[#This Row],[THÀNH TIỀN]] - Cty_Dai_Thuy[[#This Row],[THANH TOÁN]]</f>
        <v>-2715294</v>
      </c>
      <c r="K29" s="27"/>
    </row>
    <row r="30" spans="1:11" x14ac:dyDescent="0.25">
      <c r="A30" s="25">
        <v>2107</v>
      </c>
      <c r="B30" s="30">
        <v>46084</v>
      </c>
      <c r="C30" s="26" t="s">
        <v>84</v>
      </c>
      <c r="D30" s="38" t="s">
        <v>77</v>
      </c>
      <c r="E30" s="26" t="s">
        <v>749</v>
      </c>
      <c r="F30" s="28">
        <v>540</v>
      </c>
      <c r="G30" s="28">
        <v>-1000</v>
      </c>
      <c r="H30" s="28">
        <f>Cty_Dai_Thuy[[#This Row],[ĐƠN GIÁ]]*Cty_Dai_Thuy[[#This Row],[SỐ LƯỢNG]]</f>
        <v>-540000</v>
      </c>
      <c r="I30" s="28"/>
      <c r="J30" s="28">
        <f ca="1">N(INDIRECT("R[-1]C", FALSE)) + Cty_Dai_Thuy[[#This Row],[THÀNH TIỀN]] - Cty_Dai_Thuy[[#This Row],[THANH TOÁN]]</f>
        <v>-3255294</v>
      </c>
      <c r="K30" s="27"/>
    </row>
    <row r="31" spans="1:11" x14ac:dyDescent="0.25">
      <c r="A31" s="25">
        <v>2107</v>
      </c>
      <c r="B31" s="30">
        <v>46084</v>
      </c>
      <c r="C31" s="26" t="s">
        <v>84</v>
      </c>
      <c r="D31" s="38" t="s">
        <v>77</v>
      </c>
      <c r="E31" s="26" t="s">
        <v>750</v>
      </c>
      <c r="F31" s="28">
        <v>324</v>
      </c>
      <c r="G31" s="28">
        <v>-1000</v>
      </c>
      <c r="H31" s="28">
        <f>Cty_Dai_Thuy[[#This Row],[ĐƠN GIÁ]]*Cty_Dai_Thuy[[#This Row],[SỐ LƯỢNG]]</f>
        <v>-324000</v>
      </c>
      <c r="I31" s="28"/>
      <c r="J31" s="28">
        <f ca="1">N(INDIRECT("R[-1]C", FALSE)) + Cty_Dai_Thuy[[#This Row],[THÀNH TIỀN]] - Cty_Dai_Thuy[[#This Row],[THANH TOÁN]]</f>
        <v>-3579294</v>
      </c>
      <c r="K31" s="27"/>
    </row>
    <row r="32" spans="1:11" x14ac:dyDescent="0.25">
      <c r="A32" s="25">
        <v>2107</v>
      </c>
      <c r="B32" s="30">
        <v>46084</v>
      </c>
      <c r="C32" s="26" t="s">
        <v>84</v>
      </c>
      <c r="D32" s="38" t="s">
        <v>77</v>
      </c>
      <c r="E32" s="26" t="s">
        <v>751</v>
      </c>
      <c r="F32" s="28">
        <v>1616</v>
      </c>
      <c r="G32" s="28">
        <v>-1000</v>
      </c>
      <c r="H32" s="28">
        <f>Cty_Dai_Thuy[[#This Row],[ĐƠN GIÁ]]*Cty_Dai_Thuy[[#This Row],[SỐ LƯỢNG]]</f>
        <v>-1616000</v>
      </c>
      <c r="I32" s="28"/>
      <c r="J32" s="28">
        <f ca="1">N(INDIRECT("R[-1]C", FALSE)) + Cty_Dai_Thuy[[#This Row],[THÀNH TIỀN]] - Cty_Dai_Thuy[[#This Row],[THANH TOÁN]]</f>
        <v>-5195294</v>
      </c>
      <c r="K32" s="27"/>
    </row>
    <row r="33" spans="1:11" x14ac:dyDescent="0.25">
      <c r="A33" s="25">
        <v>19539</v>
      </c>
      <c r="B33" s="30">
        <v>46084</v>
      </c>
      <c r="C33" s="26" t="s">
        <v>84</v>
      </c>
      <c r="D33" s="38" t="s">
        <v>77</v>
      </c>
      <c r="E33" s="26" t="s">
        <v>752</v>
      </c>
      <c r="F33" s="28">
        <v>1884</v>
      </c>
      <c r="G33" s="28">
        <v>-1000</v>
      </c>
      <c r="H33" s="28">
        <f>Cty_Dai_Thuy[[#This Row],[ĐƠN GIÁ]]*Cty_Dai_Thuy[[#This Row],[SỐ LƯỢNG]]</f>
        <v>-1884000</v>
      </c>
      <c r="I33" s="28"/>
      <c r="J33" s="28">
        <f ca="1">N(INDIRECT("R[-1]C", FALSE)) + Cty_Dai_Thuy[[#This Row],[THÀNH TIỀN]] - Cty_Dai_Thuy[[#This Row],[THANH TOÁN]]</f>
        <v>-7079294</v>
      </c>
      <c r="K33" s="27"/>
    </row>
    <row r="34" spans="1:11" x14ac:dyDescent="0.25">
      <c r="A34" s="25">
        <v>19635</v>
      </c>
      <c r="B34" s="30">
        <v>46086</v>
      </c>
      <c r="C34" s="26" t="s">
        <v>84</v>
      </c>
      <c r="D34" s="38" t="s">
        <v>753</v>
      </c>
      <c r="E34" s="23" t="s">
        <v>754</v>
      </c>
      <c r="F34" s="31">
        <v>1472</v>
      </c>
      <c r="G34" s="31">
        <v>-1000</v>
      </c>
      <c r="H34" s="31">
        <f>Cty_Dai_Thuy[[#This Row],[ĐƠN GIÁ]]*Cty_Dai_Thuy[[#This Row],[SỐ LƯỢNG]]</f>
        <v>-1472000</v>
      </c>
      <c r="I34" s="31"/>
      <c r="J34" s="31">
        <f ca="1">N(INDIRECT("R[-1]C", FALSE)) + Cty_Dai_Thuy[[#This Row],[THÀNH TIỀN]] - Cty_Dai_Thuy[[#This Row],[THANH TOÁN]]</f>
        <v>-8551294</v>
      </c>
      <c r="K34" s="24"/>
    </row>
    <row r="35" spans="1:11" x14ac:dyDescent="0.25">
      <c r="A35" s="25">
        <v>19635</v>
      </c>
      <c r="B35" s="30">
        <v>46086</v>
      </c>
      <c r="C35" s="26" t="s">
        <v>84</v>
      </c>
      <c r="D35" s="38" t="s">
        <v>753</v>
      </c>
      <c r="E35" s="26" t="s">
        <v>754</v>
      </c>
      <c r="F35" s="28">
        <v>862</v>
      </c>
      <c r="G35" s="28">
        <v>-1000</v>
      </c>
      <c r="H35" s="28">
        <f>Cty_Dai_Thuy[[#This Row],[ĐƠN GIÁ]]*Cty_Dai_Thuy[[#This Row],[SỐ LƯỢNG]]</f>
        <v>-862000</v>
      </c>
      <c r="I35" s="28"/>
      <c r="J35" s="28">
        <f ca="1">N(INDIRECT("R[-1]C", FALSE)) + Cty_Dai_Thuy[[#This Row],[THÀNH TIỀN]] - Cty_Dai_Thuy[[#This Row],[THANH TOÁN]]</f>
        <v>-9413294</v>
      </c>
      <c r="K35" s="27"/>
    </row>
    <row r="36" spans="1:11" x14ac:dyDescent="0.25">
      <c r="A36" s="25">
        <v>19635</v>
      </c>
      <c r="B36" s="30">
        <v>46086</v>
      </c>
      <c r="C36" s="26" t="s">
        <v>84</v>
      </c>
      <c r="D36" s="38" t="s">
        <v>753</v>
      </c>
      <c r="E36" s="26" t="s">
        <v>754</v>
      </c>
      <c r="F36" s="28">
        <v>1596</v>
      </c>
      <c r="G36" s="28">
        <v>-1000</v>
      </c>
      <c r="H36" s="28">
        <f>Cty_Dai_Thuy[[#This Row],[ĐƠN GIÁ]]*Cty_Dai_Thuy[[#This Row],[SỐ LƯỢNG]]</f>
        <v>-1596000</v>
      </c>
      <c r="I36" s="28"/>
      <c r="J36" s="28">
        <f ca="1">N(INDIRECT("R[-1]C", FALSE)) + Cty_Dai_Thuy[[#This Row],[THÀNH TIỀN]] - Cty_Dai_Thuy[[#This Row],[THANH TOÁN]]</f>
        <v>-11009294</v>
      </c>
      <c r="K36" s="27"/>
    </row>
    <row r="37" spans="1:11" x14ac:dyDescent="0.25">
      <c r="A37" s="25">
        <v>7943</v>
      </c>
      <c r="B37" s="30">
        <v>46090</v>
      </c>
      <c r="C37" s="26" t="s">
        <v>49</v>
      </c>
      <c r="D37" s="38" t="s">
        <v>729</v>
      </c>
      <c r="E37" s="23" t="s">
        <v>731</v>
      </c>
      <c r="F37" s="31">
        <v>3712</v>
      </c>
      <c r="G37" s="31"/>
      <c r="H37" s="31">
        <f>Cty_Dai_Thuy[[#This Row],[ĐƠN GIÁ]]*Cty_Dai_Thuy[[#This Row],[SỐ LƯỢNG]]</f>
        <v>0</v>
      </c>
      <c r="I37" s="31"/>
      <c r="J37" s="31">
        <f ca="1">N(INDIRECT("R[-1]C", FALSE)) + Cty_Dai_Thuy[[#This Row],[THÀNH TIỀN]] - Cty_Dai_Thuy[[#This Row],[THANH TOÁN]]</f>
        <v>-11009294</v>
      </c>
      <c r="K37" s="24"/>
    </row>
    <row r="38" spans="1:11" x14ac:dyDescent="0.25">
      <c r="A38" s="25">
        <v>7943</v>
      </c>
      <c r="B38" s="30">
        <v>46090</v>
      </c>
      <c r="C38" s="26" t="s">
        <v>49</v>
      </c>
      <c r="D38" s="38" t="s">
        <v>729</v>
      </c>
      <c r="E38" s="23" t="s">
        <v>732</v>
      </c>
      <c r="F38" s="31">
        <v>305</v>
      </c>
      <c r="G38" s="31"/>
      <c r="H38" s="31">
        <f>Cty_Dai_Thuy[[#This Row],[ĐƠN GIÁ]]*Cty_Dai_Thuy[[#This Row],[SỐ LƯỢNG]]</f>
        <v>0</v>
      </c>
      <c r="I38" s="31"/>
      <c r="J38" s="31">
        <f ca="1">N(INDIRECT("R[-1]C", FALSE)) + Cty_Dai_Thuy[[#This Row],[THÀNH TIỀN]] - Cty_Dai_Thuy[[#This Row],[THANH TOÁN]]</f>
        <v>-11009294</v>
      </c>
      <c r="K38" s="24"/>
    </row>
    <row r="39" spans="1:11" x14ac:dyDescent="0.25">
      <c r="A39" s="25">
        <v>19746</v>
      </c>
      <c r="B39" s="30">
        <v>46090</v>
      </c>
      <c r="C39" s="26" t="s">
        <v>84</v>
      </c>
      <c r="D39" s="38" t="s">
        <v>753</v>
      </c>
      <c r="E39" s="26" t="s">
        <v>755</v>
      </c>
      <c r="F39" s="28">
        <v>1216</v>
      </c>
      <c r="G39" s="28">
        <v>-1000</v>
      </c>
      <c r="H39" s="28">
        <f>Cty_Dai_Thuy[[#This Row],[ĐƠN GIÁ]]*Cty_Dai_Thuy[[#This Row],[SỐ LƯỢNG]]</f>
        <v>-1216000</v>
      </c>
      <c r="I39" s="28"/>
      <c r="J39" s="28">
        <f ca="1">N(INDIRECT("R[-1]C", FALSE)) + Cty_Dai_Thuy[[#This Row],[THÀNH TIỀN]] - Cty_Dai_Thuy[[#This Row],[THANH TOÁN]]</f>
        <v>-12225294</v>
      </c>
      <c r="K39" s="27"/>
    </row>
    <row r="40" spans="1:11" x14ac:dyDescent="0.25">
      <c r="A40" s="25">
        <v>19746</v>
      </c>
      <c r="B40" s="30">
        <v>46090</v>
      </c>
      <c r="C40" s="26" t="s">
        <v>84</v>
      </c>
      <c r="D40" s="38" t="s">
        <v>753</v>
      </c>
      <c r="E40" s="23" t="s">
        <v>756</v>
      </c>
      <c r="F40" s="31">
        <v>1298</v>
      </c>
      <c r="G40" s="31">
        <v>-1000</v>
      </c>
      <c r="H40" s="31">
        <f>Cty_Dai_Thuy[[#This Row],[ĐƠN GIÁ]]*Cty_Dai_Thuy[[#This Row],[SỐ LƯỢNG]]</f>
        <v>-1298000</v>
      </c>
      <c r="I40" s="31"/>
      <c r="J40" s="31">
        <f ca="1">N(INDIRECT("R[-1]C", FALSE)) + Cty_Dai_Thuy[[#This Row],[THÀNH TIỀN]] - Cty_Dai_Thuy[[#This Row],[THANH TOÁN]]</f>
        <v>-13523294</v>
      </c>
      <c r="K40" s="24"/>
    </row>
    <row r="41" spans="1:11" x14ac:dyDescent="0.25">
      <c r="A41" s="25">
        <v>19746</v>
      </c>
      <c r="B41" s="30">
        <v>46090</v>
      </c>
      <c r="C41" s="26" t="s">
        <v>84</v>
      </c>
      <c r="D41" s="38" t="s">
        <v>753</v>
      </c>
      <c r="E41" s="23" t="s">
        <v>755</v>
      </c>
      <c r="F41" s="31">
        <v>2210</v>
      </c>
      <c r="G41" s="31">
        <v>-1000</v>
      </c>
      <c r="H41" s="31">
        <f>Cty_Dai_Thuy[[#This Row],[ĐƠN GIÁ]]*Cty_Dai_Thuy[[#This Row],[SỐ LƯỢNG]]</f>
        <v>-2210000</v>
      </c>
      <c r="I41" s="31"/>
      <c r="J41" s="31">
        <f ca="1">N(INDIRECT("R[-1]C", FALSE)) + Cty_Dai_Thuy[[#This Row],[THÀNH TIỀN]] - Cty_Dai_Thuy[[#This Row],[THANH TOÁN]]</f>
        <v>-15733294</v>
      </c>
      <c r="K41" s="24"/>
    </row>
    <row r="42" spans="1:11" x14ac:dyDescent="0.25">
      <c r="A42" s="25">
        <v>19746</v>
      </c>
      <c r="B42" s="30">
        <v>46090</v>
      </c>
      <c r="C42" s="26" t="s">
        <v>84</v>
      </c>
      <c r="D42" s="38" t="s">
        <v>753</v>
      </c>
      <c r="E42" s="23" t="s">
        <v>756</v>
      </c>
      <c r="F42" s="31">
        <v>2076</v>
      </c>
      <c r="G42" s="31">
        <v>-1000</v>
      </c>
      <c r="H42" s="31">
        <f>Cty_Dai_Thuy[[#This Row],[ĐƠN GIÁ]]*Cty_Dai_Thuy[[#This Row],[SỐ LƯỢNG]]</f>
        <v>-2076000</v>
      </c>
      <c r="I42" s="31"/>
      <c r="J42" s="31">
        <f ca="1">N(INDIRECT("R[-1]C", FALSE)) + Cty_Dai_Thuy[[#This Row],[THÀNH TIỀN]] - Cty_Dai_Thuy[[#This Row],[THANH TOÁN]]</f>
        <v>-17809294</v>
      </c>
      <c r="K42" s="24"/>
    </row>
    <row r="43" spans="1:11" x14ac:dyDescent="0.25">
      <c r="A43" s="25">
        <v>19746</v>
      </c>
      <c r="B43" s="30">
        <v>46090</v>
      </c>
      <c r="C43" s="26" t="s">
        <v>84</v>
      </c>
      <c r="D43" s="37" t="s">
        <v>520</v>
      </c>
      <c r="E43" s="23" t="s">
        <v>757</v>
      </c>
      <c r="F43" s="31">
        <v>716</v>
      </c>
      <c r="G43" s="31">
        <v>-1000</v>
      </c>
      <c r="H43" s="31">
        <f>Cty_Dai_Thuy[[#This Row],[ĐƠN GIÁ]]*Cty_Dai_Thuy[[#This Row],[SỐ LƯỢNG]]</f>
        <v>-716000</v>
      </c>
      <c r="I43" s="31"/>
      <c r="J43" s="31">
        <f ca="1">N(INDIRECT("R[-1]C", FALSE)) + Cty_Dai_Thuy[[#This Row],[THÀNH TIỀN]] - Cty_Dai_Thuy[[#This Row],[THANH TOÁN]]</f>
        <v>-18525294</v>
      </c>
      <c r="K43" s="24"/>
    </row>
    <row r="44" spans="1:11" x14ac:dyDescent="0.25">
      <c r="A44" s="25">
        <v>19746</v>
      </c>
      <c r="B44" s="30">
        <v>46090</v>
      </c>
      <c r="C44" s="26" t="s">
        <v>84</v>
      </c>
      <c r="D44" s="37" t="s">
        <v>520</v>
      </c>
      <c r="E44" s="23" t="s">
        <v>758</v>
      </c>
      <c r="F44" s="31">
        <v>256</v>
      </c>
      <c r="G44" s="31">
        <v>-1000</v>
      </c>
      <c r="H44" s="31">
        <f>Cty_Dai_Thuy[[#This Row],[ĐƠN GIÁ]]*Cty_Dai_Thuy[[#This Row],[SỐ LƯỢNG]]</f>
        <v>-256000</v>
      </c>
      <c r="I44" s="31"/>
      <c r="J44" s="31">
        <f ca="1">N(INDIRECT("R[-1]C", FALSE)) + Cty_Dai_Thuy[[#This Row],[THÀNH TIỀN]] - Cty_Dai_Thuy[[#This Row],[THANH TOÁN]]</f>
        <v>-18781294</v>
      </c>
      <c r="K44" s="24"/>
    </row>
    <row r="45" spans="1:11" x14ac:dyDescent="0.25">
      <c r="A45" s="25">
        <v>8019</v>
      </c>
      <c r="B45" s="30">
        <v>46092</v>
      </c>
      <c r="C45" s="26" t="s">
        <v>49</v>
      </c>
      <c r="D45" s="38" t="s">
        <v>26</v>
      </c>
      <c r="E45" s="26" t="s">
        <v>733</v>
      </c>
      <c r="F45" s="28">
        <f>2624+1776+1820+1758+2166+2000+2386+2506+2216+2232+2186+2274</f>
        <v>25944</v>
      </c>
      <c r="G45" s="28"/>
      <c r="H45" s="28">
        <f>Cty_Dai_Thuy[[#This Row],[ĐƠN GIÁ]]*Cty_Dai_Thuy[[#This Row],[SỐ LƯỢNG]]</f>
        <v>0</v>
      </c>
      <c r="I45" s="28"/>
      <c r="J45" s="28">
        <f ca="1">N(INDIRECT("R[-1]C", FALSE)) + Cty_Dai_Thuy[[#This Row],[THÀNH TIỀN]] - Cty_Dai_Thuy[[#This Row],[THANH TOÁN]]</f>
        <v>-18781294</v>
      </c>
      <c r="K45" s="27"/>
    </row>
    <row r="46" spans="1:11" x14ac:dyDescent="0.25">
      <c r="A46" s="25"/>
      <c r="B46" s="30">
        <v>46092</v>
      </c>
      <c r="C46" s="26" t="s">
        <v>426</v>
      </c>
      <c r="D46" s="38" t="s">
        <v>26</v>
      </c>
      <c r="E46" s="23" t="s">
        <v>733</v>
      </c>
      <c r="F46" s="31">
        <v>17036</v>
      </c>
      <c r="G46" s="31"/>
      <c r="H46" s="31">
        <f>Cty_Dai_Thuy[[#This Row],[ĐƠN GIÁ]]*Cty_Dai_Thuy[[#This Row],[SỐ LƯỢNG]]</f>
        <v>0</v>
      </c>
      <c r="I46" s="31"/>
      <c r="J46" s="31">
        <f ca="1">N(INDIRECT("R[-1]C", FALSE)) + Cty_Dai_Thuy[[#This Row],[THÀNH TIỀN]] - Cty_Dai_Thuy[[#This Row],[THANH TOÁN]]</f>
        <v>-18781294</v>
      </c>
      <c r="K46" s="24"/>
    </row>
    <row r="47" spans="1:11" x14ac:dyDescent="0.25">
      <c r="A47" s="25">
        <v>8056</v>
      </c>
      <c r="B47" s="30">
        <v>46094</v>
      </c>
      <c r="C47" s="26" t="s">
        <v>49</v>
      </c>
      <c r="D47" s="38" t="s">
        <v>729</v>
      </c>
      <c r="E47" s="23" t="s">
        <v>734</v>
      </c>
      <c r="F47" s="31">
        <f>2216+2232+2186+2274</f>
        <v>8908</v>
      </c>
      <c r="G47" s="31"/>
      <c r="H47" s="31">
        <f>Cty_Dai_Thuy[[#This Row],[ĐƠN GIÁ]]*Cty_Dai_Thuy[[#This Row],[SỐ LƯỢNG]]</f>
        <v>0</v>
      </c>
      <c r="I47" s="31"/>
      <c r="J47" s="31">
        <f ca="1">N(INDIRECT("R[-1]C", FALSE)) + Cty_Dai_Thuy[[#This Row],[THÀNH TIỀN]] - Cty_Dai_Thuy[[#This Row],[THANH TOÁN]]</f>
        <v>-18781294</v>
      </c>
      <c r="K47" s="24"/>
    </row>
    <row r="48" spans="1:11" x14ac:dyDescent="0.25">
      <c r="A48" s="25">
        <v>8106</v>
      </c>
      <c r="B48" s="30">
        <v>46095</v>
      </c>
      <c r="C48" s="26" t="s">
        <v>13</v>
      </c>
      <c r="D48" s="38" t="s">
        <v>26</v>
      </c>
      <c r="E48" s="26" t="s">
        <v>735</v>
      </c>
      <c r="F48" s="28">
        <v>1695</v>
      </c>
      <c r="G48" s="28">
        <v>28000</v>
      </c>
      <c r="H48" s="28">
        <f>Cty_Dai_Thuy[[#This Row],[ĐƠN GIÁ]]*Cty_Dai_Thuy[[#This Row],[SỐ LƯỢNG]]</f>
        <v>47460000</v>
      </c>
      <c r="I48" s="28"/>
      <c r="J48" s="28">
        <f ca="1">N(INDIRECT("R[-1]C", FALSE)) + Cty_Dai_Thuy[[#This Row],[THÀNH TIỀN]] - Cty_Dai_Thuy[[#This Row],[THANH TOÁN]]</f>
        <v>28678706</v>
      </c>
      <c r="K48" s="27"/>
    </row>
    <row r="49" spans="1:11" x14ac:dyDescent="0.25">
      <c r="A49" s="25">
        <v>8106</v>
      </c>
      <c r="B49" s="30">
        <v>46095</v>
      </c>
      <c r="C49" s="26" t="s">
        <v>13</v>
      </c>
      <c r="D49" s="38" t="s">
        <v>26</v>
      </c>
      <c r="E49" s="26" t="s">
        <v>736</v>
      </c>
      <c r="F49" s="28">
        <f>1126-20-6</f>
        <v>1100</v>
      </c>
      <c r="G49" s="28">
        <v>28000</v>
      </c>
      <c r="H49" s="28">
        <f>Cty_Dai_Thuy[[#This Row],[ĐƠN GIÁ]]*Cty_Dai_Thuy[[#This Row],[SỐ LƯỢNG]]</f>
        <v>30800000</v>
      </c>
      <c r="I49" s="28"/>
      <c r="J49" s="28">
        <f ca="1">N(INDIRECT("R[-1]C", FALSE)) + Cty_Dai_Thuy[[#This Row],[THÀNH TIỀN]] - Cty_Dai_Thuy[[#This Row],[THANH TOÁN]]</f>
        <v>59478706</v>
      </c>
      <c r="K49" s="27"/>
    </row>
    <row r="50" spans="1:11" x14ac:dyDescent="0.25">
      <c r="A50" s="25">
        <v>8106</v>
      </c>
      <c r="B50" s="30">
        <v>46095</v>
      </c>
      <c r="C50" s="26" t="s">
        <v>13</v>
      </c>
      <c r="D50" s="38" t="s">
        <v>26</v>
      </c>
      <c r="E50" s="23" t="s">
        <v>737</v>
      </c>
      <c r="F50" s="31">
        <v>812</v>
      </c>
      <c r="G50" s="31">
        <v>28000</v>
      </c>
      <c r="H50" s="31">
        <f>Cty_Dai_Thuy[[#This Row],[ĐƠN GIÁ]]*Cty_Dai_Thuy[[#This Row],[SỐ LƯỢNG]]</f>
        <v>22736000</v>
      </c>
      <c r="I50" s="31"/>
      <c r="J50" s="31">
        <f ca="1">N(INDIRECT("R[-1]C", FALSE)) + Cty_Dai_Thuy[[#This Row],[THÀNH TIỀN]] - Cty_Dai_Thuy[[#This Row],[THANH TOÁN]]</f>
        <v>82214706</v>
      </c>
      <c r="K50" s="24"/>
    </row>
    <row r="51" spans="1:11" x14ac:dyDescent="0.25">
      <c r="A51" s="25">
        <v>8108</v>
      </c>
      <c r="B51" s="30">
        <v>46097</v>
      </c>
      <c r="C51" s="26" t="s">
        <v>49</v>
      </c>
      <c r="D51" s="38" t="s">
        <v>26</v>
      </c>
      <c r="E51" s="23" t="s">
        <v>738</v>
      </c>
      <c r="F51" s="31">
        <v>1233</v>
      </c>
      <c r="G51" s="31"/>
      <c r="H51" s="31">
        <f>Cty_Dai_Thuy[[#This Row],[ĐƠN GIÁ]]*Cty_Dai_Thuy[[#This Row],[SỐ LƯỢNG]]</f>
        <v>0</v>
      </c>
      <c r="I51" s="31"/>
      <c r="J51" s="31">
        <f ca="1">N(INDIRECT("R[-1]C", FALSE)) + Cty_Dai_Thuy[[#This Row],[THÀNH TIỀN]] - Cty_Dai_Thuy[[#This Row],[THANH TOÁN]]</f>
        <v>82214706</v>
      </c>
      <c r="K51" s="24"/>
    </row>
    <row r="52" spans="1:11" x14ac:dyDescent="0.25">
      <c r="A52" s="22">
        <v>8161</v>
      </c>
      <c r="B52" s="29">
        <v>46098</v>
      </c>
      <c r="C52" s="23" t="s">
        <v>49</v>
      </c>
      <c r="D52" s="37" t="s">
        <v>26</v>
      </c>
      <c r="E52" s="23" t="s">
        <v>739</v>
      </c>
      <c r="F52" s="31">
        <f>900+1056+1203+1080</f>
        <v>4239</v>
      </c>
      <c r="G52" s="31"/>
      <c r="H52" s="31">
        <f>Cty_Dai_Thuy[[#This Row],[ĐƠN GIÁ]]*Cty_Dai_Thuy[[#This Row],[SỐ LƯỢNG]]</f>
        <v>0</v>
      </c>
      <c r="I52" s="31"/>
      <c r="J52" s="31">
        <f ca="1">N(INDIRECT("R[-1]C", FALSE)) + Cty_Dai_Thuy[[#This Row],[THÀNH TIỀN]] - Cty_Dai_Thuy[[#This Row],[THANH TOÁN]]</f>
        <v>82214706</v>
      </c>
      <c r="K52" s="24"/>
    </row>
    <row r="53" spans="1:11" x14ac:dyDescent="0.25">
      <c r="A53" s="22">
        <v>20100</v>
      </c>
      <c r="B53" s="29">
        <v>46098</v>
      </c>
      <c r="C53" s="23" t="s">
        <v>84</v>
      </c>
      <c r="D53" s="37" t="s">
        <v>753</v>
      </c>
      <c r="E53" s="23" t="s">
        <v>759</v>
      </c>
      <c r="F53" s="31">
        <v>1892</v>
      </c>
      <c r="G53" s="31">
        <v>-1000</v>
      </c>
      <c r="H53" s="31">
        <f>Cty_Dai_Thuy[[#This Row],[ĐƠN GIÁ]]*Cty_Dai_Thuy[[#This Row],[SỐ LƯỢNG]]</f>
        <v>-1892000</v>
      </c>
      <c r="I53" s="31"/>
      <c r="J53" s="31">
        <f ca="1">N(INDIRECT("R[-1]C", FALSE)) + Cty_Dai_Thuy[[#This Row],[THÀNH TIỀN]] - Cty_Dai_Thuy[[#This Row],[THANH TOÁN]]</f>
        <v>80322706</v>
      </c>
      <c r="K53" s="24"/>
    </row>
    <row r="54" spans="1:11" x14ac:dyDescent="0.25">
      <c r="A54" s="22">
        <v>20100</v>
      </c>
      <c r="B54" s="29">
        <v>46098</v>
      </c>
      <c r="C54" s="23" t="s">
        <v>84</v>
      </c>
      <c r="D54" s="37" t="s">
        <v>753</v>
      </c>
      <c r="E54" s="23" t="s">
        <v>760</v>
      </c>
      <c r="F54" s="31">
        <v>190</v>
      </c>
      <c r="G54" s="31">
        <v>-1000</v>
      </c>
      <c r="H54" s="31">
        <f>Cty_Dai_Thuy[[#This Row],[ĐƠN GIÁ]]*Cty_Dai_Thuy[[#This Row],[SỐ LƯỢNG]]</f>
        <v>-190000</v>
      </c>
      <c r="I54" s="31"/>
      <c r="J54" s="31">
        <f ca="1">N(INDIRECT("R[-1]C", FALSE)) + Cty_Dai_Thuy[[#This Row],[THÀNH TIỀN]] - Cty_Dai_Thuy[[#This Row],[THANH TOÁN]]</f>
        <v>80132706</v>
      </c>
      <c r="K54" s="24"/>
    </row>
    <row r="55" spans="1:11" x14ac:dyDescent="0.25">
      <c r="A55" s="22">
        <v>20100</v>
      </c>
      <c r="B55" s="29">
        <v>46098</v>
      </c>
      <c r="C55" s="23" t="s">
        <v>84</v>
      </c>
      <c r="D55" s="37" t="s">
        <v>753</v>
      </c>
      <c r="E55" s="23" t="s">
        <v>761</v>
      </c>
      <c r="F55" s="31">
        <v>1956</v>
      </c>
      <c r="G55" s="31">
        <v>-1000</v>
      </c>
      <c r="H55" s="31">
        <f>Cty_Dai_Thuy[[#This Row],[ĐƠN GIÁ]]*Cty_Dai_Thuy[[#This Row],[SỐ LƯỢNG]]</f>
        <v>-1956000</v>
      </c>
      <c r="I55" s="31"/>
      <c r="J55" s="31">
        <f ca="1">N(INDIRECT("R[-1]C", FALSE)) + Cty_Dai_Thuy[[#This Row],[THÀNH TIỀN]] - Cty_Dai_Thuy[[#This Row],[THANH TOÁN]]</f>
        <v>78176706</v>
      </c>
      <c r="K55" s="24"/>
    </row>
    <row r="56" spans="1:11" x14ac:dyDescent="0.25">
      <c r="A56" s="22">
        <v>8195</v>
      </c>
      <c r="B56" s="29">
        <v>46100</v>
      </c>
      <c r="C56" s="23" t="s">
        <v>13</v>
      </c>
      <c r="D56" s="37" t="s">
        <v>43</v>
      </c>
      <c r="E56" s="23" t="s">
        <v>740</v>
      </c>
      <c r="F56" s="31">
        <v>542</v>
      </c>
      <c r="G56" s="31">
        <v>50000</v>
      </c>
      <c r="H56" s="31">
        <f>Cty_Dai_Thuy[[#This Row],[ĐƠN GIÁ]]*Cty_Dai_Thuy[[#This Row],[SỐ LƯỢNG]]</f>
        <v>27100000</v>
      </c>
      <c r="I56" s="31"/>
      <c r="J56" s="31">
        <f ca="1">N(INDIRECT("R[-1]C", FALSE)) + Cty_Dai_Thuy[[#This Row],[THÀNH TIỀN]] - Cty_Dai_Thuy[[#This Row],[THANH TOÁN]]</f>
        <v>105276706</v>
      </c>
      <c r="K56" s="24"/>
    </row>
    <row r="57" spans="1:11" x14ac:dyDescent="0.25">
      <c r="A57" s="22">
        <v>20184</v>
      </c>
      <c r="B57" s="29">
        <v>46100</v>
      </c>
      <c r="C57" s="23" t="s">
        <v>84</v>
      </c>
      <c r="D57" s="37" t="s">
        <v>753</v>
      </c>
      <c r="E57" s="23" t="s">
        <v>762</v>
      </c>
      <c r="F57" s="31">
        <v>2064</v>
      </c>
      <c r="G57" s="31">
        <v>-1000</v>
      </c>
      <c r="H57" s="31">
        <f>Cty_Dai_Thuy[[#This Row],[ĐƠN GIÁ]]*Cty_Dai_Thuy[[#This Row],[SỐ LƯỢNG]]</f>
        <v>-2064000</v>
      </c>
      <c r="I57" s="31"/>
      <c r="J57" s="31">
        <f ca="1">N(INDIRECT("R[-1]C", FALSE)) + Cty_Dai_Thuy[[#This Row],[THÀNH TIỀN]] - Cty_Dai_Thuy[[#This Row],[THANH TOÁN]]</f>
        <v>103212706</v>
      </c>
      <c r="K57" s="24"/>
    </row>
    <row r="58" spans="1:11" x14ac:dyDescent="0.25">
      <c r="A58" s="22">
        <v>20184</v>
      </c>
      <c r="B58" s="29">
        <v>46100</v>
      </c>
      <c r="C58" s="23" t="s">
        <v>84</v>
      </c>
      <c r="D58" s="37" t="s">
        <v>763</v>
      </c>
      <c r="E58" s="23" t="s">
        <v>764</v>
      </c>
      <c r="F58" s="31">
        <v>2374</v>
      </c>
      <c r="G58" s="31">
        <v>-1000</v>
      </c>
      <c r="H58" s="31">
        <f>Cty_Dai_Thuy[[#This Row],[ĐƠN GIÁ]]*Cty_Dai_Thuy[[#This Row],[SỐ LƯỢNG]]</f>
        <v>-2374000</v>
      </c>
      <c r="I58" s="31"/>
      <c r="J58" s="31">
        <f ca="1">N(INDIRECT("R[-1]C", FALSE)) + Cty_Dai_Thuy[[#This Row],[THÀNH TIỀN]] - Cty_Dai_Thuy[[#This Row],[THANH TOÁN]]</f>
        <v>100838706</v>
      </c>
      <c r="K58" s="24"/>
    </row>
    <row r="59" spans="1:11" x14ac:dyDescent="0.25">
      <c r="A59" s="22">
        <v>20184</v>
      </c>
      <c r="B59" s="29">
        <v>46100</v>
      </c>
      <c r="C59" s="23" t="s">
        <v>84</v>
      </c>
      <c r="D59" s="37" t="s">
        <v>765</v>
      </c>
      <c r="E59" s="23" t="s">
        <v>762</v>
      </c>
      <c r="F59" s="31">
        <v>2170</v>
      </c>
      <c r="G59" s="31">
        <v>-1000</v>
      </c>
      <c r="H59" s="31">
        <f>Cty_Dai_Thuy[[#This Row],[ĐƠN GIÁ]]*Cty_Dai_Thuy[[#This Row],[SỐ LƯỢNG]]</f>
        <v>-2170000</v>
      </c>
      <c r="I59" s="31"/>
      <c r="J59" s="31">
        <f ca="1">N(INDIRECT("R[-1]C", FALSE)) + Cty_Dai_Thuy[[#This Row],[THÀNH TIỀN]] - Cty_Dai_Thuy[[#This Row],[THANH TOÁN]]</f>
        <v>98668706</v>
      </c>
      <c r="K59" s="24"/>
    </row>
    <row r="60" spans="1:11" x14ac:dyDescent="0.25">
      <c r="A60" s="22">
        <v>8286</v>
      </c>
      <c r="B60" s="29">
        <v>46101</v>
      </c>
      <c r="C60" s="23" t="s">
        <v>49</v>
      </c>
      <c r="D60" s="37" t="s">
        <v>26</v>
      </c>
      <c r="E60" s="23" t="s">
        <v>741</v>
      </c>
      <c r="F60" s="31">
        <v>4276</v>
      </c>
      <c r="G60" s="31"/>
      <c r="H60" s="31">
        <f>Cty_Dai_Thuy[[#This Row],[ĐƠN GIÁ]]*Cty_Dai_Thuy[[#This Row],[SỐ LƯỢNG]]</f>
        <v>0</v>
      </c>
      <c r="I60" s="31"/>
      <c r="J60" s="31">
        <f ca="1">N(INDIRECT("R[-1]C", FALSE)) + Cty_Dai_Thuy[[#This Row],[THÀNH TIỀN]] - Cty_Dai_Thuy[[#This Row],[THANH TOÁN]]</f>
        <v>98668706</v>
      </c>
      <c r="K60" s="24"/>
    </row>
    <row r="61" spans="1:11" x14ac:dyDescent="0.25">
      <c r="A61" s="22">
        <v>8286</v>
      </c>
      <c r="B61" s="29">
        <v>46101</v>
      </c>
      <c r="C61" s="23" t="s">
        <v>49</v>
      </c>
      <c r="D61" s="37" t="s">
        <v>26</v>
      </c>
      <c r="E61" s="23" t="s">
        <v>742</v>
      </c>
      <c r="F61" s="31">
        <v>2345</v>
      </c>
      <c r="G61" s="31"/>
      <c r="H61" s="31">
        <f>Cty_Dai_Thuy[[#This Row],[ĐƠN GIÁ]]*Cty_Dai_Thuy[[#This Row],[SỐ LƯỢNG]]</f>
        <v>0</v>
      </c>
      <c r="I61" s="31"/>
      <c r="J61" s="31">
        <f ca="1">N(INDIRECT("R[-1]C", FALSE)) + Cty_Dai_Thuy[[#This Row],[THÀNH TIỀN]] - Cty_Dai_Thuy[[#This Row],[THANH TOÁN]]</f>
        <v>98668706</v>
      </c>
      <c r="K61" s="24"/>
    </row>
    <row r="62" spans="1:11" x14ac:dyDescent="0.25">
      <c r="A62" s="22">
        <v>20259</v>
      </c>
      <c r="B62" s="29">
        <v>46101</v>
      </c>
      <c r="C62" s="23" t="s">
        <v>84</v>
      </c>
      <c r="D62" s="37" t="s">
        <v>753</v>
      </c>
      <c r="E62" s="23" t="s">
        <v>762</v>
      </c>
      <c r="F62" s="31">
        <v>2282</v>
      </c>
      <c r="G62" s="31">
        <v>-1000</v>
      </c>
      <c r="H62" s="31">
        <f>Cty_Dai_Thuy[[#This Row],[ĐƠN GIÁ]]*Cty_Dai_Thuy[[#This Row],[SỐ LƯỢNG]]</f>
        <v>-2282000</v>
      </c>
      <c r="I62" s="31"/>
      <c r="J62" s="31">
        <f ca="1">N(INDIRECT("R[-1]C", FALSE)) + Cty_Dai_Thuy[[#This Row],[THÀNH TIỀN]] - Cty_Dai_Thuy[[#This Row],[THANH TOÁN]]</f>
        <v>96386706</v>
      </c>
      <c r="K62" s="24"/>
    </row>
    <row r="63" spans="1:11" x14ac:dyDescent="0.25">
      <c r="A63" s="22">
        <v>8203</v>
      </c>
      <c r="B63" s="29">
        <v>46102</v>
      </c>
      <c r="C63" s="23" t="s">
        <v>49</v>
      </c>
      <c r="D63" s="37" t="s">
        <v>77</v>
      </c>
      <c r="E63" s="23" t="s">
        <v>743</v>
      </c>
      <c r="F63" s="31">
        <v>1001</v>
      </c>
      <c r="G63" s="31"/>
      <c r="H63" s="31">
        <f>Cty_Dai_Thuy[[#This Row],[ĐƠN GIÁ]]*Cty_Dai_Thuy[[#This Row],[SỐ LƯỢNG]]</f>
        <v>0</v>
      </c>
      <c r="I63" s="31"/>
      <c r="J63" s="31">
        <f ca="1">N(INDIRECT("R[-1]C", FALSE)) + Cty_Dai_Thuy[[#This Row],[THÀNH TIỀN]] - Cty_Dai_Thuy[[#This Row],[THANH TOÁN]]</f>
        <v>96386706</v>
      </c>
      <c r="K63" s="24"/>
    </row>
    <row r="64" spans="1:11" x14ac:dyDescent="0.25">
      <c r="A64" s="22">
        <v>20443</v>
      </c>
      <c r="B64" s="29">
        <v>46106</v>
      </c>
      <c r="C64" s="23" t="s">
        <v>84</v>
      </c>
      <c r="D64" s="37" t="s">
        <v>753</v>
      </c>
      <c r="E64" s="23" t="s">
        <v>766</v>
      </c>
      <c r="F64" s="31">
        <v>1312</v>
      </c>
      <c r="G64" s="31">
        <v>-1000</v>
      </c>
      <c r="H64" s="31">
        <f>Cty_Dai_Thuy[[#This Row],[ĐƠN GIÁ]]*Cty_Dai_Thuy[[#This Row],[SỐ LƯỢNG]]</f>
        <v>-1312000</v>
      </c>
      <c r="I64" s="31"/>
      <c r="J64" s="31">
        <f ca="1">N(INDIRECT("R[-1]C", FALSE)) + Cty_Dai_Thuy[[#This Row],[THÀNH TIỀN]] - Cty_Dai_Thuy[[#This Row],[THANH TOÁN]]</f>
        <v>95074706</v>
      </c>
      <c r="K64" s="24"/>
    </row>
    <row r="65" spans="1:11" x14ac:dyDescent="0.25">
      <c r="A65" s="22">
        <v>20443</v>
      </c>
      <c r="B65" s="29">
        <v>46106</v>
      </c>
      <c r="C65" s="23" t="s">
        <v>84</v>
      </c>
      <c r="D65" s="37" t="s">
        <v>753</v>
      </c>
      <c r="E65" s="23" t="s">
        <v>767</v>
      </c>
      <c r="F65" s="31">
        <v>1478</v>
      </c>
      <c r="G65" s="31">
        <v>-1000</v>
      </c>
      <c r="H65" s="31">
        <f>Cty_Dai_Thuy[[#This Row],[ĐƠN GIÁ]]*Cty_Dai_Thuy[[#This Row],[SỐ LƯỢNG]]</f>
        <v>-1478000</v>
      </c>
      <c r="I65" s="31"/>
      <c r="J65" s="31">
        <f ca="1">N(INDIRECT("R[-1]C", FALSE)) + Cty_Dai_Thuy[[#This Row],[THÀNH TIỀN]] - Cty_Dai_Thuy[[#This Row],[THANH TOÁN]]</f>
        <v>93596706</v>
      </c>
      <c r="K65" s="24"/>
    </row>
    <row r="66" spans="1:11" x14ac:dyDescent="0.25">
      <c r="A66" s="22">
        <v>20443</v>
      </c>
      <c r="B66" s="29">
        <v>46106</v>
      </c>
      <c r="C66" s="23" t="s">
        <v>84</v>
      </c>
      <c r="D66" s="37" t="s">
        <v>753</v>
      </c>
      <c r="E66" s="23" t="s">
        <v>752</v>
      </c>
      <c r="F66" s="31">
        <v>1710</v>
      </c>
      <c r="G66" s="31">
        <v>-1000</v>
      </c>
      <c r="H66" s="31">
        <f>Cty_Dai_Thuy[[#This Row],[ĐƠN GIÁ]]*Cty_Dai_Thuy[[#This Row],[SỐ LƯỢNG]]</f>
        <v>-1710000</v>
      </c>
      <c r="I66" s="31"/>
      <c r="J66" s="31">
        <f ca="1">N(INDIRECT("R[-1]C", FALSE)) + Cty_Dai_Thuy[[#This Row],[THÀNH TIỀN]] - Cty_Dai_Thuy[[#This Row],[THANH TOÁN]]</f>
        <v>91886706</v>
      </c>
      <c r="K66" s="24"/>
    </row>
    <row r="67" spans="1:11" x14ac:dyDescent="0.25">
      <c r="A67" s="22">
        <v>20443</v>
      </c>
      <c r="B67" s="29">
        <v>46106</v>
      </c>
      <c r="C67" s="23" t="s">
        <v>84</v>
      </c>
      <c r="D67" s="37" t="s">
        <v>753</v>
      </c>
      <c r="E67" s="23" t="s">
        <v>767</v>
      </c>
      <c r="F67" s="31">
        <v>1486</v>
      </c>
      <c r="G67" s="31">
        <v>-1000</v>
      </c>
      <c r="H67" s="31">
        <f>Cty_Dai_Thuy[[#This Row],[ĐƠN GIÁ]]*Cty_Dai_Thuy[[#This Row],[SỐ LƯỢNG]]</f>
        <v>-1486000</v>
      </c>
      <c r="I67" s="31"/>
      <c r="J67" s="31">
        <f ca="1">N(INDIRECT("R[-1]C", FALSE)) + Cty_Dai_Thuy[[#This Row],[THÀNH TIỀN]] - Cty_Dai_Thuy[[#This Row],[THANH TOÁN]]</f>
        <v>90400706</v>
      </c>
      <c r="K67" s="24"/>
    </row>
    <row r="68" spans="1:11" x14ac:dyDescent="0.25">
      <c r="A68" s="22">
        <v>20443</v>
      </c>
      <c r="B68" s="29">
        <v>46106</v>
      </c>
      <c r="C68" s="23" t="s">
        <v>84</v>
      </c>
      <c r="D68" s="37" t="s">
        <v>753</v>
      </c>
      <c r="E68" s="23" t="s">
        <v>752</v>
      </c>
      <c r="F68" s="31">
        <v>1116</v>
      </c>
      <c r="G68" s="31">
        <v>-1000</v>
      </c>
      <c r="H68" s="31">
        <f>Cty_Dai_Thuy[[#This Row],[ĐƠN GIÁ]]*Cty_Dai_Thuy[[#This Row],[SỐ LƯỢNG]]</f>
        <v>-1116000</v>
      </c>
      <c r="I68" s="31"/>
      <c r="J68" s="31">
        <f ca="1">N(INDIRECT("R[-1]C", FALSE)) + Cty_Dai_Thuy[[#This Row],[THÀNH TIỀN]] - Cty_Dai_Thuy[[#This Row],[THANH TOÁN]]</f>
        <v>89284706</v>
      </c>
      <c r="K68" s="24"/>
    </row>
    <row r="69" spans="1:11" x14ac:dyDescent="0.25">
      <c r="A69" s="22">
        <v>20443</v>
      </c>
      <c r="B69" s="29">
        <v>46106</v>
      </c>
      <c r="C69" s="23" t="s">
        <v>84</v>
      </c>
      <c r="D69" s="37" t="s">
        <v>753</v>
      </c>
      <c r="E69" s="23" t="s">
        <v>752</v>
      </c>
      <c r="F69" s="31">
        <v>1036</v>
      </c>
      <c r="G69" s="31">
        <v>-1000</v>
      </c>
      <c r="H69" s="31">
        <f>Cty_Dai_Thuy[[#This Row],[ĐƠN GIÁ]]*Cty_Dai_Thuy[[#This Row],[SỐ LƯỢNG]]</f>
        <v>-1036000</v>
      </c>
      <c r="I69" s="31"/>
      <c r="J69" s="31">
        <f ca="1">N(INDIRECT("R[-1]C", FALSE)) + Cty_Dai_Thuy[[#This Row],[THÀNH TIỀN]] - Cty_Dai_Thuy[[#This Row],[THANH TOÁN]]</f>
        <v>88248706</v>
      </c>
      <c r="K69" s="24"/>
    </row>
    <row r="70" spans="1:11" x14ac:dyDescent="0.25">
      <c r="A70" s="22">
        <v>8341</v>
      </c>
      <c r="B70" s="29">
        <v>46107</v>
      </c>
      <c r="C70" s="23" t="s">
        <v>49</v>
      </c>
      <c r="D70" s="37" t="s">
        <v>301</v>
      </c>
      <c r="E70" s="23" t="s">
        <v>501</v>
      </c>
      <c r="F70" s="31">
        <v>7102</v>
      </c>
      <c r="G70" s="31"/>
      <c r="H70" s="31">
        <f>Cty_Dai_Thuy[[#This Row],[ĐƠN GIÁ]]*Cty_Dai_Thuy[[#This Row],[SỐ LƯỢNG]]</f>
        <v>0</v>
      </c>
      <c r="I70" s="31"/>
      <c r="J70" s="31">
        <f ca="1">N(INDIRECT("R[-1]C", FALSE)) + Cty_Dai_Thuy[[#This Row],[THÀNH TIỀN]] - Cty_Dai_Thuy[[#This Row],[THANH TOÁN]]</f>
        <v>88248706</v>
      </c>
      <c r="K70" s="24"/>
    </row>
    <row r="71" spans="1:11" x14ac:dyDescent="0.25">
      <c r="A71" s="22">
        <v>20514</v>
      </c>
      <c r="B71" s="29">
        <v>46107</v>
      </c>
      <c r="C71" s="23" t="s">
        <v>84</v>
      </c>
      <c r="D71" s="37" t="s">
        <v>753</v>
      </c>
      <c r="E71" s="23" t="s">
        <v>768</v>
      </c>
      <c r="F71" s="31">
        <v>622</v>
      </c>
      <c r="G71" s="31">
        <v>-1000</v>
      </c>
      <c r="H71" s="31">
        <f>Cty_Dai_Thuy[[#This Row],[ĐƠN GIÁ]]*Cty_Dai_Thuy[[#This Row],[SỐ LƯỢNG]]</f>
        <v>-622000</v>
      </c>
      <c r="I71" s="31"/>
      <c r="J71" s="31">
        <f ca="1">N(INDIRECT("R[-1]C", FALSE)) + Cty_Dai_Thuy[[#This Row],[THÀNH TIỀN]] - Cty_Dai_Thuy[[#This Row],[THANH TOÁN]]</f>
        <v>87626706</v>
      </c>
      <c r="K71" s="24"/>
    </row>
    <row r="72" spans="1:11" x14ac:dyDescent="0.25">
      <c r="A72" s="22">
        <v>20514</v>
      </c>
      <c r="B72" s="29">
        <v>46107</v>
      </c>
      <c r="C72" s="23" t="s">
        <v>84</v>
      </c>
      <c r="D72" s="37" t="s">
        <v>753</v>
      </c>
      <c r="E72" s="23" t="s">
        <v>769</v>
      </c>
      <c r="F72" s="31">
        <v>1002</v>
      </c>
      <c r="G72" s="31">
        <v>-1000</v>
      </c>
      <c r="H72" s="31">
        <f>Cty_Dai_Thuy[[#This Row],[ĐƠN GIÁ]]*Cty_Dai_Thuy[[#This Row],[SỐ LƯỢNG]]</f>
        <v>-1002000</v>
      </c>
      <c r="I72" s="31"/>
      <c r="J72" s="31">
        <f ca="1">N(INDIRECT("R[-1]C", FALSE)) + Cty_Dai_Thuy[[#This Row],[THÀNH TIỀN]] - Cty_Dai_Thuy[[#This Row],[THANH TOÁN]]</f>
        <v>86624706</v>
      </c>
      <c r="K72" s="24"/>
    </row>
    <row r="73" spans="1:11" x14ac:dyDescent="0.25">
      <c r="A73" s="22">
        <v>8395</v>
      </c>
      <c r="B73" s="29">
        <v>46109</v>
      </c>
      <c r="C73" s="23" t="s">
        <v>49</v>
      </c>
      <c r="D73" s="37" t="s">
        <v>26</v>
      </c>
      <c r="E73" s="23" t="s">
        <v>744</v>
      </c>
      <c r="F73" s="31">
        <v>7325</v>
      </c>
      <c r="G73" s="31"/>
      <c r="H73" s="31">
        <f>Cty_Dai_Thuy[[#This Row],[ĐƠN GIÁ]]*Cty_Dai_Thuy[[#This Row],[SỐ LƯỢNG]]</f>
        <v>0</v>
      </c>
      <c r="I73" s="31"/>
      <c r="J73" s="31">
        <f ca="1">N(INDIRECT("R[-1]C", FALSE)) + Cty_Dai_Thuy[[#This Row],[THÀNH TIỀN]] - Cty_Dai_Thuy[[#This Row],[THANH TOÁN]]</f>
        <v>86624706</v>
      </c>
      <c r="K73" s="24"/>
    </row>
    <row r="74" spans="1:11" x14ac:dyDescent="0.25">
      <c r="A74" s="22">
        <v>8395</v>
      </c>
      <c r="B74" s="29">
        <v>46109</v>
      </c>
      <c r="C74" s="23" t="s">
        <v>49</v>
      </c>
      <c r="D74" s="37" t="s">
        <v>26</v>
      </c>
      <c r="E74" s="23" t="s">
        <v>745</v>
      </c>
      <c r="F74" s="31">
        <v>2077</v>
      </c>
      <c r="G74" s="31"/>
      <c r="H74" s="31">
        <f>Cty_Dai_Thuy[[#This Row],[ĐƠN GIÁ]]*Cty_Dai_Thuy[[#This Row],[SỐ LƯỢNG]]</f>
        <v>0</v>
      </c>
      <c r="I74" s="31"/>
      <c r="J74" s="31">
        <f ca="1">N(INDIRECT("R[-1]C", FALSE)) + Cty_Dai_Thuy[[#This Row],[THÀNH TIỀN]] - Cty_Dai_Thuy[[#This Row],[THANH TOÁN]]</f>
        <v>86624706</v>
      </c>
      <c r="K74" s="24"/>
    </row>
    <row r="75" spans="1:11" x14ac:dyDescent="0.25">
      <c r="A75" s="22">
        <v>8415</v>
      </c>
      <c r="B75" s="29">
        <v>46111</v>
      </c>
      <c r="C75" s="23" t="s">
        <v>13</v>
      </c>
      <c r="D75" s="37" t="s">
        <v>746</v>
      </c>
      <c r="E75" s="23" t="s">
        <v>747</v>
      </c>
      <c r="F75" s="31">
        <v>1190</v>
      </c>
      <c r="G75" s="31">
        <v>32000</v>
      </c>
      <c r="H75" s="31">
        <f>Cty_Dai_Thuy[[#This Row],[ĐƠN GIÁ]]*Cty_Dai_Thuy[[#This Row],[SỐ LƯỢNG]]</f>
        <v>38080000</v>
      </c>
      <c r="I75" s="31"/>
      <c r="J75" s="31">
        <f ca="1">N(INDIRECT("R[-1]C", FALSE)) + Cty_Dai_Thuy[[#This Row],[THÀNH TIỀN]] - Cty_Dai_Thuy[[#This Row],[THANH TOÁN]]</f>
        <v>124704706</v>
      </c>
      <c r="K75" s="24"/>
    </row>
    <row r="76" spans="1:11" x14ac:dyDescent="0.25">
      <c r="A76" s="22">
        <v>8416</v>
      </c>
      <c r="B76" s="29">
        <v>46111</v>
      </c>
      <c r="C76" s="23" t="s">
        <v>49</v>
      </c>
      <c r="D76" s="37" t="s">
        <v>301</v>
      </c>
      <c r="E76" s="23" t="s">
        <v>501</v>
      </c>
      <c r="F76" s="31">
        <v>6416</v>
      </c>
      <c r="G76" s="31"/>
      <c r="H76" s="31">
        <f>Cty_Dai_Thuy[[#This Row],[ĐƠN GIÁ]]*Cty_Dai_Thuy[[#This Row],[SỐ LƯỢNG]]</f>
        <v>0</v>
      </c>
      <c r="I76" s="31"/>
      <c r="J76" s="31">
        <f ca="1">N(INDIRECT("R[-1]C", FALSE)) + Cty_Dai_Thuy[[#This Row],[THÀNH TIỀN]] - Cty_Dai_Thuy[[#This Row],[THANH TOÁN]]</f>
        <v>124704706</v>
      </c>
      <c r="K76" s="24"/>
    </row>
    <row r="77" spans="1:11" x14ac:dyDescent="0.25">
      <c r="A77" s="22">
        <v>8416</v>
      </c>
      <c r="B77" s="29">
        <v>46111</v>
      </c>
      <c r="C77" s="23" t="s">
        <v>49</v>
      </c>
      <c r="D77" s="37" t="s">
        <v>43</v>
      </c>
      <c r="E77" s="23" t="s">
        <v>748</v>
      </c>
      <c r="F77" s="31">
        <v>1710</v>
      </c>
      <c r="G77" s="31"/>
      <c r="H77" s="31">
        <f>Cty_Dai_Thuy[[#This Row],[ĐƠN GIÁ]]*Cty_Dai_Thuy[[#This Row],[SỐ LƯỢNG]]</f>
        <v>0</v>
      </c>
      <c r="I77" s="31"/>
      <c r="J77" s="31">
        <f ca="1">N(INDIRECT("R[-1]C", FALSE)) + Cty_Dai_Thuy[[#This Row],[THÀNH TIỀN]] - Cty_Dai_Thuy[[#This Row],[THANH TOÁN]]</f>
        <v>124704706</v>
      </c>
      <c r="K77" s="24"/>
    </row>
    <row r="78" spans="1:11" x14ac:dyDescent="0.25">
      <c r="A78" s="22">
        <v>20663</v>
      </c>
      <c r="B78" s="29">
        <v>46111</v>
      </c>
      <c r="C78" s="23" t="s">
        <v>84</v>
      </c>
      <c r="D78" s="37" t="s">
        <v>93</v>
      </c>
      <c r="E78" s="23" t="s">
        <v>770</v>
      </c>
      <c r="F78" s="31">
        <v>1610</v>
      </c>
      <c r="G78" s="31">
        <v>-1000</v>
      </c>
      <c r="H78" s="31">
        <f>Cty_Dai_Thuy[[#This Row],[ĐƠN GIÁ]]*Cty_Dai_Thuy[[#This Row],[SỐ LƯỢNG]]</f>
        <v>-1610000</v>
      </c>
      <c r="I78" s="31"/>
      <c r="J78" s="31">
        <f ca="1">N(INDIRECT("R[-1]C", FALSE)) + Cty_Dai_Thuy[[#This Row],[THÀNH TIỀN]] - Cty_Dai_Thuy[[#This Row],[THANH TOÁN]]</f>
        <v>123094706</v>
      </c>
      <c r="K78" s="24"/>
    </row>
    <row r="79" spans="1:11" x14ac:dyDescent="0.25">
      <c r="A79" s="22">
        <v>20663</v>
      </c>
      <c r="B79" s="29">
        <v>46111</v>
      </c>
      <c r="C79" s="23" t="s">
        <v>84</v>
      </c>
      <c r="D79" s="37" t="s">
        <v>93</v>
      </c>
      <c r="E79" s="23" t="s">
        <v>770</v>
      </c>
      <c r="F79" s="31">
        <v>1810</v>
      </c>
      <c r="G79" s="31">
        <v>-1000</v>
      </c>
      <c r="H79" s="31">
        <f>Cty_Dai_Thuy[[#This Row],[ĐƠN GIÁ]]*Cty_Dai_Thuy[[#This Row],[SỐ LƯỢNG]]</f>
        <v>-1810000</v>
      </c>
      <c r="I79" s="31"/>
      <c r="J79" s="31">
        <f ca="1">N(INDIRECT("R[-1]C", FALSE)) + Cty_Dai_Thuy[[#This Row],[THÀNH TIỀN]] - Cty_Dai_Thuy[[#This Row],[THANH TOÁN]]</f>
        <v>121284706</v>
      </c>
      <c r="K79" s="24"/>
    </row>
    <row r="80" spans="1:11" x14ac:dyDescent="0.25">
      <c r="A80" s="22">
        <v>20663</v>
      </c>
      <c r="B80" s="29">
        <v>46111</v>
      </c>
      <c r="C80" s="23" t="s">
        <v>84</v>
      </c>
      <c r="D80" s="37" t="s">
        <v>93</v>
      </c>
      <c r="E80" s="23" t="s">
        <v>770</v>
      </c>
      <c r="F80" s="31">
        <v>1774</v>
      </c>
      <c r="G80" s="31">
        <v>-1000</v>
      </c>
      <c r="H80" s="31">
        <f>Cty_Dai_Thuy[[#This Row],[ĐƠN GIÁ]]*Cty_Dai_Thuy[[#This Row],[SỐ LƯỢNG]]</f>
        <v>-1774000</v>
      </c>
      <c r="I80" s="31"/>
      <c r="J80" s="31">
        <f ca="1">N(INDIRECT("R[-1]C", FALSE)) + Cty_Dai_Thuy[[#This Row],[THÀNH TIỀN]] - Cty_Dai_Thuy[[#This Row],[THANH TOÁN]]</f>
        <v>119510706</v>
      </c>
      <c r="K80" s="24"/>
    </row>
    <row r="81" spans="1:11" x14ac:dyDescent="0.25">
      <c r="A81" s="22">
        <v>20663</v>
      </c>
      <c r="B81" s="29">
        <v>46111</v>
      </c>
      <c r="C81" s="23" t="s">
        <v>84</v>
      </c>
      <c r="D81" s="37" t="s">
        <v>93</v>
      </c>
      <c r="E81" s="23" t="s">
        <v>771</v>
      </c>
      <c r="F81" s="31">
        <v>1956</v>
      </c>
      <c r="G81" s="31">
        <v>-1000</v>
      </c>
      <c r="H81" s="31">
        <f>Cty_Dai_Thuy[[#This Row],[ĐƠN GIÁ]]*Cty_Dai_Thuy[[#This Row],[SỐ LƯỢNG]]</f>
        <v>-1956000</v>
      </c>
      <c r="I81" s="31"/>
      <c r="J81" s="31">
        <f ca="1">N(INDIRECT("R[-1]C", FALSE)) + Cty_Dai_Thuy[[#This Row],[THÀNH TIỀN]] - Cty_Dai_Thuy[[#This Row],[THANH TOÁN]]</f>
        <v>117554706</v>
      </c>
      <c r="K81" s="24"/>
    </row>
    <row r="82" spans="1:11" x14ac:dyDescent="0.25">
      <c r="A82" s="22">
        <v>20663</v>
      </c>
      <c r="B82" s="29">
        <v>46111</v>
      </c>
      <c r="C82" s="23" t="s">
        <v>84</v>
      </c>
      <c r="D82" s="37" t="s">
        <v>93</v>
      </c>
      <c r="E82" s="23" t="s">
        <v>772</v>
      </c>
      <c r="F82" s="31">
        <v>460</v>
      </c>
      <c r="G82" s="31">
        <v>-1000</v>
      </c>
      <c r="H82" s="31">
        <f>Cty_Dai_Thuy[[#This Row],[ĐƠN GIÁ]]*Cty_Dai_Thuy[[#This Row],[SỐ LƯỢNG]]</f>
        <v>-460000</v>
      </c>
      <c r="I82" s="31"/>
      <c r="J82" s="31">
        <f ca="1">N(INDIRECT("R[-1]C", FALSE)) + Cty_Dai_Thuy[[#This Row],[THÀNH TIỀN]] - Cty_Dai_Thuy[[#This Row],[THANH TOÁN]]</f>
        <v>117094706</v>
      </c>
      <c r="K82" s="24"/>
    </row>
    <row r="83" spans="1:11" x14ac:dyDescent="0.25">
      <c r="A83" s="22">
        <v>20663</v>
      </c>
      <c r="B83" s="29">
        <v>46111</v>
      </c>
      <c r="C83" s="23" t="s">
        <v>84</v>
      </c>
      <c r="D83" s="37" t="s">
        <v>93</v>
      </c>
      <c r="E83" s="23" t="s">
        <v>773</v>
      </c>
      <c r="F83" s="31">
        <v>1590</v>
      </c>
      <c r="G83" s="31">
        <v>-1000</v>
      </c>
      <c r="H83" s="31">
        <f>Cty_Dai_Thuy[[#This Row],[ĐƠN GIÁ]]*Cty_Dai_Thuy[[#This Row],[SỐ LƯỢNG]]</f>
        <v>-1590000</v>
      </c>
      <c r="I83" s="31"/>
      <c r="J83" s="31">
        <f ca="1">N(INDIRECT("R[-1]C", FALSE)) + Cty_Dai_Thuy[[#This Row],[THÀNH TIỀN]] - Cty_Dai_Thuy[[#This Row],[THANH TOÁN]]</f>
        <v>115504706</v>
      </c>
      <c r="K83" s="24"/>
    </row>
    <row r="84" spans="1:11" x14ac:dyDescent="0.25">
      <c r="A84" s="22">
        <v>20663</v>
      </c>
      <c r="B84" s="29">
        <v>46111</v>
      </c>
      <c r="C84" s="23" t="s">
        <v>84</v>
      </c>
      <c r="D84" s="37" t="s">
        <v>93</v>
      </c>
      <c r="E84" s="23" t="s">
        <v>774</v>
      </c>
      <c r="F84" s="31">
        <v>770</v>
      </c>
      <c r="G84" s="31">
        <v>-1000</v>
      </c>
      <c r="H84" s="31">
        <f>Cty_Dai_Thuy[[#This Row],[ĐƠN GIÁ]]*Cty_Dai_Thuy[[#This Row],[SỐ LƯỢNG]]</f>
        <v>-770000</v>
      </c>
      <c r="I84" s="31"/>
      <c r="J84" s="31">
        <f ca="1">N(INDIRECT("R[-1]C", FALSE)) + Cty_Dai_Thuy[[#This Row],[THÀNH TIỀN]] - Cty_Dai_Thuy[[#This Row],[THANH TOÁN]]</f>
        <v>114734706</v>
      </c>
      <c r="K84" s="24"/>
    </row>
    <row r="85" spans="1:11" x14ac:dyDescent="0.25">
      <c r="A85" s="22">
        <v>8491</v>
      </c>
      <c r="B85" s="29">
        <v>46114</v>
      </c>
      <c r="C85" s="23" t="s">
        <v>49</v>
      </c>
      <c r="D85" s="37" t="s">
        <v>301</v>
      </c>
      <c r="E85" s="23" t="s">
        <v>466</v>
      </c>
      <c r="F85" s="31">
        <v>2544</v>
      </c>
      <c r="G85" s="31"/>
      <c r="H85" s="31">
        <f>Cty_Dai_Thuy[[#This Row],[ĐƠN GIÁ]]*Cty_Dai_Thuy[[#This Row],[SỐ LƯỢNG]]</f>
        <v>0</v>
      </c>
      <c r="I85" s="31"/>
      <c r="J85" s="31">
        <f ca="1">N(INDIRECT("R[-1]C", FALSE)) + Cty_Dai_Thuy[[#This Row],[THÀNH TIỀN]] - Cty_Dai_Thuy[[#This Row],[THANH TOÁN]]</f>
        <v>114734706</v>
      </c>
      <c r="K85" s="24" t="s">
        <v>775</v>
      </c>
    </row>
    <row r="86" spans="1:11" x14ac:dyDescent="0.25">
      <c r="A86" s="22">
        <v>20800</v>
      </c>
      <c r="B86" s="29">
        <v>46114</v>
      </c>
      <c r="C86" s="23" t="s">
        <v>84</v>
      </c>
      <c r="D86" s="37" t="s">
        <v>753</v>
      </c>
      <c r="E86" s="23" t="s">
        <v>796</v>
      </c>
      <c r="F86" s="31">
        <v>778</v>
      </c>
      <c r="G86" s="31">
        <v>-1000</v>
      </c>
      <c r="H86" s="31">
        <f>Cty_Dai_Thuy[[#This Row],[ĐƠN GIÁ]]*Cty_Dai_Thuy[[#This Row],[SỐ LƯỢNG]]</f>
        <v>-778000</v>
      </c>
      <c r="I86" s="31"/>
      <c r="J86" s="31">
        <f ca="1">N(INDIRECT("R[-1]C", FALSE)) + Cty_Dai_Thuy[[#This Row],[THÀNH TIỀN]] - Cty_Dai_Thuy[[#This Row],[THANH TOÁN]]</f>
        <v>113956706</v>
      </c>
      <c r="K86" s="24"/>
    </row>
    <row r="87" spans="1:11" x14ac:dyDescent="0.25">
      <c r="A87" s="22">
        <v>20800</v>
      </c>
      <c r="B87" s="29">
        <v>46114</v>
      </c>
      <c r="C87" s="23" t="s">
        <v>84</v>
      </c>
      <c r="D87" s="37" t="s">
        <v>753</v>
      </c>
      <c r="E87" s="23" t="s">
        <v>797</v>
      </c>
      <c r="F87" s="31">
        <v>570</v>
      </c>
      <c r="G87" s="31">
        <v>-1000</v>
      </c>
      <c r="H87" s="31">
        <f>Cty_Dai_Thuy[[#This Row],[ĐƠN GIÁ]]*Cty_Dai_Thuy[[#This Row],[SỐ LƯỢNG]]</f>
        <v>-570000</v>
      </c>
      <c r="I87" s="31"/>
      <c r="J87" s="31">
        <f ca="1">N(INDIRECT("R[-1]C", FALSE)) + Cty_Dai_Thuy[[#This Row],[THÀNH TIỀN]] - Cty_Dai_Thuy[[#This Row],[THANH TOÁN]]</f>
        <v>113386706</v>
      </c>
      <c r="K87" s="24"/>
    </row>
    <row r="88" spans="1:11" x14ac:dyDescent="0.25">
      <c r="A88" s="22">
        <v>20800</v>
      </c>
      <c r="B88" s="29">
        <v>46114</v>
      </c>
      <c r="C88" s="23" t="s">
        <v>84</v>
      </c>
      <c r="D88" s="37" t="s">
        <v>753</v>
      </c>
      <c r="E88" s="23" t="s">
        <v>798</v>
      </c>
      <c r="F88" s="31">
        <v>1900</v>
      </c>
      <c r="G88" s="31">
        <v>-1000</v>
      </c>
      <c r="H88" s="31">
        <f>Cty_Dai_Thuy[[#This Row],[ĐƠN GIÁ]]*Cty_Dai_Thuy[[#This Row],[SỐ LƯỢNG]]</f>
        <v>-1900000</v>
      </c>
      <c r="I88" s="31"/>
      <c r="J88" s="31">
        <f ca="1">N(INDIRECT("R[-1]C", FALSE)) + Cty_Dai_Thuy[[#This Row],[THÀNH TIỀN]] - Cty_Dai_Thuy[[#This Row],[THANH TOÁN]]</f>
        <v>111486706</v>
      </c>
      <c r="K88" s="24"/>
    </row>
    <row r="89" spans="1:11" x14ac:dyDescent="0.25">
      <c r="A89" s="22">
        <v>20800</v>
      </c>
      <c r="B89" s="29">
        <v>46114</v>
      </c>
      <c r="C89" s="23" t="s">
        <v>84</v>
      </c>
      <c r="D89" s="37" t="s">
        <v>753</v>
      </c>
      <c r="E89" s="23" t="s">
        <v>797</v>
      </c>
      <c r="F89" s="31">
        <v>1098</v>
      </c>
      <c r="G89" s="31">
        <v>-1000</v>
      </c>
      <c r="H89" s="31">
        <f>Cty_Dai_Thuy[[#This Row],[ĐƠN GIÁ]]*Cty_Dai_Thuy[[#This Row],[SỐ LƯỢNG]]</f>
        <v>-1098000</v>
      </c>
      <c r="I89" s="31"/>
      <c r="J89" s="31">
        <f ca="1">N(INDIRECT("R[-1]C", FALSE)) + Cty_Dai_Thuy[[#This Row],[THÀNH TIỀN]] - Cty_Dai_Thuy[[#This Row],[THANH TOÁN]]</f>
        <v>110388706</v>
      </c>
      <c r="K89" s="24"/>
    </row>
    <row r="90" spans="1:11" x14ac:dyDescent="0.25">
      <c r="A90" s="22">
        <v>20800</v>
      </c>
      <c r="B90" s="29">
        <v>46114</v>
      </c>
      <c r="C90" s="23" t="s">
        <v>84</v>
      </c>
      <c r="D90" s="37" t="s">
        <v>753</v>
      </c>
      <c r="E90" s="23" t="s">
        <v>799</v>
      </c>
      <c r="F90" s="31">
        <v>1878</v>
      </c>
      <c r="G90" s="31">
        <v>-1000</v>
      </c>
      <c r="H90" s="31">
        <f>Cty_Dai_Thuy[[#This Row],[ĐƠN GIÁ]]*Cty_Dai_Thuy[[#This Row],[SỐ LƯỢNG]]</f>
        <v>-1878000</v>
      </c>
      <c r="I90" s="31"/>
      <c r="J90" s="31">
        <f ca="1">N(INDIRECT("R[-1]C", FALSE)) + Cty_Dai_Thuy[[#This Row],[THÀNH TIỀN]] - Cty_Dai_Thuy[[#This Row],[THANH TOÁN]]</f>
        <v>108510706</v>
      </c>
      <c r="K90" s="24"/>
    </row>
    <row r="91" spans="1:11" x14ac:dyDescent="0.25">
      <c r="A91" s="22">
        <v>20800</v>
      </c>
      <c r="B91" s="29">
        <v>46114</v>
      </c>
      <c r="C91" s="23" t="s">
        <v>84</v>
      </c>
      <c r="D91" s="37" t="s">
        <v>520</v>
      </c>
      <c r="E91" s="23" t="s">
        <v>800</v>
      </c>
      <c r="F91" s="31">
        <v>552</v>
      </c>
      <c r="G91" s="31">
        <v>-1000</v>
      </c>
      <c r="H91" s="31">
        <f>Cty_Dai_Thuy[[#This Row],[ĐƠN GIÁ]]*Cty_Dai_Thuy[[#This Row],[SỐ LƯỢNG]]</f>
        <v>-552000</v>
      </c>
      <c r="I91" s="31"/>
      <c r="J91" s="31">
        <f ca="1">N(INDIRECT("R[-1]C", FALSE)) + Cty_Dai_Thuy[[#This Row],[THÀNH TIỀN]] - Cty_Dai_Thuy[[#This Row],[THANH TOÁN]]</f>
        <v>107958706</v>
      </c>
      <c r="K91" s="24"/>
    </row>
    <row r="92" spans="1:11" x14ac:dyDescent="0.25">
      <c r="A92" s="22">
        <v>20800</v>
      </c>
      <c r="B92" s="29">
        <v>46114</v>
      </c>
      <c r="C92" s="23" t="s">
        <v>84</v>
      </c>
      <c r="D92" s="37" t="s">
        <v>520</v>
      </c>
      <c r="E92" s="23" t="s">
        <v>800</v>
      </c>
      <c r="F92" s="31">
        <v>550</v>
      </c>
      <c r="G92" s="31">
        <v>-1000</v>
      </c>
      <c r="H92" s="31">
        <f>Cty_Dai_Thuy[[#This Row],[ĐƠN GIÁ]]*Cty_Dai_Thuy[[#This Row],[SỐ LƯỢNG]]</f>
        <v>-550000</v>
      </c>
      <c r="I92" s="31"/>
      <c r="J92" s="31">
        <f ca="1">N(INDIRECT("R[-1]C", FALSE)) + Cty_Dai_Thuy[[#This Row],[THÀNH TIỀN]] - Cty_Dai_Thuy[[#This Row],[THANH TOÁN]]</f>
        <v>107408706</v>
      </c>
      <c r="K92" s="24"/>
    </row>
    <row r="93" spans="1:11" x14ac:dyDescent="0.25">
      <c r="A93" s="22">
        <v>20800</v>
      </c>
      <c r="B93" s="29">
        <v>46114</v>
      </c>
      <c r="C93" s="23" t="s">
        <v>84</v>
      </c>
      <c r="D93" s="37" t="s">
        <v>801</v>
      </c>
      <c r="E93" s="23"/>
      <c r="F93" s="31">
        <v>37</v>
      </c>
      <c r="G93" s="31">
        <v>-1000</v>
      </c>
      <c r="H93" s="31">
        <f>Cty_Dai_Thuy[[#This Row],[ĐƠN GIÁ]]*Cty_Dai_Thuy[[#This Row],[SỐ LƯỢNG]]</f>
        <v>-37000</v>
      </c>
      <c r="I93" s="31"/>
      <c r="J93" s="31">
        <f ca="1">N(INDIRECT("R[-1]C", FALSE)) + Cty_Dai_Thuy[[#This Row],[THÀNH TIỀN]] - Cty_Dai_Thuy[[#This Row],[THANH TOÁN]]</f>
        <v>107371706</v>
      </c>
      <c r="K93" s="24"/>
    </row>
    <row r="94" spans="1:11" x14ac:dyDescent="0.25">
      <c r="A94" s="22">
        <v>8556</v>
      </c>
      <c r="B94" s="29">
        <v>46116</v>
      </c>
      <c r="C94" s="23" t="s">
        <v>49</v>
      </c>
      <c r="D94" s="37" t="s">
        <v>26</v>
      </c>
      <c r="E94" s="23" t="s">
        <v>776</v>
      </c>
      <c r="F94" s="31">
        <v>686</v>
      </c>
      <c r="G94" s="31"/>
      <c r="H94" s="31">
        <f>Cty_Dai_Thuy[[#This Row],[ĐƠN GIÁ]]*Cty_Dai_Thuy[[#This Row],[SỐ LƯỢNG]]</f>
        <v>0</v>
      </c>
      <c r="I94" s="31"/>
      <c r="J94" s="31">
        <f ca="1">N(INDIRECT("R[-1]C", FALSE)) + Cty_Dai_Thuy[[#This Row],[THÀNH TIỀN]] - Cty_Dai_Thuy[[#This Row],[THANH TOÁN]]</f>
        <v>107371706</v>
      </c>
      <c r="K94" s="24" t="s">
        <v>777</v>
      </c>
    </row>
    <row r="95" spans="1:11" x14ac:dyDescent="0.25">
      <c r="A95" s="22">
        <v>8556</v>
      </c>
      <c r="B95" s="29">
        <v>46116</v>
      </c>
      <c r="C95" s="23" t="s">
        <v>49</v>
      </c>
      <c r="D95" s="37" t="s">
        <v>26</v>
      </c>
      <c r="E95" s="23" t="s">
        <v>778</v>
      </c>
      <c r="F95" s="31">
        <v>424</v>
      </c>
      <c r="G95" s="31"/>
      <c r="H95" s="31">
        <f>Cty_Dai_Thuy[[#This Row],[ĐƠN GIÁ]]*Cty_Dai_Thuy[[#This Row],[SỐ LƯỢNG]]</f>
        <v>0</v>
      </c>
      <c r="I95" s="31"/>
      <c r="J95" s="31">
        <f ca="1">N(INDIRECT("R[-1]C", FALSE)) + Cty_Dai_Thuy[[#This Row],[THÀNH TIỀN]] - Cty_Dai_Thuy[[#This Row],[THANH TOÁN]]</f>
        <v>107371706</v>
      </c>
      <c r="K95" s="24" t="s">
        <v>779</v>
      </c>
    </row>
    <row r="96" spans="1:11" x14ac:dyDescent="0.25">
      <c r="A96" s="22">
        <v>8556</v>
      </c>
      <c r="B96" s="29">
        <v>46116</v>
      </c>
      <c r="C96" s="23" t="s">
        <v>49</v>
      </c>
      <c r="D96" s="37" t="s">
        <v>26</v>
      </c>
      <c r="E96" s="23" t="s">
        <v>780</v>
      </c>
      <c r="F96" s="31">
        <v>1466</v>
      </c>
      <c r="G96" s="31"/>
      <c r="H96" s="31">
        <f>Cty_Dai_Thuy[[#This Row],[ĐƠN GIÁ]]*Cty_Dai_Thuy[[#This Row],[SỐ LƯỢNG]]</f>
        <v>0</v>
      </c>
      <c r="I96" s="31"/>
      <c r="J96" s="31">
        <f ca="1">N(INDIRECT("R[-1]C", FALSE)) + Cty_Dai_Thuy[[#This Row],[THÀNH TIỀN]] - Cty_Dai_Thuy[[#This Row],[THANH TOÁN]]</f>
        <v>107371706</v>
      </c>
      <c r="K96" s="24" t="s">
        <v>781</v>
      </c>
    </row>
    <row r="97" spans="1:11" x14ac:dyDescent="0.25">
      <c r="A97" s="22">
        <v>20906</v>
      </c>
      <c r="B97" s="29">
        <v>46116</v>
      </c>
      <c r="C97" s="23" t="s">
        <v>84</v>
      </c>
      <c r="D97" s="37" t="s">
        <v>753</v>
      </c>
      <c r="E97" s="23" t="s">
        <v>797</v>
      </c>
      <c r="F97" s="31">
        <v>814</v>
      </c>
      <c r="G97" s="31">
        <v>-1000</v>
      </c>
      <c r="H97" s="31">
        <f>Cty_Dai_Thuy[[#This Row],[ĐƠN GIÁ]]*Cty_Dai_Thuy[[#This Row],[SỐ LƯỢNG]]</f>
        <v>-814000</v>
      </c>
      <c r="I97" s="31"/>
      <c r="J97" s="31">
        <f ca="1">N(INDIRECT("R[-1]C", FALSE)) + Cty_Dai_Thuy[[#This Row],[THÀNH TIỀN]] - Cty_Dai_Thuy[[#This Row],[THANH TOÁN]]</f>
        <v>106557706</v>
      </c>
      <c r="K97" s="24"/>
    </row>
    <row r="98" spans="1:11" x14ac:dyDescent="0.25">
      <c r="A98" s="22">
        <v>20906</v>
      </c>
      <c r="B98" s="29">
        <v>46116</v>
      </c>
      <c r="C98" s="23" t="s">
        <v>84</v>
      </c>
      <c r="D98" s="37" t="s">
        <v>753</v>
      </c>
      <c r="E98" s="23" t="s">
        <v>796</v>
      </c>
      <c r="F98" s="31">
        <v>626</v>
      </c>
      <c r="G98" s="31">
        <v>-1000</v>
      </c>
      <c r="H98" s="31">
        <f>Cty_Dai_Thuy[[#This Row],[ĐƠN GIÁ]]*Cty_Dai_Thuy[[#This Row],[SỐ LƯỢNG]]</f>
        <v>-626000</v>
      </c>
      <c r="I98" s="31"/>
      <c r="J98" s="31">
        <f ca="1">N(INDIRECT("R[-1]C", FALSE)) + Cty_Dai_Thuy[[#This Row],[THÀNH TIỀN]] - Cty_Dai_Thuy[[#This Row],[THANH TOÁN]]</f>
        <v>105931706</v>
      </c>
      <c r="K98" s="24"/>
    </row>
    <row r="99" spans="1:11" x14ac:dyDescent="0.25">
      <c r="A99" s="22">
        <v>20906</v>
      </c>
      <c r="B99" s="29">
        <v>46116</v>
      </c>
      <c r="C99" s="23" t="s">
        <v>84</v>
      </c>
      <c r="D99" s="37" t="s">
        <v>753</v>
      </c>
      <c r="E99" s="23" t="s">
        <v>797</v>
      </c>
      <c r="F99" s="31">
        <v>474</v>
      </c>
      <c r="G99" s="31">
        <v>-1000</v>
      </c>
      <c r="H99" s="31">
        <f>Cty_Dai_Thuy[[#This Row],[ĐƠN GIÁ]]*Cty_Dai_Thuy[[#This Row],[SỐ LƯỢNG]]</f>
        <v>-474000</v>
      </c>
      <c r="I99" s="31"/>
      <c r="J99" s="31">
        <f ca="1">N(INDIRECT("R[-1]C", FALSE)) + Cty_Dai_Thuy[[#This Row],[THÀNH TIỀN]] - Cty_Dai_Thuy[[#This Row],[THANH TOÁN]]</f>
        <v>105457706</v>
      </c>
      <c r="K99" s="24"/>
    </row>
    <row r="100" spans="1:11" x14ac:dyDescent="0.25">
      <c r="A100" s="22">
        <v>20906</v>
      </c>
      <c r="B100" s="29">
        <v>46116</v>
      </c>
      <c r="C100" s="23" t="s">
        <v>84</v>
      </c>
      <c r="D100" s="37" t="s">
        <v>520</v>
      </c>
      <c r="E100" s="23" t="s">
        <v>800</v>
      </c>
      <c r="F100" s="31">
        <v>299</v>
      </c>
      <c r="G100" s="31">
        <v>-1500</v>
      </c>
      <c r="H100" s="31">
        <f>Cty_Dai_Thuy[[#This Row],[ĐƠN GIÁ]]*Cty_Dai_Thuy[[#This Row],[SỐ LƯỢNG]]</f>
        <v>-448500</v>
      </c>
      <c r="I100" s="31"/>
      <c r="J100" s="31">
        <f ca="1">N(INDIRECT("R[-1]C", FALSE)) + Cty_Dai_Thuy[[#This Row],[THÀNH TIỀN]] - Cty_Dai_Thuy[[#This Row],[THANH TOÁN]]</f>
        <v>105009206</v>
      </c>
      <c r="K100" s="24"/>
    </row>
    <row r="101" spans="1:11" x14ac:dyDescent="0.25">
      <c r="A101" s="22">
        <v>20906</v>
      </c>
      <c r="B101" s="29">
        <v>46116</v>
      </c>
      <c r="C101" s="23" t="s">
        <v>84</v>
      </c>
      <c r="D101" s="37" t="s">
        <v>520</v>
      </c>
      <c r="E101" s="23" t="s">
        <v>800</v>
      </c>
      <c r="F101" s="31">
        <v>306</v>
      </c>
      <c r="G101" s="31">
        <v>-1500</v>
      </c>
      <c r="H101" s="31">
        <f>Cty_Dai_Thuy[[#This Row],[ĐƠN GIÁ]]*Cty_Dai_Thuy[[#This Row],[SỐ LƯỢNG]]</f>
        <v>-459000</v>
      </c>
      <c r="I101" s="31"/>
      <c r="J101" s="31">
        <f ca="1">N(INDIRECT("R[-1]C", FALSE)) + Cty_Dai_Thuy[[#This Row],[THÀNH TIỀN]] - Cty_Dai_Thuy[[#This Row],[THANH TOÁN]]</f>
        <v>104550206</v>
      </c>
      <c r="K101" s="24"/>
    </row>
    <row r="102" spans="1:11" x14ac:dyDescent="0.25">
      <c r="A102" s="22">
        <v>8605</v>
      </c>
      <c r="B102" s="29">
        <v>46119</v>
      </c>
      <c r="C102" s="23" t="s">
        <v>49</v>
      </c>
      <c r="D102" s="37" t="s">
        <v>26</v>
      </c>
      <c r="E102" s="23" t="s">
        <v>782</v>
      </c>
      <c r="F102" s="31">
        <v>2473</v>
      </c>
      <c r="G102" s="31"/>
      <c r="H102" s="31">
        <f>Cty_Dai_Thuy[[#This Row],[ĐƠN GIÁ]]*Cty_Dai_Thuy[[#This Row],[SỐ LƯỢNG]]</f>
        <v>0</v>
      </c>
      <c r="I102" s="31"/>
      <c r="J102" s="31">
        <f ca="1">N(INDIRECT("R[-1]C", FALSE)) + Cty_Dai_Thuy[[#This Row],[THÀNH TIỀN]] - Cty_Dai_Thuy[[#This Row],[THANH TOÁN]]</f>
        <v>104550206</v>
      </c>
      <c r="K102" s="24" t="s">
        <v>783</v>
      </c>
    </row>
    <row r="103" spans="1:11" x14ac:dyDescent="0.25">
      <c r="A103" s="22">
        <v>8605</v>
      </c>
      <c r="B103" s="29">
        <v>46119</v>
      </c>
      <c r="C103" s="23" t="s">
        <v>49</v>
      </c>
      <c r="D103" s="37" t="s">
        <v>26</v>
      </c>
      <c r="E103" s="23" t="s">
        <v>782</v>
      </c>
      <c r="F103" s="31">
        <v>2251</v>
      </c>
      <c r="G103" s="31"/>
      <c r="H103" s="31">
        <f>Cty_Dai_Thuy[[#This Row],[ĐƠN GIÁ]]*Cty_Dai_Thuy[[#This Row],[SỐ LƯỢNG]]</f>
        <v>0</v>
      </c>
      <c r="I103" s="31"/>
      <c r="J103" s="31">
        <f ca="1">N(INDIRECT("R[-1]C", FALSE)) + Cty_Dai_Thuy[[#This Row],[THÀNH TIỀN]] - Cty_Dai_Thuy[[#This Row],[THANH TOÁN]]</f>
        <v>104550206</v>
      </c>
      <c r="K103" s="24" t="s">
        <v>784</v>
      </c>
    </row>
    <row r="104" spans="1:11" x14ac:dyDescent="0.25">
      <c r="A104" s="22">
        <v>8605</v>
      </c>
      <c r="B104" s="29">
        <v>46119</v>
      </c>
      <c r="C104" s="23" t="s">
        <v>49</v>
      </c>
      <c r="D104" s="37" t="s">
        <v>26</v>
      </c>
      <c r="E104" s="23" t="s">
        <v>785</v>
      </c>
      <c r="F104" s="31">
        <v>3319</v>
      </c>
      <c r="G104" s="31"/>
      <c r="H104" s="31">
        <f>Cty_Dai_Thuy[[#This Row],[ĐƠN GIÁ]]*Cty_Dai_Thuy[[#This Row],[SỐ LƯỢNG]]</f>
        <v>0</v>
      </c>
      <c r="I104" s="31"/>
      <c r="J104" s="31">
        <f ca="1">N(INDIRECT("R[-1]C", FALSE)) + Cty_Dai_Thuy[[#This Row],[THÀNH TIỀN]] - Cty_Dai_Thuy[[#This Row],[THANH TOÁN]]</f>
        <v>104550206</v>
      </c>
      <c r="K104" s="24" t="s">
        <v>786</v>
      </c>
    </row>
    <row r="105" spans="1:11" x14ac:dyDescent="0.25">
      <c r="A105" s="22">
        <v>21020</v>
      </c>
      <c r="B105" s="29">
        <v>46119</v>
      </c>
      <c r="C105" s="23" t="s">
        <v>84</v>
      </c>
      <c r="D105" s="37" t="s">
        <v>753</v>
      </c>
      <c r="E105" s="23" t="s">
        <v>797</v>
      </c>
      <c r="F105" s="31">
        <v>998</v>
      </c>
      <c r="G105" s="31">
        <v>-1000</v>
      </c>
      <c r="H105" s="31">
        <f>Cty_Dai_Thuy[[#This Row],[ĐƠN GIÁ]]*Cty_Dai_Thuy[[#This Row],[SỐ LƯỢNG]]</f>
        <v>-998000</v>
      </c>
      <c r="I105" s="31"/>
      <c r="J105" s="31">
        <f ca="1">N(INDIRECT("R[-1]C", FALSE)) + Cty_Dai_Thuy[[#This Row],[THÀNH TIỀN]] - Cty_Dai_Thuy[[#This Row],[THANH TOÁN]]</f>
        <v>103552206</v>
      </c>
      <c r="K105" s="24"/>
    </row>
    <row r="106" spans="1:11" x14ac:dyDescent="0.25">
      <c r="A106" s="22">
        <v>21020</v>
      </c>
      <c r="B106" s="29">
        <v>46119</v>
      </c>
      <c r="C106" s="23" t="s">
        <v>84</v>
      </c>
      <c r="D106" s="37" t="s">
        <v>753</v>
      </c>
      <c r="E106" s="23" t="s">
        <v>797</v>
      </c>
      <c r="F106" s="31">
        <v>880</v>
      </c>
      <c r="G106" s="31">
        <v>-1000</v>
      </c>
      <c r="H106" s="31">
        <f>Cty_Dai_Thuy[[#This Row],[ĐƠN GIÁ]]*Cty_Dai_Thuy[[#This Row],[SỐ LƯỢNG]]</f>
        <v>-880000</v>
      </c>
      <c r="I106" s="31"/>
      <c r="J106" s="31">
        <f ca="1">N(INDIRECT("R[-1]C", FALSE)) + Cty_Dai_Thuy[[#This Row],[THÀNH TIỀN]] - Cty_Dai_Thuy[[#This Row],[THANH TOÁN]]</f>
        <v>102672206</v>
      </c>
      <c r="K106" s="24"/>
    </row>
    <row r="107" spans="1:11" x14ac:dyDescent="0.25">
      <c r="A107" s="22">
        <v>21020</v>
      </c>
      <c r="B107" s="29">
        <v>46119</v>
      </c>
      <c r="C107" s="23" t="s">
        <v>84</v>
      </c>
      <c r="D107" s="37" t="s">
        <v>753</v>
      </c>
      <c r="E107" s="23" t="s">
        <v>796</v>
      </c>
      <c r="F107" s="31">
        <v>896</v>
      </c>
      <c r="G107" s="31">
        <v>-1000</v>
      </c>
      <c r="H107" s="31">
        <f>Cty_Dai_Thuy[[#This Row],[ĐƠN GIÁ]]*Cty_Dai_Thuy[[#This Row],[SỐ LƯỢNG]]</f>
        <v>-896000</v>
      </c>
      <c r="I107" s="31"/>
      <c r="J107" s="31">
        <f ca="1">N(INDIRECT("R[-1]C", FALSE)) + Cty_Dai_Thuy[[#This Row],[THÀNH TIỀN]] - Cty_Dai_Thuy[[#This Row],[THANH TOÁN]]</f>
        <v>101776206</v>
      </c>
      <c r="K107" s="24"/>
    </row>
    <row r="108" spans="1:11" x14ac:dyDescent="0.25">
      <c r="A108" s="22">
        <v>21020</v>
      </c>
      <c r="B108" s="29">
        <v>46119</v>
      </c>
      <c r="C108" s="23" t="s">
        <v>84</v>
      </c>
      <c r="D108" s="37" t="s">
        <v>801</v>
      </c>
      <c r="E108" s="23"/>
      <c r="F108" s="31">
        <v>198</v>
      </c>
      <c r="G108" s="31">
        <v>-1000</v>
      </c>
      <c r="H108" s="31">
        <f>Cty_Dai_Thuy[[#This Row],[ĐƠN GIÁ]]*Cty_Dai_Thuy[[#This Row],[SỐ LƯỢNG]]</f>
        <v>-198000</v>
      </c>
      <c r="I108" s="31"/>
      <c r="J108" s="31">
        <f ca="1">N(INDIRECT("R[-1]C", FALSE)) + Cty_Dai_Thuy[[#This Row],[THÀNH TIỀN]] - Cty_Dai_Thuy[[#This Row],[THANH TOÁN]]</f>
        <v>101578206</v>
      </c>
      <c r="K108" s="24"/>
    </row>
    <row r="109" spans="1:11" x14ac:dyDescent="0.25">
      <c r="A109" s="22">
        <v>8622</v>
      </c>
      <c r="B109" s="29">
        <v>46120</v>
      </c>
      <c r="C109" s="23" t="s">
        <v>13</v>
      </c>
      <c r="D109" s="37" t="s">
        <v>787</v>
      </c>
      <c r="E109" s="23" t="s">
        <v>747</v>
      </c>
      <c r="F109" s="31">
        <v>400</v>
      </c>
      <c r="G109" s="31">
        <v>32000</v>
      </c>
      <c r="H109" s="31">
        <f>Cty_Dai_Thuy[[#This Row],[ĐƠN GIÁ]]*Cty_Dai_Thuy[[#This Row],[SỐ LƯỢNG]]</f>
        <v>12800000</v>
      </c>
      <c r="I109" s="31"/>
      <c r="J109" s="31">
        <f ca="1">N(INDIRECT("R[-1]C", FALSE)) + Cty_Dai_Thuy[[#This Row],[THÀNH TIỀN]] - Cty_Dai_Thuy[[#This Row],[THANH TOÁN]]</f>
        <v>114378206</v>
      </c>
      <c r="K109" s="24"/>
    </row>
    <row r="110" spans="1:11" x14ac:dyDescent="0.25">
      <c r="A110" s="22">
        <v>21051</v>
      </c>
      <c r="B110" s="29">
        <v>46120</v>
      </c>
      <c r="C110" s="23" t="s">
        <v>84</v>
      </c>
      <c r="D110" s="37" t="s">
        <v>753</v>
      </c>
      <c r="E110" s="23" t="s">
        <v>747</v>
      </c>
      <c r="F110" s="31">
        <v>1010</v>
      </c>
      <c r="G110" s="31">
        <v>-1000</v>
      </c>
      <c r="H110" s="31">
        <f>Cty_Dai_Thuy[[#This Row],[ĐƠN GIÁ]]*Cty_Dai_Thuy[[#This Row],[SỐ LƯỢNG]]</f>
        <v>-1010000</v>
      </c>
      <c r="I110" s="31"/>
      <c r="J110" s="31">
        <f ca="1">N(INDIRECT("R[-1]C", FALSE)) + Cty_Dai_Thuy[[#This Row],[THÀNH TIỀN]] - Cty_Dai_Thuy[[#This Row],[THANH TOÁN]]</f>
        <v>113368206</v>
      </c>
      <c r="K110" s="24"/>
    </row>
    <row r="111" spans="1:11" x14ac:dyDescent="0.25">
      <c r="A111" s="22">
        <v>21051</v>
      </c>
      <c r="B111" s="29">
        <v>46120</v>
      </c>
      <c r="C111" s="23" t="s">
        <v>84</v>
      </c>
      <c r="D111" s="37" t="s">
        <v>801</v>
      </c>
      <c r="E111" s="23"/>
      <c r="F111" s="31">
        <v>240</v>
      </c>
      <c r="G111" s="31">
        <v>-1000</v>
      </c>
      <c r="H111" s="31">
        <f>Cty_Dai_Thuy[[#This Row],[ĐƠN GIÁ]]*Cty_Dai_Thuy[[#This Row],[SỐ LƯỢNG]]</f>
        <v>-240000</v>
      </c>
      <c r="I111" s="31"/>
      <c r="J111" s="31">
        <f ca="1">N(INDIRECT("R[-1]C", FALSE)) + Cty_Dai_Thuy[[#This Row],[THÀNH TIỀN]] - Cty_Dai_Thuy[[#This Row],[THANH TOÁN]]</f>
        <v>113128206</v>
      </c>
      <c r="K111" s="24"/>
    </row>
    <row r="112" spans="1:11" x14ac:dyDescent="0.25">
      <c r="A112" s="22">
        <v>21051</v>
      </c>
      <c r="B112" s="29">
        <v>46120</v>
      </c>
      <c r="C112" s="23" t="s">
        <v>84</v>
      </c>
      <c r="D112" s="37" t="s">
        <v>520</v>
      </c>
      <c r="E112" s="23" t="s">
        <v>802</v>
      </c>
      <c r="F112" s="31">
        <v>834</v>
      </c>
      <c r="G112" s="31">
        <v>-1000</v>
      </c>
      <c r="H112" s="31">
        <f>Cty_Dai_Thuy[[#This Row],[ĐƠN GIÁ]]*Cty_Dai_Thuy[[#This Row],[SỐ LƯỢNG]]</f>
        <v>-834000</v>
      </c>
      <c r="I112" s="31"/>
      <c r="J112" s="31">
        <f ca="1">N(INDIRECT("R[-1]C", FALSE)) + Cty_Dai_Thuy[[#This Row],[THÀNH TIỀN]] - Cty_Dai_Thuy[[#This Row],[THANH TOÁN]]</f>
        <v>112294206</v>
      </c>
      <c r="K112" s="24"/>
    </row>
    <row r="113" spans="1:11" x14ac:dyDescent="0.25">
      <c r="A113" s="22">
        <v>21051</v>
      </c>
      <c r="B113" s="29">
        <v>46120</v>
      </c>
      <c r="C113" s="23" t="s">
        <v>84</v>
      </c>
      <c r="D113" s="37" t="s">
        <v>520</v>
      </c>
      <c r="E113" s="23" t="s">
        <v>803</v>
      </c>
      <c r="F113" s="31">
        <v>260</v>
      </c>
      <c r="G113" s="31">
        <v>-1000</v>
      </c>
      <c r="H113" s="31">
        <f>Cty_Dai_Thuy[[#This Row],[ĐƠN GIÁ]]*Cty_Dai_Thuy[[#This Row],[SỐ LƯỢNG]]</f>
        <v>-260000</v>
      </c>
      <c r="I113" s="31"/>
      <c r="J113" s="31">
        <f ca="1">N(INDIRECT("R[-1]C", FALSE)) + Cty_Dai_Thuy[[#This Row],[THÀNH TIỀN]] - Cty_Dai_Thuy[[#This Row],[THANH TOÁN]]</f>
        <v>112034206</v>
      </c>
      <c r="K113" s="24"/>
    </row>
    <row r="114" spans="1:11" x14ac:dyDescent="0.25">
      <c r="A114" s="22">
        <v>21051</v>
      </c>
      <c r="B114" s="29">
        <v>46120</v>
      </c>
      <c r="C114" s="23" t="s">
        <v>84</v>
      </c>
      <c r="D114" s="37" t="s">
        <v>520</v>
      </c>
      <c r="E114" s="23" t="s">
        <v>804</v>
      </c>
      <c r="F114" s="31">
        <v>748</v>
      </c>
      <c r="G114" s="31">
        <v>-1000</v>
      </c>
      <c r="H114" s="31">
        <f>Cty_Dai_Thuy[[#This Row],[ĐƠN GIÁ]]*Cty_Dai_Thuy[[#This Row],[SỐ LƯỢNG]]</f>
        <v>-748000</v>
      </c>
      <c r="I114" s="31"/>
      <c r="J114" s="31">
        <f ca="1">N(INDIRECT("R[-1]C", FALSE)) + Cty_Dai_Thuy[[#This Row],[THÀNH TIỀN]] - Cty_Dai_Thuy[[#This Row],[THANH TOÁN]]</f>
        <v>111286206</v>
      </c>
      <c r="K114" s="24"/>
    </row>
    <row r="115" spans="1:11" x14ac:dyDescent="0.25">
      <c r="A115" s="22">
        <v>8663</v>
      </c>
      <c r="B115" s="29">
        <v>46121</v>
      </c>
      <c r="C115" s="23" t="s">
        <v>49</v>
      </c>
      <c r="D115" s="37" t="s">
        <v>26</v>
      </c>
      <c r="E115" s="23" t="s">
        <v>788</v>
      </c>
      <c r="F115" s="31">
        <v>3945</v>
      </c>
      <c r="G115" s="31"/>
      <c r="H115" s="31">
        <f>Cty_Dai_Thuy[[#This Row],[ĐƠN GIÁ]]*Cty_Dai_Thuy[[#This Row],[SỐ LƯỢNG]]</f>
        <v>0</v>
      </c>
      <c r="I115" s="31"/>
      <c r="J115" s="31">
        <f ca="1">N(INDIRECT("R[-1]C", FALSE)) + Cty_Dai_Thuy[[#This Row],[THÀNH TIỀN]] - Cty_Dai_Thuy[[#This Row],[THANH TOÁN]]</f>
        <v>111286206</v>
      </c>
      <c r="K115" s="24" t="s">
        <v>789</v>
      </c>
    </row>
    <row r="116" spans="1:11" x14ac:dyDescent="0.25">
      <c r="A116" s="22">
        <v>8663</v>
      </c>
      <c r="B116" s="29">
        <v>46121</v>
      </c>
      <c r="C116" s="23" t="s">
        <v>49</v>
      </c>
      <c r="D116" s="37" t="s">
        <v>301</v>
      </c>
      <c r="E116" s="23" t="s">
        <v>466</v>
      </c>
      <c r="F116" s="31">
        <v>1536</v>
      </c>
      <c r="G116" s="31"/>
      <c r="H116" s="31">
        <f>Cty_Dai_Thuy[[#This Row],[ĐƠN GIÁ]]*Cty_Dai_Thuy[[#This Row],[SỐ LƯỢNG]]</f>
        <v>0</v>
      </c>
      <c r="I116" s="31"/>
      <c r="J116" s="31">
        <f ca="1">N(INDIRECT("R[-1]C", FALSE)) + Cty_Dai_Thuy[[#This Row],[THÀNH TIỀN]] - Cty_Dai_Thuy[[#This Row],[THANH TOÁN]]</f>
        <v>111286206</v>
      </c>
      <c r="K116" s="24" t="s">
        <v>790</v>
      </c>
    </row>
    <row r="117" spans="1:11" x14ac:dyDescent="0.25">
      <c r="A117" s="22">
        <v>21134</v>
      </c>
      <c r="B117" s="29">
        <v>46121</v>
      </c>
      <c r="C117" s="23" t="s">
        <v>84</v>
      </c>
      <c r="D117" s="37" t="s">
        <v>753</v>
      </c>
      <c r="E117" s="23" t="s">
        <v>805</v>
      </c>
      <c r="F117" s="31">
        <v>1174</v>
      </c>
      <c r="G117" s="31">
        <v>-700</v>
      </c>
      <c r="H117" s="31">
        <f>Cty_Dai_Thuy[[#This Row],[ĐƠN GIÁ]]*Cty_Dai_Thuy[[#This Row],[SỐ LƯỢNG]]</f>
        <v>-821800</v>
      </c>
      <c r="I117" s="31"/>
      <c r="J117" s="31">
        <f ca="1">N(INDIRECT("R[-1]C", FALSE)) + Cty_Dai_Thuy[[#This Row],[THÀNH TIỀN]] - Cty_Dai_Thuy[[#This Row],[THANH TOÁN]]</f>
        <v>110464406</v>
      </c>
      <c r="K117" s="24"/>
    </row>
    <row r="118" spans="1:11" x14ac:dyDescent="0.25">
      <c r="A118" s="22">
        <v>21134</v>
      </c>
      <c r="B118" s="29">
        <v>46121</v>
      </c>
      <c r="C118" s="23" t="s">
        <v>84</v>
      </c>
      <c r="D118" s="37" t="s">
        <v>753</v>
      </c>
      <c r="E118" s="23" t="s">
        <v>806</v>
      </c>
      <c r="F118" s="31">
        <v>1932</v>
      </c>
      <c r="G118" s="31">
        <v>-700</v>
      </c>
      <c r="H118" s="31">
        <f>Cty_Dai_Thuy[[#This Row],[ĐƠN GIÁ]]*Cty_Dai_Thuy[[#This Row],[SỐ LƯỢNG]]</f>
        <v>-1352400</v>
      </c>
      <c r="I118" s="31"/>
      <c r="J118" s="31">
        <f ca="1">N(INDIRECT("R[-1]C", FALSE)) + Cty_Dai_Thuy[[#This Row],[THÀNH TIỀN]] - Cty_Dai_Thuy[[#This Row],[THANH TOÁN]]</f>
        <v>109112006</v>
      </c>
      <c r="K118" s="24"/>
    </row>
    <row r="119" spans="1:11" x14ac:dyDescent="0.25">
      <c r="A119" s="22">
        <v>21134</v>
      </c>
      <c r="B119" s="29">
        <v>46121</v>
      </c>
      <c r="C119" s="23" t="s">
        <v>84</v>
      </c>
      <c r="D119" s="37" t="s">
        <v>753</v>
      </c>
      <c r="E119" s="23" t="s">
        <v>768</v>
      </c>
      <c r="F119" s="31">
        <v>648</v>
      </c>
      <c r="G119" s="31">
        <v>-700</v>
      </c>
      <c r="H119" s="31">
        <f>Cty_Dai_Thuy[[#This Row],[ĐƠN GIÁ]]*Cty_Dai_Thuy[[#This Row],[SỐ LƯỢNG]]</f>
        <v>-453600</v>
      </c>
      <c r="I119" s="31"/>
      <c r="J119" s="31">
        <f ca="1">N(INDIRECT("R[-1]C", FALSE)) + Cty_Dai_Thuy[[#This Row],[THÀNH TIỀN]] - Cty_Dai_Thuy[[#This Row],[THANH TOÁN]]</f>
        <v>108658406</v>
      </c>
      <c r="K119" s="24"/>
    </row>
    <row r="120" spans="1:11" x14ac:dyDescent="0.25">
      <c r="A120" s="22">
        <v>21134</v>
      </c>
      <c r="B120" s="29">
        <v>46121</v>
      </c>
      <c r="C120" s="23" t="s">
        <v>84</v>
      </c>
      <c r="D120" s="37" t="s">
        <v>753</v>
      </c>
      <c r="E120" s="23" t="s">
        <v>807</v>
      </c>
      <c r="F120" s="31">
        <v>558</v>
      </c>
      <c r="G120" s="31">
        <v>-700</v>
      </c>
      <c r="H120" s="31">
        <f>Cty_Dai_Thuy[[#This Row],[ĐƠN GIÁ]]*Cty_Dai_Thuy[[#This Row],[SỐ LƯỢNG]]</f>
        <v>-390600</v>
      </c>
      <c r="I120" s="31"/>
      <c r="J120" s="31">
        <f ca="1">N(INDIRECT("R[-1]C", FALSE)) + Cty_Dai_Thuy[[#This Row],[THÀNH TIỀN]] - Cty_Dai_Thuy[[#This Row],[THANH TOÁN]]</f>
        <v>108267806</v>
      </c>
      <c r="K120" s="24"/>
    </row>
    <row r="121" spans="1:11" x14ac:dyDescent="0.25">
      <c r="A121" s="22">
        <v>21134</v>
      </c>
      <c r="B121" s="29">
        <v>46121</v>
      </c>
      <c r="C121" s="23" t="s">
        <v>84</v>
      </c>
      <c r="D121" s="37" t="s">
        <v>753</v>
      </c>
      <c r="E121" s="23" t="s">
        <v>806</v>
      </c>
      <c r="F121" s="31">
        <v>1732</v>
      </c>
      <c r="G121" s="31">
        <v>-700</v>
      </c>
      <c r="H121" s="31">
        <f>Cty_Dai_Thuy[[#This Row],[ĐƠN GIÁ]]*Cty_Dai_Thuy[[#This Row],[SỐ LƯỢNG]]</f>
        <v>-1212400</v>
      </c>
      <c r="I121" s="31"/>
      <c r="J121" s="31">
        <f ca="1">N(INDIRECT("R[-1]C", FALSE)) + Cty_Dai_Thuy[[#This Row],[THÀNH TIỀN]] - Cty_Dai_Thuy[[#This Row],[THANH TOÁN]]</f>
        <v>107055406</v>
      </c>
      <c r="K121" s="24"/>
    </row>
    <row r="122" spans="1:11" x14ac:dyDescent="0.25">
      <c r="A122" s="22">
        <v>21134</v>
      </c>
      <c r="B122" s="29">
        <v>46121</v>
      </c>
      <c r="C122" s="23" t="s">
        <v>84</v>
      </c>
      <c r="D122" s="37" t="s">
        <v>753</v>
      </c>
      <c r="E122" s="23" t="s">
        <v>808</v>
      </c>
      <c r="F122" s="31">
        <v>816</v>
      </c>
      <c r="G122" s="31">
        <v>-700</v>
      </c>
      <c r="H122" s="31">
        <f>Cty_Dai_Thuy[[#This Row],[ĐƠN GIÁ]]*Cty_Dai_Thuy[[#This Row],[SỐ LƯỢNG]]</f>
        <v>-571200</v>
      </c>
      <c r="I122" s="31"/>
      <c r="J122" s="31">
        <f ca="1">N(INDIRECT("R[-1]C", FALSE)) + Cty_Dai_Thuy[[#This Row],[THÀNH TIỀN]] - Cty_Dai_Thuy[[#This Row],[THANH TOÁN]]</f>
        <v>106484206</v>
      </c>
      <c r="K122" s="24"/>
    </row>
    <row r="123" spans="1:11" x14ac:dyDescent="0.25">
      <c r="A123" s="22">
        <v>8714</v>
      </c>
      <c r="B123" s="29">
        <v>46123</v>
      </c>
      <c r="C123" s="23" t="s">
        <v>13</v>
      </c>
      <c r="D123" s="37" t="s">
        <v>26</v>
      </c>
      <c r="E123" s="23" t="s">
        <v>136</v>
      </c>
      <c r="F123" s="31">
        <v>2162</v>
      </c>
      <c r="G123" s="31">
        <v>33000</v>
      </c>
      <c r="H123" s="31">
        <f>Cty_Dai_Thuy[[#This Row],[ĐƠN GIÁ]]*Cty_Dai_Thuy[[#This Row],[SỐ LƯỢNG]]</f>
        <v>71346000</v>
      </c>
      <c r="I123" s="31"/>
      <c r="J123" s="31">
        <f ca="1">N(INDIRECT("R[-1]C", FALSE)) + Cty_Dai_Thuy[[#This Row],[THÀNH TIỀN]] - Cty_Dai_Thuy[[#This Row],[THANH TOÁN]]</f>
        <v>177830206</v>
      </c>
      <c r="K123" s="24"/>
    </row>
    <row r="124" spans="1:11" x14ac:dyDescent="0.25">
      <c r="A124" s="22">
        <v>8717</v>
      </c>
      <c r="B124" s="29">
        <v>46123</v>
      </c>
      <c r="C124" s="23" t="s">
        <v>49</v>
      </c>
      <c r="D124" s="37" t="s">
        <v>77</v>
      </c>
      <c r="E124" s="23" t="s">
        <v>791</v>
      </c>
      <c r="F124" s="31">
        <v>1937</v>
      </c>
      <c r="G124" s="31"/>
      <c r="H124" s="31">
        <f>Cty_Dai_Thuy[[#This Row],[ĐƠN GIÁ]]*Cty_Dai_Thuy[[#This Row],[SỐ LƯỢNG]]</f>
        <v>0</v>
      </c>
      <c r="I124" s="31"/>
      <c r="J124" s="31">
        <f ca="1">N(INDIRECT("R[-1]C", FALSE)) + Cty_Dai_Thuy[[#This Row],[THÀNH TIỀN]] - Cty_Dai_Thuy[[#This Row],[THANH TOÁN]]</f>
        <v>177830206</v>
      </c>
      <c r="K124" s="24" t="s">
        <v>792</v>
      </c>
    </row>
    <row r="125" spans="1:11" x14ac:dyDescent="0.25">
      <c r="A125" s="22">
        <v>21340</v>
      </c>
      <c r="B125" s="29">
        <v>46126</v>
      </c>
      <c r="C125" s="23" t="s">
        <v>84</v>
      </c>
      <c r="D125" s="37" t="s">
        <v>520</v>
      </c>
      <c r="E125" s="23" t="s">
        <v>809</v>
      </c>
      <c r="F125" s="31">
        <v>1502</v>
      </c>
      <c r="G125" s="31">
        <v>-1000</v>
      </c>
      <c r="H125" s="31">
        <f>Cty_Dai_Thuy[[#This Row],[ĐƠN GIÁ]]*Cty_Dai_Thuy[[#This Row],[SỐ LƯỢNG]]</f>
        <v>-1502000</v>
      </c>
      <c r="I125" s="31"/>
      <c r="J125" s="31">
        <f ca="1">N(INDIRECT("R[-1]C", FALSE)) + Cty_Dai_Thuy[[#This Row],[THÀNH TIỀN]] - Cty_Dai_Thuy[[#This Row],[THANH TOÁN]]</f>
        <v>176328206</v>
      </c>
      <c r="K125" s="24"/>
    </row>
    <row r="126" spans="1:11" x14ac:dyDescent="0.25">
      <c r="A126" s="22">
        <v>21340</v>
      </c>
      <c r="B126" s="29">
        <v>46126</v>
      </c>
      <c r="C126" s="23" t="s">
        <v>84</v>
      </c>
      <c r="D126" s="37" t="s">
        <v>753</v>
      </c>
      <c r="E126" s="23" t="s">
        <v>810</v>
      </c>
      <c r="F126" s="31">
        <v>1198</v>
      </c>
      <c r="G126" s="31">
        <v>-1000</v>
      </c>
      <c r="H126" s="31">
        <f>Cty_Dai_Thuy[[#This Row],[ĐƠN GIÁ]]*Cty_Dai_Thuy[[#This Row],[SỐ LƯỢNG]]</f>
        <v>-1198000</v>
      </c>
      <c r="I126" s="31"/>
      <c r="J126" s="31">
        <f ca="1">N(INDIRECT("R[-1]C", FALSE)) + Cty_Dai_Thuy[[#This Row],[THÀNH TIỀN]] - Cty_Dai_Thuy[[#This Row],[THANH TOÁN]]</f>
        <v>175130206</v>
      </c>
      <c r="K126" s="24"/>
    </row>
    <row r="127" spans="1:11" x14ac:dyDescent="0.25">
      <c r="A127" s="22">
        <v>21340</v>
      </c>
      <c r="B127" s="29">
        <v>46126</v>
      </c>
      <c r="C127" s="23" t="s">
        <v>84</v>
      </c>
      <c r="D127" s="37" t="s">
        <v>753</v>
      </c>
      <c r="E127" s="23" t="s">
        <v>811</v>
      </c>
      <c r="F127" s="31">
        <v>1950</v>
      </c>
      <c r="G127" s="31">
        <v>-1000</v>
      </c>
      <c r="H127" s="31">
        <f>Cty_Dai_Thuy[[#This Row],[ĐƠN GIÁ]]*Cty_Dai_Thuy[[#This Row],[SỐ LƯỢNG]]</f>
        <v>-1950000</v>
      </c>
      <c r="I127" s="31"/>
      <c r="J127" s="31">
        <f ca="1">N(INDIRECT("R[-1]C", FALSE)) + Cty_Dai_Thuy[[#This Row],[THÀNH TIỀN]] - Cty_Dai_Thuy[[#This Row],[THANH TOÁN]]</f>
        <v>173180206</v>
      </c>
      <c r="K127" s="24"/>
    </row>
    <row r="128" spans="1:11" x14ac:dyDescent="0.25">
      <c r="A128" s="22">
        <v>21340</v>
      </c>
      <c r="B128" s="29">
        <v>46126</v>
      </c>
      <c r="C128" s="23" t="s">
        <v>84</v>
      </c>
      <c r="D128" s="37" t="s">
        <v>753</v>
      </c>
      <c r="E128" s="23" t="s">
        <v>200</v>
      </c>
      <c r="F128" s="31">
        <v>1584</v>
      </c>
      <c r="G128" s="31">
        <v>-1000</v>
      </c>
      <c r="H128" s="31">
        <f>Cty_Dai_Thuy[[#This Row],[ĐƠN GIÁ]]*Cty_Dai_Thuy[[#This Row],[SỐ LƯỢNG]]</f>
        <v>-1584000</v>
      </c>
      <c r="I128" s="31"/>
      <c r="J128" s="31">
        <f ca="1">N(INDIRECT("R[-1]C", FALSE)) + Cty_Dai_Thuy[[#This Row],[THÀNH TIỀN]] - Cty_Dai_Thuy[[#This Row],[THANH TOÁN]]</f>
        <v>171596206</v>
      </c>
      <c r="K128" s="24"/>
    </row>
    <row r="129" spans="1:11" x14ac:dyDescent="0.25">
      <c r="A129" s="22">
        <v>21340</v>
      </c>
      <c r="B129" s="29">
        <v>46126</v>
      </c>
      <c r="C129" s="23" t="s">
        <v>84</v>
      </c>
      <c r="D129" s="37" t="s">
        <v>753</v>
      </c>
      <c r="E129" s="23" t="s">
        <v>809</v>
      </c>
      <c r="F129" s="31">
        <v>1726</v>
      </c>
      <c r="G129" s="31">
        <v>-1000</v>
      </c>
      <c r="H129" s="31">
        <f>Cty_Dai_Thuy[[#This Row],[ĐƠN GIÁ]]*Cty_Dai_Thuy[[#This Row],[SỐ LƯỢNG]]</f>
        <v>-1726000</v>
      </c>
      <c r="I129" s="31"/>
      <c r="J129" s="31">
        <f ca="1">N(INDIRECT("R[-1]C", FALSE)) + Cty_Dai_Thuy[[#This Row],[THÀNH TIỀN]] - Cty_Dai_Thuy[[#This Row],[THANH TOÁN]]</f>
        <v>169870206</v>
      </c>
      <c r="K129" s="24"/>
    </row>
    <row r="130" spans="1:11" x14ac:dyDescent="0.25">
      <c r="A130" s="22">
        <v>21340</v>
      </c>
      <c r="B130" s="29">
        <v>46126</v>
      </c>
      <c r="C130" s="23" t="s">
        <v>84</v>
      </c>
      <c r="D130" s="37" t="s">
        <v>753</v>
      </c>
      <c r="E130" s="23" t="s">
        <v>812</v>
      </c>
      <c r="F130" s="31">
        <v>1494</v>
      </c>
      <c r="G130" s="31">
        <v>-1000</v>
      </c>
      <c r="H130" s="31">
        <f>Cty_Dai_Thuy[[#This Row],[ĐƠN GIÁ]]*Cty_Dai_Thuy[[#This Row],[SỐ LƯỢNG]]</f>
        <v>-1494000</v>
      </c>
      <c r="I130" s="31"/>
      <c r="J130" s="31">
        <f ca="1">N(INDIRECT("R[-1]C", FALSE)) + Cty_Dai_Thuy[[#This Row],[THÀNH TIỀN]] - Cty_Dai_Thuy[[#This Row],[THANH TOÁN]]</f>
        <v>168376206</v>
      </c>
      <c r="K130" s="24"/>
    </row>
    <row r="131" spans="1:11" x14ac:dyDescent="0.25">
      <c r="A131" s="22">
        <v>8800</v>
      </c>
      <c r="B131" s="29">
        <v>46127</v>
      </c>
      <c r="C131" s="23" t="s">
        <v>49</v>
      </c>
      <c r="D131" s="37" t="s">
        <v>77</v>
      </c>
      <c r="E131" s="23" t="s">
        <v>793</v>
      </c>
      <c r="F131" s="31">
        <v>2344</v>
      </c>
      <c r="G131" s="31"/>
      <c r="H131" s="31">
        <f>Cty_Dai_Thuy[[#This Row],[ĐƠN GIÁ]]*Cty_Dai_Thuy[[#This Row],[SỐ LƯỢNG]]</f>
        <v>0</v>
      </c>
      <c r="I131" s="31"/>
      <c r="J131" s="31">
        <f ca="1">N(INDIRECT("R[-1]C", FALSE)) + Cty_Dai_Thuy[[#This Row],[THÀNH TIỀN]] - Cty_Dai_Thuy[[#This Row],[THANH TOÁN]]</f>
        <v>168376206</v>
      </c>
      <c r="K131" s="24" t="s">
        <v>789</v>
      </c>
    </row>
    <row r="132" spans="1:11" x14ac:dyDescent="0.25">
      <c r="A132" s="22">
        <v>21394</v>
      </c>
      <c r="B132" s="29">
        <v>46127</v>
      </c>
      <c r="C132" s="23" t="s">
        <v>84</v>
      </c>
      <c r="D132" s="37" t="s">
        <v>753</v>
      </c>
      <c r="E132" s="23" t="s">
        <v>809</v>
      </c>
      <c r="F132" s="31">
        <v>1108</v>
      </c>
      <c r="G132" s="31">
        <v>-1000</v>
      </c>
      <c r="H132" s="31">
        <f>Cty_Dai_Thuy[[#This Row],[ĐƠN GIÁ]]*Cty_Dai_Thuy[[#This Row],[SỐ LƯỢNG]]</f>
        <v>-1108000</v>
      </c>
      <c r="I132" s="31"/>
      <c r="J132" s="31">
        <f ca="1">N(INDIRECT("R[-1]C", FALSE)) + Cty_Dai_Thuy[[#This Row],[THÀNH TIỀN]] - Cty_Dai_Thuy[[#This Row],[THANH TOÁN]]</f>
        <v>167268206</v>
      </c>
      <c r="K132" s="24"/>
    </row>
    <row r="133" spans="1:11" x14ac:dyDescent="0.25">
      <c r="A133" s="22">
        <v>21394</v>
      </c>
      <c r="B133" s="29">
        <v>46127</v>
      </c>
      <c r="C133" s="23" t="s">
        <v>84</v>
      </c>
      <c r="D133" s="37" t="s">
        <v>753</v>
      </c>
      <c r="E133" s="23" t="s">
        <v>813</v>
      </c>
      <c r="F133" s="31">
        <v>1816</v>
      </c>
      <c r="G133" s="31">
        <v>-1000</v>
      </c>
      <c r="H133" s="31">
        <f>Cty_Dai_Thuy[[#This Row],[ĐƠN GIÁ]]*Cty_Dai_Thuy[[#This Row],[SỐ LƯỢNG]]</f>
        <v>-1816000</v>
      </c>
      <c r="I133" s="31"/>
      <c r="J133" s="31">
        <f ca="1">N(INDIRECT("R[-1]C", FALSE)) + Cty_Dai_Thuy[[#This Row],[THÀNH TIỀN]] - Cty_Dai_Thuy[[#This Row],[THANH TOÁN]]</f>
        <v>165452206</v>
      </c>
      <c r="K133" s="24"/>
    </row>
    <row r="134" spans="1:11" x14ac:dyDescent="0.25">
      <c r="A134" s="22">
        <v>21394</v>
      </c>
      <c r="B134" s="29">
        <v>46127</v>
      </c>
      <c r="C134" s="23" t="s">
        <v>84</v>
      </c>
      <c r="D134" s="37" t="s">
        <v>753</v>
      </c>
      <c r="E134" s="23" t="s">
        <v>200</v>
      </c>
      <c r="F134" s="31">
        <v>1792</v>
      </c>
      <c r="G134" s="31">
        <v>-1000</v>
      </c>
      <c r="H134" s="31">
        <f>Cty_Dai_Thuy[[#This Row],[ĐƠN GIÁ]]*Cty_Dai_Thuy[[#This Row],[SỐ LƯỢNG]]</f>
        <v>-1792000</v>
      </c>
      <c r="I134" s="31"/>
      <c r="J134" s="31">
        <f ca="1">N(INDIRECT("R[-1]C", FALSE)) + Cty_Dai_Thuy[[#This Row],[THÀNH TIỀN]] - Cty_Dai_Thuy[[#This Row],[THANH TOÁN]]</f>
        <v>163660206</v>
      </c>
      <c r="K134" s="24"/>
    </row>
    <row r="135" spans="1:11" x14ac:dyDescent="0.25">
      <c r="A135" s="22">
        <v>21394</v>
      </c>
      <c r="B135" s="29">
        <v>46127</v>
      </c>
      <c r="C135" s="23" t="s">
        <v>84</v>
      </c>
      <c r="D135" s="37" t="s">
        <v>753</v>
      </c>
      <c r="E135" s="23" t="s">
        <v>809</v>
      </c>
      <c r="F135" s="31">
        <v>1466</v>
      </c>
      <c r="G135" s="31">
        <v>-1000</v>
      </c>
      <c r="H135" s="31">
        <f>Cty_Dai_Thuy[[#This Row],[ĐƠN GIÁ]]*Cty_Dai_Thuy[[#This Row],[SỐ LƯỢNG]]</f>
        <v>-1466000</v>
      </c>
      <c r="I135" s="31"/>
      <c r="J135" s="31">
        <f ca="1">N(INDIRECT("R[-1]C", FALSE)) + Cty_Dai_Thuy[[#This Row],[THÀNH TIỀN]] - Cty_Dai_Thuy[[#This Row],[THANH TOÁN]]</f>
        <v>162194206</v>
      </c>
      <c r="K135" s="24"/>
    </row>
    <row r="136" spans="1:11" x14ac:dyDescent="0.25">
      <c r="A136" s="22">
        <v>21394</v>
      </c>
      <c r="B136" s="29">
        <v>46127</v>
      </c>
      <c r="C136" s="23" t="s">
        <v>84</v>
      </c>
      <c r="D136" s="37" t="s">
        <v>753</v>
      </c>
      <c r="E136" s="23" t="s">
        <v>809</v>
      </c>
      <c r="F136" s="31">
        <v>1384</v>
      </c>
      <c r="G136" s="31">
        <v>-1000</v>
      </c>
      <c r="H136" s="31">
        <f>Cty_Dai_Thuy[[#This Row],[ĐƠN GIÁ]]*Cty_Dai_Thuy[[#This Row],[SỐ LƯỢNG]]</f>
        <v>-1384000</v>
      </c>
      <c r="I136" s="31"/>
      <c r="J136" s="31">
        <f ca="1">N(INDIRECT("R[-1]C", FALSE)) + Cty_Dai_Thuy[[#This Row],[THÀNH TIỀN]] - Cty_Dai_Thuy[[#This Row],[THANH TOÁN]]</f>
        <v>160810206</v>
      </c>
      <c r="K136" s="24"/>
    </row>
    <row r="137" spans="1:11" x14ac:dyDescent="0.25">
      <c r="A137" s="22">
        <v>8850</v>
      </c>
      <c r="B137" s="29">
        <v>46129</v>
      </c>
      <c r="C137" s="23" t="s">
        <v>49</v>
      </c>
      <c r="D137" s="37" t="s">
        <v>77</v>
      </c>
      <c r="E137" s="23" t="s">
        <v>794</v>
      </c>
      <c r="F137" s="31">
        <v>1242</v>
      </c>
      <c r="G137" s="31"/>
      <c r="H137" s="31">
        <f>Cty_Dai_Thuy[[#This Row],[ĐƠN GIÁ]]*Cty_Dai_Thuy[[#This Row],[SỐ LƯỢNG]]</f>
        <v>0</v>
      </c>
      <c r="I137" s="31"/>
      <c r="J137" s="31">
        <f ca="1">N(INDIRECT("R[-1]C", FALSE)) + Cty_Dai_Thuy[[#This Row],[THÀNH TIỀN]] - Cty_Dai_Thuy[[#This Row],[THANH TOÁN]]</f>
        <v>160810206</v>
      </c>
      <c r="K137" s="24" t="s">
        <v>795</v>
      </c>
    </row>
    <row r="138" spans="1:11" x14ac:dyDescent="0.25">
      <c r="A138" s="22">
        <v>21492</v>
      </c>
      <c r="B138" s="29">
        <v>46129</v>
      </c>
      <c r="C138" s="23" t="s">
        <v>84</v>
      </c>
      <c r="D138" s="37" t="s">
        <v>520</v>
      </c>
      <c r="E138" s="23" t="s">
        <v>814</v>
      </c>
      <c r="F138" s="31">
        <v>398</v>
      </c>
      <c r="G138" s="31">
        <v>-1000</v>
      </c>
      <c r="H138" s="31">
        <f>Cty_Dai_Thuy[[#This Row],[ĐƠN GIÁ]]*Cty_Dai_Thuy[[#This Row],[SỐ LƯỢNG]]</f>
        <v>-398000</v>
      </c>
      <c r="I138" s="31"/>
      <c r="J138" s="31">
        <f ca="1">N(INDIRECT("R[-1]C", FALSE)) + Cty_Dai_Thuy[[#This Row],[THÀNH TIỀN]] - Cty_Dai_Thuy[[#This Row],[THANH TOÁN]]</f>
        <v>160412206</v>
      </c>
      <c r="K138" s="24"/>
    </row>
    <row r="139" spans="1:11" x14ac:dyDescent="0.25">
      <c r="A139" s="22">
        <v>21492</v>
      </c>
      <c r="B139" s="29">
        <v>46129</v>
      </c>
      <c r="C139" s="23" t="s">
        <v>84</v>
      </c>
      <c r="D139" s="37" t="s">
        <v>520</v>
      </c>
      <c r="E139" s="23" t="s">
        <v>815</v>
      </c>
      <c r="F139" s="31">
        <v>578</v>
      </c>
      <c r="G139" s="31">
        <v>-1000</v>
      </c>
      <c r="H139" s="31">
        <f>Cty_Dai_Thuy[[#This Row],[ĐƠN GIÁ]]*Cty_Dai_Thuy[[#This Row],[SỐ LƯỢNG]]</f>
        <v>-578000</v>
      </c>
      <c r="I139" s="31"/>
      <c r="J139" s="31">
        <f ca="1">N(INDIRECT("R[-1]C", FALSE)) + Cty_Dai_Thuy[[#This Row],[THÀNH TIỀN]] - Cty_Dai_Thuy[[#This Row],[THANH TOÁN]]</f>
        <v>159834206</v>
      </c>
      <c r="K139" s="24"/>
    </row>
    <row r="140" spans="1:11" x14ac:dyDescent="0.25">
      <c r="A140" s="22">
        <v>8905</v>
      </c>
      <c r="B140" s="29">
        <v>46132</v>
      </c>
      <c r="C140" s="23" t="s">
        <v>49</v>
      </c>
      <c r="D140" s="37" t="s">
        <v>43</v>
      </c>
      <c r="E140" s="23" t="s">
        <v>1743</v>
      </c>
      <c r="F140" s="31">
        <v>1280</v>
      </c>
      <c r="G140" s="31"/>
      <c r="H140" s="31">
        <f>Cty_Dai_Thuy[[#This Row],[ĐƠN GIÁ]]*Cty_Dai_Thuy[[#This Row],[SỐ LƯỢNG]]</f>
        <v>0</v>
      </c>
      <c r="I140" s="31"/>
      <c r="J140" s="31">
        <f ca="1">N(INDIRECT("R[-1]C", FALSE)) + Cty_Dai_Thuy[[#This Row],[THÀNH TIỀN]] - Cty_Dai_Thuy[[#This Row],[THANH TOÁN]]</f>
        <v>159834206</v>
      </c>
      <c r="K140" s="24" t="s">
        <v>1744</v>
      </c>
    </row>
    <row r="141" spans="1:11" x14ac:dyDescent="0.25">
      <c r="A141" s="22">
        <v>8905</v>
      </c>
      <c r="B141" s="29">
        <v>46132</v>
      </c>
      <c r="C141" s="23" t="s">
        <v>49</v>
      </c>
      <c r="D141" s="37" t="s">
        <v>77</v>
      </c>
      <c r="E141" s="23" t="s">
        <v>794</v>
      </c>
      <c r="F141" s="31">
        <v>1340</v>
      </c>
      <c r="G141" s="31"/>
      <c r="H141" s="31">
        <f>Cty_Dai_Thuy[[#This Row],[ĐƠN GIÁ]]*Cty_Dai_Thuy[[#This Row],[SỐ LƯỢNG]]</f>
        <v>0</v>
      </c>
      <c r="I141" s="31"/>
      <c r="J141" s="31">
        <f ca="1">N(INDIRECT("R[-1]C", FALSE)) + Cty_Dai_Thuy[[#This Row],[THÀNH TIỀN]] - Cty_Dai_Thuy[[#This Row],[THANH TOÁN]]</f>
        <v>159834206</v>
      </c>
      <c r="K141" s="24" t="s">
        <v>1745</v>
      </c>
    </row>
    <row r="142" spans="1:11" x14ac:dyDescent="0.25">
      <c r="A142" s="22">
        <v>8905</v>
      </c>
      <c r="B142" s="29">
        <v>46132</v>
      </c>
      <c r="C142" s="23" t="s">
        <v>49</v>
      </c>
      <c r="D142" s="37" t="s">
        <v>77</v>
      </c>
      <c r="E142" s="23" t="s">
        <v>1746</v>
      </c>
      <c r="F142" s="31">
        <v>1322</v>
      </c>
      <c r="G142" s="31"/>
      <c r="H142" s="31">
        <f>Cty_Dai_Thuy[[#This Row],[ĐƠN GIÁ]]*Cty_Dai_Thuy[[#This Row],[SỐ LƯỢNG]]</f>
        <v>0</v>
      </c>
      <c r="I142" s="31"/>
      <c r="J142" s="31">
        <f ca="1">N(INDIRECT("R[-1]C", FALSE)) + Cty_Dai_Thuy[[#This Row],[THÀNH TIỀN]] - Cty_Dai_Thuy[[#This Row],[THANH TOÁN]]</f>
        <v>159834206</v>
      </c>
      <c r="K142" s="24" t="s">
        <v>1747</v>
      </c>
    </row>
    <row r="143" spans="1:11" x14ac:dyDescent="0.25">
      <c r="A143" s="22">
        <v>8905</v>
      </c>
      <c r="B143" s="29">
        <v>46132</v>
      </c>
      <c r="C143" s="23" t="s">
        <v>49</v>
      </c>
      <c r="D143" s="37" t="s">
        <v>77</v>
      </c>
      <c r="E143" s="23" t="s">
        <v>1748</v>
      </c>
      <c r="F143" s="31">
        <v>1375</v>
      </c>
      <c r="G143" s="31"/>
      <c r="H143" s="31">
        <f>Cty_Dai_Thuy[[#This Row],[ĐƠN GIÁ]]*Cty_Dai_Thuy[[#This Row],[SỐ LƯỢNG]]</f>
        <v>0</v>
      </c>
      <c r="I143" s="31"/>
      <c r="J143" s="31">
        <f ca="1">N(INDIRECT("R[-1]C", FALSE)) + Cty_Dai_Thuy[[#This Row],[THÀNH TIỀN]] - Cty_Dai_Thuy[[#This Row],[THANH TOÁN]]</f>
        <v>159834206</v>
      </c>
      <c r="K143" s="24" t="s">
        <v>1749</v>
      </c>
    </row>
    <row r="144" spans="1:11" x14ac:dyDescent="0.25">
      <c r="A144" s="22">
        <v>8905</v>
      </c>
      <c r="B144" s="29">
        <v>46132</v>
      </c>
      <c r="C144" s="23" t="s">
        <v>49</v>
      </c>
      <c r="D144" s="37" t="s">
        <v>77</v>
      </c>
      <c r="E144" s="23" t="s">
        <v>1750</v>
      </c>
      <c r="F144" s="31">
        <v>2388</v>
      </c>
      <c r="G144" s="31"/>
      <c r="H144" s="31">
        <f>Cty_Dai_Thuy[[#This Row],[ĐƠN GIÁ]]*Cty_Dai_Thuy[[#This Row],[SỐ LƯỢNG]]</f>
        <v>0</v>
      </c>
      <c r="I144" s="31"/>
      <c r="J144" s="31">
        <f ca="1">N(INDIRECT("R[-1]C", FALSE)) + Cty_Dai_Thuy[[#This Row],[THÀNH TIỀN]] - Cty_Dai_Thuy[[#This Row],[THANH TOÁN]]</f>
        <v>159834206</v>
      </c>
      <c r="K144" s="24" t="s">
        <v>1751</v>
      </c>
    </row>
    <row r="145" spans="1:11" x14ac:dyDescent="0.25">
      <c r="A145" s="22">
        <v>21725</v>
      </c>
      <c r="B145" s="29">
        <v>46135</v>
      </c>
      <c r="C145" s="23" t="s">
        <v>84</v>
      </c>
      <c r="D145" s="37" t="s">
        <v>753</v>
      </c>
      <c r="E145" s="23" t="s">
        <v>816</v>
      </c>
      <c r="F145" s="31">
        <v>1658</v>
      </c>
      <c r="G145" s="31">
        <v>-1000</v>
      </c>
      <c r="H145" s="31">
        <f>Cty_Dai_Thuy[[#This Row],[ĐƠN GIÁ]]*Cty_Dai_Thuy[[#This Row],[SỐ LƯỢNG]]</f>
        <v>-1658000</v>
      </c>
      <c r="I145" s="31"/>
      <c r="J145" s="31">
        <f ca="1">N(INDIRECT("R[-1]C", FALSE)) + Cty_Dai_Thuy[[#This Row],[THÀNH TIỀN]] - Cty_Dai_Thuy[[#This Row],[THANH TOÁN]]</f>
        <v>158176206</v>
      </c>
      <c r="K145" s="24"/>
    </row>
    <row r="146" spans="1:11" x14ac:dyDescent="0.25">
      <c r="A146" s="22">
        <v>21725</v>
      </c>
      <c r="B146" s="29">
        <v>46135</v>
      </c>
      <c r="C146" s="23" t="s">
        <v>84</v>
      </c>
      <c r="D146" s="37" t="s">
        <v>753</v>
      </c>
      <c r="E146" s="23" t="s">
        <v>817</v>
      </c>
      <c r="F146" s="31">
        <v>456</v>
      </c>
      <c r="G146" s="31">
        <v>-1000</v>
      </c>
      <c r="H146" s="31">
        <f>Cty_Dai_Thuy[[#This Row],[ĐƠN GIÁ]]*Cty_Dai_Thuy[[#This Row],[SỐ LƯỢNG]]</f>
        <v>-456000</v>
      </c>
      <c r="I146" s="31"/>
      <c r="J146" s="31">
        <f ca="1">N(INDIRECT("R[-1]C", FALSE)) + Cty_Dai_Thuy[[#This Row],[THÀNH TIỀN]] - Cty_Dai_Thuy[[#This Row],[THANH TOÁN]]</f>
        <v>157720206</v>
      </c>
      <c r="K146" s="24"/>
    </row>
    <row r="147" spans="1:11" x14ac:dyDescent="0.25">
      <c r="A147" s="22">
        <v>21725</v>
      </c>
      <c r="B147" s="29">
        <v>46135</v>
      </c>
      <c r="C147" s="23" t="s">
        <v>84</v>
      </c>
      <c r="D147" s="37" t="s">
        <v>753</v>
      </c>
      <c r="E147" s="23" t="s">
        <v>807</v>
      </c>
      <c r="F147" s="31">
        <v>2200</v>
      </c>
      <c r="G147" s="31">
        <v>-1000</v>
      </c>
      <c r="H147" s="31">
        <f>Cty_Dai_Thuy[[#This Row],[ĐƠN GIÁ]]*Cty_Dai_Thuy[[#This Row],[SỐ LƯỢNG]]</f>
        <v>-2200000</v>
      </c>
      <c r="I147" s="31"/>
      <c r="J147" s="31">
        <f ca="1">N(INDIRECT("R[-1]C", FALSE)) + Cty_Dai_Thuy[[#This Row],[THÀNH TIỀN]] - Cty_Dai_Thuy[[#This Row],[THANH TOÁN]]</f>
        <v>155520206</v>
      </c>
      <c r="K147" s="24"/>
    </row>
    <row r="148" spans="1:11" x14ac:dyDescent="0.25">
      <c r="A148" s="22">
        <v>8950</v>
      </c>
      <c r="B148" s="29">
        <v>46135</v>
      </c>
      <c r="C148" s="23" t="s">
        <v>49</v>
      </c>
      <c r="D148" s="37" t="s">
        <v>729</v>
      </c>
      <c r="E148" s="23" t="s">
        <v>1773</v>
      </c>
      <c r="F148" s="31">
        <v>1057</v>
      </c>
      <c r="G148" s="31"/>
      <c r="H148" s="31">
        <f>Cty_Dai_Thuy[[#This Row],[ĐƠN GIÁ]]*Cty_Dai_Thuy[[#This Row],[SỐ LƯỢNG]]</f>
        <v>0</v>
      </c>
      <c r="I148" s="31"/>
      <c r="J148" s="31">
        <f ca="1">N(INDIRECT("R[-1]C", FALSE)) + Cty_Dai_Thuy[[#This Row],[THÀNH TIỀN]] - Cty_Dai_Thuy[[#This Row],[THANH TOÁN]]</f>
        <v>155520206</v>
      </c>
      <c r="K148" s="24" t="s">
        <v>1774</v>
      </c>
    </row>
    <row r="149" spans="1:11" x14ac:dyDescent="0.25">
      <c r="A149" s="22">
        <v>8950</v>
      </c>
      <c r="B149" s="29">
        <v>46135</v>
      </c>
      <c r="C149" s="23" t="s">
        <v>49</v>
      </c>
      <c r="D149" s="37" t="s">
        <v>729</v>
      </c>
      <c r="E149" s="23" t="s">
        <v>1775</v>
      </c>
      <c r="F149" s="31">
        <v>1235</v>
      </c>
      <c r="G149" s="31"/>
      <c r="H149" s="31">
        <f>Cty_Dai_Thuy[[#This Row],[ĐƠN GIÁ]]*Cty_Dai_Thuy[[#This Row],[SỐ LƯỢNG]]</f>
        <v>0</v>
      </c>
      <c r="I149" s="31"/>
      <c r="J149" s="31">
        <f ca="1">N(INDIRECT("R[-1]C", FALSE)) + Cty_Dai_Thuy[[#This Row],[THÀNH TIỀN]] - Cty_Dai_Thuy[[#This Row],[THANH TOÁN]]</f>
        <v>155520206</v>
      </c>
      <c r="K149" s="24" t="s">
        <v>1776</v>
      </c>
    </row>
    <row r="150" spans="1:11" x14ac:dyDescent="0.25">
      <c r="A150" s="22">
        <v>8950</v>
      </c>
      <c r="B150" s="29">
        <v>46135</v>
      </c>
      <c r="C150" s="23" t="s">
        <v>49</v>
      </c>
      <c r="D150" s="37" t="s">
        <v>729</v>
      </c>
      <c r="E150" s="23" t="s">
        <v>1777</v>
      </c>
      <c r="F150" s="31">
        <v>1045</v>
      </c>
      <c r="G150" s="31"/>
      <c r="H150" s="31">
        <f>Cty_Dai_Thuy[[#This Row],[ĐƠN GIÁ]]*Cty_Dai_Thuy[[#This Row],[SỐ LƯỢNG]]</f>
        <v>0</v>
      </c>
      <c r="I150" s="31"/>
      <c r="J150" s="31">
        <f ca="1">N(INDIRECT("R[-1]C", FALSE)) + Cty_Dai_Thuy[[#This Row],[THÀNH TIỀN]] - Cty_Dai_Thuy[[#This Row],[THANH TOÁN]]</f>
        <v>155520206</v>
      </c>
      <c r="K150" s="24" t="s">
        <v>597</v>
      </c>
    </row>
    <row r="151" spans="1:11" x14ac:dyDescent="0.25">
      <c r="A151" s="22">
        <v>8950</v>
      </c>
      <c r="B151" s="29">
        <v>46135</v>
      </c>
      <c r="C151" s="23" t="s">
        <v>49</v>
      </c>
      <c r="D151" s="37" t="s">
        <v>729</v>
      </c>
      <c r="E151" s="23" t="s">
        <v>1778</v>
      </c>
      <c r="F151" s="31">
        <v>706</v>
      </c>
      <c r="G151" s="31"/>
      <c r="H151" s="31">
        <f>Cty_Dai_Thuy[[#This Row],[ĐƠN GIÁ]]*Cty_Dai_Thuy[[#This Row],[SỐ LƯỢNG]]</f>
        <v>0</v>
      </c>
      <c r="I151" s="31"/>
      <c r="J151" s="31">
        <f ca="1">N(INDIRECT("R[-1]C", FALSE)) + Cty_Dai_Thuy[[#This Row],[THÀNH TIỀN]] - Cty_Dai_Thuy[[#This Row],[THANH TOÁN]]</f>
        <v>155520206</v>
      </c>
      <c r="K151" s="24" t="s">
        <v>1779</v>
      </c>
    </row>
    <row r="152" spans="1:11" x14ac:dyDescent="0.25">
      <c r="A152" s="22">
        <v>8950</v>
      </c>
      <c r="B152" s="29">
        <v>46135</v>
      </c>
      <c r="C152" s="23" t="s">
        <v>49</v>
      </c>
      <c r="D152" s="37" t="s">
        <v>729</v>
      </c>
      <c r="E152" s="23" t="s">
        <v>820</v>
      </c>
      <c r="F152" s="31">
        <v>2276</v>
      </c>
      <c r="G152" s="31"/>
      <c r="H152" s="31">
        <f>Cty_Dai_Thuy[[#This Row],[ĐƠN GIÁ]]*Cty_Dai_Thuy[[#This Row],[SỐ LƯỢNG]]</f>
        <v>0</v>
      </c>
      <c r="I152" s="31"/>
      <c r="J152" s="31">
        <f ca="1">N(INDIRECT("R[-1]C", FALSE)) + Cty_Dai_Thuy[[#This Row],[THÀNH TIỀN]] - Cty_Dai_Thuy[[#This Row],[THANH TOÁN]]</f>
        <v>155520206</v>
      </c>
      <c r="K152" s="24" t="s">
        <v>783</v>
      </c>
    </row>
    <row r="153" spans="1:11" x14ac:dyDescent="0.25">
      <c r="A153" s="22">
        <v>8951</v>
      </c>
      <c r="B153" s="29">
        <v>46135</v>
      </c>
      <c r="C153" s="23" t="s">
        <v>49</v>
      </c>
      <c r="D153" s="37" t="s">
        <v>753</v>
      </c>
      <c r="E153" s="23" t="s">
        <v>1780</v>
      </c>
      <c r="F153" s="31">
        <v>403</v>
      </c>
      <c r="G153" s="31"/>
      <c r="H153" s="31">
        <f>Cty_Dai_Thuy[[#This Row],[ĐƠN GIÁ]]*Cty_Dai_Thuy[[#This Row],[SỐ LƯỢNG]]</f>
        <v>0</v>
      </c>
      <c r="I153" s="31"/>
      <c r="J153" s="31">
        <f ca="1">N(INDIRECT("R[-1]C", FALSE)) + Cty_Dai_Thuy[[#This Row],[THÀNH TIỀN]] - Cty_Dai_Thuy[[#This Row],[THANH TOÁN]]</f>
        <v>155520206</v>
      </c>
      <c r="K153" s="24" t="s">
        <v>1781</v>
      </c>
    </row>
    <row r="154" spans="1:11" x14ac:dyDescent="0.25">
      <c r="A154" s="22">
        <v>8951</v>
      </c>
      <c r="B154" s="29">
        <v>46135</v>
      </c>
      <c r="C154" s="23" t="s">
        <v>49</v>
      </c>
      <c r="D154" s="37" t="s">
        <v>753</v>
      </c>
      <c r="E154" s="23" t="s">
        <v>1782</v>
      </c>
      <c r="F154" s="31">
        <v>1269</v>
      </c>
      <c r="G154" s="31"/>
      <c r="H154" s="31">
        <f>Cty_Dai_Thuy[[#This Row],[ĐƠN GIÁ]]*Cty_Dai_Thuy[[#This Row],[SỐ LƯỢNG]]</f>
        <v>0</v>
      </c>
      <c r="I154" s="31"/>
      <c r="J154" s="31">
        <f ca="1">N(INDIRECT("R[-1]C", FALSE)) + Cty_Dai_Thuy[[#This Row],[THÀNH TIỀN]] - Cty_Dai_Thuy[[#This Row],[THANH TOÁN]]</f>
        <v>155520206</v>
      </c>
      <c r="K154" s="24" t="s">
        <v>1783</v>
      </c>
    </row>
    <row r="155" spans="1:11" x14ac:dyDescent="0.25">
      <c r="A155" s="22">
        <v>8951</v>
      </c>
      <c r="B155" s="29">
        <v>46135</v>
      </c>
      <c r="C155" s="23" t="s">
        <v>49</v>
      </c>
      <c r="D155" s="37" t="s">
        <v>753</v>
      </c>
      <c r="E155" s="23" t="s">
        <v>1784</v>
      </c>
      <c r="F155" s="31">
        <v>452</v>
      </c>
      <c r="G155" s="31"/>
      <c r="H155" s="31">
        <f>Cty_Dai_Thuy[[#This Row],[ĐƠN GIÁ]]*Cty_Dai_Thuy[[#This Row],[SỐ LƯỢNG]]</f>
        <v>0</v>
      </c>
      <c r="I155" s="31"/>
      <c r="J155" s="31">
        <f ca="1">N(INDIRECT("R[-1]C", FALSE)) + Cty_Dai_Thuy[[#This Row],[THÀNH TIỀN]] - Cty_Dai_Thuy[[#This Row],[THANH TOÁN]]</f>
        <v>155520206</v>
      </c>
      <c r="K155" s="24" t="s">
        <v>1785</v>
      </c>
    </row>
    <row r="156" spans="1:11" x14ac:dyDescent="0.25">
      <c r="A156" s="22">
        <v>8951</v>
      </c>
      <c r="B156" s="29">
        <v>46135</v>
      </c>
      <c r="C156" s="23" t="s">
        <v>49</v>
      </c>
      <c r="D156" s="37" t="s">
        <v>753</v>
      </c>
      <c r="E156" s="23" t="s">
        <v>1786</v>
      </c>
      <c r="F156" s="31">
        <v>696</v>
      </c>
      <c r="G156" s="31"/>
      <c r="H156" s="31">
        <f>Cty_Dai_Thuy[[#This Row],[ĐƠN GIÁ]]*Cty_Dai_Thuy[[#This Row],[SỐ LƯỢNG]]</f>
        <v>0</v>
      </c>
      <c r="I156" s="31"/>
      <c r="J156" s="31">
        <f ca="1">N(INDIRECT("R[-1]C", FALSE)) + Cty_Dai_Thuy[[#This Row],[THÀNH TIỀN]] - Cty_Dai_Thuy[[#This Row],[THANH TOÁN]]</f>
        <v>155520206</v>
      </c>
      <c r="K156" s="24" t="s">
        <v>1787</v>
      </c>
    </row>
    <row r="157" spans="1:11" x14ac:dyDescent="0.25">
      <c r="A157" s="22">
        <v>21885</v>
      </c>
      <c r="B157" s="29">
        <v>46140</v>
      </c>
      <c r="C157" s="23" t="s">
        <v>84</v>
      </c>
      <c r="D157" s="37" t="s">
        <v>520</v>
      </c>
      <c r="E157" s="23" t="s">
        <v>803</v>
      </c>
      <c r="F157" s="31">
        <v>164</v>
      </c>
      <c r="G157" s="31">
        <v>-1000</v>
      </c>
      <c r="H157" s="31">
        <f>Cty_Dai_Thuy[[#This Row],[ĐƠN GIÁ]]*Cty_Dai_Thuy[[#This Row],[SỐ LƯỢNG]]</f>
        <v>-164000</v>
      </c>
      <c r="I157" s="31"/>
      <c r="J157" s="31">
        <f ca="1">N(INDIRECT("R[-1]C", FALSE)) + Cty_Dai_Thuy[[#This Row],[THÀNH TIỀN]] - Cty_Dai_Thuy[[#This Row],[THANH TOÁN]]</f>
        <v>155356206</v>
      </c>
      <c r="K157" s="24"/>
    </row>
    <row r="158" spans="1:11" x14ac:dyDescent="0.25">
      <c r="A158" s="22">
        <v>21885</v>
      </c>
      <c r="B158" s="29">
        <v>46140</v>
      </c>
      <c r="C158" s="23" t="s">
        <v>84</v>
      </c>
      <c r="D158" s="37" t="s">
        <v>520</v>
      </c>
      <c r="E158" s="23" t="s">
        <v>804</v>
      </c>
      <c r="F158" s="31">
        <v>500</v>
      </c>
      <c r="G158" s="31">
        <v>-1000</v>
      </c>
      <c r="H158" s="31">
        <f>Cty_Dai_Thuy[[#This Row],[ĐƠN GIÁ]]*Cty_Dai_Thuy[[#This Row],[SỐ LƯỢNG]]</f>
        <v>-500000</v>
      </c>
      <c r="I158" s="31"/>
      <c r="J158" s="31">
        <f ca="1">N(INDIRECT("R[-1]C", FALSE)) + Cty_Dai_Thuy[[#This Row],[THÀNH TIỀN]] - Cty_Dai_Thuy[[#This Row],[THANH TOÁN]]</f>
        <v>154856206</v>
      </c>
      <c r="K158" s="24"/>
    </row>
    <row r="159" spans="1:11" x14ac:dyDescent="0.25">
      <c r="A159" s="22">
        <v>21885</v>
      </c>
      <c r="B159" s="29">
        <v>46140</v>
      </c>
      <c r="C159" s="23" t="s">
        <v>84</v>
      </c>
      <c r="D159" s="37" t="s">
        <v>520</v>
      </c>
      <c r="E159" s="23" t="s">
        <v>818</v>
      </c>
      <c r="F159" s="31">
        <v>1322</v>
      </c>
      <c r="G159" s="31">
        <v>-1000</v>
      </c>
      <c r="H159" s="31">
        <f>Cty_Dai_Thuy[[#This Row],[ĐƠN GIÁ]]*Cty_Dai_Thuy[[#This Row],[SỐ LƯỢNG]]</f>
        <v>-1322000</v>
      </c>
      <c r="I159" s="31"/>
      <c r="J159" s="31">
        <f ca="1">N(INDIRECT("R[-1]C", FALSE)) + Cty_Dai_Thuy[[#This Row],[THÀNH TIỀN]] - Cty_Dai_Thuy[[#This Row],[THANH TOÁN]]</f>
        <v>153534206</v>
      </c>
      <c r="K159" s="24"/>
    </row>
    <row r="160" spans="1:11" x14ac:dyDescent="0.25">
      <c r="A160" s="22">
        <v>21885</v>
      </c>
      <c r="B160" s="29">
        <v>46140</v>
      </c>
      <c r="C160" s="23" t="s">
        <v>84</v>
      </c>
      <c r="D160" s="37" t="s">
        <v>520</v>
      </c>
      <c r="E160" s="23" t="s">
        <v>797</v>
      </c>
      <c r="F160" s="31">
        <v>1028</v>
      </c>
      <c r="G160" s="31">
        <v>-1000</v>
      </c>
      <c r="H160" s="31">
        <f>Cty_Dai_Thuy[[#This Row],[ĐƠN GIÁ]]*Cty_Dai_Thuy[[#This Row],[SỐ LƯỢNG]]</f>
        <v>-1028000</v>
      </c>
      <c r="I160" s="31"/>
      <c r="J160" s="31">
        <f ca="1">N(INDIRECT("R[-1]C", FALSE)) + Cty_Dai_Thuy[[#This Row],[THÀNH TIỀN]] - Cty_Dai_Thuy[[#This Row],[THANH TOÁN]]</f>
        <v>152506206</v>
      </c>
      <c r="K160" s="24"/>
    </row>
    <row r="161" spans="1:11" x14ac:dyDescent="0.25">
      <c r="A161" s="22">
        <v>9091</v>
      </c>
      <c r="B161" s="29">
        <v>46140</v>
      </c>
      <c r="C161" s="23" t="s">
        <v>49</v>
      </c>
      <c r="D161" s="37" t="s">
        <v>26</v>
      </c>
      <c r="E161" s="23" t="s">
        <v>1870</v>
      </c>
      <c r="F161" s="31">
        <v>3840</v>
      </c>
      <c r="G161" s="31"/>
      <c r="H161" s="31">
        <f>Cty_Dai_Thuy[[#This Row],[ĐƠN GIÁ]]*Cty_Dai_Thuy[[#This Row],[SỐ LƯỢNG]]</f>
        <v>0</v>
      </c>
      <c r="I161" s="31"/>
      <c r="J161" s="31">
        <f ca="1">N(INDIRECT("R[-1]C", FALSE)) + Cty_Dai_Thuy[[#This Row],[THÀNH TIỀN]] - Cty_Dai_Thuy[[#This Row],[THANH TOÁN]]</f>
        <v>152506206</v>
      </c>
      <c r="K161" s="24" t="s">
        <v>1871</v>
      </c>
    </row>
    <row r="162" spans="1:11" x14ac:dyDescent="0.25">
      <c r="A162" s="22">
        <v>9091</v>
      </c>
      <c r="B162" s="29">
        <v>46140</v>
      </c>
      <c r="C162" s="23" t="s">
        <v>49</v>
      </c>
      <c r="D162" s="37" t="s">
        <v>26</v>
      </c>
      <c r="E162" s="23" t="s">
        <v>40</v>
      </c>
      <c r="F162" s="31">
        <v>1406</v>
      </c>
      <c r="G162" s="31"/>
      <c r="H162" s="31">
        <f>Cty_Dai_Thuy[[#This Row],[ĐƠN GIÁ]]*Cty_Dai_Thuy[[#This Row],[SỐ LƯỢNG]]</f>
        <v>0</v>
      </c>
      <c r="I162" s="31"/>
      <c r="J162" s="31">
        <f ca="1">N(INDIRECT("R[-1]C", FALSE)) + Cty_Dai_Thuy[[#This Row],[THÀNH TIỀN]] - Cty_Dai_Thuy[[#This Row],[THANH TOÁN]]</f>
        <v>152506206</v>
      </c>
      <c r="K162" s="24" t="s">
        <v>475</v>
      </c>
    </row>
    <row r="163" spans="1:11" x14ac:dyDescent="0.25">
      <c r="A163" s="22">
        <v>21949</v>
      </c>
      <c r="B163" s="29">
        <v>46141</v>
      </c>
      <c r="C163" s="23" t="s">
        <v>84</v>
      </c>
      <c r="D163" s="37" t="s">
        <v>26</v>
      </c>
      <c r="E163" s="23" t="s">
        <v>145</v>
      </c>
      <c r="F163" s="31">
        <v>1381</v>
      </c>
      <c r="G163" s="31">
        <v>-500</v>
      </c>
      <c r="H163" s="31">
        <f>Cty_Dai_Thuy[[#This Row],[ĐƠN GIÁ]]*Cty_Dai_Thuy[[#This Row],[SỐ LƯỢNG]]</f>
        <v>-690500</v>
      </c>
      <c r="I163" s="31"/>
      <c r="J163" s="31">
        <f ca="1">N(INDIRECT("R[-1]C", FALSE)) + Cty_Dai_Thuy[[#This Row],[THÀNH TIỀN]] - Cty_Dai_Thuy[[#This Row],[THANH TOÁN]]</f>
        <v>151815706</v>
      </c>
      <c r="K163" s="24" t="s">
        <v>2530</v>
      </c>
    </row>
    <row r="164" spans="1:11" x14ac:dyDescent="0.25">
      <c r="A164" s="22">
        <v>9139</v>
      </c>
      <c r="B164" s="29">
        <v>46146</v>
      </c>
      <c r="C164" s="23" t="s">
        <v>49</v>
      </c>
      <c r="D164" s="37" t="s">
        <v>301</v>
      </c>
      <c r="E164" s="23" t="s">
        <v>78</v>
      </c>
      <c r="F164" s="31">
        <v>3520</v>
      </c>
      <c r="G164" s="31"/>
      <c r="H164" s="31">
        <f>Cty_Dai_Thuy[[#This Row],[ĐƠN GIÁ]]*Cty_Dai_Thuy[[#This Row],[SỐ LƯỢNG]]</f>
        <v>0</v>
      </c>
      <c r="I164" s="31"/>
      <c r="J164" s="31">
        <f ca="1">N(INDIRECT("R[-1]C", FALSE)) + Cty_Dai_Thuy[[#This Row],[THÀNH TIỀN]] - Cty_Dai_Thuy[[#This Row],[THANH TOÁN]]</f>
        <v>151815706</v>
      </c>
      <c r="K164" s="24" t="s">
        <v>1918</v>
      </c>
    </row>
    <row r="165" spans="1:11" x14ac:dyDescent="0.25">
      <c r="A165" s="22">
        <v>9139</v>
      </c>
      <c r="B165" s="29">
        <v>46146</v>
      </c>
      <c r="C165" s="23" t="s">
        <v>49</v>
      </c>
      <c r="D165" s="37" t="s">
        <v>45</v>
      </c>
      <c r="E165" s="23" t="s">
        <v>1919</v>
      </c>
      <c r="F165" s="31">
        <v>1301</v>
      </c>
      <c r="G165" s="31"/>
      <c r="H165" s="31">
        <f>Cty_Dai_Thuy[[#This Row],[ĐƠN GIÁ]]*Cty_Dai_Thuy[[#This Row],[SỐ LƯỢNG]]</f>
        <v>0</v>
      </c>
      <c r="I165" s="31"/>
      <c r="J165" s="31">
        <f ca="1">N(INDIRECT("R[-1]C", FALSE)) + Cty_Dai_Thuy[[#This Row],[THÀNH TIỀN]] - Cty_Dai_Thuy[[#This Row],[THANH TOÁN]]</f>
        <v>151815706</v>
      </c>
      <c r="K165" s="24"/>
    </row>
    <row r="166" spans="1:11" x14ac:dyDescent="0.25">
      <c r="A166" s="25">
        <v>9139</v>
      </c>
      <c r="B166" s="30">
        <v>46146</v>
      </c>
      <c r="C166" s="26" t="s">
        <v>49</v>
      </c>
      <c r="D166" s="38" t="s">
        <v>192</v>
      </c>
      <c r="E166" s="26" t="s">
        <v>793</v>
      </c>
      <c r="F166" s="28">
        <v>2859</v>
      </c>
      <c r="G166" s="31"/>
      <c r="H166" s="28">
        <f>Cty_Dai_Thuy[[#This Row],[ĐƠN GIÁ]]*Cty_Dai_Thuy[[#This Row],[SỐ LƯỢNG]]</f>
        <v>0</v>
      </c>
      <c r="I166" s="28"/>
      <c r="J166" s="28">
        <f ca="1">N(INDIRECT("R[-1]C", FALSE)) + Cty_Dai_Thuy[[#This Row],[THÀNH TIỀN]] - Cty_Dai_Thuy[[#This Row],[THANH TOÁN]]</f>
        <v>151815706</v>
      </c>
      <c r="K166" s="27"/>
    </row>
    <row r="167" spans="1:11" x14ac:dyDescent="0.25">
      <c r="A167" s="25">
        <v>9139</v>
      </c>
      <c r="B167" s="30">
        <v>46146</v>
      </c>
      <c r="C167" s="26" t="s">
        <v>49</v>
      </c>
      <c r="D167" s="38" t="s">
        <v>26</v>
      </c>
      <c r="E167" s="26" t="s">
        <v>1920</v>
      </c>
      <c r="F167" s="28">
        <v>628</v>
      </c>
      <c r="G167" s="31"/>
      <c r="H167" s="28">
        <f>Cty_Dai_Thuy[[#This Row],[ĐƠN GIÁ]]*Cty_Dai_Thuy[[#This Row],[SỐ LƯỢNG]]</f>
        <v>0</v>
      </c>
      <c r="I167" s="28"/>
      <c r="J167" s="28">
        <f ca="1">N(INDIRECT("R[-1]C", FALSE)) + Cty_Dai_Thuy[[#This Row],[THÀNH TIỀN]] - Cty_Dai_Thuy[[#This Row],[THANH TOÁN]]</f>
        <v>151815706</v>
      </c>
      <c r="K167" s="27"/>
    </row>
    <row r="168" spans="1:11" x14ac:dyDescent="0.25">
      <c r="A168" s="25">
        <v>21992</v>
      </c>
      <c r="B168" s="30">
        <v>46146</v>
      </c>
      <c r="C168" s="26" t="s">
        <v>84</v>
      </c>
      <c r="D168" s="38" t="s">
        <v>77</v>
      </c>
      <c r="E168" s="26" t="s">
        <v>804</v>
      </c>
      <c r="F168" s="28">
        <v>1514</v>
      </c>
      <c r="G168" s="31">
        <v>-1000</v>
      </c>
      <c r="H168" s="28">
        <f>Cty_Dai_Thuy[[#This Row],[ĐƠN GIÁ]]*Cty_Dai_Thuy[[#This Row],[SỐ LƯỢNG]]</f>
        <v>-1514000</v>
      </c>
      <c r="I168" s="28"/>
      <c r="J168" s="28">
        <f ca="1">N(INDIRECT("R[-1]C", FALSE)) + Cty_Dai_Thuy[[#This Row],[THÀNH TIỀN]] - Cty_Dai_Thuy[[#This Row],[THANH TOÁN]]</f>
        <v>150301706</v>
      </c>
      <c r="K168" s="27"/>
    </row>
    <row r="169" spans="1:11" x14ac:dyDescent="0.25">
      <c r="A169" s="25">
        <v>21992</v>
      </c>
      <c r="B169" s="30">
        <v>46146</v>
      </c>
      <c r="C169" s="26" t="s">
        <v>84</v>
      </c>
      <c r="D169" s="189" t="s">
        <v>77</v>
      </c>
      <c r="E169" s="26" t="s">
        <v>803</v>
      </c>
      <c r="F169" s="28">
        <v>874</v>
      </c>
      <c r="G169" s="31">
        <v>-1000</v>
      </c>
      <c r="H169" s="28">
        <f>Cty_Dai_Thuy[[#This Row],[ĐƠN GIÁ]]*Cty_Dai_Thuy[[#This Row],[SỐ LƯỢNG]]</f>
        <v>-874000</v>
      </c>
      <c r="I169" s="28"/>
      <c r="J169" s="28">
        <f ca="1">N(INDIRECT("R[-1]C", FALSE)) + Cty_Dai_Thuy[[#This Row],[THÀNH TIỀN]] - Cty_Dai_Thuy[[#This Row],[THANH TOÁN]]</f>
        <v>149427706</v>
      </c>
      <c r="K169" s="27"/>
    </row>
    <row r="170" spans="1:11" x14ac:dyDescent="0.25">
      <c r="A170" s="25">
        <v>21992</v>
      </c>
      <c r="B170" s="30">
        <v>46146</v>
      </c>
      <c r="C170" s="26" t="s">
        <v>84</v>
      </c>
      <c r="D170" s="38" t="s">
        <v>77</v>
      </c>
      <c r="E170" s="26" t="s">
        <v>816</v>
      </c>
      <c r="F170" s="28">
        <v>748</v>
      </c>
      <c r="G170" s="28">
        <v>-1000</v>
      </c>
      <c r="H170" s="28">
        <f>Cty_Dai_Thuy[[#This Row],[ĐƠN GIÁ]]*Cty_Dai_Thuy[[#This Row],[SỐ LƯỢNG]]</f>
        <v>-748000</v>
      </c>
      <c r="I170" s="28"/>
      <c r="J170" s="28">
        <f ca="1">N(INDIRECT("R[-1]C", FALSE)) + Cty_Dai_Thuy[[#This Row],[THÀNH TIỀN]] - Cty_Dai_Thuy[[#This Row],[THANH TOÁN]]</f>
        <v>148679706</v>
      </c>
      <c r="K170" s="27"/>
    </row>
    <row r="171" spans="1:11" x14ac:dyDescent="0.25">
      <c r="A171" s="25">
        <v>21992</v>
      </c>
      <c r="B171" s="30">
        <v>46146</v>
      </c>
      <c r="C171" s="26" t="s">
        <v>84</v>
      </c>
      <c r="D171" s="38" t="s">
        <v>77</v>
      </c>
      <c r="E171" s="26" t="s">
        <v>1983</v>
      </c>
      <c r="F171" s="28">
        <v>1688</v>
      </c>
      <c r="G171" s="28">
        <v>-1000</v>
      </c>
      <c r="H171" s="28">
        <f>Cty_Dai_Thuy[[#This Row],[ĐƠN GIÁ]]*Cty_Dai_Thuy[[#This Row],[SỐ LƯỢNG]]</f>
        <v>-1688000</v>
      </c>
      <c r="I171" s="28"/>
      <c r="J171" s="28">
        <f ca="1">N(INDIRECT("R[-1]C", FALSE)) + Cty_Dai_Thuy[[#This Row],[THÀNH TIỀN]] - Cty_Dai_Thuy[[#This Row],[THANH TOÁN]]</f>
        <v>146991706</v>
      </c>
      <c r="K171" s="27"/>
    </row>
    <row r="172" spans="1:11" x14ac:dyDescent="0.25">
      <c r="A172" s="25">
        <v>44863</v>
      </c>
      <c r="B172" s="30">
        <v>46146</v>
      </c>
      <c r="C172" s="26" t="s">
        <v>426</v>
      </c>
      <c r="D172" s="38" t="s">
        <v>77</v>
      </c>
      <c r="E172" s="26" t="s">
        <v>1176</v>
      </c>
      <c r="F172" s="28">
        <v>340</v>
      </c>
      <c r="G172" s="28"/>
      <c r="H172" s="28">
        <f>Cty_Dai_Thuy[[#This Row],[ĐƠN GIÁ]]*Cty_Dai_Thuy[[#This Row],[SỐ LƯỢNG]]</f>
        <v>0</v>
      </c>
      <c r="I172" s="28"/>
      <c r="J172" s="28">
        <f ca="1">N(INDIRECT("R[-1]C", FALSE)) + Cty_Dai_Thuy[[#This Row],[THÀNH TIỀN]] - Cty_Dai_Thuy[[#This Row],[THANH TOÁN]]</f>
        <v>146991706</v>
      </c>
      <c r="K172" s="27"/>
    </row>
    <row r="173" spans="1:11" x14ac:dyDescent="0.25">
      <c r="A173" s="25">
        <v>45034</v>
      </c>
      <c r="B173" s="30">
        <v>46149</v>
      </c>
      <c r="C173" s="26" t="s">
        <v>84</v>
      </c>
      <c r="D173" s="38" t="s">
        <v>1982</v>
      </c>
      <c r="E173" s="26" t="s">
        <v>747</v>
      </c>
      <c r="F173" s="28">
        <v>114</v>
      </c>
      <c r="G173" s="28">
        <v>-1000</v>
      </c>
      <c r="H173" s="28">
        <f>Cty_Dai_Thuy[[#This Row],[ĐƠN GIÁ]]*Cty_Dai_Thuy[[#This Row],[SỐ LƯỢNG]]</f>
        <v>-114000</v>
      </c>
      <c r="I173" s="28"/>
      <c r="J173" s="28">
        <f ca="1">N(INDIRECT("R[-1]C", FALSE)) + Cty_Dai_Thuy[[#This Row],[THÀNH TIỀN]] - Cty_Dai_Thuy[[#This Row],[THANH TOÁN]]</f>
        <v>146877706</v>
      </c>
      <c r="K173" s="27"/>
    </row>
    <row r="174" spans="1:11" x14ac:dyDescent="0.25">
      <c r="A174" s="22">
        <v>45034</v>
      </c>
      <c r="B174" s="29">
        <v>46149</v>
      </c>
      <c r="C174" s="23" t="s">
        <v>84</v>
      </c>
      <c r="D174" s="37" t="s">
        <v>1982</v>
      </c>
      <c r="E174" s="23" t="s">
        <v>1983</v>
      </c>
      <c r="F174" s="31">
        <v>300</v>
      </c>
      <c r="G174" s="31">
        <v>-1000</v>
      </c>
      <c r="H174" s="31">
        <f>Cty_Dai_Thuy[[#This Row],[ĐƠN GIÁ]]*Cty_Dai_Thuy[[#This Row],[SỐ LƯỢNG]]</f>
        <v>-300000</v>
      </c>
      <c r="I174" s="31"/>
      <c r="J174" s="31">
        <f ca="1">N(INDIRECT("R[-1]C", FALSE)) + Cty_Dai_Thuy[[#This Row],[THÀNH TIỀN]] - Cty_Dai_Thuy[[#This Row],[THANH TOÁN]]</f>
        <v>146577706</v>
      </c>
      <c r="K174" s="24"/>
    </row>
    <row r="175" spans="1:11" x14ac:dyDescent="0.25">
      <c r="A175" s="22">
        <v>22287</v>
      </c>
      <c r="B175" s="29">
        <v>46153</v>
      </c>
      <c r="C175" s="23" t="s">
        <v>84</v>
      </c>
      <c r="D175" s="37" t="s">
        <v>753</v>
      </c>
      <c r="E175" s="23" t="s">
        <v>802</v>
      </c>
      <c r="F175" s="31">
        <v>1118</v>
      </c>
      <c r="G175" s="31">
        <v>-1000</v>
      </c>
      <c r="H175" s="31">
        <f>Cty_Dai_Thuy[[#This Row],[ĐƠN GIÁ]]*Cty_Dai_Thuy[[#This Row],[SỐ LƯỢNG]]</f>
        <v>-1118000</v>
      </c>
      <c r="I175" s="31"/>
      <c r="J175" s="31">
        <f ca="1">N(INDIRECT("R[-1]C", FALSE)) + Cty_Dai_Thuy[[#This Row],[THÀNH TIỀN]] - Cty_Dai_Thuy[[#This Row],[THANH TOÁN]]</f>
        <v>145459706</v>
      </c>
      <c r="K175" s="24"/>
    </row>
    <row r="176" spans="1:11" x14ac:dyDescent="0.25">
      <c r="A176" s="22">
        <v>22287</v>
      </c>
      <c r="B176" s="29">
        <v>46153</v>
      </c>
      <c r="C176" s="23" t="s">
        <v>84</v>
      </c>
      <c r="D176" s="37" t="s">
        <v>753</v>
      </c>
      <c r="E176" s="23" t="s">
        <v>2024</v>
      </c>
      <c r="F176" s="31">
        <v>208</v>
      </c>
      <c r="G176" s="31">
        <v>-1000</v>
      </c>
      <c r="H176" s="31">
        <f>Cty_Dai_Thuy[[#This Row],[ĐƠN GIÁ]]*Cty_Dai_Thuy[[#This Row],[SỐ LƯỢNG]]</f>
        <v>-208000</v>
      </c>
      <c r="I176" s="31"/>
      <c r="J176" s="31">
        <f ca="1">N(INDIRECT("R[-1]C", FALSE)) + Cty_Dai_Thuy[[#This Row],[THÀNH TIỀN]] - Cty_Dai_Thuy[[#This Row],[THANH TOÁN]]</f>
        <v>145251706</v>
      </c>
      <c r="K176" s="24"/>
    </row>
    <row r="177" spans="1:11" x14ac:dyDescent="0.25">
      <c r="A177" s="22">
        <v>22287</v>
      </c>
      <c r="B177" s="29">
        <v>46153</v>
      </c>
      <c r="C177" s="23" t="s">
        <v>84</v>
      </c>
      <c r="D177" s="37" t="s">
        <v>753</v>
      </c>
      <c r="E177" s="23" t="s">
        <v>768</v>
      </c>
      <c r="F177" s="31">
        <v>156</v>
      </c>
      <c r="G177" s="31">
        <v>-1000</v>
      </c>
      <c r="H177" s="31">
        <f>Cty_Dai_Thuy[[#This Row],[ĐƠN GIÁ]]*Cty_Dai_Thuy[[#This Row],[SỐ LƯỢNG]]</f>
        <v>-156000</v>
      </c>
      <c r="I177" s="31"/>
      <c r="J177" s="31">
        <f ca="1">N(INDIRECT("R[-1]C", FALSE)) + Cty_Dai_Thuy[[#This Row],[THÀNH TIỀN]] - Cty_Dai_Thuy[[#This Row],[THANH TOÁN]]</f>
        <v>145095706</v>
      </c>
      <c r="K177" s="24"/>
    </row>
    <row r="178" spans="1:11" x14ac:dyDescent="0.25">
      <c r="A178" s="22">
        <v>22287</v>
      </c>
      <c r="B178" s="29">
        <v>46153</v>
      </c>
      <c r="C178" s="23" t="s">
        <v>84</v>
      </c>
      <c r="D178" s="37" t="s">
        <v>753</v>
      </c>
      <c r="E178" s="23" t="s">
        <v>807</v>
      </c>
      <c r="F178" s="31">
        <v>1088</v>
      </c>
      <c r="G178" s="31">
        <v>-1000</v>
      </c>
      <c r="H178" s="31">
        <f>Cty_Dai_Thuy[[#This Row],[ĐƠN GIÁ]]*Cty_Dai_Thuy[[#This Row],[SỐ LƯỢNG]]</f>
        <v>-1088000</v>
      </c>
      <c r="I178" s="31"/>
      <c r="J178" s="31">
        <f ca="1">N(INDIRECT("R[-1]C", FALSE)) + Cty_Dai_Thuy[[#This Row],[THÀNH TIỀN]] - Cty_Dai_Thuy[[#This Row],[THANH TOÁN]]</f>
        <v>144007706</v>
      </c>
      <c r="K178" s="24"/>
    </row>
    <row r="179" spans="1:11" x14ac:dyDescent="0.25">
      <c r="A179" s="22">
        <v>22287</v>
      </c>
      <c r="B179" s="29">
        <v>46153</v>
      </c>
      <c r="C179" s="23" t="s">
        <v>84</v>
      </c>
      <c r="D179" s="37" t="s">
        <v>753</v>
      </c>
      <c r="E179" s="23" t="s">
        <v>824</v>
      </c>
      <c r="F179" s="31">
        <v>1340</v>
      </c>
      <c r="G179" s="31">
        <v>-1000</v>
      </c>
      <c r="H179" s="31">
        <f>Cty_Dai_Thuy[[#This Row],[ĐƠN GIÁ]]*Cty_Dai_Thuy[[#This Row],[SỐ LƯỢNG]]</f>
        <v>-1340000</v>
      </c>
      <c r="I179" s="31"/>
      <c r="J179" s="31">
        <f ca="1">N(INDIRECT("R[-1]C", FALSE)) + Cty_Dai_Thuy[[#This Row],[THÀNH TIỀN]] - Cty_Dai_Thuy[[#This Row],[THANH TOÁN]]</f>
        <v>142667706</v>
      </c>
      <c r="K179" s="24"/>
    </row>
    <row r="180" spans="1:11" x14ac:dyDescent="0.25">
      <c r="A180" s="22">
        <v>22287</v>
      </c>
      <c r="B180" s="29">
        <v>46153</v>
      </c>
      <c r="C180" s="23" t="s">
        <v>84</v>
      </c>
      <c r="D180" s="37" t="s">
        <v>753</v>
      </c>
      <c r="E180" s="23" t="s">
        <v>815</v>
      </c>
      <c r="F180" s="31">
        <v>116</v>
      </c>
      <c r="G180" s="31">
        <v>-1000</v>
      </c>
      <c r="H180" s="31">
        <f>Cty_Dai_Thuy[[#This Row],[ĐƠN GIÁ]]*Cty_Dai_Thuy[[#This Row],[SỐ LƯỢNG]]</f>
        <v>-116000</v>
      </c>
      <c r="I180" s="31"/>
      <c r="J180" s="31">
        <f ca="1">N(INDIRECT("R[-1]C", FALSE)) + Cty_Dai_Thuy[[#This Row],[THÀNH TIỀN]] - Cty_Dai_Thuy[[#This Row],[THANH TOÁN]]</f>
        <v>142551706</v>
      </c>
      <c r="K180" s="24"/>
    </row>
    <row r="181" spans="1:11" x14ac:dyDescent="0.25">
      <c r="A181" s="22">
        <v>9298</v>
      </c>
      <c r="B181" s="29">
        <v>46153</v>
      </c>
      <c r="C181" s="23" t="s">
        <v>49</v>
      </c>
      <c r="D181" s="37" t="s">
        <v>301</v>
      </c>
      <c r="E181" s="23" t="s">
        <v>81</v>
      </c>
      <c r="F181" s="31">
        <v>7247</v>
      </c>
      <c r="G181" s="31"/>
      <c r="H181" s="31">
        <f>Cty_Dai_Thuy[[#This Row],[ĐƠN GIÁ]]*Cty_Dai_Thuy[[#This Row],[SỐ LƯỢNG]]</f>
        <v>0</v>
      </c>
      <c r="I181" s="31"/>
      <c r="J181" s="31">
        <f ca="1">N(INDIRECT("R[-1]C", FALSE)) + Cty_Dai_Thuy[[#This Row],[THÀNH TIỀN]] - Cty_Dai_Thuy[[#This Row],[THANH TOÁN]]</f>
        <v>142551706</v>
      </c>
      <c r="K181" s="24" t="s">
        <v>2047</v>
      </c>
    </row>
    <row r="182" spans="1:11" x14ac:dyDescent="0.25">
      <c r="A182" s="22">
        <v>9328</v>
      </c>
      <c r="B182" s="29">
        <v>46154</v>
      </c>
      <c r="C182" s="23" t="s">
        <v>49</v>
      </c>
      <c r="D182" s="37" t="s">
        <v>301</v>
      </c>
      <c r="E182" s="23" t="s">
        <v>2148</v>
      </c>
      <c r="F182" s="31">
        <v>9568</v>
      </c>
      <c r="G182" s="31"/>
      <c r="H182" s="31">
        <f>Cty_Dai_Thuy[[#This Row],[ĐƠN GIÁ]]*Cty_Dai_Thuy[[#This Row],[SỐ LƯỢNG]]</f>
        <v>0</v>
      </c>
      <c r="I182" s="31"/>
      <c r="J182" s="31">
        <f ca="1">N(INDIRECT("R[-1]C", FALSE)) + Cty_Dai_Thuy[[#This Row],[THÀNH TIỀN]] - Cty_Dai_Thuy[[#This Row],[THANH TOÁN]]</f>
        <v>142551706</v>
      </c>
      <c r="K182" s="24" t="s">
        <v>2047</v>
      </c>
    </row>
    <row r="183" spans="1:11" x14ac:dyDescent="0.25">
      <c r="A183" s="22">
        <v>45212</v>
      </c>
      <c r="B183" s="29">
        <v>46154</v>
      </c>
      <c r="C183" s="23" t="s">
        <v>84</v>
      </c>
      <c r="D183" s="37" t="s">
        <v>301</v>
      </c>
      <c r="E183" s="23" t="s">
        <v>797</v>
      </c>
      <c r="F183" s="31">
        <v>1464</v>
      </c>
      <c r="G183" s="31">
        <v>-1000</v>
      </c>
      <c r="H183" s="31">
        <f>Cty_Dai_Thuy[[#This Row],[ĐƠN GIÁ]]*Cty_Dai_Thuy[[#This Row],[SỐ LƯỢNG]]</f>
        <v>-1464000</v>
      </c>
      <c r="I183" s="31"/>
      <c r="J183" s="31">
        <f ca="1">N(INDIRECT("R[-1]C", FALSE)) + Cty_Dai_Thuy[[#This Row],[THÀNH TIỀN]] - Cty_Dai_Thuy[[#This Row],[THANH TOÁN]]</f>
        <v>141087706</v>
      </c>
      <c r="K183" s="24"/>
    </row>
    <row r="184" spans="1:11" x14ac:dyDescent="0.25">
      <c r="A184" s="22">
        <v>45212</v>
      </c>
      <c r="B184" s="29">
        <v>46154</v>
      </c>
      <c r="C184" s="23" t="s">
        <v>84</v>
      </c>
      <c r="D184" s="37" t="s">
        <v>301</v>
      </c>
      <c r="E184" s="23" t="s">
        <v>797</v>
      </c>
      <c r="F184" s="31">
        <v>1818</v>
      </c>
      <c r="G184" s="31">
        <v>-1000</v>
      </c>
      <c r="H184" s="31">
        <f>Cty_Dai_Thuy[[#This Row],[ĐƠN GIÁ]]*Cty_Dai_Thuy[[#This Row],[SỐ LƯỢNG]]</f>
        <v>-1818000</v>
      </c>
      <c r="I184" s="31"/>
      <c r="J184" s="31">
        <f ca="1">N(INDIRECT("R[-1]C", FALSE)) + Cty_Dai_Thuy[[#This Row],[THÀNH TIỀN]] - Cty_Dai_Thuy[[#This Row],[THANH TOÁN]]</f>
        <v>139269706</v>
      </c>
      <c r="K184" s="24"/>
    </row>
    <row r="185" spans="1:11" x14ac:dyDescent="0.25">
      <c r="A185" s="22">
        <v>45212</v>
      </c>
      <c r="B185" s="29">
        <v>46154</v>
      </c>
      <c r="C185" s="23" t="s">
        <v>84</v>
      </c>
      <c r="D185" s="37" t="s">
        <v>301</v>
      </c>
      <c r="E185" s="23" t="s">
        <v>796</v>
      </c>
      <c r="F185" s="31">
        <v>100</v>
      </c>
      <c r="G185" s="31">
        <v>-1000</v>
      </c>
      <c r="H185" s="31">
        <f>Cty_Dai_Thuy[[#This Row],[ĐƠN GIÁ]]*Cty_Dai_Thuy[[#This Row],[SỐ LƯỢNG]]</f>
        <v>-100000</v>
      </c>
      <c r="I185" s="31"/>
      <c r="J185" s="31">
        <f ca="1">N(INDIRECT("R[-1]C", FALSE)) + Cty_Dai_Thuy[[#This Row],[THÀNH TIỀN]] - Cty_Dai_Thuy[[#This Row],[THANH TOÁN]]</f>
        <v>139169706</v>
      </c>
      <c r="K185" s="24"/>
    </row>
    <row r="186" spans="1:11" x14ac:dyDescent="0.25">
      <c r="A186" s="22">
        <v>45212</v>
      </c>
      <c r="B186" s="29">
        <v>46154</v>
      </c>
      <c r="C186" s="23" t="s">
        <v>84</v>
      </c>
      <c r="D186" s="37" t="s">
        <v>301</v>
      </c>
      <c r="E186" s="23" t="s">
        <v>797</v>
      </c>
      <c r="F186" s="31">
        <v>124</v>
      </c>
      <c r="G186" s="31">
        <v>-1000</v>
      </c>
      <c r="H186" s="31">
        <f>Cty_Dai_Thuy[[#This Row],[ĐƠN GIÁ]]*Cty_Dai_Thuy[[#This Row],[SỐ LƯỢNG]]</f>
        <v>-124000</v>
      </c>
      <c r="I186" s="31"/>
      <c r="J186" s="31">
        <f ca="1">N(INDIRECT("R[-1]C", FALSE)) + Cty_Dai_Thuy[[#This Row],[THÀNH TIỀN]] - Cty_Dai_Thuy[[#This Row],[THANH TOÁN]]</f>
        <v>139045706</v>
      </c>
      <c r="K186" s="24"/>
    </row>
    <row r="187" spans="1:11" x14ac:dyDescent="0.25">
      <c r="A187" s="22">
        <v>45207</v>
      </c>
      <c r="B187" s="29">
        <v>46154</v>
      </c>
      <c r="C187" s="23" t="s">
        <v>84</v>
      </c>
      <c r="D187" s="37"/>
      <c r="E187" s="23"/>
      <c r="F187" s="31">
        <v>1804</v>
      </c>
      <c r="G187" s="31">
        <v>-1000</v>
      </c>
      <c r="H187" s="31">
        <f>Cty_Dai_Thuy[[#This Row],[ĐƠN GIÁ]]*Cty_Dai_Thuy[[#This Row],[SỐ LƯỢNG]]</f>
        <v>-1804000</v>
      </c>
      <c r="I187" s="31"/>
      <c r="J187" s="31">
        <f ca="1">N(INDIRECT("R[-1]C", FALSE)) + Cty_Dai_Thuy[[#This Row],[THÀNH TIỀN]] - Cty_Dai_Thuy[[#This Row],[THANH TOÁN]]</f>
        <v>137241706</v>
      </c>
      <c r="K187" s="24" t="s">
        <v>2530</v>
      </c>
    </row>
    <row r="188" spans="1:11" x14ac:dyDescent="0.25">
      <c r="A188" s="22">
        <v>45400</v>
      </c>
      <c r="B188" s="29">
        <v>46157</v>
      </c>
      <c r="C188" s="23" t="s">
        <v>84</v>
      </c>
      <c r="D188" s="37" t="s">
        <v>26</v>
      </c>
      <c r="E188" s="23" t="s">
        <v>2149</v>
      </c>
      <c r="F188" s="31">
        <v>1003</v>
      </c>
      <c r="G188" s="31">
        <v>-1000</v>
      </c>
      <c r="H188" s="31">
        <f>Cty_Dai_Thuy[[#This Row],[ĐƠN GIÁ]]*Cty_Dai_Thuy[[#This Row],[SỐ LƯỢNG]]</f>
        <v>-1003000</v>
      </c>
      <c r="I188" s="31"/>
      <c r="J188" s="31">
        <f ca="1">N(INDIRECT("R[-1]C", FALSE)) + Cty_Dai_Thuy[[#This Row],[THÀNH TIỀN]] - Cty_Dai_Thuy[[#This Row],[THANH TOÁN]]</f>
        <v>136238706</v>
      </c>
      <c r="K188" s="24"/>
    </row>
    <row r="189" spans="1:11" x14ac:dyDescent="0.25">
      <c r="A189" s="22">
        <v>45400</v>
      </c>
      <c r="B189" s="29">
        <v>46157</v>
      </c>
      <c r="C189" s="23" t="s">
        <v>84</v>
      </c>
      <c r="D189" s="37" t="s">
        <v>26</v>
      </c>
      <c r="E189" s="23" t="s">
        <v>2150</v>
      </c>
      <c r="F189" s="31">
        <v>1158</v>
      </c>
      <c r="G189" s="31">
        <v>-1000</v>
      </c>
      <c r="H189" s="31">
        <f>Cty_Dai_Thuy[[#This Row],[ĐƠN GIÁ]]*Cty_Dai_Thuy[[#This Row],[SỐ LƯỢNG]]</f>
        <v>-1158000</v>
      </c>
      <c r="I189" s="31"/>
      <c r="J189" s="31">
        <f ca="1">N(INDIRECT("R[-1]C", FALSE)) + Cty_Dai_Thuy[[#This Row],[THÀNH TIỀN]] - Cty_Dai_Thuy[[#This Row],[THANH TOÁN]]</f>
        <v>135080706</v>
      </c>
      <c r="K189" s="24"/>
    </row>
    <row r="190" spans="1:11" x14ac:dyDescent="0.25">
      <c r="A190" s="22">
        <v>45400</v>
      </c>
      <c r="B190" s="29">
        <v>46157</v>
      </c>
      <c r="C190" s="23" t="s">
        <v>84</v>
      </c>
      <c r="D190" s="37" t="s">
        <v>43</v>
      </c>
      <c r="E190" s="23" t="s">
        <v>2151</v>
      </c>
      <c r="F190" s="31">
        <v>1280</v>
      </c>
      <c r="G190" s="31">
        <v>-1000</v>
      </c>
      <c r="H190" s="31">
        <f>Cty_Dai_Thuy[[#This Row],[ĐƠN GIÁ]]*Cty_Dai_Thuy[[#This Row],[SỐ LƯỢNG]]</f>
        <v>-1280000</v>
      </c>
      <c r="I190" s="31"/>
      <c r="J190" s="31">
        <f ca="1">N(INDIRECT("R[-1]C", FALSE)) + Cty_Dai_Thuy[[#This Row],[THÀNH TIỀN]] - Cty_Dai_Thuy[[#This Row],[THANH TOÁN]]</f>
        <v>133800706</v>
      </c>
      <c r="K190" s="24"/>
    </row>
    <row r="191" spans="1:11" x14ac:dyDescent="0.25">
      <c r="A191" s="151">
        <v>45744</v>
      </c>
      <c r="B191" s="152">
        <v>46165</v>
      </c>
      <c r="C191" s="55" t="s">
        <v>84</v>
      </c>
      <c r="D191" s="149" t="s">
        <v>301</v>
      </c>
      <c r="E191" s="55" t="s">
        <v>941</v>
      </c>
      <c r="F191" s="57">
        <v>2093</v>
      </c>
      <c r="G191" s="57"/>
      <c r="H191" s="57">
        <f>Cty_Dai_Thuy[[#This Row],[ĐƠN GIÁ]]*Cty_Dai_Thuy[[#This Row],[SỐ LƯỢNG]]</f>
        <v>0</v>
      </c>
      <c r="I191" s="57"/>
      <c r="J191" s="57">
        <f ca="1">N(INDIRECT("R[-1]C", FALSE)) + Cty_Dai_Thuy[[#This Row],[THÀNH TIỀN]] - Cty_Dai_Thuy[[#This Row],[THANH TOÁN]]</f>
        <v>133800706</v>
      </c>
      <c r="K191" s="58"/>
    </row>
    <row r="192" spans="1:11" x14ac:dyDescent="0.25">
      <c r="A192" s="151">
        <v>45744</v>
      </c>
      <c r="B192" s="152">
        <v>46165</v>
      </c>
      <c r="C192" s="55" t="s">
        <v>84</v>
      </c>
      <c r="D192" s="149" t="s">
        <v>26</v>
      </c>
      <c r="E192" s="55" t="s">
        <v>816</v>
      </c>
      <c r="F192" s="57">
        <v>1674</v>
      </c>
      <c r="G192" s="57"/>
      <c r="H192" s="57">
        <f>Cty_Dai_Thuy[[#This Row],[ĐƠN GIÁ]]*Cty_Dai_Thuy[[#This Row],[SỐ LƯỢNG]]</f>
        <v>0</v>
      </c>
      <c r="I192" s="57"/>
      <c r="J192" s="57">
        <f ca="1">N(INDIRECT("R[-1]C", FALSE)) + Cty_Dai_Thuy[[#This Row],[THÀNH TIỀN]] - Cty_Dai_Thuy[[#This Row],[THANH TOÁN]]</f>
        <v>133800706</v>
      </c>
      <c r="K192" s="58"/>
    </row>
    <row r="193" spans="1:11" x14ac:dyDescent="0.25">
      <c r="A193" s="151">
        <v>45744</v>
      </c>
      <c r="B193" s="152">
        <v>46165</v>
      </c>
      <c r="C193" s="55" t="s">
        <v>84</v>
      </c>
      <c r="D193" s="149" t="s">
        <v>801</v>
      </c>
      <c r="E193" s="55"/>
      <c r="F193" s="57">
        <v>681</v>
      </c>
      <c r="G193" s="57"/>
      <c r="H193" s="57">
        <f>Cty_Dai_Thuy[[#This Row],[ĐƠN GIÁ]]*Cty_Dai_Thuy[[#This Row],[SỐ LƯỢNG]]</f>
        <v>0</v>
      </c>
      <c r="I193" s="57"/>
      <c r="J193" s="57">
        <f ca="1">N(INDIRECT("R[-1]C", FALSE)) + Cty_Dai_Thuy[[#This Row],[THÀNH TIỀN]] - Cty_Dai_Thuy[[#This Row],[THANH TOÁN]]</f>
        <v>133800706</v>
      </c>
      <c r="K193" s="58"/>
    </row>
    <row r="194" spans="1:11" x14ac:dyDescent="0.25">
      <c r="A194" s="22">
        <v>9578</v>
      </c>
      <c r="B194" s="29">
        <v>46165</v>
      </c>
      <c r="C194" s="23" t="s">
        <v>49</v>
      </c>
      <c r="D194" s="37" t="s">
        <v>301</v>
      </c>
      <c r="E194" s="23" t="s">
        <v>2321</v>
      </c>
      <c r="F194" s="31">
        <v>1125</v>
      </c>
      <c r="G194" s="31"/>
      <c r="H194" s="31">
        <f>Cty_Dai_Thuy[[#This Row],[ĐƠN GIÁ]]*Cty_Dai_Thuy[[#This Row],[SỐ LƯỢNG]]</f>
        <v>0</v>
      </c>
      <c r="I194" s="31"/>
      <c r="J194" s="31">
        <f ca="1">N(INDIRECT("R[-1]C", FALSE)) + Cty_Dai_Thuy[[#This Row],[THÀNH TIỀN]] - Cty_Dai_Thuy[[#This Row],[THANH TOÁN]]</f>
        <v>133800706</v>
      </c>
      <c r="K194" s="24" t="s">
        <v>2322</v>
      </c>
    </row>
    <row r="195" spans="1:11" x14ac:dyDescent="0.25">
      <c r="A195" s="22">
        <v>9578</v>
      </c>
      <c r="B195" s="29">
        <v>46165</v>
      </c>
      <c r="C195" s="23" t="s">
        <v>49</v>
      </c>
      <c r="D195" s="37" t="s">
        <v>301</v>
      </c>
      <c r="E195" s="23" t="s">
        <v>465</v>
      </c>
      <c r="F195" s="31">
        <v>922</v>
      </c>
      <c r="G195" s="31"/>
      <c r="H195" s="31">
        <f>Cty_Dai_Thuy[[#This Row],[ĐƠN GIÁ]]*Cty_Dai_Thuy[[#This Row],[SỐ LƯỢNG]]</f>
        <v>0</v>
      </c>
      <c r="I195" s="31"/>
      <c r="J195" s="31">
        <f ca="1">N(INDIRECT("R[-1]C", FALSE)) + Cty_Dai_Thuy[[#This Row],[THÀNH TIỀN]] - Cty_Dai_Thuy[[#This Row],[THANH TOÁN]]</f>
        <v>133800706</v>
      </c>
      <c r="K195" s="24" t="s">
        <v>2323</v>
      </c>
    </row>
    <row r="196" spans="1:11" x14ac:dyDescent="0.25">
      <c r="A196" s="22">
        <v>9578</v>
      </c>
      <c r="B196" s="29">
        <v>46165</v>
      </c>
      <c r="C196" s="23" t="s">
        <v>49</v>
      </c>
      <c r="D196" s="37" t="s">
        <v>301</v>
      </c>
      <c r="E196" s="23" t="s">
        <v>2324</v>
      </c>
      <c r="F196" s="31">
        <v>1320</v>
      </c>
      <c r="G196" s="31"/>
      <c r="H196" s="31">
        <f>Cty_Dai_Thuy[[#This Row],[ĐƠN GIÁ]]*Cty_Dai_Thuy[[#This Row],[SỐ LƯỢNG]]</f>
        <v>0</v>
      </c>
      <c r="I196" s="31"/>
      <c r="J196" s="31">
        <f ca="1">N(INDIRECT("R[-1]C", FALSE)) + Cty_Dai_Thuy[[#This Row],[THÀNH TIỀN]] - Cty_Dai_Thuy[[#This Row],[THANH TOÁN]]</f>
        <v>133800706</v>
      </c>
      <c r="K196" s="24" t="s">
        <v>2325</v>
      </c>
    </row>
    <row r="197" spans="1:11" x14ac:dyDescent="0.25">
      <c r="A197" s="25">
        <v>9578</v>
      </c>
      <c r="B197" s="30">
        <v>46165</v>
      </c>
      <c r="C197" s="26" t="s">
        <v>49</v>
      </c>
      <c r="D197" s="38" t="s">
        <v>301</v>
      </c>
      <c r="E197" s="26" t="s">
        <v>2326</v>
      </c>
      <c r="F197" s="28">
        <v>4274</v>
      </c>
      <c r="G197" s="28"/>
      <c r="H197" s="28">
        <f>Cty_Dai_Thuy[[#This Row],[ĐƠN GIÁ]]*Cty_Dai_Thuy[[#This Row],[SỐ LƯỢNG]]</f>
        <v>0</v>
      </c>
      <c r="I197" s="28"/>
      <c r="J197" s="28">
        <f ca="1">N(INDIRECT("R[-1]C", FALSE)) + Cty_Dai_Thuy[[#This Row],[THÀNH TIỀN]] - Cty_Dai_Thuy[[#This Row],[THANH TOÁN]]</f>
        <v>133800706</v>
      </c>
      <c r="K197" s="27" t="s">
        <v>2327</v>
      </c>
    </row>
    <row r="198" spans="1:11" ht="31.5" x14ac:dyDescent="0.25">
      <c r="A198" s="22">
        <v>9653</v>
      </c>
      <c r="B198" s="29">
        <v>46169</v>
      </c>
      <c r="C198" s="23" t="s">
        <v>49</v>
      </c>
      <c r="D198" s="37" t="s">
        <v>301</v>
      </c>
      <c r="E198" s="23" t="s">
        <v>606</v>
      </c>
      <c r="F198" s="31">
        <v>8522</v>
      </c>
      <c r="G198" s="31"/>
      <c r="H198" s="31">
        <f>Cty_Dai_Thuy[[#This Row],[ĐƠN GIÁ]]*Cty_Dai_Thuy[[#This Row],[SỐ LƯỢNG]]</f>
        <v>0</v>
      </c>
      <c r="I198" s="31"/>
      <c r="J198" s="31">
        <f ca="1">N(INDIRECT("R[-1]C", FALSE)) + Cty_Dai_Thuy[[#This Row],[THÀNH TIỀN]] - Cty_Dai_Thuy[[#This Row],[THANH TOÁN]]</f>
        <v>133800706</v>
      </c>
      <c r="K198" s="133" t="s">
        <v>2484</v>
      </c>
    </row>
    <row r="199" spans="1:11" ht="31.5" x14ac:dyDescent="0.25">
      <c r="A199" s="25">
        <v>9653</v>
      </c>
      <c r="B199" s="30">
        <v>46169</v>
      </c>
      <c r="C199" s="26" t="s">
        <v>49</v>
      </c>
      <c r="D199" s="38" t="s">
        <v>26</v>
      </c>
      <c r="E199" s="26" t="s">
        <v>2485</v>
      </c>
      <c r="F199" s="28">
        <v>960</v>
      </c>
      <c r="G199" s="28"/>
      <c r="H199" s="28">
        <f>Cty_Dai_Thuy[[#This Row],[ĐƠN GIÁ]]*Cty_Dai_Thuy[[#This Row],[SỐ LƯỢNG]]</f>
        <v>0</v>
      </c>
      <c r="I199" s="28"/>
      <c r="J199" s="28">
        <f ca="1">N(INDIRECT("R[-1]C", FALSE)) + Cty_Dai_Thuy[[#This Row],[THÀNH TIỀN]] - Cty_Dai_Thuy[[#This Row],[THANH TOÁN]]</f>
        <v>133800706</v>
      </c>
      <c r="K199" s="153" t="s">
        <v>2486</v>
      </c>
    </row>
    <row r="200" spans="1:11" x14ac:dyDescent="0.25">
      <c r="A200" s="71">
        <v>45882</v>
      </c>
      <c r="B200" s="72">
        <v>46169</v>
      </c>
      <c r="C200" s="73" t="s">
        <v>84</v>
      </c>
      <c r="D200" s="56" t="s">
        <v>301</v>
      </c>
      <c r="E200" s="55" t="s">
        <v>941</v>
      </c>
      <c r="F200" s="57">
        <v>3585</v>
      </c>
      <c r="G200" s="57"/>
      <c r="H200" s="57">
        <f>Cty_Dai_Thuy[[#This Row],[ĐƠN GIÁ]]*Cty_Dai_Thuy[[#This Row],[SỐ LƯỢNG]]</f>
        <v>0</v>
      </c>
      <c r="I200" s="57"/>
      <c r="J200" s="57">
        <f ca="1">N(INDIRECT("R[-1]C", FALSE)) + Cty_Dai_Thuy[[#This Row],[THÀNH TIỀN]] - Cty_Dai_Thuy[[#This Row],[THANH TOÁN]]</f>
        <v>133800706</v>
      </c>
      <c r="K200" s="58"/>
    </row>
    <row r="201" spans="1:11" x14ac:dyDescent="0.25">
      <c r="A201" s="71">
        <v>9693</v>
      </c>
      <c r="B201" s="72">
        <v>46171</v>
      </c>
      <c r="C201" s="73" t="s">
        <v>13</v>
      </c>
      <c r="D201" s="56" t="s">
        <v>43</v>
      </c>
      <c r="E201" s="55" t="s">
        <v>740</v>
      </c>
      <c r="F201" s="57">
        <v>580</v>
      </c>
      <c r="G201" s="57"/>
      <c r="H201" s="57">
        <f>Cty_Dai_Thuy[[#This Row],[ĐƠN GIÁ]]*Cty_Dai_Thuy[[#This Row],[SỐ LƯỢNG]]</f>
        <v>0</v>
      </c>
      <c r="I201" s="57"/>
      <c r="J201" s="57">
        <f ca="1">N(INDIRECT("R[-1]C", FALSE)) + Cty_Dai_Thuy[[#This Row],[THÀNH TIỀN]] - Cty_Dai_Thuy[[#This Row],[THANH TOÁN]]</f>
        <v>133800706</v>
      </c>
      <c r="K201" s="58"/>
    </row>
    <row r="202" spans="1:11" x14ac:dyDescent="0.25">
      <c r="A202" s="71">
        <v>45985</v>
      </c>
      <c r="B202" s="72">
        <v>46171</v>
      </c>
      <c r="C202" s="73" t="s">
        <v>84</v>
      </c>
      <c r="D202" s="56" t="s">
        <v>301</v>
      </c>
      <c r="E202" s="55" t="s">
        <v>2520</v>
      </c>
      <c r="F202" s="57">
        <v>924</v>
      </c>
      <c r="G202" s="57"/>
      <c r="H202" s="57">
        <f>Cty_Dai_Thuy[[#This Row],[ĐƠN GIÁ]]*Cty_Dai_Thuy[[#This Row],[SỐ LƯỢNG]]</f>
        <v>0</v>
      </c>
      <c r="I202" s="57"/>
      <c r="J202" s="57">
        <f ca="1">N(INDIRECT("R[-1]C", FALSE)) + Cty_Dai_Thuy[[#This Row],[THÀNH TIỀN]] - Cty_Dai_Thuy[[#This Row],[THANH TOÁN]]</f>
        <v>133800706</v>
      </c>
      <c r="K202" s="58"/>
    </row>
    <row r="203" spans="1:11" x14ac:dyDescent="0.25">
      <c r="A203" s="71">
        <v>45985</v>
      </c>
      <c r="B203" s="72">
        <v>46171</v>
      </c>
      <c r="C203" s="73" t="s">
        <v>84</v>
      </c>
      <c r="D203" s="56" t="s">
        <v>301</v>
      </c>
      <c r="E203" s="55" t="s">
        <v>796</v>
      </c>
      <c r="F203" s="57">
        <v>1200</v>
      </c>
      <c r="G203" s="57"/>
      <c r="H203" s="57">
        <f>Cty_Dai_Thuy[[#This Row],[ĐƠN GIÁ]]*Cty_Dai_Thuy[[#This Row],[SỐ LƯỢNG]]</f>
        <v>0</v>
      </c>
      <c r="I203" s="57"/>
      <c r="J203" s="57">
        <f ca="1">N(INDIRECT("R[-1]C", FALSE)) + Cty_Dai_Thuy[[#This Row],[THÀNH TIỀN]] - Cty_Dai_Thuy[[#This Row],[THANH TOÁN]]</f>
        <v>133800706</v>
      </c>
      <c r="K203" s="58"/>
    </row>
    <row r="204" spans="1:11" x14ac:dyDescent="0.25">
      <c r="A204" s="71">
        <v>45985</v>
      </c>
      <c r="B204" s="72">
        <v>46171</v>
      </c>
      <c r="C204" s="73" t="s">
        <v>84</v>
      </c>
      <c r="D204" s="56" t="s">
        <v>301</v>
      </c>
      <c r="E204" s="73" t="s">
        <v>1176</v>
      </c>
      <c r="F204" s="74">
        <v>1872</v>
      </c>
      <c r="G204" s="74"/>
      <c r="H204" s="74">
        <f>Cty_Dai_Thuy[[#This Row],[ĐƠN GIÁ]]*Cty_Dai_Thuy[[#This Row],[SỐ LƯỢNG]]</f>
        <v>0</v>
      </c>
      <c r="I204" s="74"/>
      <c r="J204" s="74">
        <f ca="1">N(INDIRECT("R[-1]C", FALSE)) + Cty_Dai_Thuy[[#This Row],[THÀNH TIỀN]] - Cty_Dai_Thuy[[#This Row],[THANH TOÁN]]</f>
        <v>133800706</v>
      </c>
      <c r="K204" s="75"/>
    </row>
    <row r="205" spans="1:11" x14ac:dyDescent="0.25">
      <c r="A205" s="71">
        <v>45985</v>
      </c>
      <c r="B205" s="72">
        <v>46171</v>
      </c>
      <c r="C205" s="73" t="s">
        <v>84</v>
      </c>
      <c r="D205" s="56" t="s">
        <v>301</v>
      </c>
      <c r="E205" s="73" t="s">
        <v>1176</v>
      </c>
      <c r="F205" s="74">
        <v>1186</v>
      </c>
      <c r="G205" s="74"/>
      <c r="H205" s="74">
        <f>Cty_Dai_Thuy[[#This Row],[ĐƠN GIÁ]]*Cty_Dai_Thuy[[#This Row],[SỐ LƯỢNG]]</f>
        <v>0</v>
      </c>
      <c r="I205" s="74"/>
      <c r="J205" s="74">
        <f ca="1">N(INDIRECT("R[-1]C", FALSE)) + Cty_Dai_Thuy[[#This Row],[THÀNH TIỀN]] - Cty_Dai_Thuy[[#This Row],[THANH TOÁN]]</f>
        <v>133800706</v>
      </c>
      <c r="K205" s="75"/>
    </row>
    <row r="206" spans="1:11" x14ac:dyDescent="0.25">
      <c r="A206" s="71">
        <v>45985</v>
      </c>
      <c r="B206" s="72">
        <v>46171</v>
      </c>
      <c r="C206" s="73" t="s">
        <v>84</v>
      </c>
      <c r="D206" s="56" t="s">
        <v>301</v>
      </c>
      <c r="E206" s="73"/>
      <c r="F206" s="74">
        <v>341</v>
      </c>
      <c r="G206" s="74"/>
      <c r="H206" s="74">
        <f>Cty_Dai_Thuy[[#This Row],[ĐƠN GIÁ]]*Cty_Dai_Thuy[[#This Row],[SỐ LƯỢNG]]</f>
        <v>0</v>
      </c>
      <c r="I206" s="74"/>
      <c r="J206" s="74">
        <f ca="1">N(INDIRECT("R[-1]C", FALSE)) + Cty_Dai_Thuy[[#This Row],[THÀNH TIỀN]] - Cty_Dai_Thuy[[#This Row],[THANH TOÁN]]</f>
        <v>133800706</v>
      </c>
      <c r="K206" s="75"/>
    </row>
    <row r="207" spans="1:11" x14ac:dyDescent="0.25">
      <c r="A207" s="25">
        <v>21949</v>
      </c>
      <c r="B207" s="30">
        <v>46141</v>
      </c>
      <c r="C207" s="26" t="s">
        <v>84</v>
      </c>
      <c r="D207" s="38"/>
      <c r="E207" s="26"/>
      <c r="F207" s="28">
        <f>1091+958+901</f>
        <v>2950</v>
      </c>
      <c r="G207" s="28"/>
      <c r="H207" s="28">
        <f>Cty_Dai_Thuy[[#This Row],[ĐƠN GIÁ]]*Cty_Dai_Thuy[[#This Row],[SỐ LƯỢNG]]</f>
        <v>0</v>
      </c>
      <c r="I207" s="28"/>
      <c r="J207" s="28">
        <f ca="1">N(INDIRECT("R[-1]C", FALSE)) + Cty_Dai_Thuy[[#This Row],[THÀNH TIỀN]] - Cty_Dai_Thuy[[#This Row],[THANH TOÁN]]</f>
        <v>133800706</v>
      </c>
      <c r="K207" s="27"/>
    </row>
    <row r="208" spans="1:11" x14ac:dyDescent="0.25">
      <c r="A208" s="22">
        <v>7646</v>
      </c>
      <c r="B208" s="29">
        <v>46065</v>
      </c>
      <c r="C208" s="23" t="s">
        <v>49</v>
      </c>
      <c r="D208" s="37" t="s">
        <v>753</v>
      </c>
      <c r="E208" s="23" t="s">
        <v>2566</v>
      </c>
      <c r="F208" s="31">
        <v>7260</v>
      </c>
      <c r="G208" s="31"/>
      <c r="H208" s="31">
        <f>Cty_Dai_Thuy[[#This Row],[ĐƠN GIÁ]]*Cty_Dai_Thuy[[#This Row],[SỐ LƯỢNG]]</f>
        <v>0</v>
      </c>
      <c r="I208" s="31"/>
      <c r="J208" s="31">
        <f ca="1">N(INDIRECT("R[-1]C", FALSE)) + Cty_Dai_Thuy[[#This Row],[THÀNH TIỀN]] - Cty_Dai_Thuy[[#This Row],[THANH TOÁN]]</f>
        <v>133800706</v>
      </c>
      <c r="K208" s="24"/>
    </row>
    <row r="209" spans="1:11" x14ac:dyDescent="0.25">
      <c r="A209" s="22">
        <v>7766</v>
      </c>
      <c r="B209" s="29">
        <v>46081</v>
      </c>
      <c r="C209" s="23" t="s">
        <v>49</v>
      </c>
      <c r="D209" s="37" t="s">
        <v>301</v>
      </c>
      <c r="E209" s="23" t="s">
        <v>2577</v>
      </c>
      <c r="F209" s="31">
        <v>4716</v>
      </c>
      <c r="G209" s="31"/>
      <c r="H209" s="31">
        <f>Cty_Dai_Thuy[[#This Row],[ĐƠN GIÁ]]*Cty_Dai_Thuy[[#This Row],[SỐ LƯỢNG]]</f>
        <v>0</v>
      </c>
      <c r="I209" s="31"/>
      <c r="J209" s="31">
        <f ca="1">N(INDIRECT("R[-1]C", FALSE)) + Cty_Dai_Thuy[[#This Row],[THÀNH TIỀN]] - Cty_Dai_Thuy[[#This Row],[THANH TOÁN]]</f>
        <v>133800706</v>
      </c>
      <c r="K209" s="24"/>
    </row>
  </sheetData>
  <phoneticPr fontId="9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CABDB-EBED-45EF-98A8-97B3AEF73D20}">
  <sheetPr codeName="Sheet36"/>
  <dimension ref="A5:P28"/>
  <sheetViews>
    <sheetView workbookViewId="0"/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107227529</v>
      </c>
    </row>
    <row r="6" spans="1:16" ht="22.5" x14ac:dyDescent="0.25">
      <c r="D6" s="34" t="s">
        <v>819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Cty_Thien_Hoa_An[[#This Row],[ĐƠN GIÁ]]*Cty_Thien_Hoa_An[[#This Row],[SỐ LƯỢNG]]</f>
        <v>0</v>
      </c>
      <c r="I10" s="31"/>
      <c r="J10" s="31">
        <v>0</v>
      </c>
      <c r="K10" s="24"/>
    </row>
    <row r="11" spans="1:16" x14ac:dyDescent="0.25">
      <c r="A11" s="22">
        <v>7818</v>
      </c>
      <c r="B11" s="29">
        <v>46084</v>
      </c>
      <c r="C11" s="23" t="s">
        <v>13</v>
      </c>
      <c r="D11" s="37" t="s">
        <v>26</v>
      </c>
      <c r="E11" s="23" t="s">
        <v>820</v>
      </c>
      <c r="F11" s="31">
        <f>1229+1370</f>
        <v>2599</v>
      </c>
      <c r="G11" s="31">
        <v>26800</v>
      </c>
      <c r="H11" s="31">
        <f>Cty_Thien_Hoa_An[[#This Row],[ĐƠN GIÁ]]*Cty_Thien_Hoa_An[[#This Row],[SỐ LƯỢNG]]</f>
        <v>69653200</v>
      </c>
      <c r="I11" s="31"/>
      <c r="J11" s="31">
        <f>J10+Cty_Thien_Hoa_An[[#This Row],[THÀNH TIỀN]]-Cty_Thien_Hoa_An[[#This Row],[THANH TOÁN]]</f>
        <v>69653200</v>
      </c>
      <c r="K11" s="24"/>
    </row>
    <row r="12" spans="1:16" x14ac:dyDescent="0.25">
      <c r="A12" s="22">
        <v>7818</v>
      </c>
      <c r="B12" s="29">
        <v>46084</v>
      </c>
      <c r="C12" s="23" t="s">
        <v>13</v>
      </c>
      <c r="D12" s="37" t="s">
        <v>26</v>
      </c>
      <c r="E12" s="23" t="s">
        <v>821</v>
      </c>
      <c r="F12" s="31">
        <f>1870+929+984+1030</f>
        <v>4813</v>
      </c>
      <c r="G12" s="31">
        <v>26800</v>
      </c>
      <c r="H12" s="31">
        <f>Cty_Thien_Hoa_An[[#This Row],[ĐƠN GIÁ]]*Cty_Thien_Hoa_An[[#This Row],[SỐ LƯỢNG]]</f>
        <v>128988400</v>
      </c>
      <c r="I12" s="31"/>
      <c r="J12" s="31">
        <f>J11+Cty_Thien_Hoa_An[[#This Row],[THÀNH TIỀN]]-Cty_Thien_Hoa_An[[#This Row],[THANH TOÁN]]</f>
        <v>198641600</v>
      </c>
      <c r="K12" s="24"/>
    </row>
    <row r="13" spans="1:16" x14ac:dyDescent="0.25">
      <c r="A13" s="22">
        <v>7818</v>
      </c>
      <c r="B13" s="29">
        <v>46084</v>
      </c>
      <c r="C13" s="23" t="s">
        <v>13</v>
      </c>
      <c r="D13" s="37" t="s">
        <v>26</v>
      </c>
      <c r="E13" s="23" t="s">
        <v>822</v>
      </c>
      <c r="F13" s="31">
        <f>678+358</f>
        <v>1036</v>
      </c>
      <c r="G13" s="31">
        <v>29000</v>
      </c>
      <c r="H13" s="31">
        <f>Cty_Thien_Hoa_An[[#This Row],[ĐƠN GIÁ]]*Cty_Thien_Hoa_An[[#This Row],[SỐ LƯỢNG]]</f>
        <v>30044000</v>
      </c>
      <c r="I13" s="31"/>
      <c r="J13" s="31">
        <f>J12+Cty_Thien_Hoa_An[[#This Row],[THÀNH TIỀN]]-Cty_Thien_Hoa_An[[#This Row],[THANH TOÁN]]</f>
        <v>228685600</v>
      </c>
      <c r="K13" s="24"/>
    </row>
    <row r="14" spans="1:16" x14ac:dyDescent="0.25">
      <c r="A14" s="22">
        <v>7837</v>
      </c>
      <c r="B14" s="29">
        <v>46085</v>
      </c>
      <c r="C14" s="23" t="s">
        <v>13</v>
      </c>
      <c r="D14" s="37" t="s">
        <v>77</v>
      </c>
      <c r="E14" s="23" t="s">
        <v>823</v>
      </c>
      <c r="F14" s="31">
        <f>1138-8</f>
        <v>1130</v>
      </c>
      <c r="G14" s="31">
        <v>30000</v>
      </c>
      <c r="H14" s="31">
        <f>Cty_Thien_Hoa_An[[#This Row],[ĐƠN GIÁ]]*Cty_Thien_Hoa_An[[#This Row],[SỐ LƯỢNG]]</f>
        <v>33900000</v>
      </c>
      <c r="I14" s="31"/>
      <c r="J14" s="31">
        <f>J13+Cty_Thien_Hoa_An[[#This Row],[THÀNH TIỀN]]-Cty_Thien_Hoa_An[[#This Row],[THANH TOÁN]]</f>
        <v>262585600</v>
      </c>
      <c r="K14" s="24"/>
      <c r="P14" s="35"/>
    </row>
    <row r="15" spans="1:16" x14ac:dyDescent="0.25">
      <c r="A15" s="22">
        <v>7837</v>
      </c>
      <c r="B15" s="29">
        <v>46085</v>
      </c>
      <c r="C15" s="23" t="s">
        <v>13</v>
      </c>
      <c r="D15" s="37" t="s">
        <v>77</v>
      </c>
      <c r="E15" s="23" t="s">
        <v>824</v>
      </c>
      <c r="F15" s="31">
        <f>1086-8</f>
        <v>1078</v>
      </c>
      <c r="G15" s="31">
        <v>30000</v>
      </c>
      <c r="H15" s="31">
        <f>Cty_Thien_Hoa_An[[#This Row],[ĐƠN GIÁ]]*Cty_Thien_Hoa_An[[#This Row],[SỐ LƯỢNG]]</f>
        <v>32340000</v>
      </c>
      <c r="I15" s="28"/>
      <c r="J15" s="31">
        <f>J14+Cty_Thien_Hoa_An[[#This Row],[THÀNH TIỀN]]-Cty_Thien_Hoa_An[[#This Row],[THANH TOÁN]]</f>
        <v>294925600</v>
      </c>
      <c r="K15" s="27"/>
    </row>
    <row r="16" spans="1:16" x14ac:dyDescent="0.25">
      <c r="A16" s="22">
        <v>7842</v>
      </c>
      <c r="B16" s="29">
        <v>46085</v>
      </c>
      <c r="C16" s="23" t="s">
        <v>13</v>
      </c>
      <c r="D16" s="37" t="s">
        <v>729</v>
      </c>
      <c r="E16" s="23" t="s">
        <v>820</v>
      </c>
      <c r="F16" s="31">
        <v>1233</v>
      </c>
      <c r="G16" s="31">
        <v>26800</v>
      </c>
      <c r="H16" s="31">
        <f>Cty_Thien_Hoa_An[[#This Row],[ĐƠN GIÁ]]*Cty_Thien_Hoa_An[[#This Row],[SỐ LƯỢNG]]</f>
        <v>33044400</v>
      </c>
      <c r="I16" s="31"/>
      <c r="J16" s="31">
        <f>J15+Cty_Thien_Hoa_An[[#This Row],[THÀNH TIỀN]]-Cty_Thien_Hoa_An[[#This Row],[THANH TOÁN]]</f>
        <v>327970000</v>
      </c>
      <c r="K16" s="24"/>
    </row>
    <row r="17" spans="1:11" x14ac:dyDescent="0.25">
      <c r="A17" s="22">
        <v>7842</v>
      </c>
      <c r="B17" s="29">
        <v>46085</v>
      </c>
      <c r="C17" s="23" t="s">
        <v>13</v>
      </c>
      <c r="D17" s="37" t="s">
        <v>729</v>
      </c>
      <c r="E17" s="23" t="s">
        <v>799</v>
      </c>
      <c r="F17" s="31">
        <f>1514-20</f>
        <v>1494</v>
      </c>
      <c r="G17" s="31">
        <v>26800</v>
      </c>
      <c r="H17" s="31">
        <f>Cty_Thien_Hoa_An[[#This Row],[ĐƠN GIÁ]]*Cty_Thien_Hoa_An[[#This Row],[SỐ LƯỢNG]]</f>
        <v>40039200</v>
      </c>
      <c r="I17" s="31"/>
      <c r="J17" s="31">
        <f>J16+Cty_Thien_Hoa_An[[#This Row],[THÀNH TIỀN]]-Cty_Thien_Hoa_An[[#This Row],[THANH TOÁN]]</f>
        <v>368009200</v>
      </c>
      <c r="K17" s="24"/>
    </row>
    <row r="18" spans="1:11" x14ac:dyDescent="0.25">
      <c r="A18" s="22">
        <v>7914</v>
      </c>
      <c r="B18" s="29">
        <v>46088</v>
      </c>
      <c r="C18" s="23" t="s">
        <v>13</v>
      </c>
      <c r="D18" s="37" t="s">
        <v>746</v>
      </c>
      <c r="E18" s="23" t="s">
        <v>796</v>
      </c>
      <c r="F18" s="31">
        <f>1274-8</f>
        <v>1266</v>
      </c>
      <c r="G18" s="31">
        <v>30000</v>
      </c>
      <c r="H18" s="31">
        <f>Cty_Thien_Hoa_An[[#This Row],[ĐƠN GIÁ]]*Cty_Thien_Hoa_An[[#This Row],[SỐ LƯỢNG]]</f>
        <v>37980000</v>
      </c>
      <c r="I18" s="31"/>
      <c r="J18" s="31">
        <f>J17+Cty_Thien_Hoa_An[[#This Row],[THÀNH TIỀN]]-Cty_Thien_Hoa_An[[#This Row],[THANH TOÁN]]</f>
        <v>405989200</v>
      </c>
      <c r="K18" s="24"/>
    </row>
    <row r="19" spans="1:11" x14ac:dyDescent="0.25">
      <c r="A19" s="22">
        <v>7914</v>
      </c>
      <c r="B19" s="29">
        <v>46088</v>
      </c>
      <c r="C19" s="23" t="s">
        <v>13</v>
      </c>
      <c r="D19" s="38" t="s">
        <v>746</v>
      </c>
      <c r="E19" s="26" t="s">
        <v>807</v>
      </c>
      <c r="F19" s="28">
        <f>656-8</f>
        <v>648</v>
      </c>
      <c r="G19" s="28">
        <v>30000</v>
      </c>
      <c r="H19" s="28">
        <f>Cty_Thien_Hoa_An[[#This Row],[ĐƠN GIÁ]]*Cty_Thien_Hoa_An[[#This Row],[SỐ LƯỢNG]]</f>
        <v>19440000</v>
      </c>
      <c r="I19" s="28"/>
      <c r="J19" s="28">
        <f>J18+Cty_Thien_Hoa_An[[#This Row],[THÀNH TIỀN]]-Cty_Thien_Hoa_An[[#This Row],[THANH TOÁN]]</f>
        <v>425429200</v>
      </c>
      <c r="K19" s="27"/>
    </row>
    <row r="20" spans="1:11" x14ac:dyDescent="0.25">
      <c r="A20" s="22"/>
      <c r="B20" s="30">
        <v>46112</v>
      </c>
      <c r="C20" s="26" t="s">
        <v>21</v>
      </c>
      <c r="D20" s="38" t="s">
        <v>22</v>
      </c>
      <c r="E20" s="26" t="s">
        <v>147</v>
      </c>
      <c r="F20" s="28">
        <v>0</v>
      </c>
      <c r="G20" s="28">
        <v>0</v>
      </c>
      <c r="H20" s="28">
        <f>Cty_Thien_Hoa_An[[#This Row],[ĐƠN GIÁ]]*Cty_Thien_Hoa_An[[#This Row],[SỐ LƯỢNG]]</f>
        <v>0</v>
      </c>
      <c r="I20" s="28">
        <v>150000000</v>
      </c>
      <c r="J20" s="28">
        <f>J19+Cty_Thien_Hoa_An[[#This Row],[THÀNH TIỀN]]-Cty_Thien_Hoa_An[[#This Row],[THANH TOÁN]]</f>
        <v>275429200</v>
      </c>
      <c r="K20" s="27"/>
    </row>
    <row r="21" spans="1:11" x14ac:dyDescent="0.25">
      <c r="A21" s="25"/>
      <c r="B21" s="30">
        <v>46094</v>
      </c>
      <c r="C21" s="26" t="s">
        <v>21</v>
      </c>
      <c r="D21" s="38" t="s">
        <v>22</v>
      </c>
      <c r="E21" s="26" t="s">
        <v>261</v>
      </c>
      <c r="F21" s="28">
        <v>0</v>
      </c>
      <c r="G21" s="28">
        <v>0</v>
      </c>
      <c r="H21" s="28">
        <f>Cty_Thien_Hoa_An[[#This Row],[ĐƠN GIÁ]]*Cty_Thien_Hoa_An[[#This Row],[SỐ LƯỢNG]]</f>
        <v>0</v>
      </c>
      <c r="I21" s="28">
        <v>130501671</v>
      </c>
      <c r="J21" s="28">
        <f>J20+Cty_Thien_Hoa_An[[#This Row],[THÀNH TIỀN]]-Cty_Thien_Hoa_An[[#This Row],[THANH TOÁN]]</f>
        <v>144927529</v>
      </c>
      <c r="K21" s="27"/>
    </row>
    <row r="22" spans="1:11" x14ac:dyDescent="0.25">
      <c r="A22" s="22">
        <v>8557</v>
      </c>
      <c r="B22" s="29">
        <v>46116</v>
      </c>
      <c r="C22" s="23" t="s">
        <v>49</v>
      </c>
      <c r="D22" s="37" t="s">
        <v>26</v>
      </c>
      <c r="E22" s="23" t="s">
        <v>825</v>
      </c>
      <c r="F22" s="31">
        <v>1202</v>
      </c>
      <c r="G22" s="31"/>
      <c r="H22" s="31">
        <f>Cty_Thien_Hoa_An[[#This Row],[ĐƠN GIÁ]]*Cty_Thien_Hoa_An[[#This Row],[SỐ LƯỢNG]]</f>
        <v>0</v>
      </c>
      <c r="I22" s="31"/>
      <c r="J22" s="31">
        <f>J21+Cty_Thien_Hoa_An[[#This Row],[THÀNH TIỀN]]-Cty_Thien_Hoa_An[[#This Row],[THANH TOÁN]]</f>
        <v>144927529</v>
      </c>
      <c r="K22" s="24" t="s">
        <v>826</v>
      </c>
    </row>
    <row r="23" spans="1:11" x14ac:dyDescent="0.25">
      <c r="A23" s="22">
        <v>8621</v>
      </c>
      <c r="B23" s="29">
        <v>46120</v>
      </c>
      <c r="C23" s="23" t="s">
        <v>13</v>
      </c>
      <c r="D23" s="37" t="s">
        <v>729</v>
      </c>
      <c r="E23" s="23" t="s">
        <v>827</v>
      </c>
      <c r="F23" s="31">
        <v>933</v>
      </c>
      <c r="G23" s="31">
        <v>30000</v>
      </c>
      <c r="H23" s="31">
        <f>Cty_Thien_Hoa_An[[#This Row],[ĐƠN GIÁ]]*Cty_Thien_Hoa_An[[#This Row],[SỐ LƯỢNG]]</f>
        <v>27990000</v>
      </c>
      <c r="I23" s="31"/>
      <c r="J23" s="31">
        <f>J22+Cty_Thien_Hoa_An[[#This Row],[THÀNH TIỀN]]-Cty_Thien_Hoa_An[[#This Row],[THANH TOÁN]]</f>
        <v>172917529</v>
      </c>
      <c r="K23" s="24"/>
    </row>
    <row r="24" spans="1:11" x14ac:dyDescent="0.25">
      <c r="A24" s="22">
        <v>8621</v>
      </c>
      <c r="B24" s="29">
        <v>46120</v>
      </c>
      <c r="C24" s="23" t="s">
        <v>13</v>
      </c>
      <c r="D24" s="37" t="s">
        <v>729</v>
      </c>
      <c r="E24" s="23" t="s">
        <v>828</v>
      </c>
      <c r="F24" s="31">
        <v>1805</v>
      </c>
      <c r="G24" s="31">
        <v>30000</v>
      </c>
      <c r="H24" s="31">
        <f>Cty_Thien_Hoa_An[[#This Row],[ĐƠN GIÁ]]*Cty_Thien_Hoa_An[[#This Row],[SỐ LƯỢNG]]</f>
        <v>54150000</v>
      </c>
      <c r="I24" s="31"/>
      <c r="J24" s="31">
        <f>J23+Cty_Thien_Hoa_An[[#This Row],[THÀNH TIỀN]]-Cty_Thien_Hoa_An[[#This Row],[THANH TOÁN]]</f>
        <v>227067529</v>
      </c>
      <c r="K24" s="24"/>
    </row>
    <row r="25" spans="1:11" x14ac:dyDescent="0.25">
      <c r="A25" s="22">
        <v>8915</v>
      </c>
      <c r="B25" s="29">
        <v>46133</v>
      </c>
      <c r="C25" s="23" t="s">
        <v>13</v>
      </c>
      <c r="D25" s="37" t="s">
        <v>192</v>
      </c>
      <c r="E25" s="23" t="s">
        <v>796</v>
      </c>
      <c r="F25" s="31">
        <v>2040</v>
      </c>
      <c r="G25" s="31">
        <v>30000</v>
      </c>
      <c r="H25" s="31">
        <f>Cty_Thien_Hoa_An[[#This Row],[ĐƠN GIÁ]]*Cty_Thien_Hoa_An[[#This Row],[SỐ LƯỢNG]]</f>
        <v>61200000</v>
      </c>
      <c r="I25" s="31"/>
      <c r="J25" s="31">
        <f>J24+Cty_Thien_Hoa_An[[#This Row],[THÀNH TIỀN]]-Cty_Thien_Hoa_An[[#This Row],[THANH TOÁN]]</f>
        <v>288267529</v>
      </c>
      <c r="K25" s="24"/>
    </row>
    <row r="26" spans="1:11" x14ac:dyDescent="0.25">
      <c r="A26" s="22"/>
      <c r="B26" s="29">
        <v>46137</v>
      </c>
      <c r="C26" s="23" t="s">
        <v>21</v>
      </c>
      <c r="D26" s="37" t="s">
        <v>22</v>
      </c>
      <c r="E26" s="23" t="s">
        <v>261</v>
      </c>
      <c r="F26" s="31">
        <v>0</v>
      </c>
      <c r="G26" s="31"/>
      <c r="H26" s="31">
        <f>Cty_Thien_Hoa_An[[#This Row],[ĐƠN GIÁ]]*Cty_Thien_Hoa_An[[#This Row],[SỐ LƯỢNG]]</f>
        <v>0</v>
      </c>
      <c r="I26" s="31">
        <v>100000000</v>
      </c>
      <c r="J26" s="31">
        <f>J25+Cty_Thien_Hoa_An[[#This Row],[THÀNH TIỀN]]-Cty_Thien_Hoa_An[[#This Row],[THANH TOÁN]]</f>
        <v>188267529</v>
      </c>
      <c r="K26" s="24"/>
    </row>
    <row r="27" spans="1:11" x14ac:dyDescent="0.25">
      <c r="A27" s="22">
        <v>9501</v>
      </c>
      <c r="B27" s="29">
        <v>46162</v>
      </c>
      <c r="C27" s="23" t="s">
        <v>13</v>
      </c>
      <c r="D27" s="37" t="s">
        <v>841</v>
      </c>
      <c r="E27" s="23" t="s">
        <v>824</v>
      </c>
      <c r="F27" s="31">
        <v>632</v>
      </c>
      <c r="G27" s="31">
        <v>30000</v>
      </c>
      <c r="H27" s="31">
        <f>Cty_Thien_Hoa_An[[#This Row],[ĐƠN GIÁ]]*Cty_Thien_Hoa_An[[#This Row],[SỐ LƯỢNG]]</f>
        <v>18960000</v>
      </c>
      <c r="I27" s="31"/>
      <c r="J27" s="31">
        <f>J26+Cty_Thien_Hoa_An[[#This Row],[THÀNH TIỀN]]-Cty_Thien_Hoa_An[[#This Row],[THANH TOÁN]]</f>
        <v>207227529</v>
      </c>
      <c r="K27" s="24"/>
    </row>
    <row r="28" spans="1:11" x14ac:dyDescent="0.25">
      <c r="A28" s="22"/>
      <c r="B28" s="29">
        <v>46168</v>
      </c>
      <c r="C28" s="23" t="s">
        <v>21</v>
      </c>
      <c r="D28" s="37" t="s">
        <v>22</v>
      </c>
      <c r="E28" s="23" t="s">
        <v>261</v>
      </c>
      <c r="F28" s="31">
        <v>0</v>
      </c>
      <c r="G28" s="31"/>
      <c r="H28" s="31">
        <f>Cty_Thien_Hoa_An[[#This Row],[ĐƠN GIÁ]]*Cty_Thien_Hoa_An[[#This Row],[SỐ LƯỢNG]]</f>
        <v>0</v>
      </c>
      <c r="I28" s="31">
        <v>100000000</v>
      </c>
      <c r="J28" s="31">
        <f>J27+Cty_Thien_Hoa_An[[#This Row],[THÀNH TIỀN]]-Cty_Thien_Hoa_An[[#This Row],[THANH TOÁN]]</f>
        <v>107227529</v>
      </c>
      <c r="K28" s="24"/>
    </row>
  </sheetData>
  <phoneticPr fontId="9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0070A-3043-4839-A5B2-C24DA19CD9DB}">
  <sheetPr codeName="Sheet38"/>
  <dimension ref="A5:K20"/>
  <sheetViews>
    <sheetView workbookViewId="0">
      <selection activeCell="F19" sqref="F19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49709000</v>
      </c>
    </row>
    <row r="6" spans="1:11" ht="22.5" x14ac:dyDescent="0.25">
      <c r="D6" s="34" t="s">
        <v>829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E_Quan_CMy[[#This Row],[ĐƠN GIÁ]]*E_Quan_CMy[[#This Row],[SỐ LƯỢNG]]</f>
        <v>0</v>
      </c>
      <c r="I10" s="31"/>
      <c r="J10" s="31">
        <v>0</v>
      </c>
      <c r="K10" s="24"/>
    </row>
    <row r="11" spans="1:11" x14ac:dyDescent="0.25">
      <c r="A11" s="22">
        <v>7819</v>
      </c>
      <c r="B11" s="29">
        <v>46084</v>
      </c>
      <c r="C11" s="23" t="s">
        <v>13</v>
      </c>
      <c r="D11" s="37" t="s">
        <v>43</v>
      </c>
      <c r="E11" s="23" t="s">
        <v>431</v>
      </c>
      <c r="F11" s="31">
        <v>746</v>
      </c>
      <c r="G11" s="31">
        <v>59000</v>
      </c>
      <c r="H11" s="31">
        <f>E_Quan_CMy[[#This Row],[ĐƠN GIÁ]]*E_Quan_CMy[[#This Row],[SỐ LƯỢNG]]</f>
        <v>44014000</v>
      </c>
      <c r="I11" s="31"/>
      <c r="J11" s="31">
        <f>J10+E_Quan_CMy[[#This Row],[THÀNH TIỀN]]-E_Quan_CMy[[#This Row],[THANH TOÁN]]</f>
        <v>44014000</v>
      </c>
      <c r="K11" s="24"/>
    </row>
    <row r="12" spans="1:11" x14ac:dyDescent="0.25">
      <c r="A12" s="22">
        <v>7819</v>
      </c>
      <c r="B12" s="29">
        <v>46084</v>
      </c>
      <c r="C12" s="23" t="s">
        <v>13</v>
      </c>
      <c r="D12" s="37" t="s">
        <v>17</v>
      </c>
      <c r="E12" s="23" t="s">
        <v>40</v>
      </c>
      <c r="F12" s="31">
        <v>724</v>
      </c>
      <c r="G12" s="31">
        <v>60000</v>
      </c>
      <c r="H12" s="31">
        <f>E_Quan_CMy[[#This Row],[ĐƠN GIÁ]]*E_Quan_CMy[[#This Row],[SỐ LƯỢNG]]</f>
        <v>43440000</v>
      </c>
      <c r="I12" s="31"/>
      <c r="J12" s="31">
        <f>J11+E_Quan_CMy[[#This Row],[THÀNH TIỀN]]-E_Quan_CMy[[#This Row],[THANH TOÁN]]</f>
        <v>87454000</v>
      </c>
      <c r="K12" s="24"/>
    </row>
    <row r="13" spans="1:11" x14ac:dyDescent="0.25">
      <c r="A13" s="25">
        <v>8149</v>
      </c>
      <c r="B13" s="30">
        <v>46098</v>
      </c>
      <c r="C13" s="26" t="s">
        <v>13</v>
      </c>
      <c r="D13" s="38" t="s">
        <v>17</v>
      </c>
      <c r="E13" s="26" t="s">
        <v>176</v>
      </c>
      <c r="F13" s="28">
        <v>1128</v>
      </c>
      <c r="G13" s="28">
        <v>61000</v>
      </c>
      <c r="H13" s="28">
        <f>E_Quan_CMy[[#This Row],[ĐƠN GIÁ]]*E_Quan_CMy[[#This Row],[SỐ LƯỢNG]]</f>
        <v>68808000</v>
      </c>
      <c r="I13" s="28"/>
      <c r="J13" s="28">
        <f>J12+E_Quan_CMy[[#This Row],[THÀNH TIỀN]]-E_Quan_CMy[[#This Row],[THANH TOÁN]]</f>
        <v>156262000</v>
      </c>
      <c r="K13" s="27"/>
    </row>
    <row r="14" spans="1:11" x14ac:dyDescent="0.25">
      <c r="A14" s="22"/>
      <c r="B14" s="29">
        <v>46118</v>
      </c>
      <c r="C14" s="23" t="s">
        <v>21</v>
      </c>
      <c r="D14" s="37" t="s">
        <v>22</v>
      </c>
      <c r="E14" s="23" t="s">
        <v>261</v>
      </c>
      <c r="F14" s="31">
        <v>0</v>
      </c>
      <c r="G14" s="31"/>
      <c r="H14" s="31">
        <f>E_Quan_CMy[[#This Row],[ĐƠN GIÁ]]*E_Quan_CMy[[#This Row],[SỐ LƯỢNG]]</f>
        <v>0</v>
      </c>
      <c r="I14" s="31">
        <v>100000000</v>
      </c>
      <c r="J14" s="31">
        <f>J13+E_Quan_CMy[[#This Row],[THÀNH TIỀN]]-E_Quan_CMy[[#This Row],[THANH TOÁN]]</f>
        <v>56262000</v>
      </c>
      <c r="K14" s="24"/>
    </row>
    <row r="15" spans="1:11" x14ac:dyDescent="0.25">
      <c r="A15" s="22">
        <v>8986</v>
      </c>
      <c r="B15" s="29">
        <v>46136</v>
      </c>
      <c r="C15" s="23" t="s">
        <v>13</v>
      </c>
      <c r="D15" s="37" t="s">
        <v>43</v>
      </c>
      <c r="E15" s="23" t="s">
        <v>431</v>
      </c>
      <c r="F15" s="31">
        <v>754</v>
      </c>
      <c r="G15" s="31">
        <v>61500</v>
      </c>
      <c r="H15" s="31">
        <f>E_Quan_CMy[[#This Row],[ĐƠN GIÁ]]*E_Quan_CMy[[#This Row],[SỐ LƯỢNG]]</f>
        <v>46371000</v>
      </c>
      <c r="I15" s="31"/>
      <c r="J15" s="31">
        <f>J14+E_Quan_CMy[[#This Row],[THÀNH TIỀN]]-E_Quan_CMy[[#This Row],[THANH TOÁN]]</f>
        <v>102633000</v>
      </c>
      <c r="K15" s="24"/>
    </row>
    <row r="16" spans="1:11" x14ac:dyDescent="0.25">
      <c r="A16" s="22"/>
      <c r="B16" s="29">
        <v>46136</v>
      </c>
      <c r="C16" s="23" t="s">
        <v>21</v>
      </c>
      <c r="D16" s="37" t="s">
        <v>22</v>
      </c>
      <c r="E16" s="23" t="s">
        <v>261</v>
      </c>
      <c r="F16" s="31">
        <v>0</v>
      </c>
      <c r="G16" s="31"/>
      <c r="H16" s="31">
        <f>E_Quan_CMy[[#This Row],[ĐƠN GIÁ]]*E_Quan_CMy[[#This Row],[SỐ LƯỢNG]]</f>
        <v>0</v>
      </c>
      <c r="I16" s="31">
        <v>56260000</v>
      </c>
      <c r="J16" s="31">
        <f>J15+E_Quan_CMy[[#This Row],[THÀNH TIỀN]]-E_Quan_CMy[[#This Row],[THANH TOÁN]]</f>
        <v>46373000</v>
      </c>
      <c r="K16" s="24"/>
    </row>
    <row r="17" spans="1:11" x14ac:dyDescent="0.25">
      <c r="A17" s="22">
        <v>9174</v>
      </c>
      <c r="B17" s="29">
        <v>46147</v>
      </c>
      <c r="C17" s="23" t="s">
        <v>13</v>
      </c>
      <c r="D17" s="37" t="s">
        <v>68</v>
      </c>
      <c r="E17" s="23" t="s">
        <v>1941</v>
      </c>
      <c r="F17" s="31">
        <v>186</v>
      </c>
      <c r="G17" s="31">
        <v>44000</v>
      </c>
      <c r="H17" s="31">
        <f>E_Quan_CMy[[#This Row],[ĐƠN GIÁ]]*E_Quan_CMy[[#This Row],[SỐ LƯỢNG]]</f>
        <v>8184000</v>
      </c>
      <c r="I17" s="31"/>
      <c r="J17" s="31">
        <f>J16+E_Quan_CMy[[#This Row],[THÀNH TIỀN]]-E_Quan_CMy[[#This Row],[THANH TOÁN]]</f>
        <v>54557000</v>
      </c>
      <c r="K17" s="24"/>
    </row>
    <row r="18" spans="1:11" x14ac:dyDescent="0.25">
      <c r="A18" s="22">
        <v>9285</v>
      </c>
      <c r="B18" s="29">
        <v>46151</v>
      </c>
      <c r="C18" s="23" t="s">
        <v>13</v>
      </c>
      <c r="D18" s="37" t="s">
        <v>103</v>
      </c>
      <c r="E18" s="23" t="s">
        <v>2000</v>
      </c>
      <c r="F18" s="31">
        <v>80</v>
      </c>
      <c r="G18" s="31">
        <v>39500</v>
      </c>
      <c r="H18" s="31">
        <f>E_Quan_CMy[[#This Row],[ĐƠN GIÁ]]*E_Quan_CMy[[#This Row],[SỐ LƯỢNG]]</f>
        <v>3160000</v>
      </c>
      <c r="I18" s="31"/>
      <c r="J18" s="31">
        <f>J17+E_Quan_CMy[[#This Row],[THÀNH TIỀN]]-E_Quan_CMy[[#This Row],[THANH TOÁN]]</f>
        <v>57717000</v>
      </c>
      <c r="K18" s="24"/>
    </row>
    <row r="19" spans="1:11" x14ac:dyDescent="0.25">
      <c r="A19" s="22"/>
      <c r="B19" s="29">
        <v>46167</v>
      </c>
      <c r="C19" s="23" t="s">
        <v>21</v>
      </c>
      <c r="D19" s="37" t="s">
        <v>22</v>
      </c>
      <c r="E19" s="23" t="s">
        <v>261</v>
      </c>
      <c r="F19" s="31">
        <v>0</v>
      </c>
      <c r="G19" s="31"/>
      <c r="H19" s="31">
        <f>E_Quan_CMy[[#This Row],[ĐƠN GIÁ]]*E_Quan_CMy[[#This Row],[SỐ LƯỢNG]]</f>
        <v>0</v>
      </c>
      <c r="I19" s="31">
        <v>57715000</v>
      </c>
      <c r="J19" s="31">
        <f>J18+E_Quan_CMy[[#This Row],[THÀNH TIỀN]]-E_Quan_CMy[[#This Row],[THANH TOÁN]]</f>
        <v>2000</v>
      </c>
      <c r="K19" s="24"/>
    </row>
    <row r="20" spans="1:11" x14ac:dyDescent="0.25">
      <c r="A20" s="22">
        <v>9698</v>
      </c>
      <c r="B20" s="29">
        <v>46171</v>
      </c>
      <c r="C20" s="23" t="s">
        <v>13</v>
      </c>
      <c r="D20" s="37" t="s">
        <v>317</v>
      </c>
      <c r="E20" s="23" t="s">
        <v>416</v>
      </c>
      <c r="F20" s="31">
        <v>789</v>
      </c>
      <c r="G20" s="31">
        <v>63000</v>
      </c>
      <c r="H20" s="31">
        <f>E_Quan_CMy[[#This Row],[ĐƠN GIÁ]]*E_Quan_CMy[[#This Row],[SỐ LƯỢNG]]</f>
        <v>49707000</v>
      </c>
      <c r="I20" s="31"/>
      <c r="J20" s="31">
        <f>J19+E_Quan_CMy[[#This Row],[THÀNH TIỀN]]-E_Quan_CMy[[#This Row],[THANH TOÁN]]</f>
        <v>49709000</v>
      </c>
      <c r="K20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ACB75D-7595-4338-9D86-AA1E6171C0D4}">
  <sheetPr codeName="Sheet40"/>
  <dimension ref="A5:P140"/>
  <sheetViews>
    <sheetView topLeftCell="A4" workbookViewId="0">
      <selection activeCell="A101" sqref="A101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472284125</v>
      </c>
    </row>
    <row r="6" spans="1:16" ht="22.5" x14ac:dyDescent="0.25">
      <c r="D6" s="34" t="s">
        <v>830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>
        <v>46081</v>
      </c>
      <c r="C10" s="23" t="s">
        <v>12</v>
      </c>
      <c r="D10" s="37"/>
      <c r="E10" s="23"/>
      <c r="F10" s="31">
        <v>1</v>
      </c>
      <c r="G10" s="31">
        <v>347847655</v>
      </c>
      <c r="H10" s="31">
        <f>A_Trung[[#This Row],[ĐƠN GIÁ]]*A_Trung[[#This Row],[SỐ LƯỢNG]]</f>
        <v>347847655</v>
      </c>
      <c r="I10" s="31"/>
      <c r="J10" s="31">
        <f ca="1">N(INDIRECT("R[-1]C", FALSE)) + A_Trung[[#This Row],[THÀNH TIỀN]] - A_Trung[[#This Row],[THANH TOÁN]]</f>
        <v>347847655</v>
      </c>
      <c r="K10" s="24"/>
    </row>
    <row r="11" spans="1:16" x14ac:dyDescent="0.25">
      <c r="A11" s="22"/>
      <c r="B11" s="29">
        <v>46083</v>
      </c>
      <c r="C11" s="23" t="s">
        <v>21</v>
      </c>
      <c r="D11" s="37" t="s">
        <v>22</v>
      </c>
      <c r="E11" s="23" t="s">
        <v>261</v>
      </c>
      <c r="F11" s="31">
        <v>0</v>
      </c>
      <c r="G11" s="31">
        <v>0</v>
      </c>
      <c r="H11" s="31">
        <f>A_Trung[[#This Row],[ĐƠN GIÁ]]*A_Trung[[#This Row],[SỐ LƯỢNG]]</f>
        <v>0</v>
      </c>
      <c r="I11" s="31">
        <v>100000000</v>
      </c>
      <c r="J11" s="31">
        <f ca="1">N(INDIRECT("R[-1]C", FALSE)) + A_Trung[[#This Row],[THÀNH TIỀN]] - A_Trung[[#This Row],[THANH TOÁN]]</f>
        <v>247847655</v>
      </c>
      <c r="K11" s="24" t="s">
        <v>850</v>
      </c>
    </row>
    <row r="12" spans="1:16" x14ac:dyDescent="0.25">
      <c r="A12" s="22">
        <v>7822</v>
      </c>
      <c r="B12" s="29">
        <v>46084</v>
      </c>
      <c r="C12" s="23" t="s">
        <v>13</v>
      </c>
      <c r="D12" s="37" t="s">
        <v>103</v>
      </c>
      <c r="E12" s="23" t="s">
        <v>117</v>
      </c>
      <c r="F12" s="31">
        <v>118</v>
      </c>
      <c r="G12" s="31">
        <v>35000</v>
      </c>
      <c r="H12" s="31">
        <f>A_Trung[[#This Row],[ĐƠN GIÁ]]*A_Trung[[#This Row],[SỐ LƯỢNG]]</f>
        <v>4130000</v>
      </c>
      <c r="I12" s="31"/>
      <c r="J12" s="31">
        <f ca="1">N(INDIRECT("R[-1]C", FALSE)) + A_Trung[[#This Row],[THÀNH TIỀN]] - A_Trung[[#This Row],[THANH TOÁN]]</f>
        <v>251977655</v>
      </c>
      <c r="K12" s="24"/>
    </row>
    <row r="13" spans="1:16" x14ac:dyDescent="0.25">
      <c r="A13" s="22">
        <v>7822</v>
      </c>
      <c r="B13" s="29">
        <v>46084</v>
      </c>
      <c r="C13" s="23" t="s">
        <v>13</v>
      </c>
      <c r="D13" s="37" t="s">
        <v>103</v>
      </c>
      <c r="E13" s="23" t="s">
        <v>116</v>
      </c>
      <c r="F13" s="31">
        <v>184</v>
      </c>
      <c r="G13" s="31">
        <v>35000</v>
      </c>
      <c r="H13" s="31">
        <f>A_Trung[[#This Row],[ĐƠN GIÁ]]*A_Trung[[#This Row],[SỐ LƯỢNG]]</f>
        <v>6440000</v>
      </c>
      <c r="I13" s="31"/>
      <c r="J13" s="31">
        <f ca="1">N(INDIRECT("R[-1]C", FALSE)) + A_Trung[[#This Row],[THÀNH TIỀN]] - A_Trung[[#This Row],[THANH TOÁN]]</f>
        <v>258417655</v>
      </c>
      <c r="K13" s="24"/>
    </row>
    <row r="14" spans="1:16" x14ac:dyDescent="0.25">
      <c r="A14" s="22">
        <v>7822</v>
      </c>
      <c r="B14" s="29">
        <v>46084</v>
      </c>
      <c r="C14" s="23" t="s">
        <v>13</v>
      </c>
      <c r="D14" s="37" t="s">
        <v>109</v>
      </c>
      <c r="E14" s="23" t="s">
        <v>831</v>
      </c>
      <c r="F14" s="31">
        <v>854</v>
      </c>
      <c r="G14" s="31">
        <v>55500</v>
      </c>
      <c r="H14" s="31">
        <f>A_Trung[[#This Row],[ĐƠN GIÁ]]*A_Trung[[#This Row],[SỐ LƯỢNG]]</f>
        <v>47397000</v>
      </c>
      <c r="I14" s="31"/>
      <c r="J14" s="31">
        <f ca="1">N(INDIRECT("R[-1]C", FALSE)) + A_Trung[[#This Row],[THÀNH TIỀN]] - A_Trung[[#This Row],[THANH TOÁN]]</f>
        <v>305814655</v>
      </c>
      <c r="K14" s="24"/>
      <c r="P14" s="35"/>
    </row>
    <row r="15" spans="1:16" x14ac:dyDescent="0.25">
      <c r="A15" s="22">
        <v>7822</v>
      </c>
      <c r="B15" s="29">
        <v>46084</v>
      </c>
      <c r="C15" s="23" t="s">
        <v>13</v>
      </c>
      <c r="D15" s="37" t="s">
        <v>109</v>
      </c>
      <c r="E15" s="23" t="s">
        <v>110</v>
      </c>
      <c r="F15" s="31">
        <v>462</v>
      </c>
      <c r="G15" s="31">
        <v>55000</v>
      </c>
      <c r="H15" s="31">
        <f>A_Trung[[#This Row],[ĐƠN GIÁ]]*A_Trung[[#This Row],[SỐ LƯỢNG]]</f>
        <v>25410000</v>
      </c>
      <c r="I15" s="28"/>
      <c r="J15" s="31">
        <f ca="1">N(INDIRECT("R[-1]C", FALSE)) + A_Trung[[#This Row],[THÀNH TIỀN]] - A_Trung[[#This Row],[THANH TOÁN]]</f>
        <v>331224655</v>
      </c>
      <c r="K15" s="27"/>
    </row>
    <row r="16" spans="1:16" x14ac:dyDescent="0.25">
      <c r="A16" s="22">
        <v>7822</v>
      </c>
      <c r="B16" s="29">
        <v>46084</v>
      </c>
      <c r="C16" s="23" t="s">
        <v>13</v>
      </c>
      <c r="D16" s="37" t="s">
        <v>103</v>
      </c>
      <c r="E16" s="23" t="s">
        <v>288</v>
      </c>
      <c r="F16" s="31">
        <v>58</v>
      </c>
      <c r="G16" s="31">
        <v>35000</v>
      </c>
      <c r="H16" s="31">
        <f>A_Trung[[#This Row],[ĐƠN GIÁ]]*A_Trung[[#This Row],[SỐ LƯỢNG]]</f>
        <v>2030000</v>
      </c>
      <c r="I16" s="31"/>
      <c r="J16" s="31">
        <f ca="1">N(INDIRECT("R[-1]C", FALSE)) + A_Trung[[#This Row],[THÀNH TIỀN]] - A_Trung[[#This Row],[THANH TOÁN]]</f>
        <v>333254655</v>
      </c>
      <c r="K16" s="24"/>
    </row>
    <row r="17" spans="1:11" x14ac:dyDescent="0.25">
      <c r="A17" s="22">
        <v>7822</v>
      </c>
      <c r="B17" s="29">
        <v>46084</v>
      </c>
      <c r="C17" s="23" t="s">
        <v>13</v>
      </c>
      <c r="D17" s="37" t="s">
        <v>103</v>
      </c>
      <c r="E17" s="23" t="s">
        <v>117</v>
      </c>
      <c r="F17" s="31">
        <v>58</v>
      </c>
      <c r="G17" s="31">
        <v>35000</v>
      </c>
      <c r="H17" s="31">
        <f>A_Trung[[#This Row],[ĐƠN GIÁ]]*A_Trung[[#This Row],[SỐ LƯỢNG]]</f>
        <v>2030000</v>
      </c>
      <c r="I17" s="31"/>
      <c r="J17" s="31">
        <f ca="1">N(INDIRECT("R[-1]C", FALSE)) + A_Trung[[#This Row],[THÀNH TIỀN]] - A_Trung[[#This Row],[THANH TOÁN]]</f>
        <v>335284655</v>
      </c>
      <c r="K17" s="24"/>
    </row>
    <row r="18" spans="1:11" x14ac:dyDescent="0.25">
      <c r="A18" s="22">
        <v>7822</v>
      </c>
      <c r="B18" s="29">
        <v>46084</v>
      </c>
      <c r="C18" s="23" t="s">
        <v>13</v>
      </c>
      <c r="D18" s="37" t="s">
        <v>43</v>
      </c>
      <c r="E18" s="23" t="s">
        <v>117</v>
      </c>
      <c r="F18" s="31">
        <v>699</v>
      </c>
      <c r="G18" s="31">
        <v>55000</v>
      </c>
      <c r="H18" s="31">
        <f>A_Trung[[#This Row],[ĐƠN GIÁ]]*A_Trung[[#This Row],[SỐ LƯỢNG]]</f>
        <v>38445000</v>
      </c>
      <c r="I18" s="31"/>
      <c r="J18" s="31">
        <f ca="1">N(INDIRECT("R[-1]C", FALSE)) + A_Trung[[#This Row],[THÀNH TIỀN]] - A_Trung[[#This Row],[THANH TOÁN]]</f>
        <v>373729655</v>
      </c>
      <c r="K18" s="24"/>
    </row>
    <row r="19" spans="1:11" x14ac:dyDescent="0.25">
      <c r="A19" s="22">
        <v>7822</v>
      </c>
      <c r="B19" s="29">
        <v>46084</v>
      </c>
      <c r="C19" s="23" t="s">
        <v>13</v>
      </c>
      <c r="D19" s="37" t="s">
        <v>43</v>
      </c>
      <c r="E19" s="23" t="s">
        <v>154</v>
      </c>
      <c r="F19" s="31">
        <v>810</v>
      </c>
      <c r="G19" s="31">
        <v>54000</v>
      </c>
      <c r="H19" s="31">
        <f>A_Trung[[#This Row],[ĐƠN GIÁ]]*A_Trung[[#This Row],[SỐ LƯỢNG]]</f>
        <v>43740000</v>
      </c>
      <c r="I19" s="31"/>
      <c r="J19" s="31">
        <f ca="1">N(INDIRECT("R[-1]C", FALSE)) + A_Trung[[#This Row],[THÀNH TIỀN]] - A_Trung[[#This Row],[THANH TOÁN]]</f>
        <v>417469655</v>
      </c>
      <c r="K19" s="24"/>
    </row>
    <row r="20" spans="1:11" x14ac:dyDescent="0.25">
      <c r="A20" s="22"/>
      <c r="B20" s="29">
        <v>46084</v>
      </c>
      <c r="C20" s="23" t="s">
        <v>21</v>
      </c>
      <c r="D20" s="37"/>
      <c r="E20" s="23"/>
      <c r="F20" s="31">
        <v>0</v>
      </c>
      <c r="G20" s="31"/>
      <c r="H20" s="31">
        <f>A_Trung[[#This Row],[ĐƠN GIÁ]]*A_Trung[[#This Row],[SỐ LƯỢNG]]</f>
        <v>0</v>
      </c>
      <c r="I20" s="31">
        <v>41778000</v>
      </c>
      <c r="J20" s="31">
        <f ca="1">N(INDIRECT("R[-1]C", FALSE)) + A_Trung[[#This Row],[THÀNH TIỀN]] - A_Trung[[#This Row],[THANH TOÁN]]</f>
        <v>375691655</v>
      </c>
      <c r="K20" s="24"/>
    </row>
    <row r="21" spans="1:11" x14ac:dyDescent="0.25">
      <c r="A21" s="25">
        <v>7838</v>
      </c>
      <c r="B21" s="30">
        <v>46085</v>
      </c>
      <c r="C21" s="26" t="s">
        <v>13</v>
      </c>
      <c r="D21" s="38" t="s">
        <v>109</v>
      </c>
      <c r="E21" s="26" t="s">
        <v>832</v>
      </c>
      <c r="F21" s="28">
        <v>164</v>
      </c>
      <c r="G21" s="28">
        <v>64000</v>
      </c>
      <c r="H21" s="28">
        <f>A_Trung[[#This Row],[ĐƠN GIÁ]]*A_Trung[[#This Row],[SỐ LƯỢNG]]</f>
        <v>10496000</v>
      </c>
      <c r="I21" s="28"/>
      <c r="J21" s="28">
        <f ca="1">N(INDIRECT("R[-1]C", FALSE)) + A_Trung[[#This Row],[THÀNH TIỀN]] - A_Trung[[#This Row],[THANH TOÁN]]</f>
        <v>386187655</v>
      </c>
      <c r="K21" s="27"/>
    </row>
    <row r="22" spans="1:11" x14ac:dyDescent="0.25">
      <c r="A22" s="25">
        <v>7838</v>
      </c>
      <c r="B22" s="30">
        <v>46085</v>
      </c>
      <c r="C22" s="26" t="s">
        <v>13</v>
      </c>
      <c r="D22" s="38" t="s">
        <v>109</v>
      </c>
      <c r="E22" s="26" t="s">
        <v>833</v>
      </c>
      <c r="F22" s="28">
        <v>336</v>
      </c>
      <c r="G22" s="28">
        <v>64000</v>
      </c>
      <c r="H22" s="28">
        <f>A_Trung[[#This Row],[ĐƠN GIÁ]]*A_Trung[[#This Row],[SỐ LƯỢNG]]</f>
        <v>21504000</v>
      </c>
      <c r="I22" s="28"/>
      <c r="J22" s="28">
        <f ca="1">N(INDIRECT("R[-1]C", FALSE)) + A_Trung[[#This Row],[THÀNH TIỀN]] - A_Trung[[#This Row],[THANH TOÁN]]</f>
        <v>407691655</v>
      </c>
      <c r="K22" s="27"/>
    </row>
    <row r="23" spans="1:11" x14ac:dyDescent="0.25">
      <c r="A23" s="25">
        <v>7903</v>
      </c>
      <c r="B23" s="30">
        <v>46087</v>
      </c>
      <c r="C23" s="26" t="s">
        <v>13</v>
      </c>
      <c r="D23" s="38" t="s">
        <v>26</v>
      </c>
      <c r="E23" s="26" t="s">
        <v>834</v>
      </c>
      <c r="F23" s="28">
        <f>1896+1557+1413+1207</f>
        <v>6073</v>
      </c>
      <c r="G23" s="28">
        <v>34000</v>
      </c>
      <c r="H23" s="28">
        <f>A_Trung[[#This Row],[ĐƠN GIÁ]]*A_Trung[[#This Row],[SỐ LƯỢNG]]</f>
        <v>206482000</v>
      </c>
      <c r="I23" s="28"/>
      <c r="J23" s="28">
        <f ca="1">N(INDIRECT("R[-1]C", FALSE)) + A_Trung[[#This Row],[THÀNH TIỀN]] - A_Trung[[#This Row],[THANH TOÁN]]</f>
        <v>614173655</v>
      </c>
      <c r="K23" s="27"/>
    </row>
    <row r="24" spans="1:11" x14ac:dyDescent="0.25">
      <c r="A24" s="25">
        <v>7903</v>
      </c>
      <c r="B24" s="30">
        <v>46087</v>
      </c>
      <c r="C24" s="26" t="s">
        <v>84</v>
      </c>
      <c r="D24" s="38" t="s">
        <v>26</v>
      </c>
      <c r="E24" s="23" t="s">
        <v>834</v>
      </c>
      <c r="F24" s="31">
        <v>6073</v>
      </c>
      <c r="G24" s="31">
        <v>500</v>
      </c>
      <c r="H24" s="31">
        <f>A_Trung[[#This Row],[ĐƠN GIÁ]]*A_Trung[[#This Row],[SỐ LƯỢNG]]</f>
        <v>3036500</v>
      </c>
      <c r="I24" s="31"/>
      <c r="J24" s="31">
        <f ca="1">N(INDIRECT("R[-1]C", FALSE)) + A_Trung[[#This Row],[THÀNH TIỀN]] - A_Trung[[#This Row],[THANH TOÁN]]</f>
        <v>617210155</v>
      </c>
      <c r="K24" s="24"/>
    </row>
    <row r="25" spans="1:11" x14ac:dyDescent="0.25">
      <c r="A25" s="25">
        <v>7903</v>
      </c>
      <c r="B25" s="30">
        <v>46087</v>
      </c>
      <c r="C25" s="26" t="s">
        <v>13</v>
      </c>
      <c r="D25" s="38" t="s">
        <v>103</v>
      </c>
      <c r="E25" s="26" t="s">
        <v>117</v>
      </c>
      <c r="F25" s="28">
        <v>98</v>
      </c>
      <c r="G25" s="28">
        <v>36000</v>
      </c>
      <c r="H25" s="28">
        <f>A_Trung[[#This Row],[ĐƠN GIÁ]]*A_Trung[[#This Row],[SỐ LƯỢNG]]</f>
        <v>3528000</v>
      </c>
      <c r="I25" s="28"/>
      <c r="J25" s="28">
        <f ca="1">N(INDIRECT("R[-1]C", FALSE)) + A_Trung[[#This Row],[THÀNH TIỀN]] - A_Trung[[#This Row],[THANH TOÁN]]</f>
        <v>620738155</v>
      </c>
      <c r="K25" s="27"/>
    </row>
    <row r="26" spans="1:11" x14ac:dyDescent="0.25">
      <c r="A26" s="25">
        <v>7903</v>
      </c>
      <c r="B26" s="30">
        <v>46087</v>
      </c>
      <c r="C26" s="26" t="s">
        <v>13</v>
      </c>
      <c r="D26" s="56" t="s">
        <v>103</v>
      </c>
      <c r="E26" s="73" t="s">
        <v>835</v>
      </c>
      <c r="F26" s="74">
        <v>272</v>
      </c>
      <c r="G26" s="74">
        <v>0</v>
      </c>
      <c r="H26" s="74">
        <f>A_Trung[[#This Row],[ĐƠN GIÁ]]*A_Trung[[#This Row],[SỐ LƯỢNG]]</f>
        <v>0</v>
      </c>
      <c r="I26" s="74"/>
      <c r="J26" s="74">
        <f ca="1">N(INDIRECT("R[-1]C", FALSE)) + A_Trung[[#This Row],[THÀNH TIỀN]] - A_Trung[[#This Row],[THANH TOÁN]]</f>
        <v>620738155</v>
      </c>
      <c r="K26" s="75"/>
    </row>
    <row r="27" spans="1:11" x14ac:dyDescent="0.25">
      <c r="A27" s="25">
        <v>7903</v>
      </c>
      <c r="B27" s="30">
        <v>46087</v>
      </c>
      <c r="C27" s="26" t="s">
        <v>13</v>
      </c>
      <c r="D27" s="38" t="s">
        <v>68</v>
      </c>
      <c r="E27" s="26" t="s">
        <v>380</v>
      </c>
      <c r="F27" s="28">
        <v>24</v>
      </c>
      <c r="G27" s="28">
        <v>41000</v>
      </c>
      <c r="H27" s="28">
        <f>A_Trung[[#This Row],[ĐƠN GIÁ]]*A_Trung[[#This Row],[SỐ LƯỢNG]]</f>
        <v>984000</v>
      </c>
      <c r="I27" s="28"/>
      <c r="J27" s="28">
        <f ca="1">N(INDIRECT("R[-1]C", FALSE)) + A_Trung[[#This Row],[THÀNH TIỀN]] - A_Trung[[#This Row],[THANH TOÁN]]</f>
        <v>621722155</v>
      </c>
      <c r="K27" s="27"/>
    </row>
    <row r="28" spans="1:11" x14ac:dyDescent="0.25">
      <c r="A28" s="25"/>
      <c r="B28" s="30">
        <v>46088</v>
      </c>
      <c r="C28" s="26" t="s">
        <v>21</v>
      </c>
      <c r="D28" s="38" t="s">
        <v>22</v>
      </c>
      <c r="E28" s="26" t="s">
        <v>261</v>
      </c>
      <c r="F28" s="28">
        <v>0</v>
      </c>
      <c r="G28" s="28">
        <v>0</v>
      </c>
      <c r="H28" s="28">
        <f>A_Trung[[#This Row],[ĐƠN GIÁ]]*A_Trung[[#This Row],[SỐ LƯỢNG]]</f>
        <v>0</v>
      </c>
      <c r="I28" s="28">
        <v>100000000</v>
      </c>
      <c r="J28" s="28">
        <f ca="1">N(INDIRECT("R[-1]C", FALSE)) + A_Trung[[#This Row],[THÀNH TIỀN]] - A_Trung[[#This Row],[THANH TOÁN]]</f>
        <v>521722155</v>
      </c>
      <c r="K28" s="27" t="s">
        <v>850</v>
      </c>
    </row>
    <row r="29" spans="1:11" x14ac:dyDescent="0.25">
      <c r="A29" s="25">
        <v>7964</v>
      </c>
      <c r="B29" s="30">
        <v>46090</v>
      </c>
      <c r="C29" s="26" t="s">
        <v>13</v>
      </c>
      <c r="D29" s="38" t="s">
        <v>317</v>
      </c>
      <c r="E29" s="26" t="s">
        <v>836</v>
      </c>
      <c r="F29" s="28">
        <v>64</v>
      </c>
      <c r="G29" s="28">
        <v>58000</v>
      </c>
      <c r="H29" s="28">
        <f>A_Trung[[#This Row],[ĐƠN GIÁ]]*A_Trung[[#This Row],[SỐ LƯỢNG]]</f>
        <v>3712000</v>
      </c>
      <c r="I29" s="28"/>
      <c r="J29" s="28">
        <f ca="1">N(INDIRECT("R[-1]C", FALSE)) + A_Trung[[#This Row],[THÀNH TIỀN]] - A_Trung[[#This Row],[THANH TOÁN]]</f>
        <v>525434155</v>
      </c>
      <c r="K29" s="27"/>
    </row>
    <row r="30" spans="1:11" x14ac:dyDescent="0.25">
      <c r="A30" s="25">
        <v>7964</v>
      </c>
      <c r="B30" s="30">
        <v>46090</v>
      </c>
      <c r="C30" s="26" t="s">
        <v>13</v>
      </c>
      <c r="D30" s="38" t="s">
        <v>17</v>
      </c>
      <c r="E30" s="26" t="s">
        <v>220</v>
      </c>
      <c r="F30" s="28">
        <v>136</v>
      </c>
      <c r="G30" s="28">
        <v>59000</v>
      </c>
      <c r="H30" s="28">
        <f>A_Trung[[#This Row],[ĐƠN GIÁ]]*A_Trung[[#This Row],[SỐ LƯỢNG]]</f>
        <v>8024000</v>
      </c>
      <c r="I30" s="28"/>
      <c r="J30" s="28">
        <f ca="1">N(INDIRECT("R[-1]C", FALSE)) + A_Trung[[#This Row],[THÀNH TIỀN]] - A_Trung[[#This Row],[THANH TOÁN]]</f>
        <v>533458155</v>
      </c>
      <c r="K30" s="27"/>
    </row>
    <row r="31" spans="1:11" x14ac:dyDescent="0.25">
      <c r="A31" s="25">
        <v>7964</v>
      </c>
      <c r="B31" s="30">
        <v>46090</v>
      </c>
      <c r="C31" s="26" t="s">
        <v>13</v>
      </c>
      <c r="D31" s="38" t="s">
        <v>109</v>
      </c>
      <c r="E31" s="26" t="s">
        <v>110</v>
      </c>
      <c r="F31" s="28">
        <v>394</v>
      </c>
      <c r="G31" s="28">
        <v>55000</v>
      </c>
      <c r="H31" s="28">
        <f>A_Trung[[#This Row],[ĐƠN GIÁ]]*A_Trung[[#This Row],[SỐ LƯỢNG]]</f>
        <v>21670000</v>
      </c>
      <c r="I31" s="28"/>
      <c r="J31" s="28">
        <f ca="1">N(INDIRECT("R[-1]C", FALSE)) + A_Trung[[#This Row],[THÀNH TIỀN]] - A_Trung[[#This Row],[THANH TOÁN]]</f>
        <v>555128155</v>
      </c>
      <c r="K31" s="27"/>
    </row>
    <row r="32" spans="1:11" x14ac:dyDescent="0.25">
      <c r="A32" s="25">
        <v>7964</v>
      </c>
      <c r="B32" s="30">
        <v>46090</v>
      </c>
      <c r="C32" s="26" t="s">
        <v>13</v>
      </c>
      <c r="D32" s="38" t="s">
        <v>50</v>
      </c>
      <c r="E32" s="26" t="s">
        <v>380</v>
      </c>
      <c r="F32" s="28">
        <v>10</v>
      </c>
      <c r="G32" s="28">
        <v>59000</v>
      </c>
      <c r="H32" s="28">
        <f>A_Trung[[#This Row],[ĐƠN GIÁ]]*A_Trung[[#This Row],[SỐ LƯỢNG]]</f>
        <v>590000</v>
      </c>
      <c r="I32" s="28"/>
      <c r="J32" s="28">
        <f ca="1">N(INDIRECT("R[-1]C", FALSE)) + A_Trung[[#This Row],[THÀNH TIỀN]] - A_Trung[[#This Row],[THANH TOÁN]]</f>
        <v>555718155</v>
      </c>
      <c r="K32" s="27"/>
    </row>
    <row r="33" spans="1:11" x14ac:dyDescent="0.25">
      <c r="A33" s="25">
        <v>7964</v>
      </c>
      <c r="B33" s="30">
        <v>46090</v>
      </c>
      <c r="C33" s="26" t="s">
        <v>13</v>
      </c>
      <c r="D33" s="38" t="s">
        <v>109</v>
      </c>
      <c r="E33" s="26" t="s">
        <v>837</v>
      </c>
      <c r="F33" s="28">
        <v>1074</v>
      </c>
      <c r="G33" s="28">
        <v>55500</v>
      </c>
      <c r="H33" s="28">
        <f>A_Trung[[#This Row],[ĐƠN GIÁ]]*A_Trung[[#This Row],[SỐ LƯỢNG]]</f>
        <v>59607000</v>
      </c>
      <c r="I33" s="28"/>
      <c r="J33" s="28">
        <f ca="1">N(INDIRECT("R[-1]C", FALSE)) + A_Trung[[#This Row],[THÀNH TIỀN]] - A_Trung[[#This Row],[THANH TOÁN]]</f>
        <v>615325155</v>
      </c>
      <c r="K33" s="27"/>
    </row>
    <row r="34" spans="1:11" x14ac:dyDescent="0.25">
      <c r="A34" s="25">
        <v>7964</v>
      </c>
      <c r="B34" s="30">
        <v>46090</v>
      </c>
      <c r="C34" s="26" t="s">
        <v>13</v>
      </c>
      <c r="D34" s="38" t="s">
        <v>14</v>
      </c>
      <c r="E34" s="26" t="s">
        <v>65</v>
      </c>
      <c r="F34" s="28">
        <v>260</v>
      </c>
      <c r="G34" s="28">
        <v>44000</v>
      </c>
      <c r="H34" s="28">
        <f>A_Trung[[#This Row],[ĐƠN GIÁ]]*A_Trung[[#This Row],[SỐ LƯỢNG]]</f>
        <v>11440000</v>
      </c>
      <c r="I34" s="28"/>
      <c r="J34" s="28">
        <f ca="1">N(INDIRECT("R[-1]C", FALSE)) + A_Trung[[#This Row],[THÀNH TIỀN]] - A_Trung[[#This Row],[THANH TOÁN]]</f>
        <v>626765155</v>
      </c>
      <c r="K34" s="27"/>
    </row>
    <row r="35" spans="1:11" x14ac:dyDescent="0.25">
      <c r="A35" s="25">
        <v>7964</v>
      </c>
      <c r="B35" s="30">
        <v>46090</v>
      </c>
      <c r="C35" s="26" t="s">
        <v>13</v>
      </c>
      <c r="D35" s="38" t="s">
        <v>135</v>
      </c>
      <c r="E35" s="26" t="s">
        <v>179</v>
      </c>
      <c r="F35" s="28">
        <v>244</v>
      </c>
      <c r="G35" s="28">
        <v>36500</v>
      </c>
      <c r="H35" s="28">
        <f>A_Trung[[#This Row],[ĐƠN GIÁ]]*A_Trung[[#This Row],[SỐ LƯỢNG]]</f>
        <v>8906000</v>
      </c>
      <c r="I35" s="28"/>
      <c r="J35" s="28">
        <f ca="1">N(INDIRECT("R[-1]C", FALSE)) + A_Trung[[#This Row],[THÀNH TIỀN]] - A_Trung[[#This Row],[THANH TOÁN]]</f>
        <v>635671155</v>
      </c>
      <c r="K35" s="27"/>
    </row>
    <row r="36" spans="1:11" x14ac:dyDescent="0.25">
      <c r="A36" s="25">
        <v>7964</v>
      </c>
      <c r="B36" s="30">
        <v>46090</v>
      </c>
      <c r="C36" s="26" t="s">
        <v>13</v>
      </c>
      <c r="D36" s="38" t="s">
        <v>50</v>
      </c>
      <c r="E36" s="26" t="s">
        <v>146</v>
      </c>
      <c r="F36" s="28">
        <v>180</v>
      </c>
      <c r="G36" s="31">
        <v>58000</v>
      </c>
      <c r="H36" s="31">
        <f>A_Trung[[#This Row],[ĐƠN GIÁ]]*A_Trung[[#This Row],[SỐ LƯỢNG]]</f>
        <v>10440000</v>
      </c>
      <c r="I36" s="31"/>
      <c r="J36" s="31">
        <f ca="1">N(INDIRECT("R[-1]C", FALSE)) + A_Trung[[#This Row],[THÀNH TIỀN]] - A_Trung[[#This Row],[THANH TOÁN]]</f>
        <v>646111155</v>
      </c>
      <c r="K36" s="24"/>
    </row>
    <row r="37" spans="1:11" x14ac:dyDescent="0.25">
      <c r="A37" s="25"/>
      <c r="B37" s="30">
        <v>46090</v>
      </c>
      <c r="C37" s="26" t="s">
        <v>21</v>
      </c>
      <c r="D37" s="38" t="s">
        <v>22</v>
      </c>
      <c r="E37" s="26" t="s">
        <v>261</v>
      </c>
      <c r="F37" s="28">
        <v>0</v>
      </c>
      <c r="G37" s="28">
        <v>0</v>
      </c>
      <c r="H37" s="28">
        <f>A_Trung[[#This Row],[ĐƠN GIÁ]]*A_Trung[[#This Row],[SỐ LƯỢNG]]</f>
        <v>0</v>
      </c>
      <c r="I37" s="28">
        <v>41536935</v>
      </c>
      <c r="J37" s="28">
        <f ca="1">N(INDIRECT("R[-1]C", FALSE)) + A_Trung[[#This Row],[THÀNH TIỀN]] - A_Trung[[#This Row],[THANH TOÁN]]</f>
        <v>604574220</v>
      </c>
      <c r="K37" s="27" t="s">
        <v>851</v>
      </c>
    </row>
    <row r="38" spans="1:11" x14ac:dyDescent="0.25">
      <c r="A38" s="25"/>
      <c r="B38" s="30">
        <v>46091</v>
      </c>
      <c r="C38" s="26" t="s">
        <v>21</v>
      </c>
      <c r="D38" s="38" t="s">
        <v>22</v>
      </c>
      <c r="E38" s="26" t="s">
        <v>147</v>
      </c>
      <c r="F38" s="28">
        <v>0</v>
      </c>
      <c r="G38" s="28">
        <v>0</v>
      </c>
      <c r="H38" s="28">
        <f>A_Trung[[#This Row],[ĐƠN GIÁ]]*A_Trung[[#This Row],[SỐ LƯỢNG]]</f>
        <v>0</v>
      </c>
      <c r="I38" s="28">
        <v>93147820</v>
      </c>
      <c r="J38" s="28">
        <f ca="1">N(INDIRECT("R[-1]C", FALSE)) + A_Trung[[#This Row],[THÀNH TIỀN]] - A_Trung[[#This Row],[THANH TOÁN]]</f>
        <v>511426400</v>
      </c>
      <c r="K38" s="27" t="s">
        <v>849</v>
      </c>
    </row>
    <row r="39" spans="1:11" x14ac:dyDescent="0.25">
      <c r="A39" s="71">
        <v>8003</v>
      </c>
      <c r="B39" s="72">
        <v>46092</v>
      </c>
      <c r="C39" s="73" t="s">
        <v>838</v>
      </c>
      <c r="D39" s="56" t="s">
        <v>839</v>
      </c>
      <c r="E39" s="55" t="s">
        <v>840</v>
      </c>
      <c r="F39" s="57">
        <v>2038</v>
      </c>
      <c r="G39" s="57"/>
      <c r="H39" s="57">
        <f>A_Trung[[#This Row],[ĐƠN GIÁ]]*A_Trung[[#This Row],[SỐ LƯỢNG]]</f>
        <v>0</v>
      </c>
      <c r="I39" s="57"/>
      <c r="J39" s="57">
        <f ca="1">N(INDIRECT("R[-1]C", FALSE)) + A_Trung[[#This Row],[THÀNH TIỀN]] - A_Trung[[#This Row],[THANH TOÁN]]</f>
        <v>511426400</v>
      </c>
      <c r="K39" s="58"/>
    </row>
    <row r="40" spans="1:11" x14ac:dyDescent="0.25">
      <c r="A40" s="25">
        <v>8134</v>
      </c>
      <c r="B40" s="30">
        <v>46097</v>
      </c>
      <c r="C40" s="26" t="s">
        <v>13</v>
      </c>
      <c r="D40" s="38" t="s">
        <v>841</v>
      </c>
      <c r="E40" s="26" t="s">
        <v>40</v>
      </c>
      <c r="F40" s="28">
        <f>733-59</f>
        <v>674</v>
      </c>
      <c r="G40" s="28">
        <v>34000</v>
      </c>
      <c r="H40" s="28">
        <f>A_Trung[[#This Row],[ĐƠN GIÁ]]*A_Trung[[#This Row],[SỐ LƯỢNG]]</f>
        <v>22916000</v>
      </c>
      <c r="I40" s="28"/>
      <c r="J40" s="28">
        <f ca="1">N(INDIRECT("R[-1]C", FALSE)) + A_Trung[[#This Row],[THÀNH TIỀN]] - A_Trung[[#This Row],[THANH TOÁN]]</f>
        <v>534342400</v>
      </c>
      <c r="K40" s="27"/>
    </row>
    <row r="41" spans="1:11" x14ac:dyDescent="0.25">
      <c r="A41" s="25">
        <v>8134</v>
      </c>
      <c r="B41" s="30">
        <v>46097</v>
      </c>
      <c r="C41" s="26" t="s">
        <v>84</v>
      </c>
      <c r="D41" s="38" t="s">
        <v>841</v>
      </c>
      <c r="E41" s="23" t="s">
        <v>40</v>
      </c>
      <c r="F41" s="31">
        <f>733-59</f>
        <v>674</v>
      </c>
      <c r="G41" s="31">
        <v>500</v>
      </c>
      <c r="H41" s="31">
        <f>A_Trung[[#This Row],[ĐƠN GIÁ]]*A_Trung[[#This Row],[SỐ LƯỢNG]]</f>
        <v>337000</v>
      </c>
      <c r="I41" s="31"/>
      <c r="J41" s="31">
        <f ca="1">N(INDIRECT("R[-1]C", FALSE)) + A_Trung[[#This Row],[THÀNH TIỀN]] - A_Trung[[#This Row],[THANH TOÁN]]</f>
        <v>534679400</v>
      </c>
      <c r="K41" s="24"/>
    </row>
    <row r="42" spans="1:11" x14ac:dyDescent="0.25">
      <c r="A42" s="25">
        <v>8134</v>
      </c>
      <c r="B42" s="30">
        <v>46097</v>
      </c>
      <c r="C42" s="26" t="s">
        <v>13</v>
      </c>
      <c r="D42" s="38" t="s">
        <v>317</v>
      </c>
      <c r="E42" s="23" t="s">
        <v>288</v>
      </c>
      <c r="F42" s="31">
        <v>116</v>
      </c>
      <c r="G42" s="31">
        <v>62000</v>
      </c>
      <c r="H42" s="31">
        <f>A_Trung[[#This Row],[ĐƠN GIÁ]]*A_Trung[[#This Row],[SỐ LƯỢNG]]</f>
        <v>7192000</v>
      </c>
      <c r="I42" s="31"/>
      <c r="J42" s="31">
        <f ca="1">N(INDIRECT("R[-1]C", FALSE)) + A_Trung[[#This Row],[THÀNH TIỀN]] - A_Trung[[#This Row],[THANH TOÁN]]</f>
        <v>541871400</v>
      </c>
      <c r="K42" s="24"/>
    </row>
    <row r="43" spans="1:11" x14ac:dyDescent="0.25">
      <c r="A43" s="25"/>
      <c r="B43" s="30">
        <v>46097</v>
      </c>
      <c r="C43" s="26" t="s">
        <v>21</v>
      </c>
      <c r="D43" s="38"/>
      <c r="E43" s="26"/>
      <c r="F43" s="28">
        <v>0</v>
      </c>
      <c r="G43" s="28"/>
      <c r="H43" s="28">
        <f>A_Trung[[#This Row],[ĐƠN GIÁ]]*A_Trung[[#This Row],[SỐ LƯỢNG]]</f>
        <v>0</v>
      </c>
      <c r="I43" s="28">
        <v>16616976</v>
      </c>
      <c r="J43" s="28">
        <f ca="1">N(INDIRECT("R[-1]C", FALSE)) + A_Trung[[#This Row],[THÀNH TIỀN]] - A_Trung[[#This Row],[THANH TOÁN]]</f>
        <v>525254424</v>
      </c>
      <c r="K43" s="27"/>
    </row>
    <row r="44" spans="1:11" x14ac:dyDescent="0.25">
      <c r="A44" s="25">
        <v>8176</v>
      </c>
      <c r="B44" s="30">
        <v>46099</v>
      </c>
      <c r="C44" s="26" t="s">
        <v>13</v>
      </c>
      <c r="D44" s="38" t="s">
        <v>17</v>
      </c>
      <c r="E44" s="26" t="s">
        <v>211</v>
      </c>
      <c r="F44" s="28">
        <v>254</v>
      </c>
      <c r="G44" s="28">
        <v>65000</v>
      </c>
      <c r="H44" s="28">
        <f>A_Trung[[#This Row],[ĐƠN GIÁ]]*A_Trung[[#This Row],[SỐ LƯỢNG]]</f>
        <v>16510000</v>
      </c>
      <c r="I44" s="28"/>
      <c r="J44" s="28">
        <f ca="1">N(INDIRECT("R[-1]C", FALSE)) + A_Trung[[#This Row],[THÀNH TIỀN]] - A_Trung[[#This Row],[THANH TOÁN]]</f>
        <v>541764424</v>
      </c>
      <c r="K44" s="27"/>
    </row>
    <row r="45" spans="1:11" x14ac:dyDescent="0.25">
      <c r="A45" s="25">
        <v>8176</v>
      </c>
      <c r="B45" s="30">
        <v>46099</v>
      </c>
      <c r="C45" s="26" t="s">
        <v>13</v>
      </c>
      <c r="D45" s="38" t="s">
        <v>17</v>
      </c>
      <c r="E45" s="26" t="s">
        <v>211</v>
      </c>
      <c r="F45" s="28">
        <v>786</v>
      </c>
      <c r="G45" s="28">
        <v>65000</v>
      </c>
      <c r="H45" s="28">
        <f>A_Trung[[#This Row],[ĐƠN GIÁ]]*A_Trung[[#This Row],[SỐ LƯỢNG]]</f>
        <v>51090000</v>
      </c>
      <c r="I45" s="28"/>
      <c r="J45" s="28">
        <f ca="1">N(INDIRECT("R[-1]C", FALSE)) + A_Trung[[#This Row],[THÀNH TIỀN]] - A_Trung[[#This Row],[THANH TOÁN]]</f>
        <v>592854424</v>
      </c>
      <c r="K45" s="27"/>
    </row>
    <row r="46" spans="1:11" x14ac:dyDescent="0.25">
      <c r="A46" s="25">
        <v>8176</v>
      </c>
      <c r="B46" s="30">
        <v>46099</v>
      </c>
      <c r="C46" s="26" t="s">
        <v>13</v>
      </c>
      <c r="D46" s="38" t="s">
        <v>26</v>
      </c>
      <c r="E46" s="26" t="s">
        <v>230</v>
      </c>
      <c r="F46" s="28">
        <v>119</v>
      </c>
      <c r="G46" s="28">
        <v>36000</v>
      </c>
      <c r="H46" s="28">
        <f>A_Trung[[#This Row],[ĐƠN GIÁ]]*A_Trung[[#This Row],[SỐ LƯỢNG]]</f>
        <v>4284000</v>
      </c>
      <c r="I46" s="28"/>
      <c r="J46" s="28">
        <f ca="1">N(INDIRECT("R[-1]C", FALSE)) + A_Trung[[#This Row],[THÀNH TIỀN]] - A_Trung[[#This Row],[THANH TOÁN]]</f>
        <v>597138424</v>
      </c>
      <c r="K46" s="27"/>
    </row>
    <row r="47" spans="1:11" x14ac:dyDescent="0.25">
      <c r="A47" s="25">
        <v>8176</v>
      </c>
      <c r="B47" s="30">
        <v>46099</v>
      </c>
      <c r="C47" s="26" t="s">
        <v>13</v>
      </c>
      <c r="D47" s="38" t="s">
        <v>26</v>
      </c>
      <c r="E47" s="26" t="s">
        <v>117</v>
      </c>
      <c r="F47" s="28">
        <v>98</v>
      </c>
      <c r="G47" s="28">
        <v>35000</v>
      </c>
      <c r="H47" s="28">
        <f>A_Trung[[#This Row],[ĐƠN GIÁ]]*A_Trung[[#This Row],[SỐ LƯỢNG]]</f>
        <v>3430000</v>
      </c>
      <c r="I47" s="28"/>
      <c r="J47" s="28">
        <f ca="1">N(INDIRECT("R[-1]C", FALSE)) + A_Trung[[#This Row],[THÀNH TIỀN]] - A_Trung[[#This Row],[THANH TOÁN]]</f>
        <v>600568424</v>
      </c>
      <c r="K47" s="27"/>
    </row>
    <row r="48" spans="1:11" x14ac:dyDescent="0.25">
      <c r="A48" s="25">
        <v>8176</v>
      </c>
      <c r="B48" s="30">
        <v>46099</v>
      </c>
      <c r="C48" s="26" t="s">
        <v>13</v>
      </c>
      <c r="D48" s="38" t="s">
        <v>45</v>
      </c>
      <c r="E48" s="26" t="s">
        <v>842</v>
      </c>
      <c r="F48" s="28">
        <v>318</v>
      </c>
      <c r="G48" s="28">
        <v>31000</v>
      </c>
      <c r="H48" s="28">
        <f>A_Trung[[#This Row],[ĐƠN GIÁ]]*A_Trung[[#This Row],[SỐ LƯỢNG]]</f>
        <v>9858000</v>
      </c>
      <c r="I48" s="28"/>
      <c r="J48" s="28">
        <f ca="1">N(INDIRECT("R[-1]C", FALSE)) + A_Trung[[#This Row],[THÀNH TIỀN]] - A_Trung[[#This Row],[THANH TOÁN]]</f>
        <v>610426424</v>
      </c>
      <c r="K48" s="27"/>
    </row>
    <row r="49" spans="1:11" x14ac:dyDescent="0.25">
      <c r="A49" s="25">
        <v>8176</v>
      </c>
      <c r="B49" s="30">
        <v>46099</v>
      </c>
      <c r="C49" s="26" t="s">
        <v>13</v>
      </c>
      <c r="D49" s="38" t="s">
        <v>50</v>
      </c>
      <c r="E49" s="26" t="s">
        <v>843</v>
      </c>
      <c r="F49" s="28">
        <v>102</v>
      </c>
      <c r="G49" s="28">
        <v>56000</v>
      </c>
      <c r="H49" s="28">
        <f>A_Trung[[#This Row],[ĐƠN GIÁ]]*A_Trung[[#This Row],[SỐ LƯỢNG]]</f>
        <v>5712000</v>
      </c>
      <c r="I49" s="28"/>
      <c r="J49" s="28">
        <f ca="1">N(INDIRECT("R[-1]C", FALSE)) + A_Trung[[#This Row],[THÀNH TIỀN]] - A_Trung[[#This Row],[THANH TOÁN]]</f>
        <v>616138424</v>
      </c>
      <c r="K49" s="27"/>
    </row>
    <row r="50" spans="1:11" x14ac:dyDescent="0.25">
      <c r="A50" s="25">
        <v>8266</v>
      </c>
      <c r="B50" s="30">
        <v>46100</v>
      </c>
      <c r="C50" s="26" t="s">
        <v>13</v>
      </c>
      <c r="D50" s="38" t="s">
        <v>77</v>
      </c>
      <c r="E50" s="26" t="s">
        <v>62</v>
      </c>
      <c r="F50" s="28">
        <v>24</v>
      </c>
      <c r="G50" s="28">
        <v>33000</v>
      </c>
      <c r="H50" s="28">
        <f>A_Trung[[#This Row],[ĐƠN GIÁ]]*A_Trung[[#This Row],[SỐ LƯỢNG]]</f>
        <v>792000</v>
      </c>
      <c r="I50" s="28"/>
      <c r="J50" s="28">
        <f ca="1">N(INDIRECT("R[-1]C", FALSE)) + A_Trung[[#This Row],[THÀNH TIỀN]] - A_Trung[[#This Row],[THANH TOÁN]]</f>
        <v>616930424</v>
      </c>
      <c r="K50" s="27"/>
    </row>
    <row r="51" spans="1:11" x14ac:dyDescent="0.25">
      <c r="A51" s="25">
        <v>8266</v>
      </c>
      <c r="B51" s="30">
        <v>46100</v>
      </c>
      <c r="C51" s="26" t="s">
        <v>13</v>
      </c>
      <c r="D51" s="38" t="s">
        <v>68</v>
      </c>
      <c r="E51" s="26" t="s">
        <v>221</v>
      </c>
      <c r="F51" s="28">
        <v>118</v>
      </c>
      <c r="G51" s="28">
        <v>41500</v>
      </c>
      <c r="H51" s="28">
        <f>A_Trung[[#This Row],[ĐƠN GIÁ]]*A_Trung[[#This Row],[SỐ LƯỢNG]]</f>
        <v>4897000</v>
      </c>
      <c r="I51" s="28"/>
      <c r="J51" s="28">
        <f ca="1">N(INDIRECT("R[-1]C", FALSE)) + A_Trung[[#This Row],[THÀNH TIỀN]] - A_Trung[[#This Row],[THANH TOÁN]]</f>
        <v>621827424</v>
      </c>
      <c r="K51" s="27"/>
    </row>
    <row r="52" spans="1:11" x14ac:dyDescent="0.25">
      <c r="A52" s="25">
        <v>8266</v>
      </c>
      <c r="B52" s="30">
        <v>46100</v>
      </c>
      <c r="C52" s="26" t="s">
        <v>13</v>
      </c>
      <c r="D52" s="38" t="s">
        <v>103</v>
      </c>
      <c r="E52" s="26" t="s">
        <v>117</v>
      </c>
      <c r="F52" s="28">
        <v>236</v>
      </c>
      <c r="G52" s="28">
        <v>38000</v>
      </c>
      <c r="H52" s="28">
        <f>A_Trung[[#This Row],[ĐƠN GIÁ]]*A_Trung[[#This Row],[SỐ LƯỢNG]]</f>
        <v>8968000</v>
      </c>
      <c r="I52" s="28"/>
      <c r="J52" s="28">
        <f ca="1">N(INDIRECT("R[-1]C", FALSE)) + A_Trung[[#This Row],[THÀNH TIỀN]] - A_Trung[[#This Row],[THANH TOÁN]]</f>
        <v>630795424</v>
      </c>
      <c r="K52" s="27"/>
    </row>
    <row r="53" spans="1:11" x14ac:dyDescent="0.25">
      <c r="A53" s="25">
        <v>8266</v>
      </c>
      <c r="B53" s="30">
        <v>46100</v>
      </c>
      <c r="C53" s="26" t="s">
        <v>13</v>
      </c>
      <c r="D53" s="38" t="s">
        <v>109</v>
      </c>
      <c r="E53" s="26" t="s">
        <v>844</v>
      </c>
      <c r="F53" s="28">
        <v>526</v>
      </c>
      <c r="G53" s="28">
        <v>68000</v>
      </c>
      <c r="H53" s="28">
        <f>A_Trung[[#This Row],[ĐƠN GIÁ]]*A_Trung[[#This Row],[SỐ LƯỢNG]]</f>
        <v>35768000</v>
      </c>
      <c r="I53" s="28"/>
      <c r="J53" s="28">
        <f ca="1">N(INDIRECT("R[-1]C", FALSE)) + A_Trung[[#This Row],[THÀNH TIỀN]] - A_Trung[[#This Row],[THANH TOÁN]]</f>
        <v>666563424</v>
      </c>
      <c r="K53" s="27"/>
    </row>
    <row r="54" spans="1:11" x14ac:dyDescent="0.25">
      <c r="A54" s="25">
        <v>8266</v>
      </c>
      <c r="B54" s="30">
        <v>46100</v>
      </c>
      <c r="C54" s="26" t="s">
        <v>13</v>
      </c>
      <c r="D54" s="38" t="s">
        <v>109</v>
      </c>
      <c r="E54" s="26" t="s">
        <v>845</v>
      </c>
      <c r="F54" s="28">
        <v>602</v>
      </c>
      <c r="G54" s="28">
        <v>68000</v>
      </c>
      <c r="H54" s="28">
        <f>A_Trung[[#This Row],[ĐƠN GIÁ]]*A_Trung[[#This Row],[SỐ LƯỢNG]]</f>
        <v>40936000</v>
      </c>
      <c r="I54" s="28"/>
      <c r="J54" s="28">
        <f ca="1">N(INDIRECT("R[-1]C", FALSE)) + A_Trung[[#This Row],[THÀNH TIỀN]] - A_Trung[[#This Row],[THANH TOÁN]]</f>
        <v>707499424</v>
      </c>
      <c r="K54" s="27"/>
    </row>
    <row r="55" spans="1:11" x14ac:dyDescent="0.25">
      <c r="A55" s="25"/>
      <c r="B55" s="30">
        <v>46101</v>
      </c>
      <c r="C55" s="26" t="s">
        <v>21</v>
      </c>
      <c r="D55" s="38" t="s">
        <v>22</v>
      </c>
      <c r="E55" s="26" t="s">
        <v>147</v>
      </c>
      <c r="F55" s="28">
        <v>0</v>
      </c>
      <c r="G55" s="28">
        <v>0</v>
      </c>
      <c r="H55" s="28">
        <f>A_Trung[[#This Row],[ĐƠN GIÁ]]*A_Trung[[#This Row],[SỐ LƯỢNG]]</f>
        <v>0</v>
      </c>
      <c r="I55" s="28">
        <v>250000000</v>
      </c>
      <c r="J55" s="28">
        <f ca="1">N(INDIRECT("R[-1]C", FALSE)) + A_Trung[[#This Row],[THÀNH TIỀN]] - A_Trung[[#This Row],[THANH TOÁN]]</f>
        <v>457499424</v>
      </c>
      <c r="K55" s="27" t="s">
        <v>849</v>
      </c>
    </row>
    <row r="56" spans="1:11" x14ac:dyDescent="0.25">
      <c r="A56" s="25"/>
      <c r="B56" s="30">
        <v>46104</v>
      </c>
      <c r="C56" s="26" t="s">
        <v>21</v>
      </c>
      <c r="D56" s="38"/>
      <c r="E56" s="26"/>
      <c r="F56" s="28">
        <v>0</v>
      </c>
      <c r="G56" s="28"/>
      <c r="H56" s="28">
        <f>A_Trung[[#This Row],[ĐƠN GIÁ]]*A_Trung[[#This Row],[SỐ LƯỢNG]]</f>
        <v>0</v>
      </c>
      <c r="I56" s="28">
        <v>107269177</v>
      </c>
      <c r="J56" s="28">
        <f ca="1">N(INDIRECT("R[-1]C", FALSE)) + A_Trung[[#This Row],[THÀNH TIỀN]] - A_Trung[[#This Row],[THANH TOÁN]]</f>
        <v>350230247</v>
      </c>
      <c r="K56" s="27"/>
    </row>
    <row r="57" spans="1:11" x14ac:dyDescent="0.25">
      <c r="A57" s="25">
        <v>8304</v>
      </c>
      <c r="B57" s="30">
        <v>46105</v>
      </c>
      <c r="C57" s="26" t="s">
        <v>13</v>
      </c>
      <c r="D57" s="38" t="s">
        <v>50</v>
      </c>
      <c r="E57" s="23" t="s">
        <v>122</v>
      </c>
      <c r="F57" s="31">
        <v>228</v>
      </c>
      <c r="G57" s="31">
        <v>56000</v>
      </c>
      <c r="H57" s="31">
        <f>A_Trung[[#This Row],[ĐƠN GIÁ]]*A_Trung[[#This Row],[SỐ LƯỢNG]]</f>
        <v>12768000</v>
      </c>
      <c r="I57" s="31"/>
      <c r="J57" s="31">
        <f ca="1">N(INDIRECT("R[-1]C", FALSE)) + A_Trung[[#This Row],[THÀNH TIỀN]] - A_Trung[[#This Row],[THANH TOÁN]]</f>
        <v>362998247</v>
      </c>
      <c r="K57" s="24"/>
    </row>
    <row r="58" spans="1:11" x14ac:dyDescent="0.25">
      <c r="A58" s="25">
        <v>8304</v>
      </c>
      <c r="B58" s="30">
        <v>46105</v>
      </c>
      <c r="C58" s="26" t="s">
        <v>13</v>
      </c>
      <c r="D58" s="38" t="s">
        <v>50</v>
      </c>
      <c r="E58" s="23" t="s">
        <v>837</v>
      </c>
      <c r="F58" s="31">
        <v>1080</v>
      </c>
      <c r="G58" s="31">
        <v>57000</v>
      </c>
      <c r="H58" s="31">
        <f>A_Trung[[#This Row],[ĐƠN GIÁ]]*A_Trung[[#This Row],[SỐ LƯỢNG]]</f>
        <v>61560000</v>
      </c>
      <c r="I58" s="31"/>
      <c r="J58" s="31">
        <f ca="1">N(INDIRECT("R[-1]C", FALSE)) + A_Trung[[#This Row],[THÀNH TIỀN]] - A_Trung[[#This Row],[THANH TOÁN]]</f>
        <v>424558247</v>
      </c>
      <c r="K58" s="24"/>
    </row>
    <row r="59" spans="1:11" x14ac:dyDescent="0.25">
      <c r="A59" s="25">
        <v>8304</v>
      </c>
      <c r="B59" s="30">
        <v>46105</v>
      </c>
      <c r="C59" s="26" t="s">
        <v>13</v>
      </c>
      <c r="D59" s="38" t="s">
        <v>17</v>
      </c>
      <c r="E59" s="26" t="s">
        <v>40</v>
      </c>
      <c r="F59" s="28">
        <v>1046</v>
      </c>
      <c r="G59" s="28">
        <v>65000</v>
      </c>
      <c r="H59" s="28">
        <f>A_Trung[[#This Row],[ĐƠN GIÁ]]*A_Trung[[#This Row],[SỐ LƯỢNG]]</f>
        <v>67990000</v>
      </c>
      <c r="I59" s="28"/>
      <c r="J59" s="28">
        <f ca="1">N(INDIRECT("R[-1]C", FALSE)) + A_Trung[[#This Row],[THÀNH TIỀN]] - A_Trung[[#This Row],[THANH TOÁN]]</f>
        <v>492548247</v>
      </c>
      <c r="K59" s="27"/>
    </row>
    <row r="60" spans="1:11" x14ac:dyDescent="0.25">
      <c r="A60" s="25">
        <v>8304</v>
      </c>
      <c r="B60" s="30">
        <v>46105</v>
      </c>
      <c r="C60" s="26" t="s">
        <v>13</v>
      </c>
      <c r="D60" s="38" t="s">
        <v>17</v>
      </c>
      <c r="E60" s="26" t="s">
        <v>40</v>
      </c>
      <c r="F60" s="28">
        <v>1046</v>
      </c>
      <c r="G60" s="28">
        <v>500</v>
      </c>
      <c r="H60" s="28">
        <f>A_Trung[[#This Row],[ĐƠN GIÁ]]*A_Trung[[#This Row],[SỐ LƯỢNG]]</f>
        <v>523000</v>
      </c>
      <c r="I60" s="28"/>
      <c r="J60" s="28">
        <f ca="1">N(INDIRECT("R[-1]C", FALSE)) + A_Trung[[#This Row],[THÀNH TIỀN]] - A_Trung[[#This Row],[THANH TOÁN]]</f>
        <v>493071247</v>
      </c>
      <c r="K60" s="27" t="s">
        <v>84</v>
      </c>
    </row>
    <row r="61" spans="1:11" x14ac:dyDescent="0.25">
      <c r="A61" s="25">
        <v>8304</v>
      </c>
      <c r="B61" s="30">
        <v>46105</v>
      </c>
      <c r="C61" s="26" t="s">
        <v>13</v>
      </c>
      <c r="D61" s="38" t="s">
        <v>103</v>
      </c>
      <c r="E61" s="26" t="s">
        <v>117</v>
      </c>
      <c r="F61" s="28">
        <v>208</v>
      </c>
      <c r="G61" s="28">
        <v>38000</v>
      </c>
      <c r="H61" s="28">
        <f>A_Trung[[#This Row],[ĐƠN GIÁ]]*A_Trung[[#This Row],[SỐ LƯỢNG]]</f>
        <v>7904000</v>
      </c>
      <c r="I61" s="28"/>
      <c r="J61" s="28">
        <f ca="1">N(INDIRECT("R[-1]C", FALSE)) + A_Trung[[#This Row],[THÀNH TIỀN]] - A_Trung[[#This Row],[THANH TOÁN]]</f>
        <v>500975247</v>
      </c>
      <c r="K61" s="27"/>
    </row>
    <row r="62" spans="1:11" x14ac:dyDescent="0.25">
      <c r="A62" s="25">
        <v>8304</v>
      </c>
      <c r="B62" s="30">
        <v>46105</v>
      </c>
      <c r="C62" s="26" t="s">
        <v>13</v>
      </c>
      <c r="D62" s="38" t="s">
        <v>75</v>
      </c>
      <c r="E62" s="26" t="s">
        <v>380</v>
      </c>
      <c r="F62" s="28">
        <v>32</v>
      </c>
      <c r="G62" s="28">
        <v>38000</v>
      </c>
      <c r="H62" s="28">
        <f>A_Trung[[#This Row],[ĐƠN GIÁ]]*A_Trung[[#This Row],[SỐ LƯỢNG]]</f>
        <v>1216000</v>
      </c>
      <c r="I62" s="28"/>
      <c r="J62" s="28">
        <f ca="1">N(INDIRECT("R[-1]C", FALSE)) + A_Trung[[#This Row],[THÀNH TIỀN]] - A_Trung[[#This Row],[THANH TOÁN]]</f>
        <v>502191247</v>
      </c>
      <c r="K62" s="27"/>
    </row>
    <row r="63" spans="1:11" x14ac:dyDescent="0.25">
      <c r="A63" s="25">
        <v>8304</v>
      </c>
      <c r="B63" s="30">
        <v>46105</v>
      </c>
      <c r="C63" s="26" t="s">
        <v>13</v>
      </c>
      <c r="D63" s="38" t="s">
        <v>270</v>
      </c>
      <c r="E63" s="26" t="s">
        <v>41</v>
      </c>
      <c r="F63" s="28">
        <v>24</v>
      </c>
      <c r="G63" s="28">
        <v>64000</v>
      </c>
      <c r="H63" s="28">
        <f>A_Trung[[#This Row],[ĐƠN GIÁ]]*A_Trung[[#This Row],[SỐ LƯỢNG]]</f>
        <v>1536000</v>
      </c>
      <c r="I63" s="28"/>
      <c r="J63" s="28">
        <f ca="1">N(INDIRECT("R[-1]C", FALSE)) + A_Trung[[#This Row],[THÀNH TIỀN]] - A_Trung[[#This Row],[THANH TOÁN]]</f>
        <v>503727247</v>
      </c>
      <c r="K63" s="27"/>
    </row>
    <row r="64" spans="1:11" x14ac:dyDescent="0.25">
      <c r="A64" s="25"/>
      <c r="B64" s="30">
        <v>46109</v>
      </c>
      <c r="C64" s="26" t="s">
        <v>21</v>
      </c>
      <c r="D64" s="38" t="s">
        <v>22</v>
      </c>
      <c r="E64" s="26" t="s">
        <v>147</v>
      </c>
      <c r="F64" s="28">
        <v>0</v>
      </c>
      <c r="G64" s="28">
        <v>0</v>
      </c>
      <c r="H64" s="28">
        <f>A_Trung[[#This Row],[ĐƠN GIÁ]]*A_Trung[[#This Row],[SỐ LƯỢNG]]</f>
        <v>0</v>
      </c>
      <c r="I64" s="28">
        <v>20352136</v>
      </c>
      <c r="J64" s="28">
        <f ca="1">N(INDIRECT("R[-1]C", FALSE)) + A_Trung[[#This Row],[THÀNH TIỀN]] - A_Trung[[#This Row],[THANH TOÁN]]</f>
        <v>483375111</v>
      </c>
      <c r="K64" s="27" t="s">
        <v>849</v>
      </c>
    </row>
    <row r="65" spans="1:11" x14ac:dyDescent="0.25">
      <c r="A65" s="25">
        <v>8449</v>
      </c>
      <c r="B65" s="30">
        <v>46112</v>
      </c>
      <c r="C65" s="26" t="s">
        <v>13</v>
      </c>
      <c r="D65" s="38" t="s">
        <v>109</v>
      </c>
      <c r="E65" s="26" t="s">
        <v>846</v>
      </c>
      <c r="F65" s="28">
        <v>1256</v>
      </c>
      <c r="G65" s="28">
        <v>57500</v>
      </c>
      <c r="H65" s="28">
        <f>A_Trung[[#This Row],[ĐƠN GIÁ]]*A_Trung[[#This Row],[SỐ LƯỢNG]]</f>
        <v>72220000</v>
      </c>
      <c r="I65" s="28"/>
      <c r="J65" s="28">
        <f ca="1">N(INDIRECT("R[-1]C", FALSE)) + A_Trung[[#This Row],[THÀNH TIỀN]] - A_Trung[[#This Row],[THANH TOÁN]]</f>
        <v>555595111</v>
      </c>
      <c r="K65" s="27"/>
    </row>
    <row r="66" spans="1:11" x14ac:dyDescent="0.25">
      <c r="A66" s="25">
        <v>8449</v>
      </c>
      <c r="B66" s="30">
        <v>46112</v>
      </c>
      <c r="C66" s="26" t="s">
        <v>13</v>
      </c>
      <c r="D66" s="38" t="s">
        <v>109</v>
      </c>
      <c r="E66" s="26" t="s">
        <v>847</v>
      </c>
      <c r="F66" s="28">
        <v>1788</v>
      </c>
      <c r="G66" s="28">
        <v>57500</v>
      </c>
      <c r="H66" s="28">
        <f>A_Trung[[#This Row],[ĐƠN GIÁ]]*A_Trung[[#This Row],[SỐ LƯỢNG]]</f>
        <v>102810000</v>
      </c>
      <c r="I66" s="28"/>
      <c r="J66" s="28">
        <f ca="1">N(INDIRECT("R[-1]C", FALSE)) + A_Trung[[#This Row],[THÀNH TIỀN]] - A_Trung[[#This Row],[THANH TOÁN]]</f>
        <v>658405111</v>
      </c>
      <c r="K66" s="27"/>
    </row>
    <row r="67" spans="1:11" x14ac:dyDescent="0.25">
      <c r="A67" s="25">
        <v>8449</v>
      </c>
      <c r="B67" s="30">
        <v>46112</v>
      </c>
      <c r="C67" s="26" t="s">
        <v>13</v>
      </c>
      <c r="D67" s="38" t="s">
        <v>109</v>
      </c>
      <c r="E67" s="26" t="s">
        <v>848</v>
      </c>
      <c r="F67" s="28">
        <v>136</v>
      </c>
      <c r="G67" s="28">
        <v>57000</v>
      </c>
      <c r="H67" s="28">
        <f>A_Trung[[#This Row],[ĐƠN GIÁ]]*A_Trung[[#This Row],[SỐ LƯỢNG]]</f>
        <v>7752000</v>
      </c>
      <c r="I67" s="28"/>
      <c r="J67" s="28">
        <f ca="1">N(INDIRECT("R[-1]C", FALSE)) + A_Trung[[#This Row],[THÀNH TIỀN]] - A_Trung[[#This Row],[THANH TOÁN]]</f>
        <v>666157111</v>
      </c>
      <c r="K67" s="27"/>
    </row>
    <row r="68" spans="1:11" x14ac:dyDescent="0.25">
      <c r="A68" s="22">
        <v>8449</v>
      </c>
      <c r="B68" s="29">
        <v>46112</v>
      </c>
      <c r="C68" s="23" t="s">
        <v>13</v>
      </c>
      <c r="D68" s="37" t="s">
        <v>26</v>
      </c>
      <c r="E68" s="23" t="s">
        <v>230</v>
      </c>
      <c r="F68" s="31">
        <v>228</v>
      </c>
      <c r="G68" s="31">
        <v>36000</v>
      </c>
      <c r="H68" s="31">
        <f>A_Trung[[#This Row],[ĐƠN GIÁ]]*A_Trung[[#This Row],[SỐ LƯỢNG]]</f>
        <v>8208000</v>
      </c>
      <c r="I68" s="31"/>
      <c r="J68" s="31">
        <f ca="1">N(INDIRECT("R[-1]C", FALSE)) + A_Trung[[#This Row],[THÀNH TIỀN]] - A_Trung[[#This Row],[THANH TOÁN]]</f>
        <v>674365111</v>
      </c>
      <c r="K68" s="24"/>
    </row>
    <row r="69" spans="1:11" x14ac:dyDescent="0.25">
      <c r="A69" s="22">
        <v>8449</v>
      </c>
      <c r="B69" s="29">
        <v>46112</v>
      </c>
      <c r="C69" s="23" t="s">
        <v>13</v>
      </c>
      <c r="D69" s="37" t="s">
        <v>17</v>
      </c>
      <c r="E69" s="23" t="s">
        <v>40</v>
      </c>
      <c r="F69" s="31">
        <v>226</v>
      </c>
      <c r="G69" s="31">
        <v>65000</v>
      </c>
      <c r="H69" s="31">
        <f>A_Trung[[#This Row],[ĐƠN GIÁ]]*A_Trung[[#This Row],[SỐ LƯỢNG]]</f>
        <v>14690000</v>
      </c>
      <c r="I69" s="31"/>
      <c r="J69" s="31">
        <f ca="1">N(INDIRECT("R[-1]C", FALSE)) + A_Trung[[#This Row],[THÀNH TIỀN]] - A_Trung[[#This Row],[THANH TOÁN]]</f>
        <v>689055111</v>
      </c>
      <c r="K69" s="24"/>
    </row>
    <row r="70" spans="1:11" x14ac:dyDescent="0.25">
      <c r="A70" s="22">
        <v>8449</v>
      </c>
      <c r="B70" s="29">
        <v>46112</v>
      </c>
      <c r="C70" s="23" t="s">
        <v>13</v>
      </c>
      <c r="D70" s="37" t="s">
        <v>43</v>
      </c>
      <c r="E70" s="23" t="s">
        <v>148</v>
      </c>
      <c r="F70" s="31">
        <v>593</v>
      </c>
      <c r="G70" s="31">
        <v>56500</v>
      </c>
      <c r="H70" s="31">
        <f>A_Trung[[#This Row],[ĐƠN GIÁ]]*A_Trung[[#This Row],[SỐ LƯỢNG]]</f>
        <v>33504500</v>
      </c>
      <c r="I70" s="31"/>
      <c r="J70" s="31">
        <f ca="1">N(INDIRECT("R[-1]C", FALSE)) + A_Trung[[#This Row],[THÀNH TIỀN]] - A_Trung[[#This Row],[THANH TOÁN]]</f>
        <v>722559611</v>
      </c>
      <c r="K70" s="24"/>
    </row>
    <row r="71" spans="1:11" x14ac:dyDescent="0.25">
      <c r="A71" s="22"/>
      <c r="B71" s="29">
        <v>46114</v>
      </c>
      <c r="C71" s="23" t="s">
        <v>21</v>
      </c>
      <c r="D71" s="37" t="s">
        <v>22</v>
      </c>
      <c r="E71" s="23" t="s">
        <v>147</v>
      </c>
      <c r="F71" s="31">
        <v>0</v>
      </c>
      <c r="G71" s="31"/>
      <c r="H71" s="31">
        <f>A_Trung[[#This Row],[ĐƠN GIÁ]]*A_Trung[[#This Row],[SỐ LƯỢNG]]</f>
        <v>0</v>
      </c>
      <c r="I71" s="31">
        <v>8760000</v>
      </c>
      <c r="J71" s="31">
        <f ca="1">N(INDIRECT("R[-1]C", FALSE)) + A_Trung[[#This Row],[THÀNH TIỀN]] - A_Trung[[#This Row],[THANH TOÁN]]</f>
        <v>713799611</v>
      </c>
      <c r="K71" s="24"/>
    </row>
    <row r="72" spans="1:11" x14ac:dyDescent="0.25">
      <c r="A72" s="22"/>
      <c r="B72" s="29">
        <v>46114</v>
      </c>
      <c r="C72" s="23" t="s">
        <v>21</v>
      </c>
      <c r="D72" s="37" t="s">
        <v>22</v>
      </c>
      <c r="E72" s="23" t="s">
        <v>261</v>
      </c>
      <c r="F72" s="31">
        <v>0</v>
      </c>
      <c r="G72" s="31"/>
      <c r="H72" s="31">
        <f>A_Trung[[#This Row],[ĐƠN GIÁ]]*A_Trung[[#This Row],[SỐ LƯỢNG]]</f>
        <v>0</v>
      </c>
      <c r="I72" s="31">
        <v>52311000</v>
      </c>
      <c r="J72" s="31">
        <f ca="1">N(INDIRECT("R[-1]C", FALSE)) + A_Trung[[#This Row],[THÀNH TIỀN]] - A_Trung[[#This Row],[THANH TOÁN]]</f>
        <v>661488611</v>
      </c>
      <c r="K72" s="24"/>
    </row>
    <row r="73" spans="1:11" x14ac:dyDescent="0.25">
      <c r="A73" s="22">
        <v>8593</v>
      </c>
      <c r="B73" s="29">
        <v>46118</v>
      </c>
      <c r="C73" s="23" t="s">
        <v>13</v>
      </c>
      <c r="D73" s="37" t="s">
        <v>26</v>
      </c>
      <c r="E73" s="23" t="s">
        <v>78</v>
      </c>
      <c r="F73" s="31">
        <v>130</v>
      </c>
      <c r="G73" s="31">
        <v>35500</v>
      </c>
      <c r="H73" s="31">
        <f>A_Trung[[#This Row],[ĐƠN GIÁ]]*A_Trung[[#This Row],[SỐ LƯỢNG]]</f>
        <v>4615000</v>
      </c>
      <c r="I73" s="31"/>
      <c r="J73" s="31">
        <f ca="1">N(INDIRECT("R[-1]C", FALSE)) + A_Trung[[#This Row],[THÀNH TIỀN]] - A_Trung[[#This Row],[THANH TOÁN]]</f>
        <v>666103611</v>
      </c>
      <c r="K73" s="24"/>
    </row>
    <row r="74" spans="1:11" x14ac:dyDescent="0.25">
      <c r="A74" s="22">
        <v>8593</v>
      </c>
      <c r="B74" s="29">
        <v>46118</v>
      </c>
      <c r="C74" s="23" t="s">
        <v>13</v>
      </c>
      <c r="D74" s="37" t="s">
        <v>103</v>
      </c>
      <c r="E74" s="23" t="s">
        <v>852</v>
      </c>
      <c r="F74" s="31">
        <v>380</v>
      </c>
      <c r="G74" s="31">
        <v>37000</v>
      </c>
      <c r="H74" s="31">
        <f>A_Trung[[#This Row],[ĐƠN GIÁ]]*A_Trung[[#This Row],[SỐ LƯỢNG]]</f>
        <v>14060000</v>
      </c>
      <c r="I74" s="31"/>
      <c r="J74" s="31">
        <f ca="1">N(INDIRECT("R[-1]C", FALSE)) + A_Trung[[#This Row],[THÀNH TIỀN]] - A_Trung[[#This Row],[THANH TOÁN]]</f>
        <v>680163611</v>
      </c>
      <c r="K74" s="24"/>
    </row>
    <row r="75" spans="1:11" x14ac:dyDescent="0.25">
      <c r="A75" s="22">
        <v>8593</v>
      </c>
      <c r="B75" s="29">
        <v>46118</v>
      </c>
      <c r="C75" s="23" t="s">
        <v>13</v>
      </c>
      <c r="D75" s="37" t="s">
        <v>103</v>
      </c>
      <c r="E75" s="23" t="s">
        <v>146</v>
      </c>
      <c r="F75" s="31">
        <v>90</v>
      </c>
      <c r="G75" s="31">
        <v>37000</v>
      </c>
      <c r="H75" s="31">
        <f>A_Trung[[#This Row],[ĐƠN GIÁ]]*A_Trung[[#This Row],[SỐ LƯỢNG]]</f>
        <v>3330000</v>
      </c>
      <c r="I75" s="31"/>
      <c r="J75" s="31">
        <f ca="1">N(INDIRECT("R[-1]C", FALSE)) + A_Trung[[#This Row],[THÀNH TIỀN]] - A_Trung[[#This Row],[THANH TOÁN]]</f>
        <v>683493611</v>
      </c>
      <c r="K75" s="24"/>
    </row>
    <row r="76" spans="1:11" x14ac:dyDescent="0.25">
      <c r="A76" s="22">
        <v>8593</v>
      </c>
      <c r="B76" s="29">
        <v>46118</v>
      </c>
      <c r="C76" s="23" t="s">
        <v>13</v>
      </c>
      <c r="D76" s="37" t="s">
        <v>45</v>
      </c>
      <c r="E76" s="23" t="s">
        <v>215</v>
      </c>
      <c r="F76" s="31">
        <v>1180</v>
      </c>
      <c r="G76" s="31">
        <v>34000</v>
      </c>
      <c r="H76" s="31">
        <f>A_Trung[[#This Row],[ĐƠN GIÁ]]*A_Trung[[#This Row],[SỐ LƯỢNG]]</f>
        <v>40120000</v>
      </c>
      <c r="I76" s="31"/>
      <c r="J76" s="31">
        <f ca="1">N(INDIRECT("R[-1]C", FALSE)) + A_Trung[[#This Row],[THÀNH TIỀN]] - A_Trung[[#This Row],[THANH TOÁN]]</f>
        <v>723613611</v>
      </c>
      <c r="K76" s="24"/>
    </row>
    <row r="77" spans="1:11" x14ac:dyDescent="0.25">
      <c r="A77" s="22"/>
      <c r="B77" s="29">
        <v>46119</v>
      </c>
      <c r="C77" s="23" t="s">
        <v>21</v>
      </c>
      <c r="D77" s="37" t="s">
        <v>22</v>
      </c>
      <c r="E77" s="23" t="s">
        <v>147</v>
      </c>
      <c r="F77" s="31">
        <v>0</v>
      </c>
      <c r="G77" s="31"/>
      <c r="H77" s="31">
        <f>A_Trung[[#This Row],[ĐƠN GIÁ]]*A_Trung[[#This Row],[SỐ LƯỢNG]]</f>
        <v>0</v>
      </c>
      <c r="I77" s="31">
        <v>38610990</v>
      </c>
      <c r="J77" s="31">
        <f ca="1">N(INDIRECT("R[-1]C", FALSE)) + A_Trung[[#This Row],[THÀNH TIỀN]] - A_Trung[[#This Row],[THANH TOÁN]]</f>
        <v>685002621</v>
      </c>
      <c r="K77" s="24"/>
    </row>
    <row r="78" spans="1:11" x14ac:dyDescent="0.25">
      <c r="A78" s="22">
        <v>8664</v>
      </c>
      <c r="B78" s="29">
        <v>46121</v>
      </c>
      <c r="C78" s="23" t="s">
        <v>13</v>
      </c>
      <c r="D78" s="37" t="s">
        <v>355</v>
      </c>
      <c r="E78" s="23" t="s">
        <v>122</v>
      </c>
      <c r="F78" s="31">
        <v>122</v>
      </c>
      <c r="G78" s="31">
        <v>57000</v>
      </c>
      <c r="H78" s="31">
        <f>A_Trung[[#This Row],[ĐƠN GIÁ]]*A_Trung[[#This Row],[SỐ LƯỢNG]]</f>
        <v>6954000</v>
      </c>
      <c r="I78" s="31"/>
      <c r="J78" s="31">
        <f ca="1">N(INDIRECT("R[-1]C", FALSE)) + A_Trung[[#This Row],[THÀNH TIỀN]] - A_Trung[[#This Row],[THANH TOÁN]]</f>
        <v>691956621</v>
      </c>
      <c r="K78" s="24"/>
    </row>
    <row r="79" spans="1:11" x14ac:dyDescent="0.25">
      <c r="A79" s="22">
        <v>8664</v>
      </c>
      <c r="B79" s="29">
        <v>46121</v>
      </c>
      <c r="C79" s="23" t="s">
        <v>13</v>
      </c>
      <c r="D79" s="37" t="s">
        <v>54</v>
      </c>
      <c r="E79" s="23" t="s">
        <v>136</v>
      </c>
      <c r="F79" s="31">
        <v>168</v>
      </c>
      <c r="G79" s="31">
        <v>35000</v>
      </c>
      <c r="H79" s="31">
        <f>A_Trung[[#This Row],[ĐƠN GIÁ]]*A_Trung[[#This Row],[SỐ LƯỢNG]]</f>
        <v>5880000</v>
      </c>
      <c r="I79" s="31"/>
      <c r="J79" s="31">
        <f ca="1">N(INDIRECT("R[-1]C", FALSE)) + A_Trung[[#This Row],[THÀNH TIỀN]] - A_Trung[[#This Row],[THANH TOÁN]]</f>
        <v>697836621</v>
      </c>
      <c r="K79" s="24"/>
    </row>
    <row r="80" spans="1:11" x14ac:dyDescent="0.25">
      <c r="A80" s="22">
        <v>8664</v>
      </c>
      <c r="B80" s="29">
        <v>46121</v>
      </c>
      <c r="C80" s="23" t="s">
        <v>13</v>
      </c>
      <c r="D80" s="37" t="s">
        <v>54</v>
      </c>
      <c r="E80" s="23" t="s">
        <v>621</v>
      </c>
      <c r="F80" s="31">
        <v>220</v>
      </c>
      <c r="G80" s="31">
        <v>34000</v>
      </c>
      <c r="H80" s="31">
        <f>A_Trung[[#This Row],[ĐƠN GIÁ]]*A_Trung[[#This Row],[SỐ LƯỢNG]]</f>
        <v>7480000</v>
      </c>
      <c r="I80" s="31"/>
      <c r="J80" s="31">
        <f ca="1">N(INDIRECT("R[-1]C", FALSE)) + A_Trung[[#This Row],[THÀNH TIỀN]] - A_Trung[[#This Row],[THANH TOÁN]]</f>
        <v>705316621</v>
      </c>
      <c r="K80" s="24"/>
    </row>
    <row r="81" spans="1:11" x14ac:dyDescent="0.25">
      <c r="A81" s="22">
        <v>8664</v>
      </c>
      <c r="B81" s="29">
        <v>46121</v>
      </c>
      <c r="C81" s="23" t="s">
        <v>13</v>
      </c>
      <c r="D81" s="37" t="s">
        <v>45</v>
      </c>
      <c r="E81" s="23" t="s">
        <v>215</v>
      </c>
      <c r="F81" s="31">
        <v>3035</v>
      </c>
      <c r="G81" s="31">
        <v>34000</v>
      </c>
      <c r="H81" s="31">
        <f>A_Trung[[#This Row],[ĐƠN GIÁ]]*A_Trung[[#This Row],[SỐ LƯỢNG]]</f>
        <v>103190000</v>
      </c>
      <c r="I81" s="31"/>
      <c r="J81" s="31">
        <f ca="1">N(INDIRECT("R[-1]C", FALSE)) + A_Trung[[#This Row],[THÀNH TIỀN]] - A_Trung[[#This Row],[THANH TOÁN]]</f>
        <v>808506621</v>
      </c>
      <c r="K81" s="24"/>
    </row>
    <row r="82" spans="1:11" x14ac:dyDescent="0.25">
      <c r="A82" s="22"/>
      <c r="B82" s="29">
        <v>46122</v>
      </c>
      <c r="C82" s="23" t="s">
        <v>21</v>
      </c>
      <c r="D82" s="37" t="s">
        <v>22</v>
      </c>
      <c r="E82" s="23" t="s">
        <v>261</v>
      </c>
      <c r="F82" s="31">
        <v>0</v>
      </c>
      <c r="G82" s="31"/>
      <c r="H82" s="31">
        <f>A_Trung[[#This Row],[ĐƠN GIÁ]]*A_Trung[[#This Row],[SỐ LƯỢNG]]</f>
        <v>0</v>
      </c>
      <c r="I82" s="31">
        <v>100000000</v>
      </c>
      <c r="J82" s="31">
        <f ca="1">N(INDIRECT("R[-1]C", FALSE)) + A_Trung[[#This Row],[THÀNH TIỀN]] - A_Trung[[#This Row],[THANH TOÁN]]</f>
        <v>708506621</v>
      </c>
      <c r="K82" s="24"/>
    </row>
    <row r="83" spans="1:11" x14ac:dyDescent="0.25">
      <c r="A83" s="22"/>
      <c r="B83" s="29">
        <v>46122</v>
      </c>
      <c r="C83" s="23" t="s">
        <v>21</v>
      </c>
      <c r="D83" s="37" t="s">
        <v>260</v>
      </c>
      <c r="E83" s="23" t="s">
        <v>261</v>
      </c>
      <c r="F83" s="31">
        <v>0</v>
      </c>
      <c r="G83" s="31"/>
      <c r="H83" s="31">
        <f>A_Trung[[#This Row],[ĐƠN GIÁ]]*A_Trung[[#This Row],[SỐ LƯỢNG]]</f>
        <v>0</v>
      </c>
      <c r="I83" s="31">
        <v>51495000</v>
      </c>
      <c r="J83" s="31">
        <f ca="1">N(INDIRECT("R[-1]C", FALSE)) + A_Trung[[#This Row],[THÀNH TIỀN]] - A_Trung[[#This Row],[THANH TOÁN]]</f>
        <v>657011621</v>
      </c>
      <c r="K83" s="24"/>
    </row>
    <row r="84" spans="1:11" x14ac:dyDescent="0.25">
      <c r="A84" s="22"/>
      <c r="B84" s="29">
        <v>46123</v>
      </c>
      <c r="C84" s="23" t="s">
        <v>21</v>
      </c>
      <c r="D84" s="37" t="s">
        <v>22</v>
      </c>
      <c r="E84" s="23" t="s">
        <v>147</v>
      </c>
      <c r="F84" s="31">
        <v>0</v>
      </c>
      <c r="G84" s="31"/>
      <c r="H84" s="31">
        <f>A_Trung[[#This Row],[ĐƠN GIÁ]]*A_Trung[[#This Row],[SỐ LƯỢNG]]</f>
        <v>0</v>
      </c>
      <c r="I84" s="31">
        <v>255476470</v>
      </c>
      <c r="J84" s="31">
        <f ca="1">N(INDIRECT("R[-1]C", FALSE)) + A_Trung[[#This Row],[THÀNH TIỀN]] - A_Trung[[#This Row],[THANH TOÁN]]</f>
        <v>401535151</v>
      </c>
      <c r="K84" s="24"/>
    </row>
    <row r="85" spans="1:11" x14ac:dyDescent="0.25">
      <c r="A85" s="22">
        <v>8933</v>
      </c>
      <c r="B85" s="29">
        <v>46133</v>
      </c>
      <c r="C85" s="23" t="s">
        <v>13</v>
      </c>
      <c r="D85" s="37" t="s">
        <v>50</v>
      </c>
      <c r="E85" s="23" t="s">
        <v>1763</v>
      </c>
      <c r="F85" s="31">
        <v>100</v>
      </c>
      <c r="G85" s="31">
        <v>60000</v>
      </c>
      <c r="H85" s="31">
        <f>A_Trung[[#This Row],[ĐƠN GIÁ]]*A_Trung[[#This Row],[SỐ LƯỢNG]]</f>
        <v>6000000</v>
      </c>
      <c r="I85" s="31"/>
      <c r="J85" s="31">
        <f ca="1">N(INDIRECT("R[-1]C", FALSE)) + A_Trung[[#This Row],[THÀNH TIỀN]] - A_Trung[[#This Row],[THANH TOÁN]]</f>
        <v>407535151</v>
      </c>
      <c r="K85" s="24"/>
    </row>
    <row r="86" spans="1:11" x14ac:dyDescent="0.25">
      <c r="A86" s="22">
        <v>8933</v>
      </c>
      <c r="B86" s="29">
        <v>46133</v>
      </c>
      <c r="C86" s="23" t="s">
        <v>13</v>
      </c>
      <c r="D86" s="37" t="s">
        <v>50</v>
      </c>
      <c r="E86" s="23" t="s">
        <v>1324</v>
      </c>
      <c r="F86" s="31">
        <v>428</v>
      </c>
      <c r="G86" s="31">
        <v>60000</v>
      </c>
      <c r="H86" s="31">
        <f>A_Trung[[#This Row],[ĐƠN GIÁ]]*A_Trung[[#This Row],[SỐ LƯỢNG]]</f>
        <v>25680000</v>
      </c>
      <c r="I86" s="31"/>
      <c r="J86" s="31">
        <f ca="1">N(INDIRECT("R[-1]C", FALSE)) + A_Trung[[#This Row],[THÀNH TIỀN]] - A_Trung[[#This Row],[THANH TOÁN]]</f>
        <v>433215151</v>
      </c>
      <c r="K86" s="24"/>
    </row>
    <row r="87" spans="1:11" x14ac:dyDescent="0.25">
      <c r="A87" s="22">
        <v>8933</v>
      </c>
      <c r="B87" s="29">
        <v>46133</v>
      </c>
      <c r="C87" s="23" t="s">
        <v>13</v>
      </c>
      <c r="D87" s="37" t="s">
        <v>50</v>
      </c>
      <c r="E87" s="23" t="s">
        <v>946</v>
      </c>
      <c r="F87" s="31">
        <v>571</v>
      </c>
      <c r="G87" s="31">
        <v>60000</v>
      </c>
      <c r="H87" s="31">
        <f>A_Trung[[#This Row],[ĐƠN GIÁ]]*A_Trung[[#This Row],[SỐ LƯỢNG]]</f>
        <v>34260000</v>
      </c>
      <c r="I87" s="31"/>
      <c r="J87" s="31">
        <f ca="1">N(INDIRECT("R[-1]C", FALSE)) + A_Trung[[#This Row],[THÀNH TIỀN]] - A_Trung[[#This Row],[THANH TOÁN]]</f>
        <v>467475151</v>
      </c>
      <c r="K87" s="24"/>
    </row>
    <row r="88" spans="1:11" x14ac:dyDescent="0.25">
      <c r="A88" s="22">
        <v>8933</v>
      </c>
      <c r="B88" s="29">
        <v>46133</v>
      </c>
      <c r="C88" s="23" t="s">
        <v>13</v>
      </c>
      <c r="D88" s="37" t="s">
        <v>17</v>
      </c>
      <c r="E88" s="23" t="s">
        <v>78</v>
      </c>
      <c r="F88" s="31">
        <v>136</v>
      </c>
      <c r="G88" s="31">
        <v>66000</v>
      </c>
      <c r="H88" s="31">
        <f>A_Trung[[#This Row],[ĐƠN GIÁ]]*A_Trung[[#This Row],[SỐ LƯỢNG]]</f>
        <v>8976000</v>
      </c>
      <c r="I88" s="31"/>
      <c r="J88" s="31">
        <f ca="1">N(INDIRECT("R[-1]C", FALSE)) + A_Trung[[#This Row],[THÀNH TIỀN]] - A_Trung[[#This Row],[THANH TOÁN]]</f>
        <v>476451151</v>
      </c>
      <c r="K88" s="24"/>
    </row>
    <row r="89" spans="1:11" x14ac:dyDescent="0.25">
      <c r="A89" s="22">
        <v>8933</v>
      </c>
      <c r="B89" s="29">
        <v>46133</v>
      </c>
      <c r="C89" s="23" t="s">
        <v>13</v>
      </c>
      <c r="D89" s="37" t="s">
        <v>43</v>
      </c>
      <c r="E89" s="23" t="s">
        <v>250</v>
      </c>
      <c r="F89" s="31">
        <v>531</v>
      </c>
      <c r="G89" s="31">
        <v>59500</v>
      </c>
      <c r="H89" s="31">
        <f>A_Trung[[#This Row],[ĐƠN GIÁ]]*A_Trung[[#This Row],[SỐ LƯỢNG]]</f>
        <v>31594500</v>
      </c>
      <c r="I89" s="31"/>
      <c r="J89" s="31">
        <f ca="1">N(INDIRECT("R[-1]C", FALSE)) + A_Trung[[#This Row],[THÀNH TIỀN]] - A_Trung[[#This Row],[THANH TOÁN]]</f>
        <v>508045651</v>
      </c>
      <c r="K89" s="24"/>
    </row>
    <row r="90" spans="1:11" x14ac:dyDescent="0.25">
      <c r="A90" s="22"/>
      <c r="B90" s="29">
        <v>46136</v>
      </c>
      <c r="C90" s="23" t="s">
        <v>21</v>
      </c>
      <c r="D90" s="37" t="s">
        <v>22</v>
      </c>
      <c r="E90" s="23" t="s">
        <v>261</v>
      </c>
      <c r="F90" s="31">
        <v>0</v>
      </c>
      <c r="G90" s="31"/>
      <c r="H90" s="31">
        <f>A_Trung[[#This Row],[ĐƠN GIÁ]]*A_Trung[[#This Row],[SỐ LƯỢNG]]</f>
        <v>0</v>
      </c>
      <c r="I90" s="31">
        <v>40088472</v>
      </c>
      <c r="J90" s="31">
        <f ca="1">N(INDIRECT("R[-1]C", FALSE)) + A_Trung[[#This Row],[THÀNH TIỀN]] - A_Trung[[#This Row],[THANH TOÁN]]</f>
        <v>467957179</v>
      </c>
      <c r="K90" s="24"/>
    </row>
    <row r="91" spans="1:11" x14ac:dyDescent="0.25">
      <c r="A91" s="22"/>
      <c r="B91" s="29">
        <v>46136</v>
      </c>
      <c r="C91" s="23" t="s">
        <v>21</v>
      </c>
      <c r="D91" s="37" t="s">
        <v>260</v>
      </c>
      <c r="E91" s="23" t="s">
        <v>261</v>
      </c>
      <c r="F91" s="31">
        <v>0</v>
      </c>
      <c r="G91" s="31"/>
      <c r="H91" s="31">
        <f>A_Trung[[#This Row],[ĐƠN GIÁ]]*A_Trung[[#This Row],[SỐ LƯỢNG]]</f>
        <v>0</v>
      </c>
      <c r="I91" s="31">
        <v>11506000</v>
      </c>
      <c r="J91" s="31">
        <f ca="1">N(INDIRECT("R[-1]C", FALSE)) + A_Trung[[#This Row],[THÀNH TIỀN]] - A_Trung[[#This Row],[THANH TOÁN]]</f>
        <v>456451179</v>
      </c>
      <c r="K91" s="24"/>
    </row>
    <row r="92" spans="1:11" x14ac:dyDescent="0.25">
      <c r="A92" s="22"/>
      <c r="B92" s="29">
        <v>46140</v>
      </c>
      <c r="C92" s="23" t="s">
        <v>21</v>
      </c>
      <c r="D92" s="37"/>
      <c r="E92" s="23"/>
      <c r="F92" s="31">
        <v>0</v>
      </c>
      <c r="G92" s="31"/>
      <c r="H92" s="31">
        <f>A_Trung[[#This Row],[ĐƠN GIÁ]]*A_Trung[[#This Row],[SỐ LƯỢNG]]</f>
        <v>0</v>
      </c>
      <c r="I92" s="31">
        <v>216182174</v>
      </c>
      <c r="J92" s="31">
        <f ca="1">N(INDIRECT("R[-1]C", FALSE)) + A_Trung[[#This Row],[THÀNH TIỀN]] - A_Trung[[#This Row],[THANH TOÁN]]</f>
        <v>240269005</v>
      </c>
      <c r="K92" s="24" t="s">
        <v>2034</v>
      </c>
    </row>
    <row r="93" spans="1:11" x14ac:dyDescent="0.25">
      <c r="A93" s="22">
        <v>9124</v>
      </c>
      <c r="B93" s="29">
        <v>46141</v>
      </c>
      <c r="C93" s="23" t="s">
        <v>13</v>
      </c>
      <c r="D93" s="37" t="s">
        <v>109</v>
      </c>
      <c r="E93" s="23" t="s">
        <v>1046</v>
      </c>
      <c r="F93" s="31">
        <v>716</v>
      </c>
      <c r="G93" s="31">
        <v>61000</v>
      </c>
      <c r="H93" s="31">
        <f>A_Trung[[#This Row],[ĐƠN GIÁ]]*A_Trung[[#This Row],[SỐ LƯỢNG]]</f>
        <v>43676000</v>
      </c>
      <c r="I93" s="31"/>
      <c r="J93" s="31">
        <f ca="1">N(INDIRECT("R[-1]C", FALSE)) + A_Trung[[#This Row],[THÀNH TIỀN]] - A_Trung[[#This Row],[THANH TOÁN]]</f>
        <v>283945005</v>
      </c>
      <c r="K93" s="24"/>
    </row>
    <row r="94" spans="1:11" x14ac:dyDescent="0.25">
      <c r="A94" s="22">
        <v>9124</v>
      </c>
      <c r="B94" s="29">
        <v>46141</v>
      </c>
      <c r="C94" s="23" t="s">
        <v>13</v>
      </c>
      <c r="D94" s="37" t="s">
        <v>109</v>
      </c>
      <c r="E94" s="23" t="s">
        <v>946</v>
      </c>
      <c r="F94" s="31">
        <v>290</v>
      </c>
      <c r="G94" s="31">
        <v>61000</v>
      </c>
      <c r="H94" s="31">
        <f>A_Trung[[#This Row],[ĐƠN GIÁ]]*A_Trung[[#This Row],[SỐ LƯỢNG]]</f>
        <v>17690000</v>
      </c>
      <c r="I94" s="31"/>
      <c r="J94" s="31">
        <f ca="1">N(INDIRECT("R[-1]C", FALSE)) + A_Trung[[#This Row],[THÀNH TIỀN]] - A_Trung[[#This Row],[THANH TOÁN]]</f>
        <v>301635005</v>
      </c>
      <c r="K94" s="24"/>
    </row>
    <row r="95" spans="1:11" x14ac:dyDescent="0.25">
      <c r="A95" s="22">
        <v>9124</v>
      </c>
      <c r="B95" s="29">
        <v>46141</v>
      </c>
      <c r="C95" s="23" t="s">
        <v>13</v>
      </c>
      <c r="D95" s="37" t="s">
        <v>68</v>
      </c>
      <c r="E95" s="23" t="s">
        <v>117</v>
      </c>
      <c r="F95" s="31">
        <v>242</v>
      </c>
      <c r="G95" s="31">
        <v>41500</v>
      </c>
      <c r="H95" s="31">
        <f>A_Trung[[#This Row],[ĐƠN GIÁ]]*A_Trung[[#This Row],[SỐ LƯỢNG]]</f>
        <v>10043000</v>
      </c>
      <c r="I95" s="31"/>
      <c r="J95" s="31">
        <f ca="1">N(INDIRECT("R[-1]C", FALSE)) + A_Trung[[#This Row],[THÀNH TIỀN]] - A_Trung[[#This Row],[THANH TOÁN]]</f>
        <v>311678005</v>
      </c>
      <c r="K95" s="24"/>
    </row>
    <row r="96" spans="1:11" x14ac:dyDescent="0.25">
      <c r="A96" s="22">
        <v>9124</v>
      </c>
      <c r="B96" s="29">
        <v>46141</v>
      </c>
      <c r="C96" s="23" t="s">
        <v>13</v>
      </c>
      <c r="D96" s="37" t="s">
        <v>103</v>
      </c>
      <c r="E96" s="23" t="s">
        <v>116</v>
      </c>
      <c r="F96" s="31">
        <v>110</v>
      </c>
      <c r="G96" s="31">
        <v>38000</v>
      </c>
      <c r="H96" s="31">
        <f>A_Trung[[#This Row],[ĐƠN GIÁ]]*A_Trung[[#This Row],[SỐ LƯỢNG]]</f>
        <v>4180000</v>
      </c>
      <c r="I96" s="31"/>
      <c r="J96" s="31">
        <f ca="1">N(INDIRECT("R[-1]C", FALSE)) + A_Trung[[#This Row],[THÀNH TIỀN]] - A_Trung[[#This Row],[THANH TOÁN]]</f>
        <v>315858005</v>
      </c>
      <c r="K96" s="24"/>
    </row>
    <row r="97" spans="1:11" x14ac:dyDescent="0.25">
      <c r="A97" s="22">
        <v>9124</v>
      </c>
      <c r="B97" s="29">
        <v>46141</v>
      </c>
      <c r="C97" s="23" t="s">
        <v>13</v>
      </c>
      <c r="D97" s="37" t="s">
        <v>150</v>
      </c>
      <c r="E97" s="23" t="s">
        <v>886</v>
      </c>
      <c r="F97" s="31">
        <v>140</v>
      </c>
      <c r="G97" s="31">
        <v>0</v>
      </c>
      <c r="H97" s="31">
        <f>A_Trung[[#This Row],[ĐƠN GIÁ]]*A_Trung[[#This Row],[SỐ LƯỢNG]]</f>
        <v>0</v>
      </c>
      <c r="I97" s="31"/>
      <c r="J97" s="31">
        <f ca="1">N(INDIRECT("R[-1]C", FALSE)) + A_Trung[[#This Row],[THÀNH TIỀN]] - A_Trung[[#This Row],[THANH TOÁN]]</f>
        <v>315858005</v>
      </c>
      <c r="K97" s="24"/>
    </row>
    <row r="98" spans="1:11" x14ac:dyDescent="0.25">
      <c r="A98" s="22">
        <v>9124</v>
      </c>
      <c r="B98" s="29">
        <v>46141</v>
      </c>
      <c r="C98" s="23" t="s">
        <v>13</v>
      </c>
      <c r="D98" s="37" t="s">
        <v>45</v>
      </c>
      <c r="E98" s="23" t="s">
        <v>1832</v>
      </c>
      <c r="F98" s="31">
        <v>750</v>
      </c>
      <c r="G98" s="31">
        <v>34000</v>
      </c>
      <c r="H98" s="31">
        <f>A_Trung[[#This Row],[ĐƠN GIÁ]]*A_Trung[[#This Row],[SỐ LƯỢNG]]</f>
        <v>25500000</v>
      </c>
      <c r="I98" s="31"/>
      <c r="J98" s="31">
        <f ca="1">N(INDIRECT("R[-1]C", FALSE)) + A_Trung[[#This Row],[THÀNH TIỀN]] - A_Trung[[#This Row],[THANH TOÁN]]</f>
        <v>341358005</v>
      </c>
      <c r="K98" s="24"/>
    </row>
    <row r="99" spans="1:11" x14ac:dyDescent="0.25">
      <c r="A99" s="22">
        <v>9125</v>
      </c>
      <c r="B99" s="29">
        <v>46141</v>
      </c>
      <c r="C99" s="23" t="s">
        <v>13</v>
      </c>
      <c r="D99" s="37" t="s">
        <v>50</v>
      </c>
      <c r="E99" s="23" t="s">
        <v>248</v>
      </c>
      <c r="F99" s="31">
        <v>542</v>
      </c>
      <c r="G99" s="31">
        <v>59500</v>
      </c>
      <c r="H99" s="31">
        <f>A_Trung[[#This Row],[ĐƠN GIÁ]]*A_Trung[[#This Row],[SỐ LƯỢNG]]</f>
        <v>32249000</v>
      </c>
      <c r="I99" s="31"/>
      <c r="J99" s="31">
        <f ca="1">N(INDIRECT("R[-1]C", FALSE)) + A_Trung[[#This Row],[THÀNH TIỀN]] - A_Trung[[#This Row],[THANH TOÁN]]</f>
        <v>373607005</v>
      </c>
      <c r="K99" s="24"/>
    </row>
    <row r="100" spans="1:11" x14ac:dyDescent="0.25">
      <c r="A100" s="22">
        <v>9125</v>
      </c>
      <c r="B100" s="29">
        <v>46141</v>
      </c>
      <c r="C100" s="23" t="s">
        <v>13</v>
      </c>
      <c r="D100" s="37" t="s">
        <v>355</v>
      </c>
      <c r="E100" s="23" t="s">
        <v>116</v>
      </c>
      <c r="F100" s="31">
        <v>164</v>
      </c>
      <c r="G100" s="31">
        <v>66000</v>
      </c>
      <c r="H100" s="31">
        <f>A_Trung[[#This Row],[ĐƠN GIÁ]]*A_Trung[[#This Row],[SỐ LƯỢNG]]</f>
        <v>10824000</v>
      </c>
      <c r="I100" s="31"/>
      <c r="J100" s="31">
        <f ca="1">N(INDIRECT("R[-1]C", FALSE)) + A_Trung[[#This Row],[THÀNH TIỀN]] - A_Trung[[#This Row],[THANH TOÁN]]</f>
        <v>384431005</v>
      </c>
      <c r="K100" s="24"/>
    </row>
    <row r="101" spans="1:11" x14ac:dyDescent="0.25">
      <c r="A101" s="22"/>
      <c r="B101" s="29">
        <v>46141</v>
      </c>
      <c r="C101" s="23" t="s">
        <v>21</v>
      </c>
      <c r="D101" s="37" t="s">
        <v>22</v>
      </c>
      <c r="E101" s="23" t="s">
        <v>147</v>
      </c>
      <c r="F101" s="31">
        <v>0</v>
      </c>
      <c r="G101" s="31"/>
      <c r="H101" s="31">
        <f>A_Trung[[#This Row],[ĐƠN GIÁ]]*A_Trung[[#This Row],[SỐ LƯỢNG]]</f>
        <v>0</v>
      </c>
      <c r="I101" s="31">
        <v>14520000</v>
      </c>
      <c r="J101" s="31">
        <f ca="1">N(INDIRECT("R[-1]C", FALSE)) + A_Trung[[#This Row],[THÀNH TIỀN]] - A_Trung[[#This Row],[THANH TOÁN]]</f>
        <v>369911005</v>
      </c>
      <c r="K101" s="24"/>
    </row>
    <row r="102" spans="1:11" x14ac:dyDescent="0.25">
      <c r="A102" s="22"/>
      <c r="B102" s="29">
        <v>46146</v>
      </c>
      <c r="C102" s="23" t="s">
        <v>21</v>
      </c>
      <c r="D102" s="37" t="s">
        <v>22</v>
      </c>
      <c r="E102" s="23"/>
      <c r="F102" s="31">
        <v>0</v>
      </c>
      <c r="G102" s="31"/>
      <c r="H102" s="31">
        <f>A_Trung[[#This Row],[ĐƠN GIÁ]]*A_Trung[[#This Row],[SỐ LƯỢNG]]</f>
        <v>0</v>
      </c>
      <c r="I102" s="31">
        <v>58455380</v>
      </c>
      <c r="J102" s="31">
        <f ca="1">N(INDIRECT("R[-1]C", FALSE)) + A_Trung[[#This Row],[THÀNH TIỀN]] - A_Trung[[#This Row],[THANH TOÁN]]</f>
        <v>311455625</v>
      </c>
      <c r="K102" s="24" t="s">
        <v>2033</v>
      </c>
    </row>
    <row r="103" spans="1:11" x14ac:dyDescent="0.25">
      <c r="A103" s="22">
        <v>9271</v>
      </c>
      <c r="B103" s="29">
        <v>46150</v>
      </c>
      <c r="C103" s="23" t="s">
        <v>13</v>
      </c>
      <c r="D103" s="37" t="s">
        <v>17</v>
      </c>
      <c r="E103" s="23" t="s">
        <v>41</v>
      </c>
      <c r="F103" s="31">
        <v>94</v>
      </c>
      <c r="G103" s="31">
        <v>66000</v>
      </c>
      <c r="H103" s="31">
        <f>A_Trung[[#This Row],[ĐƠN GIÁ]]*A_Trung[[#This Row],[SỐ LƯỢNG]]</f>
        <v>6204000</v>
      </c>
      <c r="I103" s="31"/>
      <c r="J103" s="31">
        <f ca="1">N(INDIRECT("R[-1]C", FALSE)) + A_Trung[[#This Row],[THÀNH TIỀN]] - A_Trung[[#This Row],[THANH TOÁN]]</f>
        <v>317659625</v>
      </c>
      <c r="K103" s="24"/>
    </row>
    <row r="104" spans="1:11" x14ac:dyDescent="0.25">
      <c r="A104" s="25">
        <v>9271</v>
      </c>
      <c r="B104" s="30">
        <v>46150</v>
      </c>
      <c r="C104" s="26" t="s">
        <v>13</v>
      </c>
      <c r="D104" s="38" t="s">
        <v>68</v>
      </c>
      <c r="E104" s="26" t="s">
        <v>134</v>
      </c>
      <c r="F104" s="28">
        <v>72</v>
      </c>
      <c r="G104" s="28">
        <v>42000</v>
      </c>
      <c r="H104" s="28">
        <f>A_Trung[[#This Row],[ĐƠN GIÁ]]*A_Trung[[#This Row],[SỐ LƯỢNG]]</f>
        <v>3024000</v>
      </c>
      <c r="I104" s="28"/>
      <c r="J104" s="28">
        <f ca="1">N(INDIRECT("R[-1]C", FALSE)) + A_Trung[[#This Row],[THÀNH TIỀN]] - A_Trung[[#This Row],[THANH TOÁN]]</f>
        <v>320683625</v>
      </c>
      <c r="K104" s="27"/>
    </row>
    <row r="105" spans="1:11" x14ac:dyDescent="0.25">
      <c r="A105" s="25">
        <v>9271</v>
      </c>
      <c r="B105" s="30">
        <v>46150</v>
      </c>
      <c r="C105" s="26" t="s">
        <v>13</v>
      </c>
      <c r="D105" s="38" t="s">
        <v>1989</v>
      </c>
      <c r="E105" s="26" t="s">
        <v>136</v>
      </c>
      <c r="F105" s="28">
        <v>50</v>
      </c>
      <c r="G105" s="28">
        <v>38000</v>
      </c>
      <c r="H105" s="28">
        <f>A_Trung[[#This Row],[ĐƠN GIÁ]]*A_Trung[[#This Row],[SỐ LƯỢNG]]</f>
        <v>1900000</v>
      </c>
      <c r="I105" s="28"/>
      <c r="J105" s="28">
        <f ca="1">N(INDIRECT("R[-1]C", FALSE)) + A_Trung[[#This Row],[THÀNH TIỀN]] - A_Trung[[#This Row],[THANH TOÁN]]</f>
        <v>322583625</v>
      </c>
      <c r="K105" s="27"/>
    </row>
    <row r="106" spans="1:11" x14ac:dyDescent="0.25">
      <c r="A106" s="25">
        <v>9271</v>
      </c>
      <c r="B106" s="30">
        <v>46150</v>
      </c>
      <c r="C106" s="26" t="s">
        <v>13</v>
      </c>
      <c r="D106" s="38" t="s">
        <v>103</v>
      </c>
      <c r="E106" s="26" t="s">
        <v>134</v>
      </c>
      <c r="F106" s="28">
        <v>72</v>
      </c>
      <c r="G106" s="28">
        <v>37500</v>
      </c>
      <c r="H106" s="28">
        <f>A_Trung[[#This Row],[ĐƠN GIÁ]]*A_Trung[[#This Row],[SỐ LƯỢNG]]</f>
        <v>2700000</v>
      </c>
      <c r="I106" s="28"/>
      <c r="J106" s="28">
        <f ca="1">N(INDIRECT("R[-1]C", FALSE)) + A_Trung[[#This Row],[THÀNH TIỀN]] - A_Trung[[#This Row],[THANH TOÁN]]</f>
        <v>325283625</v>
      </c>
      <c r="K106" s="27"/>
    </row>
    <row r="107" spans="1:11" x14ac:dyDescent="0.25">
      <c r="A107" s="25">
        <v>9271</v>
      </c>
      <c r="B107" s="30">
        <v>46150</v>
      </c>
      <c r="C107" s="26" t="s">
        <v>13</v>
      </c>
      <c r="D107" s="38" t="s">
        <v>26</v>
      </c>
      <c r="E107" s="26" t="s">
        <v>134</v>
      </c>
      <c r="F107" s="28">
        <v>216</v>
      </c>
      <c r="G107" s="28">
        <v>35000</v>
      </c>
      <c r="H107" s="28">
        <f>A_Trung[[#This Row],[ĐƠN GIÁ]]*A_Trung[[#This Row],[SỐ LƯỢNG]]</f>
        <v>7560000</v>
      </c>
      <c r="I107" s="28"/>
      <c r="J107" s="28">
        <f ca="1">N(INDIRECT("R[-1]C", FALSE)) + A_Trung[[#This Row],[THÀNH TIỀN]] - A_Trung[[#This Row],[THANH TOÁN]]</f>
        <v>332843625</v>
      </c>
      <c r="K107" s="27"/>
    </row>
    <row r="108" spans="1:11" x14ac:dyDescent="0.25">
      <c r="A108" s="25">
        <v>9219</v>
      </c>
      <c r="B108" s="30">
        <v>46150</v>
      </c>
      <c r="C108" s="26" t="s">
        <v>13</v>
      </c>
      <c r="D108" s="38" t="s">
        <v>54</v>
      </c>
      <c r="E108" s="26" t="s">
        <v>116</v>
      </c>
      <c r="F108" s="28">
        <v>116</v>
      </c>
      <c r="G108" s="28">
        <v>35000</v>
      </c>
      <c r="H108" s="28">
        <f>A_Trung[[#This Row],[ĐƠN GIÁ]]*A_Trung[[#This Row],[SỐ LƯỢNG]]</f>
        <v>4060000</v>
      </c>
      <c r="I108" s="28"/>
      <c r="J108" s="28">
        <f ca="1">N(INDIRECT("R[-1]C", FALSE)) + A_Trung[[#This Row],[THÀNH TIỀN]] - A_Trung[[#This Row],[THANH TOÁN]]</f>
        <v>336903625</v>
      </c>
      <c r="K108" s="27"/>
    </row>
    <row r="109" spans="1:11" x14ac:dyDescent="0.25">
      <c r="A109" s="25">
        <v>9219</v>
      </c>
      <c r="B109" s="30">
        <v>46150</v>
      </c>
      <c r="C109" s="26" t="s">
        <v>13</v>
      </c>
      <c r="D109" s="38" t="s">
        <v>109</v>
      </c>
      <c r="E109" s="26" t="s">
        <v>1992</v>
      </c>
      <c r="F109" s="28">
        <v>180</v>
      </c>
      <c r="G109" s="28">
        <v>60000</v>
      </c>
      <c r="H109" s="28">
        <f>A_Trung[[#This Row],[ĐƠN GIÁ]]*A_Trung[[#This Row],[SỐ LƯỢNG]]</f>
        <v>10800000</v>
      </c>
      <c r="I109" s="28"/>
      <c r="J109" s="28">
        <f ca="1">N(INDIRECT("R[-1]C", FALSE)) + A_Trung[[#This Row],[THÀNH TIỀN]] - A_Trung[[#This Row],[THANH TOÁN]]</f>
        <v>347703625</v>
      </c>
      <c r="K109" s="27"/>
    </row>
    <row r="110" spans="1:11" x14ac:dyDescent="0.25">
      <c r="A110" s="22">
        <v>9219</v>
      </c>
      <c r="B110" s="29">
        <v>46150</v>
      </c>
      <c r="C110" s="23" t="s">
        <v>13</v>
      </c>
      <c r="D110" s="37" t="s">
        <v>14</v>
      </c>
      <c r="E110" s="23" t="s">
        <v>78</v>
      </c>
      <c r="F110" s="31">
        <v>214</v>
      </c>
      <c r="G110" s="31">
        <v>45000</v>
      </c>
      <c r="H110" s="31">
        <f>A_Trung[[#This Row],[ĐƠN GIÁ]]*A_Trung[[#This Row],[SỐ LƯỢNG]]</f>
        <v>9630000</v>
      </c>
      <c r="I110" s="31"/>
      <c r="J110" s="31">
        <f ca="1">N(INDIRECT("R[-1]C", FALSE)) + A_Trung[[#This Row],[THÀNH TIỀN]] - A_Trung[[#This Row],[THANH TOÁN]]</f>
        <v>357333625</v>
      </c>
      <c r="K110" s="24"/>
    </row>
    <row r="111" spans="1:11" x14ac:dyDescent="0.25">
      <c r="A111" s="22"/>
      <c r="B111" s="29">
        <v>46158</v>
      </c>
      <c r="C111" s="23" t="s">
        <v>21</v>
      </c>
      <c r="D111" s="37" t="s">
        <v>260</v>
      </c>
      <c r="E111" s="23" t="s">
        <v>261</v>
      </c>
      <c r="F111" s="31">
        <v>0</v>
      </c>
      <c r="G111" s="31"/>
      <c r="H111" s="31">
        <f>A_Trung[[#This Row],[ĐƠN GIÁ]]*A_Trung[[#This Row],[SỐ LƯỢNG]]</f>
        <v>0</v>
      </c>
      <c r="I111" s="31">
        <v>70000000</v>
      </c>
      <c r="J111" s="31">
        <f ca="1">N(INDIRECT("R[-1]C", FALSE)) + A_Trung[[#This Row],[THÀNH TIỀN]] - A_Trung[[#This Row],[THANH TOÁN]]</f>
        <v>287333625</v>
      </c>
      <c r="K111" s="24"/>
    </row>
    <row r="112" spans="1:11" x14ac:dyDescent="0.25">
      <c r="A112" s="22">
        <v>9487</v>
      </c>
      <c r="B112" s="29">
        <v>46161</v>
      </c>
      <c r="C112" s="23" t="s">
        <v>13</v>
      </c>
      <c r="D112" s="37" t="s">
        <v>27</v>
      </c>
      <c r="E112" s="23" t="s">
        <v>2221</v>
      </c>
      <c r="F112" s="31">
        <v>310</v>
      </c>
      <c r="G112" s="31">
        <v>26000</v>
      </c>
      <c r="H112" s="31">
        <f>A_Trung[[#This Row],[ĐƠN GIÁ]]*A_Trung[[#This Row],[SỐ LƯỢNG]]</f>
        <v>8060000</v>
      </c>
      <c r="I112" s="31"/>
      <c r="J112" s="31">
        <f ca="1">N(INDIRECT("R[-1]C", FALSE)) + A_Trung[[#This Row],[THÀNH TIỀN]] - A_Trung[[#This Row],[THANH TOÁN]]</f>
        <v>295393625</v>
      </c>
      <c r="K112" s="24"/>
    </row>
    <row r="113" spans="1:11" x14ac:dyDescent="0.25">
      <c r="A113" s="22">
        <v>9487</v>
      </c>
      <c r="B113" s="29">
        <v>46161</v>
      </c>
      <c r="C113" s="23" t="s">
        <v>13</v>
      </c>
      <c r="D113" s="37" t="s">
        <v>45</v>
      </c>
      <c r="E113" s="23" t="s">
        <v>487</v>
      </c>
      <c r="F113" s="31">
        <v>278</v>
      </c>
      <c r="G113" s="31">
        <v>33000</v>
      </c>
      <c r="H113" s="31">
        <f>A_Trung[[#This Row],[ĐƠN GIÁ]]*A_Trung[[#This Row],[SỐ LƯỢNG]]</f>
        <v>9174000</v>
      </c>
      <c r="I113" s="31"/>
      <c r="J113" s="31">
        <f ca="1">N(INDIRECT("R[-1]C", FALSE)) + A_Trung[[#This Row],[THÀNH TIỀN]] - A_Trung[[#This Row],[THANH TOÁN]]</f>
        <v>304567625</v>
      </c>
      <c r="K113" s="24"/>
    </row>
    <row r="114" spans="1:11" x14ac:dyDescent="0.25">
      <c r="A114" s="22">
        <v>9487</v>
      </c>
      <c r="B114" s="29">
        <v>46161</v>
      </c>
      <c r="C114" s="23" t="s">
        <v>13</v>
      </c>
      <c r="D114" s="37" t="s">
        <v>109</v>
      </c>
      <c r="E114" s="23" t="s">
        <v>2222</v>
      </c>
      <c r="F114" s="31">
        <v>180</v>
      </c>
      <c r="G114" s="31">
        <v>60000</v>
      </c>
      <c r="H114" s="31">
        <f>A_Trung[[#This Row],[ĐƠN GIÁ]]*A_Trung[[#This Row],[SỐ LƯỢNG]]</f>
        <v>10800000</v>
      </c>
      <c r="I114" s="31"/>
      <c r="J114" s="31">
        <f ca="1">N(INDIRECT("R[-1]C", FALSE)) + A_Trung[[#This Row],[THÀNH TIỀN]] - A_Trung[[#This Row],[THANH TOÁN]]</f>
        <v>315367625</v>
      </c>
      <c r="K114" s="24"/>
    </row>
    <row r="115" spans="1:11" x14ac:dyDescent="0.25">
      <c r="A115" s="22">
        <v>9487</v>
      </c>
      <c r="B115" s="29">
        <v>46161</v>
      </c>
      <c r="C115" s="23" t="s">
        <v>13</v>
      </c>
      <c r="D115" s="37" t="s">
        <v>26</v>
      </c>
      <c r="E115" s="23" t="s">
        <v>62</v>
      </c>
      <c r="F115" s="31">
        <v>3441</v>
      </c>
      <c r="G115" s="31">
        <v>35000</v>
      </c>
      <c r="H115" s="31">
        <f>A_Trung[[#This Row],[ĐƠN GIÁ]]*A_Trung[[#This Row],[SỐ LƯỢNG]]</f>
        <v>120435000</v>
      </c>
      <c r="I115" s="31"/>
      <c r="J115" s="31">
        <f ca="1">N(INDIRECT("R[-1]C", FALSE)) + A_Trung[[#This Row],[THÀNH TIỀN]] - A_Trung[[#This Row],[THANH TOÁN]]</f>
        <v>435802625</v>
      </c>
      <c r="K115" s="24"/>
    </row>
    <row r="116" spans="1:11" x14ac:dyDescent="0.25">
      <c r="A116" s="22">
        <v>9487</v>
      </c>
      <c r="B116" s="29">
        <v>46161</v>
      </c>
      <c r="C116" s="23" t="s">
        <v>13</v>
      </c>
      <c r="D116" s="37" t="s">
        <v>26</v>
      </c>
      <c r="E116" s="23" t="s">
        <v>2126</v>
      </c>
      <c r="F116" s="31">
        <v>1193</v>
      </c>
      <c r="G116" s="31">
        <v>35000</v>
      </c>
      <c r="H116" s="31">
        <f>A_Trung[[#This Row],[ĐƠN GIÁ]]*A_Trung[[#This Row],[SỐ LƯỢNG]]</f>
        <v>41755000</v>
      </c>
      <c r="I116" s="31"/>
      <c r="J116" s="31">
        <f ca="1">N(INDIRECT("R[-1]C", FALSE)) + A_Trung[[#This Row],[THÀNH TIỀN]] - A_Trung[[#This Row],[THANH TOÁN]]</f>
        <v>477557625</v>
      </c>
      <c r="K116" s="24"/>
    </row>
    <row r="117" spans="1:11" x14ac:dyDescent="0.25">
      <c r="A117" s="22"/>
      <c r="B117" s="29">
        <v>46161</v>
      </c>
      <c r="C117" s="23" t="s">
        <v>21</v>
      </c>
      <c r="D117" s="37" t="s">
        <v>22</v>
      </c>
      <c r="E117" s="23" t="s">
        <v>147</v>
      </c>
      <c r="F117" s="31">
        <v>0</v>
      </c>
      <c r="G117" s="31"/>
      <c r="H117" s="31">
        <f>A_Trung[[#This Row],[ĐƠN GIÁ]]*A_Trung[[#This Row],[SỐ LƯỢNG]]</f>
        <v>0</v>
      </c>
      <c r="I117" s="31">
        <v>52501020</v>
      </c>
      <c r="J117" s="31">
        <f ca="1">N(INDIRECT("R[-1]C", FALSE)) + A_Trung[[#This Row],[THÀNH TIỀN]] - A_Trung[[#This Row],[THANH TOÁN]]</f>
        <v>425056605</v>
      </c>
      <c r="K117" s="24"/>
    </row>
    <row r="118" spans="1:11" x14ac:dyDescent="0.25">
      <c r="A118" s="169">
        <v>9503</v>
      </c>
      <c r="B118" s="170">
        <v>46162</v>
      </c>
      <c r="C118" s="171" t="s">
        <v>13</v>
      </c>
      <c r="D118" s="172" t="s">
        <v>103</v>
      </c>
      <c r="E118" s="171" t="s">
        <v>116</v>
      </c>
      <c r="F118" s="173">
        <v>105</v>
      </c>
      <c r="G118" s="173">
        <v>37500</v>
      </c>
      <c r="H118" s="173">
        <f>A_Trung[[#This Row],[ĐƠN GIÁ]]*A_Trung[[#This Row],[SỐ LƯỢNG]]</f>
        <v>3937500</v>
      </c>
      <c r="I118" s="173"/>
      <c r="J118" s="173">
        <f ca="1">N(INDIRECT("R[-1]C", FALSE)) + A_Trung[[#This Row],[THÀNH TIỀN]] - A_Trung[[#This Row],[THANH TOÁN]]</f>
        <v>428994105</v>
      </c>
      <c r="K118" s="174"/>
    </row>
    <row r="119" spans="1:11" x14ac:dyDescent="0.25">
      <c r="A119" s="169">
        <v>9503</v>
      </c>
      <c r="B119" s="170">
        <v>46162</v>
      </c>
      <c r="C119" s="171" t="s">
        <v>13</v>
      </c>
      <c r="D119" s="172" t="s">
        <v>355</v>
      </c>
      <c r="E119" s="171" t="s">
        <v>288</v>
      </c>
      <c r="F119" s="173">
        <v>88</v>
      </c>
      <c r="G119" s="173">
        <v>67500</v>
      </c>
      <c r="H119" s="173">
        <f>A_Trung[[#This Row],[ĐƠN GIÁ]]*A_Trung[[#This Row],[SỐ LƯỢNG]]</f>
        <v>5940000</v>
      </c>
      <c r="I119" s="173"/>
      <c r="J119" s="173">
        <f ca="1">N(INDIRECT("R[-1]C", FALSE)) + A_Trung[[#This Row],[THÀNH TIỀN]] - A_Trung[[#This Row],[THANH TOÁN]]</f>
        <v>434934105</v>
      </c>
      <c r="K119" s="174"/>
    </row>
    <row r="120" spans="1:11" x14ac:dyDescent="0.25">
      <c r="A120" s="22">
        <v>9561</v>
      </c>
      <c r="B120" s="29">
        <v>46163</v>
      </c>
      <c r="C120" s="23" t="s">
        <v>13</v>
      </c>
      <c r="D120" s="37" t="s">
        <v>150</v>
      </c>
      <c r="E120" s="23" t="s">
        <v>110</v>
      </c>
      <c r="F120" s="31">
        <v>490</v>
      </c>
      <c r="G120" s="31">
        <v>35500</v>
      </c>
      <c r="H120" s="31">
        <f>A_Trung[[#This Row],[ĐƠN GIÁ]]*A_Trung[[#This Row],[SỐ LƯỢNG]]</f>
        <v>17395000</v>
      </c>
      <c r="I120" s="31"/>
      <c r="J120" s="31">
        <f ca="1">N(INDIRECT("R[-1]C", FALSE)) + A_Trung[[#This Row],[THÀNH TIỀN]] - A_Trung[[#This Row],[THANH TOÁN]]</f>
        <v>452329105</v>
      </c>
      <c r="K120" s="24"/>
    </row>
    <row r="121" spans="1:11" x14ac:dyDescent="0.25">
      <c r="A121" s="22">
        <v>9561</v>
      </c>
      <c r="B121" s="29">
        <v>46163</v>
      </c>
      <c r="C121" s="23" t="s">
        <v>13</v>
      </c>
      <c r="D121" s="37" t="s">
        <v>355</v>
      </c>
      <c r="E121" s="23" t="s">
        <v>288</v>
      </c>
      <c r="F121" s="31">
        <v>88</v>
      </c>
      <c r="G121" s="31">
        <v>67500</v>
      </c>
      <c r="H121" s="31">
        <f>A_Trung[[#This Row],[ĐƠN GIÁ]]*A_Trung[[#This Row],[SỐ LƯỢNG]]</f>
        <v>5940000</v>
      </c>
      <c r="I121" s="31"/>
      <c r="J121" s="31">
        <f ca="1">N(INDIRECT("R[-1]C", FALSE)) + A_Trung[[#This Row],[THÀNH TIỀN]] - A_Trung[[#This Row],[THANH TOÁN]]</f>
        <v>458269105</v>
      </c>
      <c r="K121" s="24"/>
    </row>
    <row r="122" spans="1:11" x14ac:dyDescent="0.25">
      <c r="A122" s="22"/>
      <c r="B122" s="29">
        <v>46164</v>
      </c>
      <c r="C122" s="23" t="s">
        <v>21</v>
      </c>
      <c r="D122" s="37" t="s">
        <v>22</v>
      </c>
      <c r="E122" s="23" t="s">
        <v>147</v>
      </c>
      <c r="F122" s="31">
        <v>0</v>
      </c>
      <c r="G122" s="31"/>
      <c r="H122" s="31">
        <f>A_Trung[[#This Row],[ĐƠN GIÁ]]*A_Trung[[#This Row],[SỐ LƯỢNG]]</f>
        <v>0</v>
      </c>
      <c r="I122" s="31">
        <v>55648000</v>
      </c>
      <c r="J122" s="31">
        <f ca="1">N(INDIRECT("R[-1]C", FALSE)) + A_Trung[[#This Row],[THÀNH TIỀN]] - A_Trung[[#This Row],[THANH TOÁN]]</f>
        <v>402621105</v>
      </c>
      <c r="K122" s="24"/>
    </row>
    <row r="123" spans="1:11" x14ac:dyDescent="0.25">
      <c r="A123" s="22">
        <v>9647</v>
      </c>
      <c r="B123" s="29">
        <v>46169</v>
      </c>
      <c r="C123" s="23" t="s">
        <v>13</v>
      </c>
      <c r="D123" s="37" t="s">
        <v>109</v>
      </c>
      <c r="E123" s="23" t="s">
        <v>1046</v>
      </c>
      <c r="F123" s="31">
        <v>366</v>
      </c>
      <c r="G123" s="31">
        <v>63000</v>
      </c>
      <c r="H123" s="31">
        <f>A_Trung[[#This Row],[ĐƠN GIÁ]]*A_Trung[[#This Row],[SỐ LƯỢNG]]</f>
        <v>23058000</v>
      </c>
      <c r="I123" s="31"/>
      <c r="J123" s="31">
        <f ca="1">N(INDIRECT("R[-1]C", FALSE)) + A_Trung[[#This Row],[THÀNH TIỀN]] - A_Trung[[#This Row],[THANH TOÁN]]</f>
        <v>425679105</v>
      </c>
      <c r="K123" s="24"/>
    </row>
    <row r="124" spans="1:11" x14ac:dyDescent="0.25">
      <c r="A124" s="22">
        <v>9647</v>
      </c>
      <c r="B124" s="29">
        <v>46169</v>
      </c>
      <c r="C124" s="23" t="s">
        <v>13</v>
      </c>
      <c r="D124" s="37" t="s">
        <v>109</v>
      </c>
      <c r="E124" s="23" t="s">
        <v>2353</v>
      </c>
      <c r="F124" s="31">
        <v>488</v>
      </c>
      <c r="G124" s="31">
        <v>70000</v>
      </c>
      <c r="H124" s="31">
        <f>A_Trung[[#This Row],[ĐƠN GIÁ]]*A_Trung[[#This Row],[SỐ LƯỢNG]]</f>
        <v>34160000</v>
      </c>
      <c r="I124" s="31"/>
      <c r="J124" s="31">
        <f ca="1">N(INDIRECT("R[-1]C", FALSE)) + A_Trung[[#This Row],[THÀNH TIỀN]] - A_Trung[[#This Row],[THANH TOÁN]]</f>
        <v>459839105</v>
      </c>
      <c r="K124" s="24"/>
    </row>
    <row r="125" spans="1:11" x14ac:dyDescent="0.25">
      <c r="A125" s="22">
        <v>9647</v>
      </c>
      <c r="B125" s="29">
        <v>46169</v>
      </c>
      <c r="C125" s="23" t="s">
        <v>13</v>
      </c>
      <c r="D125" s="37" t="s">
        <v>109</v>
      </c>
      <c r="E125" s="23" t="s">
        <v>2354</v>
      </c>
      <c r="F125" s="31">
        <v>356</v>
      </c>
      <c r="G125" s="31">
        <v>70000</v>
      </c>
      <c r="H125" s="31">
        <f>A_Trung[[#This Row],[ĐƠN GIÁ]]*A_Trung[[#This Row],[SỐ LƯỢNG]]</f>
        <v>24920000</v>
      </c>
      <c r="I125" s="31"/>
      <c r="J125" s="31">
        <f ca="1">N(INDIRECT("R[-1]C", FALSE)) + A_Trung[[#This Row],[THÀNH TIỀN]] - A_Trung[[#This Row],[THANH TOÁN]]</f>
        <v>484759105</v>
      </c>
      <c r="K125" s="24"/>
    </row>
    <row r="126" spans="1:11" x14ac:dyDescent="0.25">
      <c r="A126" s="151">
        <v>9647</v>
      </c>
      <c r="B126" s="152">
        <v>46169</v>
      </c>
      <c r="C126" s="55" t="s">
        <v>13</v>
      </c>
      <c r="D126" s="149" t="s">
        <v>17</v>
      </c>
      <c r="E126" s="55" t="s">
        <v>78</v>
      </c>
      <c r="F126" s="57">
        <v>16</v>
      </c>
      <c r="G126" s="57"/>
      <c r="H126" s="57">
        <f>A_Trung[[#This Row],[ĐƠN GIÁ]]*A_Trung[[#This Row],[SỐ LƯỢNG]]</f>
        <v>0</v>
      </c>
      <c r="I126" s="57"/>
      <c r="J126" s="57">
        <f ca="1">N(INDIRECT("R[-1]C", FALSE)) + A_Trung[[#This Row],[THÀNH TIỀN]] - A_Trung[[#This Row],[THANH TOÁN]]</f>
        <v>484759105</v>
      </c>
      <c r="K126" s="58"/>
    </row>
    <row r="127" spans="1:11" x14ac:dyDescent="0.25">
      <c r="A127" s="22"/>
      <c r="B127" s="29">
        <v>46170</v>
      </c>
      <c r="C127" s="23" t="s">
        <v>21</v>
      </c>
      <c r="D127" s="37" t="s">
        <v>22</v>
      </c>
      <c r="E127" s="23" t="s">
        <v>147</v>
      </c>
      <c r="F127" s="31">
        <v>0</v>
      </c>
      <c r="G127" s="31"/>
      <c r="H127" s="31">
        <f>A_Trung[[#This Row],[ĐƠN GIÁ]]*A_Trung[[#This Row],[SỐ LƯỢNG]]</f>
        <v>0</v>
      </c>
      <c r="I127" s="31">
        <v>175319980</v>
      </c>
      <c r="J127" s="31">
        <f ca="1">N(INDIRECT("R[-1]C", FALSE)) + A_Trung[[#This Row],[THÀNH TIỀN]] - A_Trung[[#This Row],[THANH TOÁN]]</f>
        <v>309439125</v>
      </c>
      <c r="K127" s="24"/>
    </row>
    <row r="128" spans="1:11" x14ac:dyDescent="0.25">
      <c r="A128" s="22">
        <v>9724</v>
      </c>
      <c r="B128" s="29">
        <v>46172</v>
      </c>
      <c r="C128" s="23" t="s">
        <v>13</v>
      </c>
      <c r="D128" s="37" t="s">
        <v>43</v>
      </c>
      <c r="E128" s="23" t="s">
        <v>116</v>
      </c>
      <c r="F128" s="31">
        <v>230</v>
      </c>
      <c r="G128" s="31">
        <v>65000</v>
      </c>
      <c r="H128" s="31">
        <f>A_Trung[[#This Row],[ĐƠN GIÁ]]*A_Trung[[#This Row],[SỐ LƯỢNG]]</f>
        <v>14950000</v>
      </c>
      <c r="I128" s="31"/>
      <c r="J128" s="31">
        <f ca="1">N(INDIRECT("R[-1]C", FALSE)) + A_Trung[[#This Row],[THÀNH TIỀN]] - A_Trung[[#This Row],[THANH TOÁN]]</f>
        <v>324389125</v>
      </c>
      <c r="K128" s="24"/>
    </row>
    <row r="129" spans="1:11" x14ac:dyDescent="0.25">
      <c r="A129" s="22">
        <v>9724</v>
      </c>
      <c r="B129" s="29">
        <v>46172</v>
      </c>
      <c r="C129" s="23" t="s">
        <v>13</v>
      </c>
      <c r="D129" s="37" t="s">
        <v>150</v>
      </c>
      <c r="E129" s="23" t="s">
        <v>73</v>
      </c>
      <c r="F129" s="31">
        <v>536</v>
      </c>
      <c r="G129" s="31">
        <v>35500</v>
      </c>
      <c r="H129" s="31">
        <f>A_Trung[[#This Row],[ĐƠN GIÁ]]*A_Trung[[#This Row],[SỐ LƯỢNG]]</f>
        <v>19028000</v>
      </c>
      <c r="I129" s="31"/>
      <c r="J129" s="31">
        <f ca="1">N(INDIRECT("R[-1]C", FALSE)) + A_Trung[[#This Row],[THÀNH TIỀN]] - A_Trung[[#This Row],[THANH TOÁN]]</f>
        <v>343417125</v>
      </c>
      <c r="K129" s="24"/>
    </row>
    <row r="130" spans="1:11" x14ac:dyDescent="0.25">
      <c r="A130" s="22">
        <v>9724</v>
      </c>
      <c r="B130" s="29">
        <v>46172</v>
      </c>
      <c r="C130" s="23" t="s">
        <v>13</v>
      </c>
      <c r="D130" s="37" t="s">
        <v>103</v>
      </c>
      <c r="E130" s="23" t="s">
        <v>191</v>
      </c>
      <c r="F130" s="31">
        <v>436</v>
      </c>
      <c r="G130" s="31">
        <v>37500</v>
      </c>
      <c r="H130" s="31">
        <f>A_Trung[[#This Row],[ĐƠN GIÁ]]*A_Trung[[#This Row],[SỐ LƯỢNG]]</f>
        <v>16350000</v>
      </c>
      <c r="I130" s="31"/>
      <c r="J130" s="31">
        <f ca="1">N(INDIRECT("R[-1]C", FALSE)) + A_Trung[[#This Row],[THÀNH TIỀN]] - A_Trung[[#This Row],[THANH TOÁN]]</f>
        <v>359767125</v>
      </c>
      <c r="K130" s="24"/>
    </row>
    <row r="131" spans="1:11" x14ac:dyDescent="0.25">
      <c r="A131" s="22">
        <v>9724</v>
      </c>
      <c r="B131" s="29">
        <v>46172</v>
      </c>
      <c r="C131" s="23" t="s">
        <v>13</v>
      </c>
      <c r="D131" s="37" t="s">
        <v>103</v>
      </c>
      <c r="E131" s="23" t="s">
        <v>116</v>
      </c>
      <c r="F131" s="31">
        <v>186</v>
      </c>
      <c r="G131" s="31">
        <v>37500</v>
      </c>
      <c r="H131" s="31">
        <f>A_Trung[[#This Row],[ĐƠN GIÁ]]*A_Trung[[#This Row],[SỐ LƯỢNG]]</f>
        <v>6975000</v>
      </c>
      <c r="I131" s="31"/>
      <c r="J131" s="31">
        <f ca="1">N(INDIRECT("R[-1]C", FALSE)) + A_Trung[[#This Row],[THÀNH TIỀN]] - A_Trung[[#This Row],[THANH TOÁN]]</f>
        <v>366742125</v>
      </c>
      <c r="K131" s="24"/>
    </row>
    <row r="132" spans="1:11" x14ac:dyDescent="0.25">
      <c r="A132" s="22">
        <v>9646</v>
      </c>
      <c r="B132" s="29">
        <v>46169</v>
      </c>
      <c r="C132" s="23" t="s">
        <v>13</v>
      </c>
      <c r="D132" s="37" t="s">
        <v>17</v>
      </c>
      <c r="E132" s="23" t="s">
        <v>62</v>
      </c>
      <c r="F132" s="31">
        <v>509</v>
      </c>
      <c r="G132" s="31">
        <v>65000</v>
      </c>
      <c r="H132" s="31">
        <f>A_Trung[[#This Row],[ĐƠN GIÁ]]*A_Trung[[#This Row],[SỐ LƯỢNG]]</f>
        <v>33085000</v>
      </c>
      <c r="I132" s="31"/>
      <c r="J132" s="31">
        <f ca="1">N(INDIRECT("R[-1]C", FALSE)) + A_Trung[[#This Row],[THÀNH TIỀN]] - A_Trung[[#This Row],[THANH TOÁN]]</f>
        <v>399827125</v>
      </c>
      <c r="K132" s="24"/>
    </row>
    <row r="133" spans="1:11" x14ac:dyDescent="0.25">
      <c r="A133" s="22">
        <v>9646</v>
      </c>
      <c r="B133" s="29">
        <v>46169</v>
      </c>
      <c r="C133" s="23" t="s">
        <v>13</v>
      </c>
      <c r="D133" s="37" t="s">
        <v>32</v>
      </c>
      <c r="E133" s="23" t="s">
        <v>78</v>
      </c>
      <c r="F133" s="31">
        <v>228</v>
      </c>
      <c r="G133" s="31">
        <v>41000</v>
      </c>
      <c r="H133" s="31">
        <f>A_Trung[[#This Row],[ĐƠN GIÁ]]*A_Trung[[#This Row],[SỐ LƯỢNG]]</f>
        <v>9348000</v>
      </c>
      <c r="I133" s="31"/>
      <c r="J133" s="31">
        <f ca="1">N(INDIRECT("R[-1]C", FALSE)) + A_Trung[[#This Row],[THÀNH TIỀN]] - A_Trung[[#This Row],[THANH TOÁN]]</f>
        <v>409175125</v>
      </c>
      <c r="K133" s="24"/>
    </row>
    <row r="134" spans="1:11" x14ac:dyDescent="0.25">
      <c r="A134" s="22">
        <v>9646</v>
      </c>
      <c r="B134" s="29">
        <v>46169</v>
      </c>
      <c r="C134" s="23" t="s">
        <v>13</v>
      </c>
      <c r="D134" s="37" t="s">
        <v>265</v>
      </c>
      <c r="E134" s="23" t="s">
        <v>62</v>
      </c>
      <c r="F134" s="31">
        <v>124</v>
      </c>
      <c r="G134" s="31">
        <v>69000</v>
      </c>
      <c r="H134" s="31">
        <f>A_Trung[[#This Row],[ĐƠN GIÁ]]*A_Trung[[#This Row],[SỐ LƯỢNG]]</f>
        <v>8556000</v>
      </c>
      <c r="I134" s="31"/>
      <c r="J134" s="31">
        <f ca="1">N(INDIRECT("R[-1]C", FALSE)) + A_Trung[[#This Row],[THÀNH TIỀN]] - A_Trung[[#This Row],[THANH TOÁN]]</f>
        <v>417731125</v>
      </c>
      <c r="K134" s="24"/>
    </row>
    <row r="135" spans="1:11" x14ac:dyDescent="0.25">
      <c r="A135" s="22">
        <v>9646</v>
      </c>
      <c r="B135" s="29">
        <v>46169</v>
      </c>
      <c r="C135" s="23" t="s">
        <v>13</v>
      </c>
      <c r="D135" s="37" t="s">
        <v>103</v>
      </c>
      <c r="E135" s="23" t="s">
        <v>117</v>
      </c>
      <c r="F135" s="31">
        <v>248</v>
      </c>
      <c r="G135" s="31">
        <v>37500</v>
      </c>
      <c r="H135" s="31">
        <f>A_Trung[[#This Row],[ĐƠN GIÁ]]*A_Trung[[#This Row],[SỐ LƯỢNG]]</f>
        <v>9300000</v>
      </c>
      <c r="I135" s="31"/>
      <c r="J135" s="31">
        <f ca="1">N(INDIRECT("R[-1]C", FALSE)) + A_Trung[[#This Row],[THÀNH TIỀN]] - A_Trung[[#This Row],[THANH TOÁN]]</f>
        <v>427031125</v>
      </c>
      <c r="K135" s="24"/>
    </row>
    <row r="136" spans="1:11" x14ac:dyDescent="0.25">
      <c r="A136" s="22">
        <v>9646</v>
      </c>
      <c r="B136" s="29">
        <v>46169</v>
      </c>
      <c r="C136" s="23" t="s">
        <v>13</v>
      </c>
      <c r="D136" s="37" t="s">
        <v>103</v>
      </c>
      <c r="E136" s="23" t="s">
        <v>122</v>
      </c>
      <c r="F136" s="31">
        <v>374</v>
      </c>
      <c r="G136" s="31">
        <v>37500</v>
      </c>
      <c r="H136" s="31">
        <f>A_Trung[[#This Row],[ĐƠN GIÁ]]*A_Trung[[#This Row],[SỐ LƯỢNG]]</f>
        <v>14025000</v>
      </c>
      <c r="I136" s="31"/>
      <c r="J136" s="31">
        <f ca="1">N(INDIRECT("R[-1]C", FALSE)) + A_Trung[[#This Row],[THÀNH TIỀN]] - A_Trung[[#This Row],[THANH TOÁN]]</f>
        <v>441056125</v>
      </c>
      <c r="K136" s="24"/>
    </row>
    <row r="137" spans="1:11" x14ac:dyDescent="0.25">
      <c r="A137" s="22">
        <v>9764</v>
      </c>
      <c r="B137" s="29">
        <v>46176</v>
      </c>
      <c r="C137" s="23" t="s">
        <v>13</v>
      </c>
      <c r="D137" s="37" t="s">
        <v>17</v>
      </c>
      <c r="E137" s="23" t="s">
        <v>251</v>
      </c>
      <c r="F137" s="31">
        <v>108</v>
      </c>
      <c r="G137" s="31">
        <v>66000</v>
      </c>
      <c r="H137" s="31">
        <f>A_Trung[[#This Row],[ĐƠN GIÁ]]*A_Trung[[#This Row],[SỐ LƯỢNG]]</f>
        <v>7128000</v>
      </c>
      <c r="I137" s="31"/>
      <c r="J137" s="31">
        <f ca="1">N(INDIRECT("R[-1]C", FALSE)) + A_Trung[[#This Row],[THÀNH TIỀN]] - A_Trung[[#This Row],[THANH TOÁN]]</f>
        <v>448184125</v>
      </c>
      <c r="K137" s="24"/>
    </row>
    <row r="138" spans="1:11" x14ac:dyDescent="0.25">
      <c r="A138" s="22">
        <v>9764</v>
      </c>
      <c r="B138" s="29">
        <v>46176</v>
      </c>
      <c r="C138" s="23" t="s">
        <v>13</v>
      </c>
      <c r="D138" s="37" t="s">
        <v>103</v>
      </c>
      <c r="E138" s="23" t="s">
        <v>288</v>
      </c>
      <c r="F138" s="31">
        <v>146</v>
      </c>
      <c r="G138" s="31">
        <v>37500</v>
      </c>
      <c r="H138" s="31">
        <f>A_Trung[[#This Row],[ĐƠN GIÁ]]*A_Trung[[#This Row],[SỐ LƯỢNG]]</f>
        <v>5475000</v>
      </c>
      <c r="I138" s="31"/>
      <c r="J138" s="31">
        <f ca="1">N(INDIRECT("R[-1]C", FALSE)) + A_Trung[[#This Row],[THÀNH TIỀN]] - A_Trung[[#This Row],[THANH TOÁN]]</f>
        <v>453659125</v>
      </c>
      <c r="K138" s="24"/>
    </row>
    <row r="139" spans="1:11" x14ac:dyDescent="0.25">
      <c r="A139" s="22">
        <v>9764</v>
      </c>
      <c r="B139" s="29">
        <v>46176</v>
      </c>
      <c r="C139" s="23" t="s">
        <v>13</v>
      </c>
      <c r="D139" s="37" t="s">
        <v>68</v>
      </c>
      <c r="E139" s="23" t="s">
        <v>78</v>
      </c>
      <c r="F139" s="31">
        <v>203</v>
      </c>
      <c r="G139" s="31">
        <v>45000</v>
      </c>
      <c r="H139" s="31">
        <f>A_Trung[[#This Row],[ĐƠN GIÁ]]*A_Trung[[#This Row],[SỐ LƯỢNG]]</f>
        <v>9135000</v>
      </c>
      <c r="I139" s="31"/>
      <c r="J139" s="31">
        <f ca="1">N(INDIRECT("R[-1]C", FALSE)) + A_Trung[[#This Row],[THÀNH TIỀN]] - A_Trung[[#This Row],[THANH TOÁN]]</f>
        <v>462794125</v>
      </c>
      <c r="K139" s="24"/>
    </row>
    <row r="140" spans="1:11" x14ac:dyDescent="0.25">
      <c r="A140" s="22">
        <v>9764</v>
      </c>
      <c r="B140" s="29">
        <v>46176</v>
      </c>
      <c r="C140" s="23" t="s">
        <v>13</v>
      </c>
      <c r="D140" s="37" t="s">
        <v>50</v>
      </c>
      <c r="E140" s="23" t="s">
        <v>288</v>
      </c>
      <c r="F140" s="31">
        <v>146</v>
      </c>
      <c r="G140" s="31">
        <v>65000</v>
      </c>
      <c r="H140" s="31">
        <f>A_Trung[[#This Row],[ĐƠN GIÁ]]*A_Trung[[#This Row],[SỐ LƯỢNG]]</f>
        <v>9490000</v>
      </c>
      <c r="I140" s="31"/>
      <c r="J140" s="31">
        <f ca="1">N(INDIRECT("R[-1]C", FALSE)) + A_Trung[[#This Row],[THÀNH TIỀN]] - A_Trung[[#This Row],[THANH TOÁN]]</f>
        <v>472284125</v>
      </c>
      <c r="K140" s="24"/>
    </row>
  </sheetData>
  <phoneticPr fontId="9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899A76-F209-40A4-90F4-D3B5931EA7B9}">
  <sheetPr codeName="Sheet41"/>
  <dimension ref="A5:K80"/>
  <sheetViews>
    <sheetView topLeftCell="A55" workbookViewId="0">
      <selection activeCell="F82" sqref="F82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234080762</v>
      </c>
    </row>
    <row r="6" spans="1:11" ht="22.5" x14ac:dyDescent="0.25">
      <c r="D6" s="34" t="s">
        <v>853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Cty_Tan_Dat[[#This Row],[ĐƠN GIÁ]]*Cty_Tan_Dat[[#This Row],[SỐ LƯỢNG]]</f>
        <v>0</v>
      </c>
      <c r="I10" s="31"/>
      <c r="J10" s="31">
        <v>44160000</v>
      </c>
      <c r="K10" s="24"/>
    </row>
    <row r="11" spans="1:11" x14ac:dyDescent="0.25">
      <c r="A11" s="22">
        <v>7824</v>
      </c>
      <c r="B11" s="29">
        <v>46084</v>
      </c>
      <c r="C11" s="23" t="s">
        <v>13</v>
      </c>
      <c r="D11" s="37" t="s">
        <v>17</v>
      </c>
      <c r="E11" s="23" t="s">
        <v>176</v>
      </c>
      <c r="F11" s="31">
        <v>679</v>
      </c>
      <c r="G11" s="31">
        <v>60000</v>
      </c>
      <c r="H11" s="31">
        <f>Cty_Tan_Dat[[#This Row],[ĐƠN GIÁ]]*Cty_Tan_Dat[[#This Row],[SỐ LƯỢNG]]</f>
        <v>40740000</v>
      </c>
      <c r="I11" s="31"/>
      <c r="J11" s="31">
        <f>J10+Cty_Tan_Dat[[#This Row],[THÀNH TIỀN]]-Cty_Tan_Dat[[#This Row],[THANH TOÁN]]</f>
        <v>84900000</v>
      </c>
      <c r="K11" s="24"/>
    </row>
    <row r="12" spans="1:11" x14ac:dyDescent="0.25">
      <c r="A12" s="22">
        <v>7824</v>
      </c>
      <c r="B12" s="29">
        <v>46084</v>
      </c>
      <c r="C12" s="23" t="s">
        <v>13</v>
      </c>
      <c r="D12" s="37" t="s">
        <v>32</v>
      </c>
      <c r="E12" s="23" t="s">
        <v>40</v>
      </c>
      <c r="F12" s="31">
        <f>1596-16-4</f>
        <v>1576</v>
      </c>
      <c r="G12" s="31">
        <v>40000</v>
      </c>
      <c r="H12" s="31">
        <f>Cty_Tan_Dat[[#This Row],[ĐƠN GIÁ]]*Cty_Tan_Dat[[#This Row],[SỐ LƯỢNG]]</f>
        <v>63040000</v>
      </c>
      <c r="I12" s="31"/>
      <c r="J12" s="31">
        <f>J11+Cty_Tan_Dat[[#This Row],[THÀNH TIỀN]]-Cty_Tan_Dat[[#This Row],[THANH TOÁN]]</f>
        <v>147940000</v>
      </c>
      <c r="K12" s="24"/>
    </row>
    <row r="13" spans="1:11" x14ac:dyDescent="0.25">
      <c r="A13" s="22">
        <v>7848</v>
      </c>
      <c r="B13" s="29">
        <v>46085</v>
      </c>
      <c r="C13" s="23" t="s">
        <v>13</v>
      </c>
      <c r="D13" s="37" t="s">
        <v>14</v>
      </c>
      <c r="E13" s="23" t="s">
        <v>220</v>
      </c>
      <c r="F13" s="31">
        <v>94</v>
      </c>
      <c r="G13" s="31">
        <v>42000</v>
      </c>
      <c r="H13" s="31">
        <f>Cty_Tan_Dat[[#This Row],[ĐƠN GIÁ]]*Cty_Tan_Dat[[#This Row],[SỐ LƯỢNG]]</f>
        <v>3948000</v>
      </c>
      <c r="I13" s="31"/>
      <c r="J13" s="31">
        <f>J12+Cty_Tan_Dat[[#This Row],[THÀNH TIỀN]]-Cty_Tan_Dat[[#This Row],[THANH TOÁN]]</f>
        <v>151888000</v>
      </c>
      <c r="K13" s="24"/>
    </row>
    <row r="14" spans="1:11" x14ac:dyDescent="0.25">
      <c r="A14" s="22">
        <v>7848</v>
      </c>
      <c r="B14" s="29">
        <v>46085</v>
      </c>
      <c r="C14" s="23" t="s">
        <v>13</v>
      </c>
      <c r="D14" s="38" t="s">
        <v>32</v>
      </c>
      <c r="E14" s="26" t="s">
        <v>40</v>
      </c>
      <c r="F14" s="28">
        <v>246</v>
      </c>
      <c r="G14" s="28">
        <v>42000</v>
      </c>
      <c r="H14" s="28">
        <f>Cty_Tan_Dat[[#This Row],[ĐƠN GIÁ]]*Cty_Tan_Dat[[#This Row],[SỐ LƯỢNG]]</f>
        <v>10332000</v>
      </c>
      <c r="I14" s="28"/>
      <c r="J14" s="31">
        <f>J13+Cty_Tan_Dat[[#This Row],[THÀNH TIỀN]]-Cty_Tan_Dat[[#This Row],[THANH TOÁN]]</f>
        <v>162220000</v>
      </c>
      <c r="K14" s="27"/>
    </row>
    <row r="15" spans="1:11" x14ac:dyDescent="0.25">
      <c r="A15" s="22">
        <v>7848</v>
      </c>
      <c r="B15" s="29">
        <v>46085</v>
      </c>
      <c r="C15" s="23" t="s">
        <v>13</v>
      </c>
      <c r="D15" s="38" t="s">
        <v>32</v>
      </c>
      <c r="E15" s="23" t="s">
        <v>230</v>
      </c>
      <c r="F15" s="31">
        <v>192</v>
      </c>
      <c r="G15" s="31">
        <v>45000</v>
      </c>
      <c r="H15" s="31">
        <f>Cty_Tan_Dat[[#This Row],[ĐƠN GIÁ]]*Cty_Tan_Dat[[#This Row],[SỐ LƯỢNG]]</f>
        <v>8640000</v>
      </c>
      <c r="I15" s="31"/>
      <c r="J15" s="31">
        <f>J14+Cty_Tan_Dat[[#This Row],[THÀNH TIỀN]]-Cty_Tan_Dat[[#This Row],[THANH TOÁN]]</f>
        <v>170860000</v>
      </c>
      <c r="K15" s="24"/>
    </row>
    <row r="16" spans="1:11" x14ac:dyDescent="0.25">
      <c r="A16" s="22">
        <v>7848</v>
      </c>
      <c r="B16" s="29">
        <v>46085</v>
      </c>
      <c r="C16" s="23" t="s">
        <v>13</v>
      </c>
      <c r="D16" s="38" t="s">
        <v>103</v>
      </c>
      <c r="E16" s="26" t="s">
        <v>449</v>
      </c>
      <c r="F16" s="28">
        <v>254</v>
      </c>
      <c r="G16" s="28">
        <v>39000</v>
      </c>
      <c r="H16" s="28">
        <f>Cty_Tan_Dat[[#This Row],[ĐƠN GIÁ]]*Cty_Tan_Dat[[#This Row],[SỐ LƯỢNG]]</f>
        <v>9906000</v>
      </c>
      <c r="I16" s="28"/>
      <c r="J16" s="31">
        <f>J15+Cty_Tan_Dat[[#This Row],[THÀNH TIỀN]]-Cty_Tan_Dat[[#This Row],[THANH TOÁN]]</f>
        <v>180766000</v>
      </c>
      <c r="K16" s="27"/>
    </row>
    <row r="17" spans="1:11" x14ac:dyDescent="0.25">
      <c r="A17" s="25">
        <v>8255</v>
      </c>
      <c r="B17" s="30">
        <v>46100</v>
      </c>
      <c r="C17" s="26" t="s">
        <v>13</v>
      </c>
      <c r="D17" s="38" t="s">
        <v>14</v>
      </c>
      <c r="E17" s="26" t="s">
        <v>78</v>
      </c>
      <c r="F17" s="28">
        <v>692</v>
      </c>
      <c r="G17" s="28">
        <v>45000</v>
      </c>
      <c r="H17" s="28">
        <f>Cty_Tan_Dat[[#This Row],[ĐƠN GIÁ]]*Cty_Tan_Dat[[#This Row],[SỐ LƯỢNG]]</f>
        <v>31140000</v>
      </c>
      <c r="I17" s="28"/>
      <c r="J17" s="28">
        <f>J16+Cty_Tan_Dat[[#This Row],[THÀNH TIỀN]]-Cty_Tan_Dat[[#This Row],[THANH TOÁN]]</f>
        <v>211906000</v>
      </c>
      <c r="K17" s="27"/>
    </row>
    <row r="18" spans="1:11" x14ac:dyDescent="0.25">
      <c r="A18" s="25">
        <v>8279</v>
      </c>
      <c r="B18" s="30">
        <v>46101</v>
      </c>
      <c r="C18" s="26" t="s">
        <v>13</v>
      </c>
      <c r="D18" s="38" t="s">
        <v>854</v>
      </c>
      <c r="E18" s="26" t="s">
        <v>855</v>
      </c>
      <c r="F18" s="28">
        <v>464</v>
      </c>
      <c r="G18" s="28">
        <v>38000</v>
      </c>
      <c r="H18" s="28">
        <f>Cty_Tan_Dat[[#This Row],[ĐƠN GIÁ]]*Cty_Tan_Dat[[#This Row],[SỐ LƯỢNG]]</f>
        <v>17632000</v>
      </c>
      <c r="I18" s="28"/>
      <c r="J18" s="28">
        <f>J17+Cty_Tan_Dat[[#This Row],[THÀNH TIỀN]]-Cty_Tan_Dat[[#This Row],[THANH TOÁN]]</f>
        <v>229538000</v>
      </c>
      <c r="K18" s="27"/>
    </row>
    <row r="19" spans="1:11" x14ac:dyDescent="0.25">
      <c r="A19" s="25">
        <v>8279</v>
      </c>
      <c r="B19" s="30">
        <v>46101</v>
      </c>
      <c r="C19" s="26" t="s">
        <v>13</v>
      </c>
      <c r="D19" s="38" t="s">
        <v>854</v>
      </c>
      <c r="E19" s="23" t="s">
        <v>856</v>
      </c>
      <c r="F19" s="31">
        <v>280</v>
      </c>
      <c r="G19" s="31">
        <v>38000</v>
      </c>
      <c r="H19" s="31">
        <f>Cty_Tan_Dat[[#This Row],[ĐƠN GIÁ]]*Cty_Tan_Dat[[#This Row],[SỐ LƯỢNG]]</f>
        <v>10640000</v>
      </c>
      <c r="I19" s="31"/>
      <c r="J19" s="31">
        <f>J18+Cty_Tan_Dat[[#This Row],[THÀNH TIỀN]]-Cty_Tan_Dat[[#This Row],[THANH TOÁN]]</f>
        <v>240178000</v>
      </c>
      <c r="K19" s="24"/>
    </row>
    <row r="20" spans="1:11" x14ac:dyDescent="0.25">
      <c r="A20" s="25">
        <v>8279</v>
      </c>
      <c r="B20" s="30">
        <v>46101</v>
      </c>
      <c r="C20" s="26" t="s">
        <v>13</v>
      </c>
      <c r="D20" s="38" t="s">
        <v>854</v>
      </c>
      <c r="E20" s="23" t="s">
        <v>857</v>
      </c>
      <c r="F20" s="31">
        <v>354</v>
      </c>
      <c r="G20" s="31">
        <v>38000</v>
      </c>
      <c r="H20" s="31">
        <f>Cty_Tan_Dat[[#This Row],[ĐƠN GIÁ]]*Cty_Tan_Dat[[#This Row],[SỐ LƯỢNG]]</f>
        <v>13452000</v>
      </c>
      <c r="I20" s="31"/>
      <c r="J20" s="31">
        <f>J19+Cty_Tan_Dat[[#This Row],[THÀNH TIỀN]]-Cty_Tan_Dat[[#This Row],[THANH TOÁN]]</f>
        <v>253630000</v>
      </c>
      <c r="K20" s="24"/>
    </row>
    <row r="21" spans="1:11" x14ac:dyDescent="0.25">
      <c r="A21" s="25">
        <v>8279</v>
      </c>
      <c r="B21" s="30">
        <v>46101</v>
      </c>
      <c r="C21" s="26" t="s">
        <v>13</v>
      </c>
      <c r="D21" s="38" t="s">
        <v>103</v>
      </c>
      <c r="E21" s="26" t="s">
        <v>435</v>
      </c>
      <c r="F21" s="28">
        <v>462</v>
      </c>
      <c r="G21" s="28">
        <v>38000</v>
      </c>
      <c r="H21" s="28">
        <f>Cty_Tan_Dat[[#This Row],[ĐƠN GIÁ]]*Cty_Tan_Dat[[#This Row],[SỐ LƯỢNG]]</f>
        <v>17556000</v>
      </c>
      <c r="I21" s="28"/>
      <c r="J21" s="28">
        <f>J20+Cty_Tan_Dat[[#This Row],[THÀNH TIỀN]]-Cty_Tan_Dat[[#This Row],[THANH TOÁN]]</f>
        <v>271186000</v>
      </c>
      <c r="K21" s="27"/>
    </row>
    <row r="22" spans="1:11" x14ac:dyDescent="0.25">
      <c r="A22" s="25">
        <v>8215</v>
      </c>
      <c r="B22" s="30">
        <v>46104</v>
      </c>
      <c r="C22" s="26" t="s">
        <v>13</v>
      </c>
      <c r="D22" s="38" t="s">
        <v>265</v>
      </c>
      <c r="E22" s="26" t="s">
        <v>136</v>
      </c>
      <c r="F22" s="28">
        <v>516</v>
      </c>
      <c r="G22" s="28">
        <v>63500</v>
      </c>
      <c r="H22" s="28">
        <f>Cty_Tan_Dat[[#This Row],[ĐƠN GIÁ]]*Cty_Tan_Dat[[#This Row],[SỐ LƯỢNG]]</f>
        <v>32766000</v>
      </c>
      <c r="I22" s="28"/>
      <c r="J22" s="28">
        <f>J21+Cty_Tan_Dat[[#This Row],[THÀNH TIỀN]]-Cty_Tan_Dat[[#This Row],[THANH TOÁN]]</f>
        <v>303952000</v>
      </c>
      <c r="K22" s="27"/>
    </row>
    <row r="23" spans="1:11" x14ac:dyDescent="0.25">
      <c r="A23" s="25">
        <v>8303</v>
      </c>
      <c r="B23" s="30">
        <v>46105</v>
      </c>
      <c r="C23" s="26" t="s">
        <v>13</v>
      </c>
      <c r="D23" s="38" t="s">
        <v>858</v>
      </c>
      <c r="E23" s="26" t="s">
        <v>859</v>
      </c>
      <c r="F23" s="28">
        <v>764</v>
      </c>
      <c r="G23" s="28">
        <v>43000</v>
      </c>
      <c r="H23" s="28">
        <f>Cty_Tan_Dat[[#This Row],[ĐƠN GIÁ]]*Cty_Tan_Dat[[#This Row],[SỐ LƯỢNG]]</f>
        <v>32852000</v>
      </c>
      <c r="I23" s="28"/>
      <c r="J23" s="28">
        <f>J22+Cty_Tan_Dat[[#This Row],[THÀNH TIỀN]]-Cty_Tan_Dat[[#This Row],[THANH TOÁN]]</f>
        <v>336804000</v>
      </c>
      <c r="K23" s="27"/>
    </row>
    <row r="24" spans="1:11" x14ac:dyDescent="0.25">
      <c r="A24" s="25">
        <v>8334</v>
      </c>
      <c r="B24" s="30">
        <v>46106</v>
      </c>
      <c r="C24" s="26" t="s">
        <v>13</v>
      </c>
      <c r="D24" s="38" t="s">
        <v>17</v>
      </c>
      <c r="E24" s="26" t="s">
        <v>230</v>
      </c>
      <c r="F24" s="28">
        <v>106</v>
      </c>
      <c r="G24" s="28">
        <v>67000</v>
      </c>
      <c r="H24" s="28">
        <f>Cty_Tan_Dat[[#This Row],[ĐƠN GIÁ]]*Cty_Tan_Dat[[#This Row],[SỐ LƯỢNG]]</f>
        <v>7102000</v>
      </c>
      <c r="I24" s="28"/>
      <c r="J24" s="28">
        <f>J23+Cty_Tan_Dat[[#This Row],[THÀNH TIỀN]]-Cty_Tan_Dat[[#This Row],[THANH TOÁN]]</f>
        <v>343906000</v>
      </c>
      <c r="K24" s="27"/>
    </row>
    <row r="25" spans="1:11" x14ac:dyDescent="0.25">
      <c r="A25" s="25">
        <v>8334</v>
      </c>
      <c r="B25" s="30">
        <v>46106</v>
      </c>
      <c r="C25" s="26" t="s">
        <v>13</v>
      </c>
      <c r="D25" s="38" t="s">
        <v>54</v>
      </c>
      <c r="E25" s="26" t="s">
        <v>860</v>
      </c>
      <c r="F25" s="28">
        <v>2434</v>
      </c>
      <c r="G25" s="28">
        <v>33500</v>
      </c>
      <c r="H25" s="28">
        <f>Cty_Tan_Dat[[#This Row],[ĐƠN GIÁ]]*Cty_Tan_Dat[[#This Row],[SỐ LƯỢNG]]</f>
        <v>81539000</v>
      </c>
      <c r="I25" s="28"/>
      <c r="J25" s="28">
        <f>J24+Cty_Tan_Dat[[#This Row],[THÀNH TIỀN]]-Cty_Tan_Dat[[#This Row],[THANH TOÁN]]</f>
        <v>425445000</v>
      </c>
      <c r="K25" s="27"/>
    </row>
    <row r="26" spans="1:11" x14ac:dyDescent="0.25">
      <c r="A26" s="25">
        <v>8334</v>
      </c>
      <c r="B26" s="30">
        <v>46106</v>
      </c>
      <c r="C26" s="26" t="s">
        <v>13</v>
      </c>
      <c r="D26" s="38" t="s">
        <v>54</v>
      </c>
      <c r="E26" s="26" t="s">
        <v>214</v>
      </c>
      <c r="F26" s="28">
        <v>1860</v>
      </c>
      <c r="G26" s="28">
        <v>33500</v>
      </c>
      <c r="H26" s="28">
        <f>Cty_Tan_Dat[[#This Row],[ĐƠN GIÁ]]*Cty_Tan_Dat[[#This Row],[SỐ LƯỢNG]]</f>
        <v>62310000</v>
      </c>
      <c r="I26" s="28"/>
      <c r="J26" s="28">
        <f>J25+Cty_Tan_Dat[[#This Row],[THÀNH TIỀN]]-Cty_Tan_Dat[[#This Row],[THANH TOÁN]]</f>
        <v>487755000</v>
      </c>
      <c r="K26" s="27"/>
    </row>
    <row r="27" spans="1:11" x14ac:dyDescent="0.25">
      <c r="A27" s="25">
        <v>8373</v>
      </c>
      <c r="B27" s="30">
        <v>46108</v>
      </c>
      <c r="C27" s="26" t="s">
        <v>13</v>
      </c>
      <c r="D27" s="38" t="s">
        <v>17</v>
      </c>
      <c r="E27" s="26" t="s">
        <v>861</v>
      </c>
      <c r="F27" s="28">
        <v>291</v>
      </c>
      <c r="G27" s="28">
        <v>65000</v>
      </c>
      <c r="H27" s="28">
        <f>Cty_Tan_Dat[[#This Row],[ĐƠN GIÁ]]*Cty_Tan_Dat[[#This Row],[SỐ LƯỢNG]]</f>
        <v>18915000</v>
      </c>
      <c r="I27" s="28"/>
      <c r="J27" s="28">
        <f>J26+Cty_Tan_Dat[[#This Row],[THÀNH TIỀN]]-Cty_Tan_Dat[[#This Row],[THANH TOÁN]]</f>
        <v>506670000</v>
      </c>
      <c r="K27" s="27"/>
    </row>
    <row r="28" spans="1:11" x14ac:dyDescent="0.25">
      <c r="A28" s="25"/>
      <c r="B28" s="30">
        <v>46108</v>
      </c>
      <c r="C28" s="26" t="s">
        <v>21</v>
      </c>
      <c r="D28" s="38" t="s">
        <v>22</v>
      </c>
      <c r="E28" s="26" t="s">
        <v>83</v>
      </c>
      <c r="F28" s="28">
        <v>0</v>
      </c>
      <c r="G28" s="28">
        <v>0</v>
      </c>
      <c r="H28" s="28">
        <f>Cty_Tan_Dat[[#This Row],[ĐƠN GIÁ]]*Cty_Tan_Dat[[#This Row],[SỐ LƯỢNG]]</f>
        <v>0</v>
      </c>
      <c r="I28" s="28">
        <v>44160000</v>
      </c>
      <c r="J28" s="28">
        <f>J27+Cty_Tan_Dat[[#This Row],[THÀNH TIỀN]]-Cty_Tan_Dat[[#This Row],[THANH TOÁN]]</f>
        <v>462510000</v>
      </c>
      <c r="K28" s="27"/>
    </row>
    <row r="29" spans="1:11" x14ac:dyDescent="0.25">
      <c r="A29" s="25">
        <v>8424</v>
      </c>
      <c r="B29" s="30">
        <v>46111</v>
      </c>
      <c r="C29" s="26" t="s">
        <v>13</v>
      </c>
      <c r="D29" s="38" t="s">
        <v>54</v>
      </c>
      <c r="E29" s="23" t="s">
        <v>862</v>
      </c>
      <c r="F29" s="31">
        <v>1546</v>
      </c>
      <c r="G29" s="31">
        <v>36000</v>
      </c>
      <c r="H29" s="31">
        <f>Cty_Tan_Dat[[#This Row],[ĐƠN GIÁ]]*Cty_Tan_Dat[[#This Row],[SỐ LƯỢNG]]</f>
        <v>55656000</v>
      </c>
      <c r="I29" s="31"/>
      <c r="J29" s="31">
        <f>J28+Cty_Tan_Dat[[#This Row],[THÀNH TIỀN]]-Cty_Tan_Dat[[#This Row],[THANH TOÁN]]</f>
        <v>518166000</v>
      </c>
      <c r="K29" s="24"/>
    </row>
    <row r="30" spans="1:11" x14ac:dyDescent="0.25">
      <c r="A30" s="25">
        <v>8424</v>
      </c>
      <c r="B30" s="30">
        <v>46111</v>
      </c>
      <c r="C30" s="26" t="s">
        <v>13</v>
      </c>
      <c r="D30" s="38" t="s">
        <v>54</v>
      </c>
      <c r="E30" s="23" t="s">
        <v>863</v>
      </c>
      <c r="F30" s="31">
        <v>420</v>
      </c>
      <c r="G30" s="31">
        <v>28000</v>
      </c>
      <c r="H30" s="31">
        <f>Cty_Tan_Dat[[#This Row],[ĐƠN GIÁ]]*Cty_Tan_Dat[[#This Row],[SỐ LƯỢNG]]</f>
        <v>11760000</v>
      </c>
      <c r="I30" s="31"/>
      <c r="J30" s="31">
        <f>J29+Cty_Tan_Dat[[#This Row],[THÀNH TIỀN]]-Cty_Tan_Dat[[#This Row],[THANH TOÁN]]</f>
        <v>529926000</v>
      </c>
      <c r="K30" s="24"/>
    </row>
    <row r="31" spans="1:11" x14ac:dyDescent="0.25">
      <c r="A31" s="25">
        <v>8424</v>
      </c>
      <c r="B31" s="30">
        <v>46111</v>
      </c>
      <c r="C31" s="26" t="s">
        <v>13</v>
      </c>
      <c r="D31" s="38" t="s">
        <v>54</v>
      </c>
      <c r="E31" s="26" t="s">
        <v>864</v>
      </c>
      <c r="F31" s="28">
        <v>980</v>
      </c>
      <c r="G31" s="28">
        <v>28000</v>
      </c>
      <c r="H31" s="28">
        <f>Cty_Tan_Dat[[#This Row],[ĐƠN GIÁ]]*Cty_Tan_Dat[[#This Row],[SỐ LƯỢNG]]</f>
        <v>27440000</v>
      </c>
      <c r="I31" s="28"/>
      <c r="J31" s="28">
        <f>J30+Cty_Tan_Dat[[#This Row],[THÀNH TIỀN]]-Cty_Tan_Dat[[#This Row],[THANH TOÁN]]</f>
        <v>557366000</v>
      </c>
      <c r="K31" s="27"/>
    </row>
    <row r="32" spans="1:11" x14ac:dyDescent="0.25">
      <c r="A32" s="22"/>
      <c r="B32" s="29">
        <v>46113</v>
      </c>
      <c r="C32" s="23" t="s">
        <v>21</v>
      </c>
      <c r="D32" s="37" t="s">
        <v>22</v>
      </c>
      <c r="E32" s="23" t="s">
        <v>83</v>
      </c>
      <c r="F32" s="31">
        <v>0</v>
      </c>
      <c r="G32" s="31"/>
      <c r="H32" s="31">
        <f>Cty_Tan_Dat[[#This Row],[ĐƠN GIÁ]]*Cty_Tan_Dat[[#This Row],[SỐ LƯỢNG]]</f>
        <v>0</v>
      </c>
      <c r="I32" s="31">
        <v>136568433</v>
      </c>
      <c r="J32" s="31">
        <f>J31+Cty_Tan_Dat[[#This Row],[THÀNH TIỀN]]-Cty_Tan_Dat[[#This Row],[THANH TOÁN]]</f>
        <v>420797567</v>
      </c>
      <c r="K32" s="24"/>
    </row>
    <row r="33" spans="1:11" x14ac:dyDescent="0.25">
      <c r="A33" s="22">
        <v>8546</v>
      </c>
      <c r="B33" s="29">
        <v>46116</v>
      </c>
      <c r="C33" s="23" t="s">
        <v>13</v>
      </c>
      <c r="D33" s="37" t="s">
        <v>32</v>
      </c>
      <c r="E33" s="23" t="s">
        <v>40</v>
      </c>
      <c r="F33" s="31">
        <v>237</v>
      </c>
      <c r="G33" s="31">
        <v>43000</v>
      </c>
      <c r="H33" s="31">
        <f>Cty_Tan_Dat[[#This Row],[ĐƠN GIÁ]]*Cty_Tan_Dat[[#This Row],[SỐ LƯỢNG]]</f>
        <v>10191000</v>
      </c>
      <c r="I33" s="31"/>
      <c r="J33" s="31">
        <f>J32+Cty_Tan_Dat[[#This Row],[THÀNH TIỀN]]-Cty_Tan_Dat[[#This Row],[THANH TOÁN]]</f>
        <v>430988567</v>
      </c>
      <c r="K33" s="24"/>
    </row>
    <row r="34" spans="1:11" x14ac:dyDescent="0.25">
      <c r="A34" s="22">
        <v>8546</v>
      </c>
      <c r="B34" s="29">
        <v>46116</v>
      </c>
      <c r="C34" s="23" t="s">
        <v>13</v>
      </c>
      <c r="D34" s="37" t="s">
        <v>32</v>
      </c>
      <c r="E34" s="23" t="s">
        <v>46</v>
      </c>
      <c r="F34" s="31">
        <v>1002</v>
      </c>
      <c r="G34" s="31">
        <v>43500</v>
      </c>
      <c r="H34" s="31">
        <f>Cty_Tan_Dat[[#This Row],[ĐƠN GIÁ]]*Cty_Tan_Dat[[#This Row],[SỐ LƯỢNG]]</f>
        <v>43587000</v>
      </c>
      <c r="I34" s="31"/>
      <c r="J34" s="31">
        <f>J33+Cty_Tan_Dat[[#This Row],[THÀNH TIỀN]]-Cty_Tan_Dat[[#This Row],[THANH TOÁN]]</f>
        <v>474575567</v>
      </c>
      <c r="K34" s="24"/>
    </row>
    <row r="35" spans="1:11" x14ac:dyDescent="0.25">
      <c r="A35" s="22">
        <v>8546</v>
      </c>
      <c r="B35" s="29">
        <v>46116</v>
      </c>
      <c r="C35" s="23" t="s">
        <v>13</v>
      </c>
      <c r="D35" s="37" t="s">
        <v>32</v>
      </c>
      <c r="E35" s="23" t="s">
        <v>33</v>
      </c>
      <c r="F35" s="31">
        <v>600</v>
      </c>
      <c r="G35" s="31">
        <v>43500</v>
      </c>
      <c r="H35" s="31">
        <f>Cty_Tan_Dat[[#This Row],[ĐƠN GIÁ]]*Cty_Tan_Dat[[#This Row],[SỐ LƯỢNG]]</f>
        <v>26100000</v>
      </c>
      <c r="I35" s="31"/>
      <c r="J35" s="31">
        <f>J34+Cty_Tan_Dat[[#This Row],[THÀNH TIỀN]]-Cty_Tan_Dat[[#This Row],[THANH TOÁN]]</f>
        <v>500675567</v>
      </c>
      <c r="K35" s="24"/>
    </row>
    <row r="36" spans="1:11" x14ac:dyDescent="0.25">
      <c r="A36" s="22">
        <v>8546</v>
      </c>
      <c r="B36" s="29">
        <v>46116</v>
      </c>
      <c r="C36" s="23" t="s">
        <v>13</v>
      </c>
      <c r="D36" s="37" t="s">
        <v>26</v>
      </c>
      <c r="E36" s="23" t="s">
        <v>865</v>
      </c>
      <c r="F36" s="31">
        <v>192</v>
      </c>
      <c r="G36" s="31">
        <v>36500</v>
      </c>
      <c r="H36" s="31">
        <f>Cty_Tan_Dat[[#This Row],[ĐƠN GIÁ]]*Cty_Tan_Dat[[#This Row],[SỐ LƯỢNG]]</f>
        <v>7008000</v>
      </c>
      <c r="I36" s="31"/>
      <c r="J36" s="31">
        <f>J35+Cty_Tan_Dat[[#This Row],[THÀNH TIỀN]]-Cty_Tan_Dat[[#This Row],[THANH TOÁN]]</f>
        <v>507683567</v>
      </c>
      <c r="K36" s="24"/>
    </row>
    <row r="37" spans="1:11" x14ac:dyDescent="0.25">
      <c r="A37" s="22">
        <v>8546</v>
      </c>
      <c r="B37" s="29">
        <v>46116</v>
      </c>
      <c r="C37" s="23" t="s">
        <v>13</v>
      </c>
      <c r="D37" s="37" t="s">
        <v>32</v>
      </c>
      <c r="E37" s="23" t="s">
        <v>46</v>
      </c>
      <c r="F37" s="31">
        <v>504</v>
      </c>
      <c r="G37" s="31">
        <v>43500</v>
      </c>
      <c r="H37" s="31">
        <f>Cty_Tan_Dat[[#This Row],[ĐƠN GIÁ]]*Cty_Tan_Dat[[#This Row],[SỐ LƯỢNG]]</f>
        <v>21924000</v>
      </c>
      <c r="I37" s="31"/>
      <c r="J37" s="31">
        <f>J36+Cty_Tan_Dat[[#This Row],[THÀNH TIỀN]]-Cty_Tan_Dat[[#This Row],[THANH TOÁN]]</f>
        <v>529607567</v>
      </c>
      <c r="K37" s="24"/>
    </row>
    <row r="38" spans="1:11" x14ac:dyDescent="0.25">
      <c r="A38" s="22">
        <v>8555</v>
      </c>
      <c r="B38" s="29">
        <v>46116</v>
      </c>
      <c r="C38" s="23" t="s">
        <v>13</v>
      </c>
      <c r="D38" s="37" t="s">
        <v>32</v>
      </c>
      <c r="E38" s="23" t="s">
        <v>25</v>
      </c>
      <c r="F38" s="31">
        <v>354</v>
      </c>
      <c r="G38" s="31">
        <v>43500</v>
      </c>
      <c r="H38" s="31">
        <f>Cty_Tan_Dat[[#This Row],[ĐƠN GIÁ]]*Cty_Tan_Dat[[#This Row],[SỐ LƯỢNG]]</f>
        <v>15399000</v>
      </c>
      <c r="I38" s="31"/>
      <c r="J38" s="31">
        <f>J37+Cty_Tan_Dat[[#This Row],[THÀNH TIỀN]]-Cty_Tan_Dat[[#This Row],[THANH TOÁN]]</f>
        <v>545006567</v>
      </c>
      <c r="K38" s="24"/>
    </row>
    <row r="39" spans="1:11" x14ac:dyDescent="0.25">
      <c r="A39" s="22">
        <v>8589</v>
      </c>
      <c r="B39" s="29">
        <v>46118</v>
      </c>
      <c r="C39" s="23" t="s">
        <v>13</v>
      </c>
      <c r="D39" s="37" t="s">
        <v>26</v>
      </c>
      <c r="E39" s="23" t="s">
        <v>40</v>
      </c>
      <c r="F39" s="31">
        <v>366</v>
      </c>
      <c r="G39" s="31">
        <v>36000</v>
      </c>
      <c r="H39" s="31">
        <f>Cty_Tan_Dat[[#This Row],[ĐƠN GIÁ]]*Cty_Tan_Dat[[#This Row],[SỐ LƯỢNG]]</f>
        <v>13176000</v>
      </c>
      <c r="I39" s="31"/>
      <c r="J39" s="31">
        <f>J38+Cty_Tan_Dat[[#This Row],[THÀNH TIỀN]]-Cty_Tan_Dat[[#This Row],[THANH TOÁN]]</f>
        <v>558182567</v>
      </c>
      <c r="K39" s="24"/>
    </row>
    <row r="40" spans="1:11" x14ac:dyDescent="0.25">
      <c r="A40" s="22">
        <v>8589</v>
      </c>
      <c r="B40" s="29">
        <v>46118</v>
      </c>
      <c r="C40" s="23" t="s">
        <v>13</v>
      </c>
      <c r="D40" s="37" t="s">
        <v>45</v>
      </c>
      <c r="E40" s="23" t="s">
        <v>25</v>
      </c>
      <c r="F40" s="31">
        <v>1248</v>
      </c>
      <c r="G40" s="31">
        <v>34500</v>
      </c>
      <c r="H40" s="31">
        <f>Cty_Tan_Dat[[#This Row],[ĐƠN GIÁ]]*Cty_Tan_Dat[[#This Row],[SỐ LƯỢNG]]</f>
        <v>43056000</v>
      </c>
      <c r="I40" s="31"/>
      <c r="J40" s="31">
        <f>J39+Cty_Tan_Dat[[#This Row],[THÀNH TIỀN]]-Cty_Tan_Dat[[#This Row],[THANH TOÁN]]</f>
        <v>601238567</v>
      </c>
      <c r="K40" s="24"/>
    </row>
    <row r="41" spans="1:11" x14ac:dyDescent="0.25">
      <c r="A41" s="22">
        <v>8805</v>
      </c>
      <c r="B41" s="29">
        <v>46127</v>
      </c>
      <c r="C41" s="23" t="s">
        <v>13</v>
      </c>
      <c r="D41" s="37" t="s">
        <v>866</v>
      </c>
      <c r="E41" s="23" t="s">
        <v>867</v>
      </c>
      <c r="F41" s="31">
        <v>1104</v>
      </c>
      <c r="G41" s="31">
        <v>65000</v>
      </c>
      <c r="H41" s="31">
        <f>Cty_Tan_Dat[[#This Row],[ĐƠN GIÁ]]*Cty_Tan_Dat[[#This Row],[SỐ LƯỢNG]]</f>
        <v>71760000</v>
      </c>
      <c r="I41" s="31"/>
      <c r="J41" s="31">
        <f>J40+Cty_Tan_Dat[[#This Row],[THÀNH TIỀN]]-Cty_Tan_Dat[[#This Row],[THANH TOÁN]]</f>
        <v>672998567</v>
      </c>
      <c r="K41" s="24"/>
    </row>
    <row r="42" spans="1:11" x14ac:dyDescent="0.25">
      <c r="A42" s="22">
        <v>8805</v>
      </c>
      <c r="B42" s="29">
        <v>46127</v>
      </c>
      <c r="C42" s="23" t="s">
        <v>13</v>
      </c>
      <c r="D42" s="37" t="s">
        <v>866</v>
      </c>
      <c r="E42" s="23" t="s">
        <v>868</v>
      </c>
      <c r="F42" s="31">
        <v>1754</v>
      </c>
      <c r="G42" s="31">
        <v>65000</v>
      </c>
      <c r="H42" s="31">
        <f>Cty_Tan_Dat[[#This Row],[ĐƠN GIÁ]]*Cty_Tan_Dat[[#This Row],[SỐ LƯỢNG]]</f>
        <v>114010000</v>
      </c>
      <c r="I42" s="31"/>
      <c r="J42" s="31">
        <f>J41+Cty_Tan_Dat[[#This Row],[THÀNH TIỀN]]-Cty_Tan_Dat[[#This Row],[THANH TOÁN]]</f>
        <v>787008567</v>
      </c>
      <c r="K42" s="24"/>
    </row>
    <row r="43" spans="1:11" x14ac:dyDescent="0.25">
      <c r="A43" s="22">
        <v>8827</v>
      </c>
      <c r="B43" s="29">
        <v>46128</v>
      </c>
      <c r="C43" s="23" t="s">
        <v>13</v>
      </c>
      <c r="D43" s="37" t="s">
        <v>103</v>
      </c>
      <c r="E43" s="23" t="s">
        <v>869</v>
      </c>
      <c r="F43" s="31">
        <v>548.5</v>
      </c>
      <c r="G43" s="31">
        <v>37000</v>
      </c>
      <c r="H43" s="31">
        <f>Cty_Tan_Dat[[#This Row],[ĐƠN GIÁ]]*Cty_Tan_Dat[[#This Row],[SỐ LƯỢNG]]</f>
        <v>20294500</v>
      </c>
      <c r="I43" s="31"/>
      <c r="J43" s="31">
        <f>J42+Cty_Tan_Dat[[#This Row],[THÀNH TIỀN]]-Cty_Tan_Dat[[#This Row],[THANH TOÁN]]</f>
        <v>807303067</v>
      </c>
      <c r="K43" s="24"/>
    </row>
    <row r="44" spans="1:11" x14ac:dyDescent="0.25">
      <c r="A44" s="22">
        <v>8864</v>
      </c>
      <c r="B44" s="29">
        <v>46129</v>
      </c>
      <c r="C44" s="23" t="s">
        <v>13</v>
      </c>
      <c r="D44" s="37" t="s">
        <v>43</v>
      </c>
      <c r="E44" s="23" t="s">
        <v>870</v>
      </c>
      <c r="F44" s="31">
        <v>306</v>
      </c>
      <c r="G44" s="31">
        <v>63000</v>
      </c>
      <c r="H44" s="31">
        <f>Cty_Tan_Dat[[#This Row],[ĐƠN GIÁ]]*Cty_Tan_Dat[[#This Row],[SỐ LƯỢNG]]</f>
        <v>19278000</v>
      </c>
      <c r="I44" s="31"/>
      <c r="J44" s="31">
        <f>J43+Cty_Tan_Dat[[#This Row],[THÀNH TIỀN]]-Cty_Tan_Dat[[#This Row],[THANH TOÁN]]</f>
        <v>826581067</v>
      </c>
      <c r="K44" s="24"/>
    </row>
    <row r="45" spans="1:11" x14ac:dyDescent="0.25">
      <c r="A45" s="22">
        <v>8864</v>
      </c>
      <c r="B45" s="29">
        <v>46129</v>
      </c>
      <c r="C45" s="23" t="s">
        <v>13</v>
      </c>
      <c r="D45" s="37" t="s">
        <v>43</v>
      </c>
      <c r="E45" s="23" t="s">
        <v>871</v>
      </c>
      <c r="F45" s="31">
        <v>267</v>
      </c>
      <c r="G45" s="31">
        <v>63000</v>
      </c>
      <c r="H45" s="31">
        <f>Cty_Tan_Dat[[#This Row],[ĐƠN GIÁ]]*Cty_Tan_Dat[[#This Row],[SỐ LƯỢNG]]</f>
        <v>16821000</v>
      </c>
      <c r="I45" s="31"/>
      <c r="J45" s="31">
        <f>J44+Cty_Tan_Dat[[#This Row],[THÀNH TIỀN]]-Cty_Tan_Dat[[#This Row],[THANH TOÁN]]</f>
        <v>843402067</v>
      </c>
      <c r="K45" s="24" t="s">
        <v>872</v>
      </c>
    </row>
    <row r="46" spans="1:11" x14ac:dyDescent="0.25">
      <c r="A46" s="22">
        <v>8864</v>
      </c>
      <c r="B46" s="29">
        <v>46129</v>
      </c>
      <c r="C46" s="23" t="s">
        <v>13</v>
      </c>
      <c r="D46" s="37" t="s">
        <v>540</v>
      </c>
      <c r="E46" s="23" t="s">
        <v>873</v>
      </c>
      <c r="F46" s="31">
        <v>502</v>
      </c>
      <c r="G46" s="31">
        <v>43500</v>
      </c>
      <c r="H46" s="31">
        <f>Cty_Tan_Dat[[#This Row],[ĐƠN GIÁ]]*Cty_Tan_Dat[[#This Row],[SỐ LƯỢNG]]</f>
        <v>21837000</v>
      </c>
      <c r="I46" s="31"/>
      <c r="J46" s="31">
        <f>J45+Cty_Tan_Dat[[#This Row],[THÀNH TIỀN]]-Cty_Tan_Dat[[#This Row],[THANH TOÁN]]</f>
        <v>865239067</v>
      </c>
      <c r="K46" s="24" t="s">
        <v>874</v>
      </c>
    </row>
    <row r="47" spans="1:11" x14ac:dyDescent="0.25">
      <c r="A47" s="22"/>
      <c r="B47" s="29">
        <v>46129</v>
      </c>
      <c r="C47" s="23" t="s">
        <v>21</v>
      </c>
      <c r="D47" s="37" t="s">
        <v>22</v>
      </c>
      <c r="E47" s="23" t="s">
        <v>83</v>
      </c>
      <c r="F47" s="31">
        <v>0</v>
      </c>
      <c r="G47" s="31"/>
      <c r="H47" s="31">
        <f>Cty_Tan_Dat[[#This Row],[ĐƠN GIÁ]]*Cty_Tan_Dat[[#This Row],[SỐ LƯỢNG]]</f>
        <v>0</v>
      </c>
      <c r="I47" s="31">
        <v>90420000</v>
      </c>
      <c r="J47" s="31">
        <f>J46+Cty_Tan_Dat[[#This Row],[THÀNH TIỀN]]-Cty_Tan_Dat[[#This Row],[THANH TOÁN]]</f>
        <v>774819067</v>
      </c>
      <c r="K47" s="24"/>
    </row>
    <row r="48" spans="1:11" x14ac:dyDescent="0.25">
      <c r="A48" s="22">
        <v>8891</v>
      </c>
      <c r="B48" s="29">
        <v>46130</v>
      </c>
      <c r="C48" s="23" t="s">
        <v>13</v>
      </c>
      <c r="D48" s="37" t="s">
        <v>14</v>
      </c>
      <c r="E48" s="23" t="s">
        <v>449</v>
      </c>
      <c r="F48" s="31">
        <v>202</v>
      </c>
      <c r="G48" s="31">
        <v>43000</v>
      </c>
      <c r="H48" s="31">
        <f>Cty_Tan_Dat[[#This Row],[ĐƠN GIÁ]]*Cty_Tan_Dat[[#This Row],[SỐ LƯỢNG]]</f>
        <v>8686000</v>
      </c>
      <c r="I48" s="31"/>
      <c r="J48" s="31">
        <f>J47+Cty_Tan_Dat[[#This Row],[THÀNH TIỀN]]-Cty_Tan_Dat[[#This Row],[THANH TOÁN]]</f>
        <v>783505067</v>
      </c>
      <c r="K48" s="24"/>
    </row>
    <row r="49" spans="1:11" x14ac:dyDescent="0.25">
      <c r="A49" s="22">
        <v>8923</v>
      </c>
      <c r="B49" s="29">
        <v>46133</v>
      </c>
      <c r="C49" s="23" t="s">
        <v>13</v>
      </c>
      <c r="D49" s="37" t="s">
        <v>26</v>
      </c>
      <c r="E49" s="23" t="s">
        <v>1760</v>
      </c>
      <c r="F49" s="31">
        <v>430</v>
      </c>
      <c r="G49" s="31">
        <v>35000</v>
      </c>
      <c r="H49" s="31">
        <f>Cty_Tan_Dat[[#This Row],[ĐƠN GIÁ]]*Cty_Tan_Dat[[#This Row],[SỐ LƯỢNG]]</f>
        <v>15050000</v>
      </c>
      <c r="I49" s="31"/>
      <c r="J49" s="31">
        <f>J48+Cty_Tan_Dat[[#This Row],[THÀNH TIỀN]]-Cty_Tan_Dat[[#This Row],[THANH TOÁN]]</f>
        <v>798555067</v>
      </c>
      <c r="K49" s="24"/>
    </row>
    <row r="50" spans="1:11" x14ac:dyDescent="0.25">
      <c r="A50" s="22">
        <v>8945</v>
      </c>
      <c r="B50" s="29">
        <v>46134</v>
      </c>
      <c r="C50" s="23" t="s">
        <v>13</v>
      </c>
      <c r="D50" s="37" t="s">
        <v>866</v>
      </c>
      <c r="E50" s="23" t="s">
        <v>1127</v>
      </c>
      <c r="F50" s="31">
        <v>1752</v>
      </c>
      <c r="G50" s="31">
        <v>65000</v>
      </c>
      <c r="H50" s="31">
        <f>Cty_Tan_Dat[[#This Row],[ĐƠN GIÁ]]*Cty_Tan_Dat[[#This Row],[SỐ LƯỢNG]]</f>
        <v>113880000</v>
      </c>
      <c r="I50" s="31"/>
      <c r="J50" s="31">
        <f>J49+Cty_Tan_Dat[[#This Row],[THÀNH TIỀN]]-Cty_Tan_Dat[[#This Row],[THANH TOÁN]]</f>
        <v>912435067</v>
      </c>
      <c r="K50" s="24"/>
    </row>
    <row r="51" spans="1:11" x14ac:dyDescent="0.25">
      <c r="A51" s="22">
        <v>8945</v>
      </c>
      <c r="B51" s="29">
        <v>46134</v>
      </c>
      <c r="C51" s="23" t="s">
        <v>13</v>
      </c>
      <c r="D51" s="37" t="s">
        <v>170</v>
      </c>
      <c r="E51" s="23" t="s">
        <v>116</v>
      </c>
      <c r="F51" s="31">
        <v>797</v>
      </c>
      <c r="G51" s="31">
        <v>65000</v>
      </c>
      <c r="H51" s="31">
        <f>Cty_Tan_Dat[[#This Row],[ĐƠN GIÁ]]*Cty_Tan_Dat[[#This Row],[SỐ LƯỢNG]]</f>
        <v>51805000</v>
      </c>
      <c r="I51" s="31"/>
      <c r="J51" s="31">
        <f>J50+Cty_Tan_Dat[[#This Row],[THÀNH TIỀN]]-Cty_Tan_Dat[[#This Row],[THANH TOÁN]]</f>
        <v>964240067</v>
      </c>
      <c r="K51" s="24"/>
    </row>
    <row r="52" spans="1:11" x14ac:dyDescent="0.25">
      <c r="A52" s="22">
        <v>8945</v>
      </c>
      <c r="B52" s="29">
        <v>46134</v>
      </c>
      <c r="C52" s="23" t="s">
        <v>13</v>
      </c>
      <c r="D52" s="37" t="s">
        <v>26</v>
      </c>
      <c r="E52" s="23" t="s">
        <v>25</v>
      </c>
      <c r="F52" s="31">
        <v>474</v>
      </c>
      <c r="G52" s="31">
        <v>34000</v>
      </c>
      <c r="H52" s="31">
        <f>Cty_Tan_Dat[[#This Row],[ĐƠN GIÁ]]*Cty_Tan_Dat[[#This Row],[SỐ LƯỢNG]]</f>
        <v>16116000</v>
      </c>
      <c r="I52" s="31"/>
      <c r="J52" s="31">
        <f>J51+Cty_Tan_Dat[[#This Row],[THÀNH TIỀN]]-Cty_Tan_Dat[[#This Row],[THANH TOÁN]]</f>
        <v>980356067</v>
      </c>
      <c r="K52" s="24"/>
    </row>
    <row r="53" spans="1:11" x14ac:dyDescent="0.25">
      <c r="A53" s="22"/>
      <c r="B53" s="29">
        <v>46134</v>
      </c>
      <c r="C53" s="23" t="s">
        <v>21</v>
      </c>
      <c r="D53" s="37" t="s">
        <v>22</v>
      </c>
      <c r="E53" s="23" t="s">
        <v>261</v>
      </c>
      <c r="F53" s="31">
        <v>0</v>
      </c>
      <c r="G53" s="31"/>
      <c r="H53" s="31">
        <f>Cty_Tan_Dat[[#This Row],[ĐƠN GIÁ]]*Cty_Tan_Dat[[#This Row],[SỐ LƯỢNG]]</f>
        <v>0</v>
      </c>
      <c r="I53" s="31">
        <v>32766000</v>
      </c>
      <c r="J53" s="31">
        <f>J52+Cty_Tan_Dat[[#This Row],[THÀNH TIỀN]]-Cty_Tan_Dat[[#This Row],[THANH TOÁN]]</f>
        <v>947590067</v>
      </c>
      <c r="K53" s="24"/>
    </row>
    <row r="54" spans="1:11" x14ac:dyDescent="0.25">
      <c r="A54" s="22"/>
      <c r="B54" s="29">
        <v>46135</v>
      </c>
      <c r="C54" s="23" t="s">
        <v>21</v>
      </c>
      <c r="D54" s="37" t="s">
        <v>22</v>
      </c>
      <c r="E54" s="23" t="s">
        <v>261</v>
      </c>
      <c r="F54" s="31">
        <v>0</v>
      </c>
      <c r="G54" s="31"/>
      <c r="H54" s="31">
        <f>Cty_Tan_Dat[[#This Row],[ĐƠN GIÁ]]*Cty_Tan_Dat[[#This Row],[SỐ LƯỢNG]]</f>
        <v>0</v>
      </c>
      <c r="I54" s="31">
        <v>32852000</v>
      </c>
      <c r="J54" s="31">
        <f>J53+Cty_Tan_Dat[[#This Row],[THÀNH TIỀN]]-Cty_Tan_Dat[[#This Row],[THANH TOÁN]]</f>
        <v>914738067</v>
      </c>
      <c r="K54" s="24"/>
    </row>
    <row r="55" spans="1:11" x14ac:dyDescent="0.25">
      <c r="A55" s="22"/>
      <c r="B55" s="29">
        <v>46136</v>
      </c>
      <c r="C55" s="23" t="s">
        <v>21</v>
      </c>
      <c r="D55" s="37" t="s">
        <v>22</v>
      </c>
      <c r="E55" s="23" t="s">
        <v>83</v>
      </c>
      <c r="F55" s="31">
        <v>0</v>
      </c>
      <c r="G55" s="31"/>
      <c r="H55" s="31">
        <f>Cty_Tan_Dat[[#This Row],[ĐƠN GIÁ]]*Cty_Tan_Dat[[#This Row],[SỐ LƯỢNG]]</f>
        <v>0</v>
      </c>
      <c r="I55" s="31">
        <v>169866000</v>
      </c>
      <c r="J55" s="31">
        <f>J54+Cty_Tan_Dat[[#This Row],[THÀNH TIỀN]]-Cty_Tan_Dat[[#This Row],[THANH TOÁN]]</f>
        <v>744872067</v>
      </c>
      <c r="K55" s="24"/>
    </row>
    <row r="56" spans="1:11" x14ac:dyDescent="0.25">
      <c r="A56" s="22">
        <v>8996</v>
      </c>
      <c r="B56" s="29">
        <v>46136</v>
      </c>
      <c r="C56" s="23" t="s">
        <v>13</v>
      </c>
      <c r="D56" s="37" t="s">
        <v>109</v>
      </c>
      <c r="E56" s="23" t="s">
        <v>990</v>
      </c>
      <c r="F56" s="31">
        <v>3590</v>
      </c>
      <c r="G56" s="31">
        <v>60000</v>
      </c>
      <c r="H56" s="31">
        <f>Cty_Tan_Dat[[#This Row],[ĐƠN GIÁ]]*Cty_Tan_Dat[[#This Row],[SỐ LƯỢNG]]</f>
        <v>215400000</v>
      </c>
      <c r="I56" s="31"/>
      <c r="J56" s="31">
        <f>J55+Cty_Tan_Dat[[#This Row],[THÀNH TIỀN]]-Cty_Tan_Dat[[#This Row],[THANH TOÁN]]</f>
        <v>960272067</v>
      </c>
      <c r="K56" s="24"/>
    </row>
    <row r="57" spans="1:11" x14ac:dyDescent="0.25">
      <c r="A57" s="22">
        <v>8996</v>
      </c>
      <c r="B57" s="29">
        <v>46136</v>
      </c>
      <c r="C57" s="23" t="s">
        <v>13</v>
      </c>
      <c r="D57" s="37" t="s">
        <v>109</v>
      </c>
      <c r="E57" s="23" t="s">
        <v>1818</v>
      </c>
      <c r="F57" s="31">
        <v>428</v>
      </c>
      <c r="G57" s="31">
        <v>60000</v>
      </c>
      <c r="H57" s="31">
        <f>Cty_Tan_Dat[[#This Row],[ĐƠN GIÁ]]*Cty_Tan_Dat[[#This Row],[SỐ LƯỢNG]]</f>
        <v>25680000</v>
      </c>
      <c r="I57" s="31"/>
      <c r="J57" s="31">
        <f>J56+Cty_Tan_Dat[[#This Row],[THÀNH TIỀN]]-Cty_Tan_Dat[[#This Row],[THANH TOÁN]]</f>
        <v>985952067</v>
      </c>
      <c r="K57" s="24"/>
    </row>
    <row r="58" spans="1:11" x14ac:dyDescent="0.25">
      <c r="A58" s="22">
        <v>8996</v>
      </c>
      <c r="B58" s="29">
        <v>46136</v>
      </c>
      <c r="C58" s="23" t="s">
        <v>13</v>
      </c>
      <c r="D58" s="37" t="s">
        <v>32</v>
      </c>
      <c r="E58" s="23" t="s">
        <v>25</v>
      </c>
      <c r="F58" s="31">
        <v>498</v>
      </c>
      <c r="G58" s="31">
        <v>43500</v>
      </c>
      <c r="H58" s="31">
        <f>Cty_Tan_Dat[[#This Row],[ĐƠN GIÁ]]*Cty_Tan_Dat[[#This Row],[SỐ LƯỢNG]]</f>
        <v>21663000</v>
      </c>
      <c r="I58" s="31"/>
      <c r="J58" s="31">
        <f>J57+Cty_Tan_Dat[[#This Row],[THÀNH TIỀN]]-Cty_Tan_Dat[[#This Row],[THANH TOÁN]]</f>
        <v>1007615067</v>
      </c>
      <c r="K58" s="24"/>
    </row>
    <row r="59" spans="1:11" x14ac:dyDescent="0.25">
      <c r="A59" s="22">
        <v>8996</v>
      </c>
      <c r="B59" s="29">
        <v>46136</v>
      </c>
      <c r="C59" s="23" t="s">
        <v>13</v>
      </c>
      <c r="D59" s="37" t="s">
        <v>32</v>
      </c>
      <c r="E59" s="23" t="s">
        <v>33</v>
      </c>
      <c r="F59" s="31">
        <v>992</v>
      </c>
      <c r="G59" s="31">
        <v>43500</v>
      </c>
      <c r="H59" s="31">
        <f>Cty_Tan_Dat[[#This Row],[ĐƠN GIÁ]]*Cty_Tan_Dat[[#This Row],[SỐ LƯỢNG]]</f>
        <v>43152000</v>
      </c>
      <c r="I59" s="31"/>
      <c r="J59" s="31">
        <f>J58+Cty_Tan_Dat[[#This Row],[THÀNH TIỀN]]-Cty_Tan_Dat[[#This Row],[THANH TOÁN]]</f>
        <v>1050767067</v>
      </c>
      <c r="K59" s="24"/>
    </row>
    <row r="60" spans="1:11" x14ac:dyDescent="0.25">
      <c r="A60" s="22">
        <v>8996</v>
      </c>
      <c r="B60" s="29">
        <v>46136</v>
      </c>
      <c r="C60" s="23" t="s">
        <v>13</v>
      </c>
      <c r="D60" s="37" t="s">
        <v>32</v>
      </c>
      <c r="E60" s="23" t="s">
        <v>40</v>
      </c>
      <c r="F60" s="31">
        <v>196</v>
      </c>
      <c r="G60" s="31">
        <v>43500</v>
      </c>
      <c r="H60" s="31">
        <f>Cty_Tan_Dat[[#This Row],[ĐƠN GIÁ]]*Cty_Tan_Dat[[#This Row],[SỐ LƯỢNG]]</f>
        <v>8526000</v>
      </c>
      <c r="I60" s="31"/>
      <c r="J60" s="31">
        <f>J59+Cty_Tan_Dat[[#This Row],[THÀNH TIỀN]]-Cty_Tan_Dat[[#This Row],[THANH TOÁN]]</f>
        <v>1059293067</v>
      </c>
      <c r="K60" s="24"/>
    </row>
    <row r="61" spans="1:11" x14ac:dyDescent="0.25">
      <c r="A61" s="22">
        <v>9059</v>
      </c>
      <c r="B61" s="29">
        <v>46139</v>
      </c>
      <c r="C61" s="23" t="s">
        <v>13</v>
      </c>
      <c r="D61" s="37" t="s">
        <v>1842</v>
      </c>
      <c r="E61" s="23" t="s">
        <v>1851</v>
      </c>
      <c r="F61" s="31">
        <v>924</v>
      </c>
      <c r="G61" s="31">
        <v>71500</v>
      </c>
      <c r="H61" s="31">
        <f>Cty_Tan_Dat[[#This Row],[ĐƠN GIÁ]]*Cty_Tan_Dat[[#This Row],[SỐ LƯỢNG]]</f>
        <v>66066000</v>
      </c>
      <c r="I61" s="31"/>
      <c r="J61" s="31">
        <f>J60+Cty_Tan_Dat[[#This Row],[THÀNH TIỀN]]-Cty_Tan_Dat[[#This Row],[THANH TOÁN]]</f>
        <v>1125359067</v>
      </c>
      <c r="K61" s="24"/>
    </row>
    <row r="62" spans="1:11" x14ac:dyDescent="0.25">
      <c r="A62" s="22">
        <v>9059</v>
      </c>
      <c r="B62" s="29">
        <v>46139</v>
      </c>
      <c r="C62" s="23" t="s">
        <v>13</v>
      </c>
      <c r="D62" s="37" t="s">
        <v>32</v>
      </c>
      <c r="E62" s="23" t="s">
        <v>1852</v>
      </c>
      <c r="F62" s="31">
        <v>96</v>
      </c>
      <c r="G62" s="31">
        <v>43500</v>
      </c>
      <c r="H62" s="31">
        <f>Cty_Tan_Dat[[#This Row],[ĐƠN GIÁ]]*Cty_Tan_Dat[[#This Row],[SỐ LƯỢNG]]</f>
        <v>4176000</v>
      </c>
      <c r="I62" s="31"/>
      <c r="J62" s="31">
        <f>J61+Cty_Tan_Dat[[#This Row],[THÀNH TIỀN]]-Cty_Tan_Dat[[#This Row],[THANH TOÁN]]</f>
        <v>1129535067</v>
      </c>
      <c r="K62" s="24"/>
    </row>
    <row r="63" spans="1:11" x14ac:dyDescent="0.25">
      <c r="A63" s="22"/>
      <c r="B63" s="29">
        <v>46140</v>
      </c>
      <c r="C63" s="23" t="s">
        <v>21</v>
      </c>
      <c r="D63" s="37" t="s">
        <v>22</v>
      </c>
      <c r="E63" s="23" t="s">
        <v>261</v>
      </c>
      <c r="F63" s="31">
        <v>0</v>
      </c>
      <c r="G63" s="31"/>
      <c r="H63" s="31">
        <f>Cty_Tan_Dat[[#This Row],[ĐƠN GIÁ]]*Cty_Tan_Dat[[#This Row],[SỐ LƯỢNG]]</f>
        <v>0</v>
      </c>
      <c r="I63" s="31">
        <v>94855719</v>
      </c>
      <c r="J63" s="31">
        <f>J62+Cty_Tan_Dat[[#This Row],[THÀNH TIỀN]]-Cty_Tan_Dat[[#This Row],[THANH TOÁN]]</f>
        <v>1034679348</v>
      </c>
      <c r="K63" s="24"/>
    </row>
    <row r="64" spans="1:11" x14ac:dyDescent="0.25">
      <c r="A64" s="22"/>
      <c r="B64" s="29">
        <v>46141</v>
      </c>
      <c r="C64" s="23" t="s">
        <v>21</v>
      </c>
      <c r="D64" s="37" t="s">
        <v>22</v>
      </c>
      <c r="E64" s="23" t="s">
        <v>83</v>
      </c>
      <c r="F64" s="31">
        <v>0</v>
      </c>
      <c r="G64" s="31"/>
      <c r="H64" s="31">
        <f>Cty_Tan_Dat[[#This Row],[ĐƠN GIÁ]]*Cty_Tan_Dat[[#This Row],[SỐ LƯỢNG]]</f>
        <v>0</v>
      </c>
      <c r="I64" s="31">
        <v>124209000</v>
      </c>
      <c r="J64" s="31">
        <f>J63+Cty_Tan_Dat[[#This Row],[THÀNH TIỀN]]-Cty_Tan_Dat[[#This Row],[THANH TOÁN]]</f>
        <v>910470348</v>
      </c>
      <c r="K64" s="24"/>
    </row>
    <row r="65" spans="1:11" x14ac:dyDescent="0.25">
      <c r="A65" s="22">
        <v>9121</v>
      </c>
      <c r="B65" s="29">
        <v>46141</v>
      </c>
      <c r="C65" s="23" t="s">
        <v>13</v>
      </c>
      <c r="D65" s="37" t="s">
        <v>26</v>
      </c>
      <c r="E65" s="23" t="s">
        <v>38</v>
      </c>
      <c r="F65" s="31">
        <v>1082</v>
      </c>
      <c r="G65" s="31">
        <v>34000</v>
      </c>
      <c r="H65" s="31">
        <f>Cty_Tan_Dat[[#This Row],[ĐƠN GIÁ]]*Cty_Tan_Dat[[#This Row],[SỐ LƯỢNG]]</f>
        <v>36788000</v>
      </c>
      <c r="I65" s="31"/>
      <c r="J65" s="31">
        <f>J64+Cty_Tan_Dat[[#This Row],[THÀNH TIỀN]]-Cty_Tan_Dat[[#This Row],[THANH TOÁN]]</f>
        <v>947258348</v>
      </c>
      <c r="K65" s="24"/>
    </row>
    <row r="66" spans="1:11" x14ac:dyDescent="0.25">
      <c r="A66" s="22">
        <v>9357</v>
      </c>
      <c r="B66" s="29">
        <v>46155</v>
      </c>
      <c r="C66" s="23" t="s">
        <v>13</v>
      </c>
      <c r="D66" s="37" t="s">
        <v>17</v>
      </c>
      <c r="E66" s="23" t="s">
        <v>469</v>
      </c>
      <c r="F66" s="31">
        <v>340</v>
      </c>
      <c r="G66" s="31">
        <v>67000</v>
      </c>
      <c r="H66" s="31">
        <f>Cty_Tan_Dat[[#This Row],[ĐƠN GIÁ]]*Cty_Tan_Dat[[#This Row],[SỐ LƯỢNG]]</f>
        <v>22780000</v>
      </c>
      <c r="I66" s="31"/>
      <c r="J66" s="31">
        <f>J65+Cty_Tan_Dat[[#This Row],[THÀNH TIỀN]]-Cty_Tan_Dat[[#This Row],[THANH TOÁN]]</f>
        <v>970038348</v>
      </c>
      <c r="K66" s="24"/>
    </row>
    <row r="67" spans="1:11" x14ac:dyDescent="0.25">
      <c r="A67" s="22">
        <v>9406</v>
      </c>
      <c r="B67" s="29">
        <v>46157</v>
      </c>
      <c r="C67" s="23" t="s">
        <v>13</v>
      </c>
      <c r="D67" s="37" t="s">
        <v>169</v>
      </c>
      <c r="E67" s="23" t="s">
        <v>41</v>
      </c>
      <c r="F67" s="31">
        <v>524</v>
      </c>
      <c r="G67" s="31">
        <v>38000</v>
      </c>
      <c r="H67" s="31">
        <f>Cty_Tan_Dat[[#This Row],[ĐƠN GIÁ]]*Cty_Tan_Dat[[#This Row],[SỐ LƯỢNG]]</f>
        <v>19912000</v>
      </c>
      <c r="I67" s="31"/>
      <c r="J67" s="31">
        <f>J66+Cty_Tan_Dat[[#This Row],[THÀNH TIỀN]]-Cty_Tan_Dat[[#This Row],[THANH TOÁN]]</f>
        <v>989950348</v>
      </c>
      <c r="K67" s="24"/>
    </row>
    <row r="68" spans="1:11" x14ac:dyDescent="0.25">
      <c r="A68" s="25">
        <v>9406</v>
      </c>
      <c r="B68" s="30">
        <v>46157</v>
      </c>
      <c r="C68" s="26" t="s">
        <v>13</v>
      </c>
      <c r="D68" s="38" t="s">
        <v>14</v>
      </c>
      <c r="E68" s="26" t="s">
        <v>40</v>
      </c>
      <c r="F68" s="28">
        <v>80</v>
      </c>
      <c r="G68" s="28">
        <v>47000</v>
      </c>
      <c r="H68" s="28">
        <f>Cty_Tan_Dat[[#This Row],[ĐƠN GIÁ]]*Cty_Tan_Dat[[#This Row],[SỐ LƯỢNG]]</f>
        <v>3760000</v>
      </c>
      <c r="I68" s="28"/>
      <c r="J68" s="28">
        <f>J67+Cty_Tan_Dat[[#This Row],[THÀNH TIỀN]]-Cty_Tan_Dat[[#This Row],[THANH TOÁN]]</f>
        <v>993710348</v>
      </c>
      <c r="K68" s="27"/>
    </row>
    <row r="69" spans="1:11" x14ac:dyDescent="0.25">
      <c r="A69" s="22"/>
      <c r="B69" s="29">
        <v>46157</v>
      </c>
      <c r="C69" s="23" t="s">
        <v>21</v>
      </c>
      <c r="D69" s="37" t="s">
        <v>22</v>
      </c>
      <c r="E69" s="23" t="s">
        <v>2155</v>
      </c>
      <c r="F69" s="31">
        <v>0</v>
      </c>
      <c r="G69" s="31"/>
      <c r="H69" s="31">
        <f>Cty_Tan_Dat[[#This Row],[ĐƠN GIÁ]]*Cty_Tan_Dat[[#This Row],[SỐ LƯỢNG]]</f>
        <v>0</v>
      </c>
      <c r="I69" s="31">
        <v>185770000</v>
      </c>
      <c r="J69" s="31">
        <f>J68+Cty_Tan_Dat[[#This Row],[THÀNH TIỀN]]-Cty_Tan_Dat[[#This Row],[THANH TOÁN]]</f>
        <v>807940348</v>
      </c>
      <c r="K69" s="24"/>
    </row>
    <row r="70" spans="1:11" x14ac:dyDescent="0.25">
      <c r="A70" s="22">
        <v>9432</v>
      </c>
      <c r="B70" s="29">
        <v>46158</v>
      </c>
      <c r="C70" s="23" t="s">
        <v>13</v>
      </c>
      <c r="D70" s="37" t="s">
        <v>17</v>
      </c>
      <c r="E70" s="23" t="s">
        <v>230</v>
      </c>
      <c r="F70" s="31">
        <v>346</v>
      </c>
      <c r="G70" s="31">
        <v>71000</v>
      </c>
      <c r="H70" s="31">
        <f>Cty_Tan_Dat[[#This Row],[ĐƠN GIÁ]]*Cty_Tan_Dat[[#This Row],[SỐ LƯỢNG]]</f>
        <v>24566000</v>
      </c>
      <c r="I70" s="31"/>
      <c r="J70" s="31">
        <f>J69+Cty_Tan_Dat[[#This Row],[THÀNH TIỀN]]-Cty_Tan_Dat[[#This Row],[THANH TOÁN]]</f>
        <v>832506348</v>
      </c>
      <c r="K70" s="24"/>
    </row>
    <row r="71" spans="1:11" x14ac:dyDescent="0.25">
      <c r="A71" s="22">
        <v>9432</v>
      </c>
      <c r="B71" s="29">
        <v>46158</v>
      </c>
      <c r="C71" s="23" t="s">
        <v>13</v>
      </c>
      <c r="D71" s="37" t="s">
        <v>14</v>
      </c>
      <c r="E71" s="23" t="s">
        <v>46</v>
      </c>
      <c r="F71" s="31">
        <v>616</v>
      </c>
      <c r="G71" s="31">
        <v>47000</v>
      </c>
      <c r="H71" s="31">
        <f>Cty_Tan_Dat[[#This Row],[ĐƠN GIÁ]]*Cty_Tan_Dat[[#This Row],[SỐ LƯỢNG]]</f>
        <v>28952000</v>
      </c>
      <c r="I71" s="31"/>
      <c r="J71" s="31">
        <f>J70+Cty_Tan_Dat[[#This Row],[THÀNH TIỀN]]-Cty_Tan_Dat[[#This Row],[THANH TOÁN]]</f>
        <v>861458348</v>
      </c>
      <c r="K71" s="24"/>
    </row>
    <row r="72" spans="1:11" x14ac:dyDescent="0.25">
      <c r="A72" s="22">
        <v>9482</v>
      </c>
      <c r="B72" s="29">
        <v>46161</v>
      </c>
      <c r="C72" s="23" t="s">
        <v>13</v>
      </c>
      <c r="D72" s="37" t="s">
        <v>26</v>
      </c>
      <c r="E72" s="23" t="s">
        <v>33</v>
      </c>
      <c r="F72" s="31">
        <v>616</v>
      </c>
      <c r="G72" s="31">
        <v>34000</v>
      </c>
      <c r="H72" s="31">
        <f>Cty_Tan_Dat[[#This Row],[ĐƠN GIÁ]]*Cty_Tan_Dat[[#This Row],[SỐ LƯỢNG]]</f>
        <v>20944000</v>
      </c>
      <c r="I72" s="31"/>
      <c r="J72" s="31">
        <f>J71+Cty_Tan_Dat[[#This Row],[THÀNH TIỀN]]-Cty_Tan_Dat[[#This Row],[THANH TOÁN]]</f>
        <v>882402348</v>
      </c>
      <c r="K72" s="24"/>
    </row>
    <row r="73" spans="1:11" x14ac:dyDescent="0.25">
      <c r="A73" s="22">
        <v>9538</v>
      </c>
      <c r="B73" s="29">
        <v>46163</v>
      </c>
      <c r="C73" s="23" t="s">
        <v>13</v>
      </c>
      <c r="D73" s="37" t="s">
        <v>170</v>
      </c>
      <c r="E73" s="23" t="s">
        <v>288</v>
      </c>
      <c r="F73" s="31">
        <v>1676</v>
      </c>
      <c r="G73" s="31">
        <v>67500</v>
      </c>
      <c r="H73" s="31">
        <f>Cty_Tan_Dat[[#This Row],[ĐƠN GIÁ]]*Cty_Tan_Dat[[#This Row],[SỐ LƯỢNG]]</f>
        <v>113130000</v>
      </c>
      <c r="I73" s="31"/>
      <c r="J73" s="31">
        <f>J72+Cty_Tan_Dat[[#This Row],[THÀNH TIỀN]]-Cty_Tan_Dat[[#This Row],[THANH TOÁN]]</f>
        <v>995532348</v>
      </c>
      <c r="K73" s="24"/>
    </row>
    <row r="74" spans="1:11" x14ac:dyDescent="0.25">
      <c r="A74" s="22"/>
      <c r="B74" s="29">
        <v>46146</v>
      </c>
      <c r="C74" s="23" t="s">
        <v>21</v>
      </c>
      <c r="D74" s="37" t="s">
        <v>22</v>
      </c>
      <c r="E74" s="23" t="s">
        <v>83</v>
      </c>
      <c r="F74" s="31">
        <v>0</v>
      </c>
      <c r="G74" s="31"/>
      <c r="H74" s="31">
        <f>Cty_Tan_Dat[[#This Row],[ĐƠN GIÁ]]*Cty_Tan_Dat[[#This Row],[SỐ LƯỢNG]]</f>
        <v>0</v>
      </c>
      <c r="I74" s="31">
        <v>56232000</v>
      </c>
      <c r="J74" s="31">
        <f>J73+Cty_Tan_Dat[[#This Row],[THÀNH TIỀN]]-Cty_Tan_Dat[[#This Row],[THANH TOÁN]]</f>
        <v>939300348</v>
      </c>
      <c r="K74" s="24"/>
    </row>
    <row r="75" spans="1:11" x14ac:dyDescent="0.25">
      <c r="A75" s="22"/>
      <c r="B75" s="29">
        <v>46157</v>
      </c>
      <c r="C75" s="23" t="s">
        <v>21</v>
      </c>
      <c r="D75" s="37" t="s">
        <v>22</v>
      </c>
      <c r="E75" s="23" t="s">
        <v>83</v>
      </c>
      <c r="F75" s="31">
        <v>0</v>
      </c>
      <c r="G75" s="31"/>
      <c r="H75" s="31">
        <f>Cty_Tan_Dat[[#This Row],[ĐƠN GIÁ]]*Cty_Tan_Dat[[#This Row],[SỐ LƯỢNG]]</f>
        <v>0</v>
      </c>
      <c r="I75" s="31">
        <v>87122000</v>
      </c>
      <c r="J75" s="31">
        <f>J74+Cty_Tan_Dat[[#This Row],[THÀNH TIỀN]]-Cty_Tan_Dat[[#This Row],[THANH TOÁN]]</f>
        <v>852178348</v>
      </c>
      <c r="K75" s="24"/>
    </row>
    <row r="76" spans="1:11" x14ac:dyDescent="0.25">
      <c r="A76" s="22"/>
      <c r="B76" s="29">
        <v>46161</v>
      </c>
      <c r="C76" s="23" t="s">
        <v>21</v>
      </c>
      <c r="D76" s="37" t="s">
        <v>22</v>
      </c>
      <c r="E76" s="23" t="s">
        <v>83</v>
      </c>
      <c r="F76" s="31">
        <v>0</v>
      </c>
      <c r="G76" s="31"/>
      <c r="H76" s="31">
        <f>Cty_Tan_Dat[[#This Row],[ĐƠN GIÁ]]*Cty_Tan_Dat[[#This Row],[SỐ LƯỢNG]]</f>
        <v>0</v>
      </c>
      <c r="I76" s="31">
        <v>15050000</v>
      </c>
      <c r="J76" s="31">
        <f>J75+Cty_Tan_Dat[[#This Row],[THÀNH TIỀN]]-Cty_Tan_Dat[[#This Row],[THANH TOÁN]]</f>
        <v>837128348</v>
      </c>
      <c r="K76" s="24"/>
    </row>
    <row r="77" spans="1:11" x14ac:dyDescent="0.25">
      <c r="A77" s="22"/>
      <c r="B77" s="29">
        <v>46163</v>
      </c>
      <c r="C77" s="23" t="s">
        <v>21</v>
      </c>
      <c r="D77" s="37" t="s">
        <v>22</v>
      </c>
      <c r="E77" s="23" t="s">
        <v>83</v>
      </c>
      <c r="F77" s="31">
        <v>0</v>
      </c>
      <c r="G77" s="31"/>
      <c r="H77" s="31">
        <f>Cty_Tan_Dat[[#This Row],[ĐƠN GIÁ]]*Cty_Tan_Dat[[#This Row],[SỐ LƯỢNG]]</f>
        <v>0</v>
      </c>
      <c r="I77" s="31">
        <v>181866000</v>
      </c>
      <c r="J77" s="31">
        <f>J76+Cty_Tan_Dat[[#This Row],[THÀNH TIỀN]]-Cty_Tan_Dat[[#This Row],[THANH TOÁN]]</f>
        <v>655262348</v>
      </c>
      <c r="K77" s="24"/>
    </row>
    <row r="78" spans="1:11" x14ac:dyDescent="0.25">
      <c r="A78" s="22"/>
      <c r="B78" s="29">
        <v>46164</v>
      </c>
      <c r="C78" s="23" t="s">
        <v>21</v>
      </c>
      <c r="D78" s="37" t="s">
        <v>22</v>
      </c>
      <c r="E78" s="23" t="s">
        <v>83</v>
      </c>
      <c r="F78" s="31">
        <v>0</v>
      </c>
      <c r="G78" s="31"/>
      <c r="H78" s="31">
        <f>Cty_Tan_Dat[[#This Row],[ĐƠN GIÁ]]*Cty_Tan_Dat[[#This Row],[SỐ LƯỢNG]]</f>
        <v>0</v>
      </c>
      <c r="I78" s="31">
        <v>314151586</v>
      </c>
      <c r="J78" s="31">
        <f>J77+Cty_Tan_Dat[[#This Row],[THÀNH TIỀN]]-Cty_Tan_Dat[[#This Row],[THANH TOÁN]]</f>
        <v>341110762</v>
      </c>
      <c r="K78" s="24"/>
    </row>
    <row r="79" spans="1:11" x14ac:dyDescent="0.25">
      <c r="A79" s="22"/>
      <c r="B79" s="29">
        <v>46168</v>
      </c>
      <c r="C79" s="23" t="s">
        <v>21</v>
      </c>
      <c r="D79" s="37" t="s">
        <v>22</v>
      </c>
      <c r="E79" s="23" t="s">
        <v>83</v>
      </c>
      <c r="F79" s="31">
        <v>0</v>
      </c>
      <c r="G79" s="31"/>
      <c r="H79" s="31">
        <f>Cty_Tan_Dat[[#This Row],[ĐƠN GIÁ]]*Cty_Tan_Dat[[#This Row],[SỐ LƯỢNG]]</f>
        <v>0</v>
      </c>
      <c r="I79" s="31">
        <v>70242000</v>
      </c>
      <c r="J79" s="31">
        <f>J78+Cty_Tan_Dat[[#This Row],[THÀNH TIỀN]]-Cty_Tan_Dat[[#This Row],[THANH TOÁN]]</f>
        <v>270868762</v>
      </c>
      <c r="K79" s="24"/>
    </row>
    <row r="80" spans="1:11" x14ac:dyDescent="0.25">
      <c r="A80" s="22"/>
      <c r="B80" s="29">
        <v>46170</v>
      </c>
      <c r="C80" s="23" t="s">
        <v>21</v>
      </c>
      <c r="D80" s="37" t="s">
        <v>22</v>
      </c>
      <c r="E80" s="23" t="s">
        <v>83</v>
      </c>
      <c r="F80" s="31">
        <v>0</v>
      </c>
      <c r="G80" s="31"/>
      <c r="H80" s="31">
        <f>Cty_Tan_Dat[[#This Row],[ĐƠN GIÁ]]*Cty_Tan_Dat[[#This Row],[SỐ LƯỢNG]]</f>
        <v>0</v>
      </c>
      <c r="I80" s="31">
        <v>36788000</v>
      </c>
      <c r="J80" s="31">
        <f>J79+Cty_Tan_Dat[[#This Row],[THÀNH TIỀN]]-Cty_Tan_Dat[[#This Row],[THANH TOÁN]]</f>
        <v>234080762</v>
      </c>
      <c r="K80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E1BC6-59DD-40FD-829C-0E1387995447}">
  <sheetPr codeName="Sheet43"/>
  <dimension ref="A5:K35"/>
  <sheetViews>
    <sheetView topLeftCell="A19" workbookViewId="0">
      <selection activeCell="A33" sqref="A33:D35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385768150</v>
      </c>
    </row>
    <row r="6" spans="1:11" ht="22.5" x14ac:dyDescent="0.25">
      <c r="D6" s="34" t="s">
        <v>875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Cty_Anh_Duong[[#This Row],[ĐƠN GIÁ]]*Cty_Anh_Duong[[#This Row],[SỐ LƯỢNG]]</f>
        <v>0</v>
      </c>
      <c r="I10" s="31"/>
      <c r="J10" s="31">
        <v>321328150</v>
      </c>
      <c r="K10" s="24"/>
    </row>
    <row r="11" spans="1:11" x14ac:dyDescent="0.25">
      <c r="A11" s="22">
        <v>7826</v>
      </c>
      <c r="B11" s="29">
        <v>46084</v>
      </c>
      <c r="C11" s="23" t="s">
        <v>13</v>
      </c>
      <c r="D11" s="37" t="s">
        <v>876</v>
      </c>
      <c r="E11" s="23" t="s">
        <v>41</v>
      </c>
      <c r="F11" s="31">
        <v>618</v>
      </c>
      <c r="G11" s="31">
        <v>56000</v>
      </c>
      <c r="H11" s="31">
        <f>Cty_Anh_Duong[[#This Row],[ĐƠN GIÁ]]*Cty_Anh_Duong[[#This Row],[SỐ LƯỢNG]]</f>
        <v>34608000</v>
      </c>
      <c r="I11" s="31"/>
      <c r="J11" s="31">
        <f>J10+Cty_Anh_Duong[[#This Row],[THÀNH TIỀN]]-Cty_Anh_Duong[[#This Row],[THANH TOÁN]]</f>
        <v>355936150</v>
      </c>
      <c r="K11" s="24"/>
    </row>
    <row r="12" spans="1:11" x14ac:dyDescent="0.25">
      <c r="A12" s="25"/>
      <c r="B12" s="30">
        <v>46087</v>
      </c>
      <c r="C12" s="26" t="s">
        <v>21</v>
      </c>
      <c r="D12" s="38" t="s">
        <v>22</v>
      </c>
      <c r="E12" s="26" t="s">
        <v>83</v>
      </c>
      <c r="F12" s="28">
        <v>0</v>
      </c>
      <c r="G12" s="28">
        <v>0</v>
      </c>
      <c r="H12" s="28">
        <f>Cty_Anh_Duong[[#This Row],[ĐƠN GIÁ]]*Cty_Anh_Duong[[#This Row],[SỐ LƯỢNG]]</f>
        <v>0</v>
      </c>
      <c r="I12" s="28">
        <v>30000000</v>
      </c>
      <c r="J12" s="28">
        <f>J11+Cty_Anh_Duong[[#This Row],[THÀNH TIỀN]]-Cty_Anh_Duong[[#This Row],[THANH TOÁN]]</f>
        <v>325936150</v>
      </c>
      <c r="K12" s="27"/>
    </row>
    <row r="13" spans="1:11" x14ac:dyDescent="0.25">
      <c r="A13" s="25">
        <v>7959</v>
      </c>
      <c r="B13" s="30">
        <v>46090</v>
      </c>
      <c r="C13" s="26" t="s">
        <v>13</v>
      </c>
      <c r="D13" s="38" t="s">
        <v>43</v>
      </c>
      <c r="E13" s="26" t="s">
        <v>246</v>
      </c>
      <c r="F13" s="28">
        <v>510</v>
      </c>
      <c r="G13" s="28">
        <v>55500</v>
      </c>
      <c r="H13" s="28">
        <f>Cty_Anh_Duong[[#This Row],[ĐƠN GIÁ]]*Cty_Anh_Duong[[#This Row],[SỐ LƯỢNG]]</f>
        <v>28305000</v>
      </c>
      <c r="I13" s="28"/>
      <c r="J13" s="28">
        <f>J12+Cty_Anh_Duong[[#This Row],[THÀNH TIỀN]]-Cty_Anh_Duong[[#This Row],[THANH TOÁN]]</f>
        <v>354241150</v>
      </c>
      <c r="K13" s="27"/>
    </row>
    <row r="14" spans="1:11" x14ac:dyDescent="0.25">
      <c r="A14" s="25">
        <v>8018</v>
      </c>
      <c r="B14" s="30">
        <v>46092</v>
      </c>
      <c r="C14" s="26" t="s">
        <v>13</v>
      </c>
      <c r="D14" s="38" t="s">
        <v>14</v>
      </c>
      <c r="E14" s="26" t="s">
        <v>141</v>
      </c>
      <c r="F14" s="28">
        <v>558</v>
      </c>
      <c r="G14" s="28">
        <v>41500</v>
      </c>
      <c r="H14" s="28">
        <f>Cty_Anh_Duong[[#This Row],[ĐƠN GIÁ]]*Cty_Anh_Duong[[#This Row],[SỐ LƯỢNG]]</f>
        <v>23157000</v>
      </c>
      <c r="I14" s="28"/>
      <c r="J14" s="28">
        <f>J13+Cty_Anh_Duong[[#This Row],[THÀNH TIỀN]]-Cty_Anh_Duong[[#This Row],[THANH TOÁN]]</f>
        <v>377398150</v>
      </c>
      <c r="K14" s="27"/>
    </row>
    <row r="15" spans="1:11" x14ac:dyDescent="0.25">
      <c r="A15" s="25"/>
      <c r="B15" s="30">
        <v>46094</v>
      </c>
      <c r="C15" s="26" t="s">
        <v>21</v>
      </c>
      <c r="D15" s="38" t="s">
        <v>22</v>
      </c>
      <c r="E15" s="26" t="s">
        <v>83</v>
      </c>
      <c r="F15" s="28">
        <v>0</v>
      </c>
      <c r="G15" s="28">
        <v>0</v>
      </c>
      <c r="H15" s="28">
        <f>Cty_Anh_Duong[[#This Row],[ĐƠN GIÁ]]*Cty_Anh_Duong[[#This Row],[SỐ LƯỢNG]]</f>
        <v>0</v>
      </c>
      <c r="I15" s="28">
        <v>40000000</v>
      </c>
      <c r="J15" s="28">
        <f>J14+Cty_Anh_Duong[[#This Row],[THÀNH TIỀN]]-Cty_Anh_Duong[[#This Row],[THANH TOÁN]]</f>
        <v>337398150</v>
      </c>
      <c r="K15" s="27"/>
    </row>
    <row r="16" spans="1:11" x14ac:dyDescent="0.25">
      <c r="A16" s="25">
        <v>8089</v>
      </c>
      <c r="B16" s="30">
        <v>46095</v>
      </c>
      <c r="C16" s="26" t="s">
        <v>13</v>
      </c>
      <c r="D16" s="38" t="s">
        <v>43</v>
      </c>
      <c r="E16" s="26" t="s">
        <v>469</v>
      </c>
      <c r="F16" s="28">
        <v>852</v>
      </c>
      <c r="G16" s="28">
        <v>61000</v>
      </c>
      <c r="H16" s="28">
        <f>Cty_Anh_Duong[[#This Row],[ĐƠN GIÁ]]*Cty_Anh_Duong[[#This Row],[SỐ LƯỢNG]]</f>
        <v>51972000</v>
      </c>
      <c r="I16" s="28"/>
      <c r="J16" s="28">
        <f>J15+Cty_Anh_Duong[[#This Row],[THÀNH TIỀN]]-Cty_Anh_Duong[[#This Row],[THANH TOÁN]]</f>
        <v>389370150</v>
      </c>
      <c r="K16" s="27"/>
    </row>
    <row r="17" spans="1:11" x14ac:dyDescent="0.25">
      <c r="A17" s="22">
        <v>8089</v>
      </c>
      <c r="B17" s="29">
        <v>46095</v>
      </c>
      <c r="C17" s="26" t="s">
        <v>13</v>
      </c>
      <c r="D17" s="38" t="s">
        <v>43</v>
      </c>
      <c r="E17" s="26" t="s">
        <v>62</v>
      </c>
      <c r="F17" s="28">
        <v>308</v>
      </c>
      <c r="G17" s="28">
        <v>58500</v>
      </c>
      <c r="H17" s="31">
        <f>Cty_Anh_Duong[[#This Row],[ĐƠN GIÁ]]*Cty_Anh_Duong[[#This Row],[SỐ LƯỢNG]]</f>
        <v>18018000</v>
      </c>
      <c r="I17" s="31"/>
      <c r="J17" s="31">
        <f>J16+Cty_Anh_Duong[[#This Row],[THÀNH TIỀN]]-Cty_Anh_Duong[[#This Row],[THANH TOÁN]]</f>
        <v>407388150</v>
      </c>
      <c r="K17" s="24"/>
    </row>
    <row r="18" spans="1:11" x14ac:dyDescent="0.25">
      <c r="A18" s="25"/>
      <c r="B18" s="30">
        <v>46101</v>
      </c>
      <c r="C18" s="26" t="s">
        <v>21</v>
      </c>
      <c r="D18" s="38" t="s">
        <v>22</v>
      </c>
      <c r="E18" s="26" t="s">
        <v>83</v>
      </c>
      <c r="F18" s="28">
        <v>0</v>
      </c>
      <c r="G18" s="28">
        <v>0</v>
      </c>
      <c r="H18" s="28">
        <f>Cty_Anh_Duong[[#This Row],[ĐƠN GIÁ]]*Cty_Anh_Duong[[#This Row],[SỐ LƯỢNG]]</f>
        <v>0</v>
      </c>
      <c r="I18" s="28">
        <v>40000000</v>
      </c>
      <c r="J18" s="28">
        <f>J17+Cty_Anh_Duong[[#This Row],[THÀNH TIỀN]]-Cty_Anh_Duong[[#This Row],[THANH TOÁN]]</f>
        <v>367388150</v>
      </c>
      <c r="K18" s="27"/>
    </row>
    <row r="19" spans="1:11" x14ac:dyDescent="0.25">
      <c r="A19" s="25"/>
      <c r="B19" s="30">
        <v>46108</v>
      </c>
      <c r="C19" s="26" t="s">
        <v>21</v>
      </c>
      <c r="D19" s="38" t="s">
        <v>22</v>
      </c>
      <c r="E19" s="26" t="s">
        <v>83</v>
      </c>
      <c r="F19" s="28">
        <v>0</v>
      </c>
      <c r="G19" s="28">
        <v>0</v>
      </c>
      <c r="H19" s="28">
        <f>Cty_Anh_Duong[[#This Row],[ĐƠN GIÁ]]*Cty_Anh_Duong[[#This Row],[SỐ LƯỢNG]]</f>
        <v>0</v>
      </c>
      <c r="I19" s="28">
        <v>40000000</v>
      </c>
      <c r="J19" s="28">
        <f>J18+Cty_Anh_Duong[[#This Row],[THÀNH TIỀN]]-Cty_Anh_Duong[[#This Row],[THANH TOÁN]]</f>
        <v>327388150</v>
      </c>
      <c r="K19" s="27"/>
    </row>
    <row r="20" spans="1:11" x14ac:dyDescent="0.25">
      <c r="A20" s="22">
        <v>8483</v>
      </c>
      <c r="B20" s="29">
        <v>46113</v>
      </c>
      <c r="C20" s="23" t="s">
        <v>13</v>
      </c>
      <c r="D20" s="37" t="s">
        <v>50</v>
      </c>
      <c r="E20" s="23" t="s">
        <v>877</v>
      </c>
      <c r="F20" s="31">
        <v>1850</v>
      </c>
      <c r="G20" s="31">
        <v>57000</v>
      </c>
      <c r="H20" s="31">
        <f>Cty_Anh_Duong[[#This Row],[ĐƠN GIÁ]]*Cty_Anh_Duong[[#This Row],[SỐ LƯỢNG]]</f>
        <v>105450000</v>
      </c>
      <c r="I20" s="31"/>
      <c r="J20" s="31">
        <f>J19+Cty_Anh_Duong[[#This Row],[THÀNH TIỀN]]-Cty_Anh_Duong[[#This Row],[THANH TOÁN]]</f>
        <v>432838150</v>
      </c>
      <c r="K20" s="24"/>
    </row>
    <row r="21" spans="1:11" x14ac:dyDescent="0.25">
      <c r="A21" s="22"/>
      <c r="B21" s="29">
        <v>46114</v>
      </c>
      <c r="C21" s="23" t="s">
        <v>21</v>
      </c>
      <c r="D21" s="37" t="s">
        <v>22</v>
      </c>
      <c r="E21" s="23" t="s">
        <v>83</v>
      </c>
      <c r="F21" s="31">
        <v>0</v>
      </c>
      <c r="G21" s="31"/>
      <c r="H21" s="31">
        <f>Cty_Anh_Duong[[#This Row],[ĐƠN GIÁ]]*Cty_Anh_Duong[[#This Row],[SỐ LƯỢNG]]</f>
        <v>0</v>
      </c>
      <c r="I21" s="31">
        <v>50000000</v>
      </c>
      <c r="J21" s="31">
        <f>J20+Cty_Anh_Duong[[#This Row],[THÀNH TIỀN]]-Cty_Anh_Duong[[#This Row],[THANH TOÁN]]</f>
        <v>382838150</v>
      </c>
      <c r="K21" s="24"/>
    </row>
    <row r="22" spans="1:11" x14ac:dyDescent="0.25">
      <c r="A22" s="22"/>
      <c r="B22" s="29">
        <v>46122</v>
      </c>
      <c r="C22" s="23" t="s">
        <v>21</v>
      </c>
      <c r="D22" s="37" t="s">
        <v>22</v>
      </c>
      <c r="E22" s="23" t="s">
        <v>83</v>
      </c>
      <c r="F22" s="31">
        <v>0</v>
      </c>
      <c r="G22" s="31"/>
      <c r="H22" s="31">
        <f>Cty_Anh_Duong[[#This Row],[ĐƠN GIÁ]]*Cty_Anh_Duong[[#This Row],[SỐ LƯỢNG]]</f>
        <v>0</v>
      </c>
      <c r="I22" s="31">
        <v>30000000</v>
      </c>
      <c r="J22" s="31">
        <f>J21+Cty_Anh_Duong[[#This Row],[THÀNH TIỀN]]-Cty_Anh_Duong[[#This Row],[THANH TOÁN]]</f>
        <v>352838150</v>
      </c>
      <c r="K22" s="24"/>
    </row>
    <row r="23" spans="1:11" x14ac:dyDescent="0.25">
      <c r="A23" s="22">
        <v>8759</v>
      </c>
      <c r="B23" s="29">
        <v>46126</v>
      </c>
      <c r="C23" s="23" t="s">
        <v>13</v>
      </c>
      <c r="D23" s="37" t="s">
        <v>103</v>
      </c>
      <c r="E23" s="23" t="s">
        <v>878</v>
      </c>
      <c r="F23" s="31">
        <v>432</v>
      </c>
      <c r="G23" s="31">
        <v>37000</v>
      </c>
      <c r="H23" s="31">
        <f>Cty_Anh_Duong[[#This Row],[ĐƠN GIÁ]]*Cty_Anh_Duong[[#This Row],[SỐ LƯỢNG]]</f>
        <v>15984000</v>
      </c>
      <c r="I23" s="31"/>
      <c r="J23" s="31">
        <f>J22+Cty_Anh_Duong[[#This Row],[THÀNH TIỀN]]-Cty_Anh_Duong[[#This Row],[THANH TOÁN]]</f>
        <v>368822150</v>
      </c>
      <c r="K23" s="24"/>
    </row>
    <row r="24" spans="1:11" x14ac:dyDescent="0.25">
      <c r="A24" s="22"/>
      <c r="B24" s="29">
        <v>46129</v>
      </c>
      <c r="C24" s="23" t="s">
        <v>21</v>
      </c>
      <c r="D24" s="37" t="s">
        <v>22</v>
      </c>
      <c r="E24" s="23" t="s">
        <v>83</v>
      </c>
      <c r="F24" s="31">
        <v>0</v>
      </c>
      <c r="G24" s="31"/>
      <c r="H24" s="31">
        <f>Cty_Anh_Duong[[#This Row],[ĐƠN GIÁ]]*Cty_Anh_Duong[[#This Row],[SỐ LƯỢNG]]</f>
        <v>0</v>
      </c>
      <c r="I24" s="31">
        <v>40000000</v>
      </c>
      <c r="J24" s="31">
        <f>J23+Cty_Anh_Duong[[#This Row],[THÀNH TIỀN]]-Cty_Anh_Duong[[#This Row],[THANH TOÁN]]</f>
        <v>328822150</v>
      </c>
      <c r="K24" s="24"/>
    </row>
    <row r="25" spans="1:11" x14ac:dyDescent="0.25">
      <c r="A25" s="22">
        <v>8985</v>
      </c>
      <c r="B25" s="29">
        <v>46136</v>
      </c>
      <c r="C25" s="23" t="s">
        <v>13</v>
      </c>
      <c r="D25" s="37" t="s">
        <v>32</v>
      </c>
      <c r="E25" s="23" t="s">
        <v>40</v>
      </c>
      <c r="F25" s="31">
        <v>748</v>
      </c>
      <c r="G25" s="31">
        <v>43000</v>
      </c>
      <c r="H25" s="31">
        <f>Cty_Anh_Duong[[#This Row],[ĐƠN GIÁ]]*Cty_Anh_Duong[[#This Row],[SỐ LƯỢNG]]</f>
        <v>32164000</v>
      </c>
      <c r="I25" s="31"/>
      <c r="J25" s="31">
        <f>J24+Cty_Anh_Duong[[#This Row],[THÀNH TIỀN]]-Cty_Anh_Duong[[#This Row],[THANH TOÁN]]</f>
        <v>360986150</v>
      </c>
      <c r="K25" s="24"/>
    </row>
    <row r="26" spans="1:11" x14ac:dyDescent="0.25">
      <c r="A26" s="22">
        <v>8985</v>
      </c>
      <c r="B26" s="29">
        <v>46136</v>
      </c>
      <c r="C26" s="23" t="s">
        <v>13</v>
      </c>
      <c r="D26" s="37" t="s">
        <v>32</v>
      </c>
      <c r="E26" s="23" t="s">
        <v>78</v>
      </c>
      <c r="F26" s="31">
        <v>708</v>
      </c>
      <c r="G26" s="31">
        <v>40000</v>
      </c>
      <c r="H26" s="31">
        <f>Cty_Anh_Duong[[#This Row],[ĐƠN GIÁ]]*Cty_Anh_Duong[[#This Row],[SỐ LƯỢNG]]</f>
        <v>28320000</v>
      </c>
      <c r="I26" s="31"/>
      <c r="J26" s="31">
        <f>J25+Cty_Anh_Duong[[#This Row],[THÀNH TIỀN]]-Cty_Anh_Duong[[#This Row],[THANH TOÁN]]</f>
        <v>389306150</v>
      </c>
      <c r="K26" s="24"/>
    </row>
    <row r="27" spans="1:11" x14ac:dyDescent="0.25">
      <c r="A27" s="22"/>
      <c r="B27" s="29">
        <v>46136</v>
      </c>
      <c r="C27" s="23" t="s">
        <v>21</v>
      </c>
      <c r="D27" s="37" t="s">
        <v>22</v>
      </c>
      <c r="E27" s="23" t="s">
        <v>261</v>
      </c>
      <c r="F27" s="31">
        <v>0</v>
      </c>
      <c r="G27" s="31"/>
      <c r="H27" s="31">
        <f>Cty_Anh_Duong[[#This Row],[ĐƠN GIÁ]]*Cty_Anh_Duong[[#This Row],[SỐ LƯỢNG]]</f>
        <v>0</v>
      </c>
      <c r="I27" s="31">
        <v>40000000</v>
      </c>
      <c r="J27" s="31">
        <f>J26+Cty_Anh_Duong[[#This Row],[THÀNH TIỀN]]-Cty_Anh_Duong[[#This Row],[THANH TOÁN]]</f>
        <v>349306150</v>
      </c>
      <c r="K27" s="24"/>
    </row>
    <row r="28" spans="1:11" x14ac:dyDescent="0.25">
      <c r="A28" s="22">
        <v>9241</v>
      </c>
      <c r="B28" s="29">
        <v>46149</v>
      </c>
      <c r="C28" s="23" t="s">
        <v>13</v>
      </c>
      <c r="D28" s="37" t="s">
        <v>43</v>
      </c>
      <c r="E28" s="23" t="s">
        <v>230</v>
      </c>
      <c r="F28" s="31">
        <v>240</v>
      </c>
      <c r="G28" s="31">
        <v>67000</v>
      </c>
      <c r="H28" s="31">
        <f>Cty_Anh_Duong[[#This Row],[ĐƠN GIÁ]]*Cty_Anh_Duong[[#This Row],[SỐ LƯỢNG]]</f>
        <v>16080000</v>
      </c>
      <c r="I28" s="31"/>
      <c r="J28" s="31">
        <f>J27+Cty_Anh_Duong[[#This Row],[THÀNH TIỀN]]-Cty_Anh_Duong[[#This Row],[THANH TOÁN]]</f>
        <v>365386150</v>
      </c>
      <c r="K28" s="24"/>
    </row>
    <row r="29" spans="1:11" x14ac:dyDescent="0.25">
      <c r="A29" s="22"/>
      <c r="B29" s="29">
        <v>46150</v>
      </c>
      <c r="C29" s="23" t="s">
        <v>21</v>
      </c>
      <c r="D29" s="37" t="s">
        <v>22</v>
      </c>
      <c r="E29" s="23" t="s">
        <v>261</v>
      </c>
      <c r="F29" s="31">
        <v>0</v>
      </c>
      <c r="G29" s="31"/>
      <c r="H29" s="31">
        <f>Cty_Anh_Duong[[#This Row],[ĐƠN GIÁ]]*Cty_Anh_Duong[[#This Row],[SỐ LƯỢNG]]</f>
        <v>0</v>
      </c>
      <c r="I29" s="31">
        <v>40000000</v>
      </c>
      <c r="J29" s="31">
        <f>J28+Cty_Anh_Duong[[#This Row],[THÀNH TIỀN]]-Cty_Anh_Duong[[#This Row],[THANH TOÁN]]</f>
        <v>325386150</v>
      </c>
      <c r="K29" s="24"/>
    </row>
    <row r="30" spans="1:11" x14ac:dyDescent="0.25">
      <c r="A30" s="22"/>
      <c r="B30" s="29">
        <v>46157</v>
      </c>
      <c r="C30" s="23" t="s">
        <v>21</v>
      </c>
      <c r="D30" s="37" t="s">
        <v>22</v>
      </c>
      <c r="E30" s="23" t="s">
        <v>2155</v>
      </c>
      <c r="F30" s="31">
        <v>0</v>
      </c>
      <c r="G30" s="31"/>
      <c r="H30" s="31">
        <f>Cty_Anh_Duong[[#This Row],[ĐƠN GIÁ]]*Cty_Anh_Duong[[#This Row],[SỐ LƯỢNG]]</f>
        <v>0</v>
      </c>
      <c r="I30" s="31">
        <v>30000000</v>
      </c>
      <c r="J30" s="31">
        <f>J29+Cty_Anh_Duong[[#This Row],[THÀNH TIỀN]]-Cty_Anh_Duong[[#This Row],[THANH TOÁN]]</f>
        <v>295386150</v>
      </c>
      <c r="K30" s="24"/>
    </row>
    <row r="31" spans="1:11" x14ac:dyDescent="0.25">
      <c r="A31" s="22">
        <v>9552</v>
      </c>
      <c r="B31" s="29">
        <v>46164</v>
      </c>
      <c r="C31" s="23" t="s">
        <v>13</v>
      </c>
      <c r="D31" s="37" t="s">
        <v>43</v>
      </c>
      <c r="E31" s="23" t="s">
        <v>154</v>
      </c>
      <c r="F31" s="31">
        <v>656</v>
      </c>
      <c r="G31" s="31">
        <v>60500</v>
      </c>
      <c r="H31" s="31">
        <f>Cty_Anh_Duong[[#This Row],[ĐƠN GIÁ]]*Cty_Anh_Duong[[#This Row],[SỐ LƯỢNG]]</f>
        <v>39688000</v>
      </c>
      <c r="I31" s="31"/>
      <c r="J31" s="31">
        <f>J30+Cty_Anh_Duong[[#This Row],[THÀNH TIỀN]]-Cty_Anh_Duong[[#This Row],[THANH TOÁN]]</f>
        <v>335074150</v>
      </c>
      <c r="K31" s="24"/>
    </row>
    <row r="32" spans="1:11" x14ac:dyDescent="0.25">
      <c r="A32" s="22">
        <v>9552</v>
      </c>
      <c r="B32" s="29">
        <v>46164</v>
      </c>
      <c r="C32" s="23" t="s">
        <v>13</v>
      </c>
      <c r="D32" s="37" t="s">
        <v>43</v>
      </c>
      <c r="E32" s="23" t="s">
        <v>154</v>
      </c>
      <c r="F32" s="31">
        <v>556</v>
      </c>
      <c r="G32" s="31">
        <v>60500</v>
      </c>
      <c r="H32" s="31">
        <f>Cty_Anh_Duong[[#This Row],[ĐƠN GIÁ]]*Cty_Anh_Duong[[#This Row],[SỐ LƯỢNG]]</f>
        <v>33638000</v>
      </c>
      <c r="I32" s="31"/>
      <c r="J32" s="31">
        <f>J31+Cty_Anh_Duong[[#This Row],[THÀNH TIỀN]]-Cty_Anh_Duong[[#This Row],[THANH TOÁN]]</f>
        <v>368712150</v>
      </c>
      <c r="K32" s="24"/>
    </row>
    <row r="33" spans="1:11" x14ac:dyDescent="0.25">
      <c r="A33" s="22">
        <v>9552</v>
      </c>
      <c r="B33" s="29">
        <v>46164</v>
      </c>
      <c r="C33" s="23" t="s">
        <v>13</v>
      </c>
      <c r="D33" s="37" t="s">
        <v>43</v>
      </c>
      <c r="E33" s="23" t="s">
        <v>248</v>
      </c>
      <c r="F33" s="31">
        <v>508</v>
      </c>
      <c r="G33" s="31">
        <v>57000</v>
      </c>
      <c r="H33" s="31">
        <f>Cty_Anh_Duong[[#This Row],[ĐƠN GIÁ]]*Cty_Anh_Duong[[#This Row],[SỐ LƯỢNG]]</f>
        <v>28956000</v>
      </c>
      <c r="I33" s="31"/>
      <c r="J33" s="31">
        <f>J32+Cty_Anh_Duong[[#This Row],[THÀNH TIỀN]]-Cty_Anh_Duong[[#This Row],[THANH TOÁN]]</f>
        <v>397668150</v>
      </c>
      <c r="K33" s="24" t="s">
        <v>2280</v>
      </c>
    </row>
    <row r="34" spans="1:11" x14ac:dyDescent="0.25">
      <c r="A34" s="22"/>
      <c r="B34" s="29">
        <v>46164</v>
      </c>
      <c r="C34" s="23" t="s">
        <v>21</v>
      </c>
      <c r="D34" s="37" t="s">
        <v>22</v>
      </c>
      <c r="E34" s="23" t="s">
        <v>261</v>
      </c>
      <c r="F34" s="31">
        <v>0</v>
      </c>
      <c r="G34" s="31"/>
      <c r="H34" s="31">
        <f>Cty_Anh_Duong[[#This Row],[ĐƠN GIÁ]]*Cty_Anh_Duong[[#This Row],[SỐ LƯỢNG]]</f>
        <v>0</v>
      </c>
      <c r="I34" s="31">
        <v>35000000</v>
      </c>
      <c r="J34" s="31">
        <f>J33+Cty_Anh_Duong[[#This Row],[THÀNH TIỀN]]-Cty_Anh_Duong[[#This Row],[THANH TOÁN]]</f>
        <v>362668150</v>
      </c>
      <c r="K34" s="24"/>
    </row>
    <row r="35" spans="1:11" x14ac:dyDescent="0.25">
      <c r="A35" s="22">
        <v>9574</v>
      </c>
      <c r="B35" s="29">
        <v>46165</v>
      </c>
      <c r="C35" s="23" t="s">
        <v>13</v>
      </c>
      <c r="D35" s="37" t="s">
        <v>17</v>
      </c>
      <c r="E35" s="23" t="s">
        <v>251</v>
      </c>
      <c r="F35" s="31">
        <v>350</v>
      </c>
      <c r="G35" s="31">
        <v>66000</v>
      </c>
      <c r="H35" s="31">
        <f>Cty_Anh_Duong[[#This Row],[ĐƠN GIÁ]]*Cty_Anh_Duong[[#This Row],[SỐ LƯỢNG]]</f>
        <v>23100000</v>
      </c>
      <c r="I35" s="31"/>
      <c r="J35" s="31">
        <f>J34+Cty_Anh_Duong[[#This Row],[THÀNH TIỀN]]-Cty_Anh_Duong[[#This Row],[THANH TOÁN]]</f>
        <v>385768150</v>
      </c>
      <c r="K35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A0F4B-8DAF-4258-83CE-808E1D733DBA}">
  <sheetPr codeName="Sheet42"/>
  <dimension ref="A5:P94"/>
  <sheetViews>
    <sheetView topLeftCell="A67" workbookViewId="0">
      <selection activeCell="F90" sqref="F90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3" width="9.140625" style="1"/>
    <col min="14" max="14" width="11.28515625" style="1" bestFit="1" customWidth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1825862298</v>
      </c>
    </row>
    <row r="6" spans="1:16" ht="22.5" x14ac:dyDescent="0.25">
      <c r="D6" s="34" t="s">
        <v>879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E_Hoai_ND[[#This Row],[ĐƠN GIÁ]]*E_Hoai_ND[[#This Row],[SỐ LƯỢNG]]</f>
        <v>0</v>
      </c>
      <c r="I10" s="31"/>
      <c r="J10" s="31">
        <v>706452250</v>
      </c>
      <c r="K10" s="24"/>
    </row>
    <row r="11" spans="1:16" x14ac:dyDescent="0.25">
      <c r="A11" s="22">
        <v>7827</v>
      </c>
      <c r="B11" s="29">
        <v>46084</v>
      </c>
      <c r="C11" s="23" t="s">
        <v>13</v>
      </c>
      <c r="D11" s="37" t="s">
        <v>109</v>
      </c>
      <c r="E11" s="23" t="s">
        <v>880</v>
      </c>
      <c r="F11" s="31">
        <v>830</v>
      </c>
      <c r="G11" s="31">
        <v>55000</v>
      </c>
      <c r="H11" s="31">
        <f>E_Hoai_ND[[#This Row],[ĐƠN GIÁ]]*E_Hoai_ND[[#This Row],[SỐ LƯỢNG]]</f>
        <v>45650000</v>
      </c>
      <c r="I11" s="31"/>
      <c r="J11" s="31">
        <f>J10+E_Hoai_ND[[#This Row],[THÀNH TIỀN]]-E_Hoai_ND[[#This Row],[THANH TOÁN]]</f>
        <v>752102250</v>
      </c>
      <c r="K11" s="24" t="s">
        <v>128</v>
      </c>
    </row>
    <row r="12" spans="1:16" x14ac:dyDescent="0.25">
      <c r="A12" s="22">
        <v>7827</v>
      </c>
      <c r="B12" s="29">
        <v>46084</v>
      </c>
      <c r="C12" s="23" t="s">
        <v>13</v>
      </c>
      <c r="D12" s="46" t="s">
        <v>50</v>
      </c>
      <c r="E12" s="48" t="s">
        <v>122</v>
      </c>
      <c r="F12" s="47">
        <v>660</v>
      </c>
      <c r="G12" s="47">
        <v>55000</v>
      </c>
      <c r="H12" s="47">
        <f>E_Hoai_ND[[#This Row],[ĐƠN GIÁ]]*E_Hoai_ND[[#This Row],[SỐ LƯỢNG]]</f>
        <v>36300000</v>
      </c>
      <c r="I12" s="47"/>
      <c r="J12" s="47">
        <f>J11+E_Hoai_ND[[#This Row],[THÀNH TIỀN]]-E_Hoai_ND[[#This Row],[THANH TOÁN]]</f>
        <v>788402250</v>
      </c>
      <c r="K12" s="24" t="s">
        <v>128</v>
      </c>
    </row>
    <row r="13" spans="1:16" x14ac:dyDescent="0.25">
      <c r="A13" s="22">
        <v>7827</v>
      </c>
      <c r="B13" s="29">
        <v>46084</v>
      </c>
      <c r="C13" s="23" t="s">
        <v>13</v>
      </c>
      <c r="D13" s="37" t="s">
        <v>150</v>
      </c>
      <c r="E13" s="23" t="s">
        <v>881</v>
      </c>
      <c r="F13" s="31">
        <v>296</v>
      </c>
      <c r="G13" s="31">
        <v>34000</v>
      </c>
      <c r="H13" s="31">
        <f>E_Hoai_ND[[#This Row],[ĐƠN GIÁ]]*E_Hoai_ND[[#This Row],[SỐ LƯỢNG]]</f>
        <v>10064000</v>
      </c>
      <c r="I13" s="31"/>
      <c r="J13" s="31">
        <f>J12+E_Hoai_ND[[#This Row],[THÀNH TIỀN]]-E_Hoai_ND[[#This Row],[THANH TOÁN]]</f>
        <v>798466250</v>
      </c>
      <c r="K13" s="24" t="s">
        <v>128</v>
      </c>
    </row>
    <row r="14" spans="1:16" x14ac:dyDescent="0.25">
      <c r="A14" s="22">
        <v>7862</v>
      </c>
      <c r="B14" s="29">
        <v>46086</v>
      </c>
      <c r="C14" s="23" t="s">
        <v>13</v>
      </c>
      <c r="D14" s="37" t="s">
        <v>50</v>
      </c>
      <c r="E14" s="23" t="s">
        <v>221</v>
      </c>
      <c r="F14" s="31">
        <v>556</v>
      </c>
      <c r="G14" s="31">
        <v>56000</v>
      </c>
      <c r="H14" s="31">
        <f>E_Hoai_ND[[#This Row],[ĐƠN GIÁ]]*E_Hoai_ND[[#This Row],[SỐ LƯỢNG]]</f>
        <v>31136000</v>
      </c>
      <c r="I14" s="31"/>
      <c r="J14" s="31">
        <f>J13+E_Hoai_ND[[#This Row],[THÀNH TIỀN]]-E_Hoai_ND[[#This Row],[THANH TOÁN]]</f>
        <v>829602250</v>
      </c>
      <c r="K14" s="24" t="s">
        <v>128</v>
      </c>
      <c r="P14" s="35"/>
    </row>
    <row r="15" spans="1:16" x14ac:dyDescent="0.25">
      <c r="A15" s="22">
        <v>7862</v>
      </c>
      <c r="B15" s="29">
        <v>46086</v>
      </c>
      <c r="C15" s="23" t="s">
        <v>13</v>
      </c>
      <c r="D15" s="37" t="s">
        <v>50</v>
      </c>
      <c r="E15" s="23" t="s">
        <v>288</v>
      </c>
      <c r="F15" s="31">
        <v>532</v>
      </c>
      <c r="G15" s="31">
        <v>56000</v>
      </c>
      <c r="H15" s="31">
        <f>E_Hoai_ND[[#This Row],[ĐƠN GIÁ]]*E_Hoai_ND[[#This Row],[SỐ LƯỢNG]]</f>
        <v>29792000</v>
      </c>
      <c r="I15" s="28"/>
      <c r="J15" s="31">
        <f>J14+E_Hoai_ND[[#This Row],[THÀNH TIỀN]]-E_Hoai_ND[[#This Row],[THANH TOÁN]]</f>
        <v>859394250</v>
      </c>
      <c r="K15" s="24" t="s">
        <v>128</v>
      </c>
      <c r="N15" s="35"/>
    </row>
    <row r="16" spans="1:16" x14ac:dyDescent="0.25">
      <c r="A16" s="22">
        <v>7862</v>
      </c>
      <c r="B16" s="29">
        <v>46086</v>
      </c>
      <c r="C16" s="23" t="s">
        <v>13</v>
      </c>
      <c r="D16" s="37" t="s">
        <v>32</v>
      </c>
      <c r="E16" s="23" t="s">
        <v>78</v>
      </c>
      <c r="F16" s="31">
        <v>230</v>
      </c>
      <c r="G16" s="31">
        <v>44000</v>
      </c>
      <c r="H16" s="31">
        <f>E_Hoai_ND[[#This Row],[ĐƠN GIÁ]]*E_Hoai_ND[[#This Row],[SỐ LƯỢNG]]</f>
        <v>10120000</v>
      </c>
      <c r="I16" s="31"/>
      <c r="J16" s="31">
        <f>J15+E_Hoai_ND[[#This Row],[THÀNH TIỀN]]-E_Hoai_ND[[#This Row],[THANH TOÁN]]</f>
        <v>869514250</v>
      </c>
      <c r="K16" s="24" t="s">
        <v>128</v>
      </c>
    </row>
    <row r="17" spans="1:14" x14ac:dyDescent="0.25">
      <c r="A17" s="22">
        <v>7862</v>
      </c>
      <c r="B17" s="29">
        <v>46086</v>
      </c>
      <c r="C17" s="23" t="s">
        <v>13</v>
      </c>
      <c r="D17" s="37" t="s">
        <v>32</v>
      </c>
      <c r="E17" s="23" t="s">
        <v>62</v>
      </c>
      <c r="F17" s="31">
        <v>208</v>
      </c>
      <c r="G17" s="31">
        <v>42000</v>
      </c>
      <c r="H17" s="31">
        <f>E_Hoai_ND[[#This Row],[ĐƠN GIÁ]]*E_Hoai_ND[[#This Row],[SỐ LƯỢNG]]</f>
        <v>8736000</v>
      </c>
      <c r="I17" s="31"/>
      <c r="J17" s="31">
        <f>J16+E_Hoai_ND[[#This Row],[THÀNH TIỀN]]-E_Hoai_ND[[#This Row],[THANH TOÁN]]</f>
        <v>878250250</v>
      </c>
      <c r="K17" s="24" t="s">
        <v>128</v>
      </c>
      <c r="N17" s="35"/>
    </row>
    <row r="18" spans="1:14" x14ac:dyDescent="0.25">
      <c r="A18" s="22">
        <v>7901</v>
      </c>
      <c r="B18" s="29">
        <v>46087</v>
      </c>
      <c r="C18" s="23" t="s">
        <v>13</v>
      </c>
      <c r="D18" s="37" t="s">
        <v>17</v>
      </c>
      <c r="E18" s="23" t="s">
        <v>882</v>
      </c>
      <c r="F18" s="31">
        <f>554-8</f>
        <v>546</v>
      </c>
      <c r="G18" s="31">
        <v>57000</v>
      </c>
      <c r="H18" s="31">
        <f>E_Hoai_ND[[#This Row],[ĐƠN GIÁ]]*E_Hoai_ND[[#This Row],[SỐ LƯỢNG]]</f>
        <v>31122000</v>
      </c>
      <c r="I18" s="31"/>
      <c r="J18" s="31">
        <f>J17+E_Hoai_ND[[#This Row],[THÀNH TIỀN]]-E_Hoai_ND[[#This Row],[THANH TOÁN]]</f>
        <v>909372250</v>
      </c>
      <c r="K18" s="24" t="s">
        <v>128</v>
      </c>
    </row>
    <row r="19" spans="1:14" x14ac:dyDescent="0.25">
      <c r="A19" s="22">
        <v>7901</v>
      </c>
      <c r="B19" s="29">
        <v>46087</v>
      </c>
      <c r="C19" s="23" t="s">
        <v>13</v>
      </c>
      <c r="D19" s="37" t="s">
        <v>17</v>
      </c>
      <c r="E19" s="23" t="s">
        <v>46</v>
      </c>
      <c r="F19" s="31">
        <v>614</v>
      </c>
      <c r="G19" s="31">
        <v>57000</v>
      </c>
      <c r="H19" s="31">
        <f>E_Hoai_ND[[#This Row],[ĐƠN GIÁ]]*E_Hoai_ND[[#This Row],[SỐ LƯỢNG]]</f>
        <v>34998000</v>
      </c>
      <c r="I19" s="31"/>
      <c r="J19" s="31">
        <f>J18+E_Hoai_ND[[#This Row],[THÀNH TIỀN]]-E_Hoai_ND[[#This Row],[THANH TOÁN]]</f>
        <v>944370250</v>
      </c>
      <c r="K19" s="24" t="s">
        <v>128</v>
      </c>
    </row>
    <row r="20" spans="1:14" x14ac:dyDescent="0.25">
      <c r="A20" s="25">
        <v>7930</v>
      </c>
      <c r="B20" s="30">
        <v>46088</v>
      </c>
      <c r="C20" s="23" t="s">
        <v>13</v>
      </c>
      <c r="D20" s="38" t="s">
        <v>32</v>
      </c>
      <c r="E20" s="26" t="s">
        <v>883</v>
      </c>
      <c r="F20" s="28">
        <f>356-14</f>
        <v>342</v>
      </c>
      <c r="G20" s="28">
        <v>42500</v>
      </c>
      <c r="H20" s="28">
        <f>E_Hoai_ND[[#This Row],[ĐƠN GIÁ]]*E_Hoai_ND[[#This Row],[SỐ LƯỢNG]]</f>
        <v>14535000</v>
      </c>
      <c r="I20" s="28"/>
      <c r="J20" s="28">
        <f>J19+E_Hoai_ND[[#This Row],[THÀNH TIỀN]]-E_Hoai_ND[[#This Row],[THANH TOÁN]]</f>
        <v>958905250</v>
      </c>
      <c r="K20" s="27"/>
    </row>
    <row r="21" spans="1:14" x14ac:dyDescent="0.25">
      <c r="A21" s="25"/>
      <c r="B21" s="30">
        <v>46090</v>
      </c>
      <c r="C21" s="23" t="s">
        <v>21</v>
      </c>
      <c r="D21" s="38" t="s">
        <v>22</v>
      </c>
      <c r="E21" s="26" t="s">
        <v>147</v>
      </c>
      <c r="F21" s="28">
        <v>0</v>
      </c>
      <c r="G21" s="28">
        <v>0</v>
      </c>
      <c r="H21" s="28">
        <f>E_Hoai_ND[[#This Row],[ĐƠN GIÁ]]*E_Hoai_ND[[#This Row],[SỐ LƯỢNG]]</f>
        <v>0</v>
      </c>
      <c r="I21" s="28">
        <v>75000000</v>
      </c>
      <c r="J21" s="28">
        <f>J20+E_Hoai_ND[[#This Row],[THÀNH TIỀN]]-E_Hoai_ND[[#This Row],[THANH TOÁN]]</f>
        <v>883905250</v>
      </c>
      <c r="K21" s="27"/>
    </row>
    <row r="22" spans="1:14" x14ac:dyDescent="0.25">
      <c r="A22" s="25">
        <v>8033</v>
      </c>
      <c r="B22" s="30">
        <v>46093</v>
      </c>
      <c r="C22" s="23" t="s">
        <v>13</v>
      </c>
      <c r="D22" s="38" t="s">
        <v>45</v>
      </c>
      <c r="E22" s="26" t="s">
        <v>46</v>
      </c>
      <c r="F22" s="28">
        <v>526</v>
      </c>
      <c r="G22" s="28">
        <v>32500</v>
      </c>
      <c r="H22" s="28">
        <f>E_Hoai_ND[[#This Row],[ĐƠN GIÁ]]*E_Hoai_ND[[#This Row],[SỐ LƯỢNG]]</f>
        <v>17095000</v>
      </c>
      <c r="I22" s="28"/>
      <c r="J22" s="28">
        <f>J21+E_Hoai_ND[[#This Row],[THÀNH TIỀN]]-E_Hoai_ND[[#This Row],[THANH TOÁN]]</f>
        <v>901000250</v>
      </c>
      <c r="K22" s="27" t="s">
        <v>128</v>
      </c>
    </row>
    <row r="23" spans="1:14" x14ac:dyDescent="0.25">
      <c r="A23" s="25">
        <v>8033</v>
      </c>
      <c r="B23" s="30">
        <v>46093</v>
      </c>
      <c r="C23" s="23" t="s">
        <v>13</v>
      </c>
      <c r="D23" s="38" t="s">
        <v>17</v>
      </c>
      <c r="E23" s="23" t="s">
        <v>211</v>
      </c>
      <c r="F23" s="31">
        <v>407</v>
      </c>
      <c r="G23" s="31">
        <v>61000</v>
      </c>
      <c r="H23" s="31">
        <f>E_Hoai_ND[[#This Row],[ĐƠN GIÁ]]*E_Hoai_ND[[#This Row],[SỐ LƯỢNG]]</f>
        <v>24827000</v>
      </c>
      <c r="I23" s="31"/>
      <c r="J23" s="31">
        <f>J22+E_Hoai_ND[[#This Row],[THÀNH TIỀN]]-E_Hoai_ND[[#This Row],[THANH TOÁN]]</f>
        <v>925827250</v>
      </c>
      <c r="K23" s="27" t="s">
        <v>128</v>
      </c>
    </row>
    <row r="24" spans="1:14" x14ac:dyDescent="0.25">
      <c r="A24" s="25">
        <v>8033</v>
      </c>
      <c r="B24" s="30">
        <v>46093</v>
      </c>
      <c r="C24" s="23" t="s">
        <v>13</v>
      </c>
      <c r="D24" s="38" t="s">
        <v>17</v>
      </c>
      <c r="E24" s="26" t="s">
        <v>25</v>
      </c>
      <c r="F24" s="28">
        <v>480</v>
      </c>
      <c r="G24" s="28">
        <v>58500</v>
      </c>
      <c r="H24" s="28">
        <f>E_Hoai_ND[[#This Row],[ĐƠN GIÁ]]*E_Hoai_ND[[#This Row],[SỐ LƯỢNG]]</f>
        <v>28080000</v>
      </c>
      <c r="I24" s="28"/>
      <c r="J24" s="28">
        <f>J23+E_Hoai_ND[[#This Row],[THÀNH TIỀN]]-E_Hoai_ND[[#This Row],[THANH TOÁN]]</f>
        <v>953907250</v>
      </c>
      <c r="K24" s="27" t="s">
        <v>128</v>
      </c>
    </row>
    <row r="25" spans="1:14" x14ac:dyDescent="0.25">
      <c r="A25" s="25"/>
      <c r="B25" s="30">
        <v>46095</v>
      </c>
      <c r="C25" s="23" t="s">
        <v>21</v>
      </c>
      <c r="D25" s="38" t="s">
        <v>22</v>
      </c>
      <c r="E25" s="23" t="s">
        <v>147</v>
      </c>
      <c r="F25" s="31">
        <v>0</v>
      </c>
      <c r="G25" s="31">
        <v>0</v>
      </c>
      <c r="H25" s="31">
        <f>E_Hoai_ND[[#This Row],[ĐƠN GIÁ]]*E_Hoai_ND[[#This Row],[SỐ LƯỢNG]]</f>
        <v>0</v>
      </c>
      <c r="I25" s="31">
        <v>100000000</v>
      </c>
      <c r="J25" s="31">
        <f>J24+E_Hoai_ND[[#This Row],[THÀNH TIỀN]]-E_Hoai_ND[[#This Row],[THANH TOÁN]]</f>
        <v>853907250</v>
      </c>
      <c r="K25" s="24"/>
    </row>
    <row r="26" spans="1:14" x14ac:dyDescent="0.25">
      <c r="A26" s="25">
        <v>8248</v>
      </c>
      <c r="B26" s="30">
        <v>46105</v>
      </c>
      <c r="C26" s="23" t="s">
        <v>13</v>
      </c>
      <c r="D26" s="38" t="s">
        <v>50</v>
      </c>
      <c r="E26" s="23" t="s">
        <v>884</v>
      </c>
      <c r="F26" s="31">
        <v>503</v>
      </c>
      <c r="G26" s="31">
        <v>57000</v>
      </c>
      <c r="H26" s="31">
        <f>E_Hoai_ND[[#This Row],[ĐƠN GIÁ]]*E_Hoai_ND[[#This Row],[SỐ LƯỢNG]]</f>
        <v>28671000</v>
      </c>
      <c r="I26" s="31"/>
      <c r="J26" s="31">
        <f>J25+E_Hoai_ND[[#This Row],[THÀNH TIỀN]]-E_Hoai_ND[[#This Row],[THANH TOÁN]]</f>
        <v>882578250</v>
      </c>
      <c r="K26" s="24"/>
    </row>
    <row r="27" spans="1:14" x14ac:dyDescent="0.25">
      <c r="A27" s="25">
        <v>8248</v>
      </c>
      <c r="B27" s="30">
        <v>46105</v>
      </c>
      <c r="C27" s="23" t="s">
        <v>13</v>
      </c>
      <c r="D27" s="38" t="s">
        <v>50</v>
      </c>
      <c r="E27" s="26" t="s">
        <v>185</v>
      </c>
      <c r="F27" s="28">
        <v>527</v>
      </c>
      <c r="G27" s="28">
        <v>57000</v>
      </c>
      <c r="H27" s="28">
        <f>E_Hoai_ND[[#This Row],[ĐƠN GIÁ]]*E_Hoai_ND[[#This Row],[SỐ LƯỢNG]]</f>
        <v>30039000</v>
      </c>
      <c r="I27" s="28"/>
      <c r="J27" s="28">
        <f>J26+E_Hoai_ND[[#This Row],[THÀNH TIỀN]]-E_Hoai_ND[[#This Row],[THANH TOÁN]]</f>
        <v>912617250</v>
      </c>
      <c r="K27" s="27"/>
    </row>
    <row r="28" spans="1:14" x14ac:dyDescent="0.25">
      <c r="A28" s="25">
        <v>8248</v>
      </c>
      <c r="B28" s="30">
        <v>46105</v>
      </c>
      <c r="C28" s="23" t="s">
        <v>13</v>
      </c>
      <c r="D28" s="38" t="s">
        <v>50</v>
      </c>
      <c r="E28" s="23" t="s">
        <v>885</v>
      </c>
      <c r="F28" s="31">
        <v>1116</v>
      </c>
      <c r="G28" s="31">
        <v>57000</v>
      </c>
      <c r="H28" s="31">
        <f>E_Hoai_ND[[#This Row],[ĐƠN GIÁ]]*E_Hoai_ND[[#This Row],[SỐ LƯỢNG]]</f>
        <v>63612000</v>
      </c>
      <c r="I28" s="31"/>
      <c r="J28" s="31">
        <f>J27+E_Hoai_ND[[#This Row],[THÀNH TIỀN]]-E_Hoai_ND[[#This Row],[THANH TOÁN]]</f>
        <v>976229250</v>
      </c>
      <c r="K28" s="24"/>
    </row>
    <row r="29" spans="1:14" x14ac:dyDescent="0.25">
      <c r="A29" s="25">
        <v>8333</v>
      </c>
      <c r="B29" s="30">
        <v>46106</v>
      </c>
      <c r="C29" s="23" t="s">
        <v>13</v>
      </c>
      <c r="D29" s="38" t="s">
        <v>36</v>
      </c>
      <c r="E29" s="23" t="s">
        <v>228</v>
      </c>
      <c r="F29" s="31">
        <v>234</v>
      </c>
      <c r="G29" s="31">
        <v>60000</v>
      </c>
      <c r="H29" s="31">
        <f>E_Hoai_ND[[#This Row],[ĐƠN GIÁ]]*E_Hoai_ND[[#This Row],[SỐ LƯỢNG]]</f>
        <v>14040000</v>
      </c>
      <c r="I29" s="31"/>
      <c r="J29" s="31">
        <f>J28+E_Hoai_ND[[#This Row],[THÀNH TIỀN]]-E_Hoai_ND[[#This Row],[THANH TOÁN]]</f>
        <v>990269250</v>
      </c>
      <c r="K29" s="24"/>
    </row>
    <row r="30" spans="1:14" x14ac:dyDescent="0.25">
      <c r="A30" s="25">
        <v>8333</v>
      </c>
      <c r="B30" s="30">
        <v>46106</v>
      </c>
      <c r="C30" s="23" t="s">
        <v>13</v>
      </c>
      <c r="D30" s="38" t="s">
        <v>36</v>
      </c>
      <c r="E30" s="26" t="s">
        <v>73</v>
      </c>
      <c r="F30" s="28">
        <v>522</v>
      </c>
      <c r="G30" s="28">
        <v>59000</v>
      </c>
      <c r="H30" s="28">
        <f>E_Hoai_ND[[#This Row],[ĐƠN GIÁ]]*E_Hoai_ND[[#This Row],[SỐ LƯỢNG]]</f>
        <v>30798000</v>
      </c>
      <c r="I30" s="28"/>
      <c r="J30" s="28">
        <f>J29+E_Hoai_ND[[#This Row],[THÀNH TIỀN]]-E_Hoai_ND[[#This Row],[THANH TOÁN]]</f>
        <v>1021067250</v>
      </c>
      <c r="K30" s="27"/>
    </row>
    <row r="31" spans="1:14" x14ac:dyDescent="0.25">
      <c r="A31" s="25">
        <v>8333</v>
      </c>
      <c r="B31" s="30">
        <v>46106</v>
      </c>
      <c r="C31" s="23" t="s">
        <v>13</v>
      </c>
      <c r="D31" s="38" t="s">
        <v>36</v>
      </c>
      <c r="E31" s="26" t="s">
        <v>74</v>
      </c>
      <c r="F31" s="28">
        <v>100</v>
      </c>
      <c r="G31" s="28">
        <v>60000</v>
      </c>
      <c r="H31" s="28">
        <f>E_Hoai_ND[[#This Row],[ĐƠN GIÁ]]*E_Hoai_ND[[#This Row],[SỐ LƯỢNG]]</f>
        <v>6000000</v>
      </c>
      <c r="I31" s="28"/>
      <c r="J31" s="28">
        <f>J30+E_Hoai_ND[[#This Row],[THÀNH TIỀN]]-E_Hoai_ND[[#This Row],[THANH TOÁN]]</f>
        <v>1027067250</v>
      </c>
      <c r="K31" s="27"/>
    </row>
    <row r="32" spans="1:14" x14ac:dyDescent="0.25">
      <c r="A32" s="25">
        <v>8333</v>
      </c>
      <c r="B32" s="30">
        <v>46106</v>
      </c>
      <c r="C32" s="23" t="s">
        <v>13</v>
      </c>
      <c r="D32" s="38" t="s">
        <v>328</v>
      </c>
      <c r="E32" s="26" t="s">
        <v>76</v>
      </c>
      <c r="F32" s="28">
        <v>116</v>
      </c>
      <c r="G32" s="28">
        <v>41500</v>
      </c>
      <c r="H32" s="28">
        <f>E_Hoai_ND[[#This Row],[ĐƠN GIÁ]]*E_Hoai_ND[[#This Row],[SỐ LƯỢNG]]</f>
        <v>4814000</v>
      </c>
      <c r="I32" s="28"/>
      <c r="J32" s="28">
        <f>J31+E_Hoai_ND[[#This Row],[THÀNH TIỀN]]-E_Hoai_ND[[#This Row],[THANH TOÁN]]</f>
        <v>1031881250</v>
      </c>
      <c r="K32" s="27"/>
    </row>
    <row r="33" spans="1:11" x14ac:dyDescent="0.25">
      <c r="A33" s="25">
        <v>8377</v>
      </c>
      <c r="B33" s="30">
        <v>46108</v>
      </c>
      <c r="C33" s="23" t="s">
        <v>13</v>
      </c>
      <c r="D33" s="38" t="s">
        <v>109</v>
      </c>
      <c r="E33" s="26" t="s">
        <v>886</v>
      </c>
      <c r="F33" s="28">
        <v>146</v>
      </c>
      <c r="G33" s="28">
        <v>58000</v>
      </c>
      <c r="H33" s="28">
        <f>E_Hoai_ND[[#This Row],[ĐƠN GIÁ]]*E_Hoai_ND[[#This Row],[SỐ LƯỢNG]]</f>
        <v>8468000</v>
      </c>
      <c r="I33" s="28"/>
      <c r="J33" s="28">
        <f>J32+E_Hoai_ND[[#This Row],[THÀNH TIỀN]]-E_Hoai_ND[[#This Row],[THANH TOÁN]]</f>
        <v>1040349250</v>
      </c>
      <c r="K33" s="27"/>
    </row>
    <row r="34" spans="1:11" x14ac:dyDescent="0.25">
      <c r="A34" s="25">
        <v>8377</v>
      </c>
      <c r="B34" s="30">
        <v>46108</v>
      </c>
      <c r="C34" s="26" t="s">
        <v>13</v>
      </c>
      <c r="D34" s="38" t="s">
        <v>109</v>
      </c>
      <c r="E34" s="26" t="s">
        <v>73</v>
      </c>
      <c r="F34" s="28">
        <v>538</v>
      </c>
      <c r="G34" s="28">
        <v>58000</v>
      </c>
      <c r="H34" s="28">
        <f>E_Hoai_ND[[#This Row],[ĐƠN GIÁ]]*E_Hoai_ND[[#This Row],[SỐ LƯỢNG]]</f>
        <v>31204000</v>
      </c>
      <c r="I34" s="28"/>
      <c r="J34" s="28">
        <f>J33+E_Hoai_ND[[#This Row],[THÀNH TIỀN]]-E_Hoai_ND[[#This Row],[THANH TOÁN]]</f>
        <v>1071553250</v>
      </c>
      <c r="K34" s="27"/>
    </row>
    <row r="35" spans="1:11" x14ac:dyDescent="0.25">
      <c r="A35" s="25">
        <v>8377</v>
      </c>
      <c r="B35" s="30">
        <v>46108</v>
      </c>
      <c r="C35" s="26" t="s">
        <v>13</v>
      </c>
      <c r="D35" s="38" t="s">
        <v>109</v>
      </c>
      <c r="E35" s="26" t="s">
        <v>887</v>
      </c>
      <c r="F35" s="28">
        <v>312</v>
      </c>
      <c r="G35" s="28">
        <v>57000</v>
      </c>
      <c r="H35" s="28">
        <f>E_Hoai_ND[[#This Row],[ĐƠN GIÁ]]*E_Hoai_ND[[#This Row],[SỐ LƯỢNG]]</f>
        <v>17784000</v>
      </c>
      <c r="I35" s="28"/>
      <c r="J35" s="28">
        <f>J34+E_Hoai_ND[[#This Row],[THÀNH TIỀN]]-E_Hoai_ND[[#This Row],[THANH TOÁN]]</f>
        <v>1089337250</v>
      </c>
      <c r="K35" s="27"/>
    </row>
    <row r="36" spans="1:11" x14ac:dyDescent="0.25">
      <c r="A36" s="22"/>
      <c r="B36" s="29">
        <v>46109</v>
      </c>
      <c r="C36" s="26" t="s">
        <v>21</v>
      </c>
      <c r="D36" s="38" t="s">
        <v>22</v>
      </c>
      <c r="E36" s="26" t="s">
        <v>147</v>
      </c>
      <c r="F36" s="28">
        <v>0</v>
      </c>
      <c r="G36" s="28">
        <v>0</v>
      </c>
      <c r="H36" s="31">
        <f>E_Hoai_ND[[#This Row],[ĐƠN GIÁ]]*E_Hoai_ND[[#This Row],[SỐ LƯỢNG]]</f>
        <v>0</v>
      </c>
      <c r="I36" s="31">
        <v>100000000</v>
      </c>
      <c r="J36" s="31">
        <f>J35+E_Hoai_ND[[#This Row],[THÀNH TIỀN]]-E_Hoai_ND[[#This Row],[THANH TOÁN]]</f>
        <v>989337250</v>
      </c>
      <c r="K36" s="24"/>
    </row>
    <row r="37" spans="1:11" x14ac:dyDescent="0.25">
      <c r="A37" s="22">
        <v>8510</v>
      </c>
      <c r="B37" s="29">
        <v>46114</v>
      </c>
      <c r="C37" s="23" t="s">
        <v>13</v>
      </c>
      <c r="D37" s="37" t="s">
        <v>45</v>
      </c>
      <c r="E37" s="23" t="s">
        <v>888</v>
      </c>
      <c r="F37" s="31">
        <v>284</v>
      </c>
      <c r="G37" s="31">
        <v>32500</v>
      </c>
      <c r="H37" s="31">
        <f>E_Hoai_ND[[#This Row],[ĐƠN GIÁ]]*E_Hoai_ND[[#This Row],[SỐ LƯỢNG]]</f>
        <v>9230000</v>
      </c>
      <c r="I37" s="31"/>
      <c r="J37" s="31">
        <f>J36+E_Hoai_ND[[#This Row],[THÀNH TIỀN]]-E_Hoai_ND[[#This Row],[THANH TOÁN]]</f>
        <v>998567250</v>
      </c>
      <c r="K37" s="24" t="s">
        <v>889</v>
      </c>
    </row>
    <row r="38" spans="1:11" x14ac:dyDescent="0.25">
      <c r="A38" s="22">
        <v>8527</v>
      </c>
      <c r="B38" s="29">
        <v>46115</v>
      </c>
      <c r="C38" s="23" t="s">
        <v>13</v>
      </c>
      <c r="D38" s="37" t="s">
        <v>109</v>
      </c>
      <c r="E38" s="23" t="s">
        <v>390</v>
      </c>
      <c r="F38" s="31">
        <v>3958</v>
      </c>
      <c r="G38" s="31">
        <v>58000</v>
      </c>
      <c r="H38" s="31">
        <f>E_Hoai_ND[[#This Row],[ĐƠN GIÁ]]*E_Hoai_ND[[#This Row],[SỐ LƯỢNG]]</f>
        <v>229564000</v>
      </c>
      <c r="I38" s="31"/>
      <c r="J38" s="31">
        <f>J37+E_Hoai_ND[[#This Row],[THÀNH TIỀN]]-E_Hoai_ND[[#This Row],[THANH TOÁN]]</f>
        <v>1228131250</v>
      </c>
      <c r="K38" s="24"/>
    </row>
    <row r="39" spans="1:11" x14ac:dyDescent="0.25">
      <c r="A39" s="22">
        <v>8527</v>
      </c>
      <c r="B39" s="29">
        <v>46115</v>
      </c>
      <c r="C39" s="23" t="s">
        <v>13</v>
      </c>
      <c r="D39" s="37" t="s">
        <v>109</v>
      </c>
      <c r="E39" s="23" t="s">
        <v>682</v>
      </c>
      <c r="F39" s="31">
        <v>2037</v>
      </c>
      <c r="G39" s="31">
        <v>58000</v>
      </c>
      <c r="H39" s="31">
        <f>E_Hoai_ND[[#This Row],[ĐƠN GIÁ]]*E_Hoai_ND[[#This Row],[SỐ LƯỢNG]]</f>
        <v>118146000</v>
      </c>
      <c r="I39" s="31"/>
      <c r="J39" s="31">
        <f>J38+E_Hoai_ND[[#This Row],[THÀNH TIỀN]]-E_Hoai_ND[[#This Row],[THANH TOÁN]]</f>
        <v>1346277250</v>
      </c>
      <c r="K39" s="24"/>
    </row>
    <row r="40" spans="1:11" x14ac:dyDescent="0.25">
      <c r="A40" s="22"/>
      <c r="B40" s="29">
        <v>46118</v>
      </c>
      <c r="C40" s="23" t="s">
        <v>21</v>
      </c>
      <c r="D40" s="37" t="s">
        <v>22</v>
      </c>
      <c r="E40" s="23" t="s">
        <v>147</v>
      </c>
      <c r="F40" s="31">
        <v>0</v>
      </c>
      <c r="G40" s="31"/>
      <c r="H40" s="31">
        <f>E_Hoai_ND[[#This Row],[ĐƠN GIÁ]]*E_Hoai_ND[[#This Row],[SỐ LƯỢNG]]</f>
        <v>0</v>
      </c>
      <c r="I40" s="31">
        <v>100000000</v>
      </c>
      <c r="J40" s="31">
        <f>J39+E_Hoai_ND[[#This Row],[THÀNH TIỀN]]-E_Hoai_ND[[#This Row],[THANH TOÁN]]</f>
        <v>1246277250</v>
      </c>
      <c r="K40" s="24"/>
    </row>
    <row r="41" spans="1:11" x14ac:dyDescent="0.25">
      <c r="A41" s="22">
        <v>8613</v>
      </c>
      <c r="B41" s="29">
        <v>46119</v>
      </c>
      <c r="C41" s="23" t="s">
        <v>13</v>
      </c>
      <c r="D41" s="37" t="s">
        <v>50</v>
      </c>
      <c r="E41" s="23" t="s">
        <v>890</v>
      </c>
      <c r="F41" s="31">
        <v>288</v>
      </c>
      <c r="G41" s="31">
        <v>57000</v>
      </c>
      <c r="H41" s="31">
        <f>E_Hoai_ND[[#This Row],[ĐƠN GIÁ]]*E_Hoai_ND[[#This Row],[SỐ LƯỢNG]]</f>
        <v>16416000</v>
      </c>
      <c r="I41" s="31"/>
      <c r="J41" s="31">
        <f>J40+E_Hoai_ND[[#This Row],[THÀNH TIỀN]]-E_Hoai_ND[[#This Row],[THANH TOÁN]]</f>
        <v>1262693250</v>
      </c>
      <c r="K41" s="24"/>
    </row>
    <row r="42" spans="1:11" x14ac:dyDescent="0.25">
      <c r="A42" s="22">
        <v>8613</v>
      </c>
      <c r="B42" s="29">
        <v>46119</v>
      </c>
      <c r="C42" s="23" t="s">
        <v>13</v>
      </c>
      <c r="D42" s="37" t="s">
        <v>103</v>
      </c>
      <c r="E42" s="23" t="s">
        <v>221</v>
      </c>
      <c r="F42" s="31">
        <v>308</v>
      </c>
      <c r="G42" s="31">
        <v>38000</v>
      </c>
      <c r="H42" s="31">
        <f>E_Hoai_ND[[#This Row],[ĐƠN GIÁ]]*E_Hoai_ND[[#This Row],[SỐ LƯỢNG]]</f>
        <v>11704000</v>
      </c>
      <c r="I42" s="31"/>
      <c r="J42" s="31">
        <f>J41+E_Hoai_ND[[#This Row],[THÀNH TIỀN]]-E_Hoai_ND[[#This Row],[THANH TOÁN]]</f>
        <v>1274397250</v>
      </c>
      <c r="K42" s="24"/>
    </row>
    <row r="43" spans="1:11" x14ac:dyDescent="0.25">
      <c r="A43" s="22">
        <v>8613</v>
      </c>
      <c r="B43" s="29">
        <v>46119</v>
      </c>
      <c r="C43" s="23" t="s">
        <v>13</v>
      </c>
      <c r="D43" s="37" t="s">
        <v>103</v>
      </c>
      <c r="E43" s="23" t="s">
        <v>185</v>
      </c>
      <c r="F43" s="31">
        <v>144</v>
      </c>
      <c r="G43" s="31">
        <v>38000</v>
      </c>
      <c r="H43" s="31">
        <f>E_Hoai_ND[[#This Row],[ĐƠN GIÁ]]*E_Hoai_ND[[#This Row],[SỐ LƯỢNG]]</f>
        <v>5472000</v>
      </c>
      <c r="I43" s="31"/>
      <c r="J43" s="31">
        <f>J42+E_Hoai_ND[[#This Row],[THÀNH TIỀN]]-E_Hoai_ND[[#This Row],[THANH TOÁN]]</f>
        <v>1279869250</v>
      </c>
      <c r="K43" s="24"/>
    </row>
    <row r="44" spans="1:11" x14ac:dyDescent="0.25">
      <c r="A44" s="22">
        <v>8636</v>
      </c>
      <c r="B44" s="29">
        <v>46120</v>
      </c>
      <c r="C44" s="23" t="s">
        <v>13</v>
      </c>
      <c r="D44" s="37" t="s">
        <v>17</v>
      </c>
      <c r="E44" s="23" t="s">
        <v>25</v>
      </c>
      <c r="F44" s="31">
        <v>968</v>
      </c>
      <c r="G44" s="31">
        <v>61000</v>
      </c>
      <c r="H44" s="31">
        <f>E_Hoai_ND[[#This Row],[ĐƠN GIÁ]]*E_Hoai_ND[[#This Row],[SỐ LƯỢNG]]</f>
        <v>59048000</v>
      </c>
      <c r="I44" s="31"/>
      <c r="J44" s="31">
        <f>J43+E_Hoai_ND[[#This Row],[THÀNH TIỀN]]-E_Hoai_ND[[#This Row],[THANH TOÁN]]</f>
        <v>1338917250</v>
      </c>
      <c r="K44" s="24" t="s">
        <v>231</v>
      </c>
    </row>
    <row r="45" spans="1:11" x14ac:dyDescent="0.25">
      <c r="A45" s="22">
        <v>8636</v>
      </c>
      <c r="B45" s="29">
        <v>46120</v>
      </c>
      <c r="C45" s="23" t="s">
        <v>13</v>
      </c>
      <c r="D45" s="37" t="s">
        <v>17</v>
      </c>
      <c r="E45" s="23" t="s">
        <v>31</v>
      </c>
      <c r="F45" s="31">
        <v>2024</v>
      </c>
      <c r="G45" s="31">
        <v>61000</v>
      </c>
      <c r="H45" s="31">
        <f>E_Hoai_ND[[#This Row],[ĐƠN GIÁ]]*E_Hoai_ND[[#This Row],[SỐ LƯỢNG]]</f>
        <v>123464000</v>
      </c>
      <c r="I45" s="31"/>
      <c r="J45" s="31">
        <f>J44+E_Hoai_ND[[#This Row],[THÀNH TIỀN]]-E_Hoai_ND[[#This Row],[THANH TOÁN]]</f>
        <v>1462381250</v>
      </c>
      <c r="K45" s="24" t="s">
        <v>231</v>
      </c>
    </row>
    <row r="46" spans="1:11" x14ac:dyDescent="0.25">
      <c r="A46" s="22">
        <v>8636</v>
      </c>
      <c r="B46" s="29">
        <v>46120</v>
      </c>
      <c r="C46" s="23" t="s">
        <v>13</v>
      </c>
      <c r="D46" s="37" t="s">
        <v>17</v>
      </c>
      <c r="E46" s="23" t="s">
        <v>891</v>
      </c>
      <c r="F46" s="31">
        <v>557</v>
      </c>
      <c r="G46" s="31">
        <v>61000</v>
      </c>
      <c r="H46" s="31">
        <f>E_Hoai_ND[[#This Row],[ĐƠN GIÁ]]*E_Hoai_ND[[#This Row],[SỐ LƯỢNG]]</f>
        <v>33977000</v>
      </c>
      <c r="I46" s="31"/>
      <c r="J46" s="31">
        <f>J45+E_Hoai_ND[[#This Row],[THÀNH TIỀN]]-E_Hoai_ND[[#This Row],[THANH TOÁN]]</f>
        <v>1496358250</v>
      </c>
      <c r="K46" s="24" t="s">
        <v>231</v>
      </c>
    </row>
    <row r="47" spans="1:11" x14ac:dyDescent="0.25">
      <c r="A47" s="22">
        <v>8636</v>
      </c>
      <c r="B47" s="29">
        <v>46120</v>
      </c>
      <c r="C47" s="23" t="s">
        <v>13</v>
      </c>
      <c r="D47" s="37" t="s">
        <v>17</v>
      </c>
      <c r="E47" s="23" t="s">
        <v>892</v>
      </c>
      <c r="F47" s="31">
        <v>1526</v>
      </c>
      <c r="G47" s="31">
        <v>61000</v>
      </c>
      <c r="H47" s="31">
        <f>E_Hoai_ND[[#This Row],[ĐƠN GIÁ]]*E_Hoai_ND[[#This Row],[SỐ LƯỢNG]]</f>
        <v>93086000</v>
      </c>
      <c r="I47" s="31"/>
      <c r="J47" s="31">
        <f>J46+E_Hoai_ND[[#This Row],[THÀNH TIỀN]]-E_Hoai_ND[[#This Row],[THANH TOÁN]]</f>
        <v>1589444250</v>
      </c>
      <c r="K47" s="24" t="s">
        <v>231</v>
      </c>
    </row>
    <row r="48" spans="1:11" x14ac:dyDescent="0.25">
      <c r="A48" s="22">
        <v>8636</v>
      </c>
      <c r="B48" s="29">
        <v>46120</v>
      </c>
      <c r="C48" s="23" t="s">
        <v>13</v>
      </c>
      <c r="D48" s="37" t="s">
        <v>50</v>
      </c>
      <c r="E48" s="23" t="s">
        <v>848</v>
      </c>
      <c r="F48" s="31">
        <v>696</v>
      </c>
      <c r="G48" s="31">
        <v>57000</v>
      </c>
      <c r="H48" s="31">
        <f>E_Hoai_ND[[#This Row],[ĐƠN GIÁ]]*E_Hoai_ND[[#This Row],[SỐ LƯỢNG]]</f>
        <v>39672000</v>
      </c>
      <c r="I48" s="31"/>
      <c r="J48" s="31">
        <f>J47+E_Hoai_ND[[#This Row],[THÀNH TIỀN]]-E_Hoai_ND[[#This Row],[THANH TOÁN]]</f>
        <v>1629116250</v>
      </c>
      <c r="K48" s="24"/>
    </row>
    <row r="49" spans="1:11" x14ac:dyDescent="0.25">
      <c r="A49" s="22">
        <v>8654</v>
      </c>
      <c r="B49" s="29">
        <v>46121</v>
      </c>
      <c r="C49" s="23" t="s">
        <v>13</v>
      </c>
      <c r="D49" s="37" t="s">
        <v>17</v>
      </c>
      <c r="E49" s="23" t="s">
        <v>25</v>
      </c>
      <c r="F49" s="31">
        <v>1470</v>
      </c>
      <c r="G49" s="31">
        <v>61000</v>
      </c>
      <c r="H49" s="31">
        <f>E_Hoai_ND[[#This Row],[ĐƠN GIÁ]]*E_Hoai_ND[[#This Row],[SỐ LƯỢNG]]</f>
        <v>89670000</v>
      </c>
      <c r="I49" s="31"/>
      <c r="J49" s="31">
        <f>J48+E_Hoai_ND[[#This Row],[THÀNH TIỀN]]-E_Hoai_ND[[#This Row],[THANH TOÁN]]</f>
        <v>1718786250</v>
      </c>
      <c r="K49" s="24" t="s">
        <v>42</v>
      </c>
    </row>
    <row r="50" spans="1:11" x14ac:dyDescent="0.25">
      <c r="A50" s="22">
        <v>8654</v>
      </c>
      <c r="B50" s="29">
        <v>46121</v>
      </c>
      <c r="C50" s="23" t="s">
        <v>13</v>
      </c>
      <c r="D50" s="37" t="s">
        <v>17</v>
      </c>
      <c r="E50" s="23" t="s">
        <v>31</v>
      </c>
      <c r="F50" s="31">
        <v>1924</v>
      </c>
      <c r="G50" s="31">
        <v>61000</v>
      </c>
      <c r="H50" s="31">
        <f>E_Hoai_ND[[#This Row],[ĐƠN GIÁ]]*E_Hoai_ND[[#This Row],[SỐ LƯỢNG]]</f>
        <v>117364000</v>
      </c>
      <c r="I50" s="31"/>
      <c r="J50" s="31">
        <f>J49+E_Hoai_ND[[#This Row],[THÀNH TIỀN]]-E_Hoai_ND[[#This Row],[THANH TOÁN]]</f>
        <v>1836150250</v>
      </c>
      <c r="K50" s="24" t="s">
        <v>42</v>
      </c>
    </row>
    <row r="51" spans="1:11" x14ac:dyDescent="0.25">
      <c r="A51" s="22">
        <v>8654</v>
      </c>
      <c r="B51" s="29">
        <v>46121</v>
      </c>
      <c r="C51" s="23" t="s">
        <v>13</v>
      </c>
      <c r="D51" s="37" t="s">
        <v>17</v>
      </c>
      <c r="E51" s="23" t="s">
        <v>502</v>
      </c>
      <c r="F51" s="31">
        <v>422</v>
      </c>
      <c r="G51" s="31">
        <v>61000</v>
      </c>
      <c r="H51" s="31">
        <f>E_Hoai_ND[[#This Row],[ĐƠN GIÁ]]*E_Hoai_ND[[#This Row],[SỐ LƯỢNG]]</f>
        <v>25742000</v>
      </c>
      <c r="I51" s="31"/>
      <c r="J51" s="31">
        <f>J50+E_Hoai_ND[[#This Row],[THÀNH TIỀN]]-E_Hoai_ND[[#This Row],[THANH TOÁN]]</f>
        <v>1861892250</v>
      </c>
      <c r="K51" s="24" t="s">
        <v>42</v>
      </c>
    </row>
    <row r="52" spans="1:11" x14ac:dyDescent="0.25">
      <c r="A52" s="22"/>
      <c r="B52" s="29">
        <v>46121</v>
      </c>
      <c r="C52" s="23" t="s">
        <v>21</v>
      </c>
      <c r="D52" s="37" t="s">
        <v>22</v>
      </c>
      <c r="E52" s="23" t="s">
        <v>147</v>
      </c>
      <c r="F52" s="31">
        <v>0</v>
      </c>
      <c r="G52" s="31"/>
      <c r="H52" s="31">
        <f>E_Hoai_ND[[#This Row],[ĐƠN GIÁ]]*E_Hoai_ND[[#This Row],[SỐ LƯỢNG]]</f>
        <v>0</v>
      </c>
      <c r="I52" s="31">
        <v>347708202</v>
      </c>
      <c r="J52" s="31">
        <f>J51+E_Hoai_ND[[#This Row],[THÀNH TIỀN]]-E_Hoai_ND[[#This Row],[THANH TOÁN]]</f>
        <v>1514184048</v>
      </c>
      <c r="K52" s="24"/>
    </row>
    <row r="53" spans="1:11" x14ac:dyDescent="0.25">
      <c r="A53" s="22">
        <v>8703</v>
      </c>
      <c r="B53" s="29">
        <v>46123</v>
      </c>
      <c r="C53" s="23" t="s">
        <v>13</v>
      </c>
      <c r="D53" s="37" t="s">
        <v>14</v>
      </c>
      <c r="E53" s="23" t="s">
        <v>78</v>
      </c>
      <c r="F53" s="31">
        <v>510</v>
      </c>
      <c r="G53" s="31">
        <v>45000</v>
      </c>
      <c r="H53" s="31">
        <f>E_Hoai_ND[[#This Row],[ĐƠN GIÁ]]*E_Hoai_ND[[#This Row],[SỐ LƯỢNG]]</f>
        <v>22950000</v>
      </c>
      <c r="I53" s="31"/>
      <c r="J53" s="31">
        <f>J52+E_Hoai_ND[[#This Row],[THÀNH TIỀN]]-E_Hoai_ND[[#This Row],[THANH TOÁN]]</f>
        <v>1537134048</v>
      </c>
      <c r="K53" s="24"/>
    </row>
    <row r="54" spans="1:11" x14ac:dyDescent="0.25">
      <c r="A54" s="22">
        <v>8703</v>
      </c>
      <c r="B54" s="29">
        <v>46123</v>
      </c>
      <c r="C54" s="23" t="s">
        <v>13</v>
      </c>
      <c r="D54" s="37" t="s">
        <v>14</v>
      </c>
      <c r="E54" s="23" t="s">
        <v>41</v>
      </c>
      <c r="F54" s="31">
        <v>498</v>
      </c>
      <c r="G54" s="31">
        <v>41500</v>
      </c>
      <c r="H54" s="31">
        <f>E_Hoai_ND[[#This Row],[ĐƠN GIÁ]]*E_Hoai_ND[[#This Row],[SỐ LƯỢNG]]</f>
        <v>20667000</v>
      </c>
      <c r="I54" s="31"/>
      <c r="J54" s="31">
        <f>J53+E_Hoai_ND[[#This Row],[THÀNH TIỀN]]-E_Hoai_ND[[#This Row],[THANH TOÁN]]</f>
        <v>1557801048</v>
      </c>
      <c r="K54" s="24"/>
    </row>
    <row r="55" spans="1:11" x14ac:dyDescent="0.25">
      <c r="A55" s="22">
        <v>8703</v>
      </c>
      <c r="B55" s="29">
        <v>46123</v>
      </c>
      <c r="C55" s="23" t="s">
        <v>13</v>
      </c>
      <c r="D55" s="37" t="s">
        <v>50</v>
      </c>
      <c r="E55" s="23" t="s">
        <v>117</v>
      </c>
      <c r="F55" s="31">
        <v>260</v>
      </c>
      <c r="G55" s="31">
        <v>56000</v>
      </c>
      <c r="H55" s="31">
        <f>E_Hoai_ND[[#This Row],[ĐƠN GIÁ]]*E_Hoai_ND[[#This Row],[SỐ LƯỢNG]]</f>
        <v>14560000</v>
      </c>
      <c r="I55" s="31"/>
      <c r="J55" s="31">
        <f>J54+E_Hoai_ND[[#This Row],[THÀNH TIỀN]]-E_Hoai_ND[[#This Row],[THANH TOÁN]]</f>
        <v>1572361048</v>
      </c>
      <c r="K55" s="24"/>
    </row>
    <row r="56" spans="1:11" x14ac:dyDescent="0.25">
      <c r="A56" s="22">
        <v>8706</v>
      </c>
      <c r="B56" s="29">
        <v>46123</v>
      </c>
      <c r="C56" s="23" t="s">
        <v>13</v>
      </c>
      <c r="D56" s="37" t="s">
        <v>54</v>
      </c>
      <c r="E56" s="23" t="s">
        <v>884</v>
      </c>
      <c r="F56" s="31">
        <v>428</v>
      </c>
      <c r="G56" s="31">
        <v>35000</v>
      </c>
      <c r="H56" s="31">
        <f>E_Hoai_ND[[#This Row],[ĐƠN GIÁ]]*E_Hoai_ND[[#This Row],[SỐ LƯỢNG]]</f>
        <v>14980000</v>
      </c>
      <c r="I56" s="31"/>
      <c r="J56" s="31">
        <f>J55+E_Hoai_ND[[#This Row],[THÀNH TIỀN]]-E_Hoai_ND[[#This Row],[THANH TOÁN]]</f>
        <v>1587341048</v>
      </c>
      <c r="K56" s="24"/>
    </row>
    <row r="57" spans="1:11" x14ac:dyDescent="0.25">
      <c r="A57" s="22"/>
      <c r="B57" s="29">
        <v>46126</v>
      </c>
      <c r="C57" s="23" t="s">
        <v>21</v>
      </c>
      <c r="D57" s="37" t="s">
        <v>24</v>
      </c>
      <c r="E57" s="23"/>
      <c r="F57" s="31">
        <v>0</v>
      </c>
      <c r="G57" s="31"/>
      <c r="H57" s="31">
        <f>E_Hoai_ND[[#This Row],[ĐƠN GIÁ]]*E_Hoai_ND[[#This Row],[SỐ LƯỢNG]]</f>
        <v>0</v>
      </c>
      <c r="I57" s="31">
        <v>150000000</v>
      </c>
      <c r="J57" s="31">
        <f>J56+E_Hoai_ND[[#This Row],[THÀNH TIỀN]]-E_Hoai_ND[[#This Row],[THANH TOÁN]]</f>
        <v>1437341048</v>
      </c>
      <c r="K57" s="24"/>
    </row>
    <row r="58" spans="1:11" x14ac:dyDescent="0.25">
      <c r="A58" s="22">
        <v>8888</v>
      </c>
      <c r="B58" s="29">
        <v>46130</v>
      </c>
      <c r="C58" s="23" t="s">
        <v>13</v>
      </c>
      <c r="D58" s="37" t="s">
        <v>43</v>
      </c>
      <c r="E58" s="23" t="s">
        <v>185</v>
      </c>
      <c r="F58" s="31">
        <v>500</v>
      </c>
      <c r="G58" s="31">
        <v>59500</v>
      </c>
      <c r="H58" s="31">
        <f>E_Hoai_ND[[#This Row],[ĐƠN GIÁ]]*E_Hoai_ND[[#This Row],[SỐ LƯỢNG]]</f>
        <v>29750000</v>
      </c>
      <c r="I58" s="31"/>
      <c r="J58" s="31">
        <f>J57+E_Hoai_ND[[#This Row],[THÀNH TIỀN]]-E_Hoai_ND[[#This Row],[THANH TOÁN]]</f>
        <v>1467091048</v>
      </c>
      <c r="K58" s="24"/>
    </row>
    <row r="59" spans="1:11" x14ac:dyDescent="0.25">
      <c r="A59" s="22"/>
      <c r="B59" s="29">
        <v>46130</v>
      </c>
      <c r="C59" s="23" t="s">
        <v>21</v>
      </c>
      <c r="D59" s="37" t="s">
        <v>24</v>
      </c>
      <c r="E59" s="23"/>
      <c r="F59" s="31">
        <v>0</v>
      </c>
      <c r="G59" s="31"/>
      <c r="H59" s="31">
        <f>E_Hoai_ND[[#This Row],[ĐƠN GIÁ]]*E_Hoai_ND[[#This Row],[SỐ LƯỢNG]]</f>
        <v>0</v>
      </c>
      <c r="I59" s="31">
        <v>100000000</v>
      </c>
      <c r="J59" s="31">
        <f>J58+E_Hoai_ND[[#This Row],[THÀNH TIỀN]]-E_Hoai_ND[[#This Row],[THANH TOÁN]]</f>
        <v>1367091048</v>
      </c>
      <c r="K59" s="24"/>
    </row>
    <row r="60" spans="1:11" x14ac:dyDescent="0.25">
      <c r="A60" s="22">
        <v>8907</v>
      </c>
      <c r="B60" s="29">
        <v>46132</v>
      </c>
      <c r="C60" s="23" t="s">
        <v>13</v>
      </c>
      <c r="D60" s="37" t="s">
        <v>17</v>
      </c>
      <c r="E60" s="23" t="s">
        <v>46</v>
      </c>
      <c r="F60" s="31">
        <v>380</v>
      </c>
      <c r="G60" s="31">
        <v>61000</v>
      </c>
      <c r="H60" s="31">
        <f>E_Hoai_ND[[#This Row],[ĐƠN GIÁ]]*E_Hoai_ND[[#This Row],[SỐ LƯỢNG]]</f>
        <v>23180000</v>
      </c>
      <c r="I60" s="31"/>
      <c r="J60" s="31">
        <f>J59+E_Hoai_ND[[#This Row],[THÀNH TIỀN]]-E_Hoai_ND[[#This Row],[THANH TOÁN]]</f>
        <v>1390271048</v>
      </c>
      <c r="K60" s="24" t="s">
        <v>42</v>
      </c>
    </row>
    <row r="61" spans="1:11" x14ac:dyDescent="0.25">
      <c r="A61" s="22">
        <v>8907</v>
      </c>
      <c r="B61" s="29">
        <v>46132</v>
      </c>
      <c r="C61" s="23" t="s">
        <v>13</v>
      </c>
      <c r="D61" s="37" t="s">
        <v>17</v>
      </c>
      <c r="E61" s="23" t="s">
        <v>25</v>
      </c>
      <c r="F61" s="31">
        <v>412</v>
      </c>
      <c r="G61" s="31">
        <v>61000</v>
      </c>
      <c r="H61" s="31">
        <f>E_Hoai_ND[[#This Row],[ĐƠN GIÁ]]*E_Hoai_ND[[#This Row],[SỐ LƯỢNG]]</f>
        <v>25132000</v>
      </c>
      <c r="I61" s="31"/>
      <c r="J61" s="31">
        <f>J60+E_Hoai_ND[[#This Row],[THÀNH TIỀN]]-E_Hoai_ND[[#This Row],[THANH TOÁN]]</f>
        <v>1415403048</v>
      </c>
      <c r="K61" s="24" t="s">
        <v>42</v>
      </c>
    </row>
    <row r="62" spans="1:11" x14ac:dyDescent="0.25">
      <c r="A62" s="22">
        <v>8907</v>
      </c>
      <c r="B62" s="29">
        <v>46132</v>
      </c>
      <c r="C62" s="23" t="s">
        <v>13</v>
      </c>
      <c r="D62" s="37" t="s">
        <v>17</v>
      </c>
      <c r="E62" s="23" t="s">
        <v>33</v>
      </c>
      <c r="F62" s="31">
        <v>544</v>
      </c>
      <c r="G62" s="31">
        <v>61000</v>
      </c>
      <c r="H62" s="31">
        <f>E_Hoai_ND[[#This Row],[ĐƠN GIÁ]]*E_Hoai_ND[[#This Row],[SỐ LƯỢNG]]</f>
        <v>33184000</v>
      </c>
      <c r="I62" s="31"/>
      <c r="J62" s="31">
        <f>J61+E_Hoai_ND[[#This Row],[THÀNH TIỀN]]-E_Hoai_ND[[#This Row],[THANH TOÁN]]</f>
        <v>1448587048</v>
      </c>
      <c r="K62" s="24" t="s">
        <v>42</v>
      </c>
    </row>
    <row r="63" spans="1:11" x14ac:dyDescent="0.25">
      <c r="A63" s="22">
        <v>8944</v>
      </c>
      <c r="B63" s="29">
        <v>46134</v>
      </c>
      <c r="C63" s="23" t="s">
        <v>13</v>
      </c>
      <c r="D63" s="37" t="s">
        <v>50</v>
      </c>
      <c r="E63" s="23" t="s">
        <v>1172</v>
      </c>
      <c r="F63" s="31">
        <v>499</v>
      </c>
      <c r="G63" s="31">
        <v>59500</v>
      </c>
      <c r="H63" s="31">
        <f>E_Hoai_ND[[#This Row],[ĐƠN GIÁ]]*E_Hoai_ND[[#This Row],[SỐ LƯỢNG]]</f>
        <v>29690500</v>
      </c>
      <c r="I63" s="31"/>
      <c r="J63" s="31">
        <f>J62+E_Hoai_ND[[#This Row],[THÀNH TIỀN]]-E_Hoai_ND[[#This Row],[THANH TOÁN]]</f>
        <v>1478277548</v>
      </c>
      <c r="K63" s="24"/>
    </row>
    <row r="64" spans="1:11" x14ac:dyDescent="0.25">
      <c r="A64" s="22">
        <v>9032</v>
      </c>
      <c r="B64" s="29">
        <v>46137</v>
      </c>
      <c r="C64" s="23" t="s">
        <v>13</v>
      </c>
      <c r="D64" s="37" t="s">
        <v>32</v>
      </c>
      <c r="E64" s="23" t="s">
        <v>40</v>
      </c>
      <c r="F64" s="31">
        <v>299</v>
      </c>
      <c r="G64" s="31">
        <v>43500</v>
      </c>
      <c r="H64" s="31">
        <f>E_Hoai_ND[[#This Row],[ĐƠN GIÁ]]*E_Hoai_ND[[#This Row],[SỐ LƯỢNG]]</f>
        <v>13006500</v>
      </c>
      <c r="I64" s="31"/>
      <c r="J64" s="31">
        <f>J63+E_Hoai_ND[[#This Row],[THÀNH TIỀN]]-E_Hoai_ND[[#This Row],[THANH TOÁN]]</f>
        <v>1491284048</v>
      </c>
      <c r="K64" s="24"/>
    </row>
    <row r="65" spans="1:11" x14ac:dyDescent="0.25">
      <c r="A65" s="22">
        <v>9032</v>
      </c>
      <c r="B65" s="29">
        <v>46137</v>
      </c>
      <c r="C65" s="23" t="s">
        <v>13</v>
      </c>
      <c r="D65" s="37" t="s">
        <v>293</v>
      </c>
      <c r="E65" s="23" t="s">
        <v>1841</v>
      </c>
      <c r="F65" s="31">
        <v>2208</v>
      </c>
      <c r="G65" s="31">
        <v>63000</v>
      </c>
      <c r="H65" s="31">
        <f>E_Hoai_ND[[#This Row],[ĐƠN GIÁ]]*E_Hoai_ND[[#This Row],[SỐ LƯỢNG]]</f>
        <v>139104000</v>
      </c>
      <c r="I65" s="31"/>
      <c r="J65" s="31">
        <f>J64+E_Hoai_ND[[#This Row],[THÀNH TIỀN]]-E_Hoai_ND[[#This Row],[THANH TOÁN]]</f>
        <v>1630388048</v>
      </c>
      <c r="K65" s="24"/>
    </row>
    <row r="66" spans="1:11" x14ac:dyDescent="0.25">
      <c r="A66" s="22"/>
      <c r="B66" s="29">
        <v>46137</v>
      </c>
      <c r="C66" s="23" t="s">
        <v>21</v>
      </c>
      <c r="D66" s="37" t="s">
        <v>22</v>
      </c>
      <c r="E66" s="23" t="s">
        <v>261</v>
      </c>
      <c r="F66" s="31">
        <v>0</v>
      </c>
      <c r="G66" s="31"/>
      <c r="H66" s="31">
        <f>E_Hoai_ND[[#This Row],[ĐƠN GIÁ]]*E_Hoai_ND[[#This Row],[SỐ LƯỢNG]]</f>
        <v>0</v>
      </c>
      <c r="I66" s="31">
        <v>200000000</v>
      </c>
      <c r="J66" s="31">
        <f>J65+E_Hoai_ND[[#This Row],[THÀNH TIỀN]]-E_Hoai_ND[[#This Row],[THANH TOÁN]]</f>
        <v>1430388048</v>
      </c>
      <c r="K66" s="24"/>
    </row>
    <row r="67" spans="1:11" x14ac:dyDescent="0.25">
      <c r="A67" s="22">
        <v>9055</v>
      </c>
      <c r="B67" s="29">
        <v>46139</v>
      </c>
      <c r="C67" s="23" t="s">
        <v>13</v>
      </c>
      <c r="D67" s="37" t="s">
        <v>1842</v>
      </c>
      <c r="E67" s="23" t="s">
        <v>1851</v>
      </c>
      <c r="F67" s="31">
        <v>1542</v>
      </c>
      <c r="G67" s="31">
        <v>67000</v>
      </c>
      <c r="H67" s="31">
        <f>E_Hoai_ND[[#This Row],[ĐƠN GIÁ]]*E_Hoai_ND[[#This Row],[SỐ LƯỢNG]]</f>
        <v>103314000</v>
      </c>
      <c r="I67" s="31"/>
      <c r="J67" s="31">
        <f>J66+E_Hoai_ND[[#This Row],[THÀNH TIỀN]]-E_Hoai_ND[[#This Row],[THANH TOÁN]]</f>
        <v>1533702048</v>
      </c>
      <c r="K67" s="24" t="s">
        <v>42</v>
      </c>
    </row>
    <row r="68" spans="1:11" x14ac:dyDescent="0.25">
      <c r="A68" s="22">
        <v>9055</v>
      </c>
      <c r="B68" s="29">
        <v>46139</v>
      </c>
      <c r="C68" s="23" t="s">
        <v>13</v>
      </c>
      <c r="D68" s="37" t="s">
        <v>1842</v>
      </c>
      <c r="E68" s="23" t="s">
        <v>1458</v>
      </c>
      <c r="F68" s="31">
        <v>1548</v>
      </c>
      <c r="G68" s="31">
        <v>67000</v>
      </c>
      <c r="H68" s="31">
        <f>E_Hoai_ND[[#This Row],[ĐƠN GIÁ]]*E_Hoai_ND[[#This Row],[SỐ LƯỢNG]]</f>
        <v>103716000</v>
      </c>
      <c r="I68" s="31"/>
      <c r="J68" s="31">
        <f>J67+E_Hoai_ND[[#This Row],[THÀNH TIỀN]]-E_Hoai_ND[[#This Row],[THANH TOÁN]]</f>
        <v>1637418048</v>
      </c>
      <c r="K68" s="24" t="s">
        <v>42</v>
      </c>
    </row>
    <row r="69" spans="1:11" x14ac:dyDescent="0.25">
      <c r="A69" s="22">
        <v>9075</v>
      </c>
      <c r="B69" s="29">
        <v>46140</v>
      </c>
      <c r="C69" s="23" t="s">
        <v>13</v>
      </c>
      <c r="D69" s="37" t="s">
        <v>1842</v>
      </c>
      <c r="E69" s="23" t="s">
        <v>1851</v>
      </c>
      <c r="F69" s="31">
        <v>3104</v>
      </c>
      <c r="G69" s="31">
        <v>67000</v>
      </c>
      <c r="H69" s="31">
        <f>E_Hoai_ND[[#This Row],[ĐƠN GIÁ]]*E_Hoai_ND[[#This Row],[SỐ LƯỢNG]]</f>
        <v>207968000</v>
      </c>
      <c r="I69" s="31"/>
      <c r="J69" s="31">
        <f>J68+E_Hoai_ND[[#This Row],[THÀNH TIỀN]]-E_Hoai_ND[[#This Row],[THANH TOÁN]]</f>
        <v>1845386048</v>
      </c>
      <c r="K69" s="24" t="s">
        <v>42</v>
      </c>
    </row>
    <row r="70" spans="1:11" x14ac:dyDescent="0.25">
      <c r="A70" s="22">
        <v>9075</v>
      </c>
      <c r="B70" s="29">
        <v>46140</v>
      </c>
      <c r="C70" s="23" t="s">
        <v>13</v>
      </c>
      <c r="D70" s="37" t="s">
        <v>1842</v>
      </c>
      <c r="E70" s="23" t="s">
        <v>1458</v>
      </c>
      <c r="F70" s="31">
        <v>1182</v>
      </c>
      <c r="G70" s="31">
        <v>67000</v>
      </c>
      <c r="H70" s="31">
        <f>E_Hoai_ND[[#This Row],[ĐƠN GIÁ]]*E_Hoai_ND[[#This Row],[SỐ LƯỢNG]]</f>
        <v>79194000</v>
      </c>
      <c r="I70" s="31"/>
      <c r="J70" s="31">
        <f>J69+E_Hoai_ND[[#This Row],[THÀNH TIỀN]]-E_Hoai_ND[[#This Row],[THANH TOÁN]]</f>
        <v>1924580048</v>
      </c>
      <c r="K70" s="24" t="s">
        <v>42</v>
      </c>
    </row>
    <row r="71" spans="1:11" x14ac:dyDescent="0.25">
      <c r="A71" s="22">
        <v>9075</v>
      </c>
      <c r="B71" s="29">
        <v>46140</v>
      </c>
      <c r="C71" s="23" t="s">
        <v>13</v>
      </c>
      <c r="D71" s="37" t="s">
        <v>1842</v>
      </c>
      <c r="E71" s="23" t="s">
        <v>1858</v>
      </c>
      <c r="F71" s="31">
        <v>1216</v>
      </c>
      <c r="G71" s="31">
        <v>61000</v>
      </c>
      <c r="H71" s="31">
        <f>E_Hoai_ND[[#This Row],[ĐƠN GIÁ]]*E_Hoai_ND[[#This Row],[SỐ LƯỢNG]]</f>
        <v>74176000</v>
      </c>
      <c r="I71" s="31"/>
      <c r="J71" s="31">
        <f>J70+E_Hoai_ND[[#This Row],[THÀNH TIỀN]]-E_Hoai_ND[[#This Row],[THANH TOÁN]]</f>
        <v>1998756048</v>
      </c>
      <c r="K71" s="24" t="s">
        <v>42</v>
      </c>
    </row>
    <row r="72" spans="1:11" x14ac:dyDescent="0.25">
      <c r="A72" s="22">
        <v>9075</v>
      </c>
      <c r="B72" s="29">
        <v>46140</v>
      </c>
      <c r="C72" s="23" t="s">
        <v>13</v>
      </c>
      <c r="D72" s="37" t="s">
        <v>317</v>
      </c>
      <c r="E72" s="23" t="s">
        <v>40</v>
      </c>
      <c r="F72" s="31">
        <v>679</v>
      </c>
      <c r="G72" s="31">
        <v>63000</v>
      </c>
      <c r="H72" s="31">
        <f>E_Hoai_ND[[#This Row],[ĐƠN GIÁ]]*E_Hoai_ND[[#This Row],[SỐ LƯỢNG]]</f>
        <v>42777000</v>
      </c>
      <c r="I72" s="31"/>
      <c r="J72" s="31">
        <f>J71+E_Hoai_ND[[#This Row],[THÀNH TIỀN]]-E_Hoai_ND[[#This Row],[THANH TOÁN]]</f>
        <v>2041533048</v>
      </c>
      <c r="K72" s="24"/>
    </row>
    <row r="73" spans="1:11" x14ac:dyDescent="0.25">
      <c r="A73" s="22"/>
      <c r="B73" s="29">
        <v>46140</v>
      </c>
      <c r="C73" s="23" t="s">
        <v>21</v>
      </c>
      <c r="D73" s="37" t="s">
        <v>260</v>
      </c>
      <c r="E73" s="23" t="s">
        <v>261</v>
      </c>
      <c r="F73" s="31">
        <v>0</v>
      </c>
      <c r="G73" s="31"/>
      <c r="H73" s="31">
        <f>E_Hoai_ND[[#This Row],[ĐƠN GIÁ]]*E_Hoai_ND[[#This Row],[SỐ LƯỢNG]]</f>
        <v>0</v>
      </c>
      <c r="I73" s="31">
        <v>200000000</v>
      </c>
      <c r="J73" s="31">
        <f>J72+E_Hoai_ND[[#This Row],[THÀNH TIỀN]]-E_Hoai_ND[[#This Row],[THANH TOÁN]]</f>
        <v>1841533048</v>
      </c>
      <c r="K73" s="24"/>
    </row>
    <row r="74" spans="1:11" x14ac:dyDescent="0.25">
      <c r="A74" s="22">
        <v>9119</v>
      </c>
      <c r="B74" s="29">
        <v>46141</v>
      </c>
      <c r="C74" s="23" t="s">
        <v>13</v>
      </c>
      <c r="D74" s="37" t="s">
        <v>50</v>
      </c>
      <c r="E74" s="23" t="s">
        <v>288</v>
      </c>
      <c r="F74" s="31">
        <v>317</v>
      </c>
      <c r="G74" s="31">
        <v>61500</v>
      </c>
      <c r="H74" s="31">
        <f>E_Hoai_ND[[#This Row],[ĐƠN GIÁ]]*E_Hoai_ND[[#This Row],[SỐ LƯỢNG]]</f>
        <v>19495500</v>
      </c>
      <c r="I74" s="31"/>
      <c r="J74" s="31">
        <f>J73+E_Hoai_ND[[#This Row],[THÀNH TIỀN]]-E_Hoai_ND[[#This Row],[THANH TOÁN]]</f>
        <v>1861028548</v>
      </c>
      <c r="K74" s="24" t="s">
        <v>1894</v>
      </c>
    </row>
    <row r="75" spans="1:11" x14ac:dyDescent="0.25">
      <c r="A75" s="22">
        <v>9180</v>
      </c>
      <c r="B75" s="29">
        <v>46147</v>
      </c>
      <c r="C75" s="23" t="s">
        <v>13</v>
      </c>
      <c r="D75" s="37" t="s">
        <v>103</v>
      </c>
      <c r="E75" s="23" t="s">
        <v>1943</v>
      </c>
      <c r="F75" s="31">
        <v>140</v>
      </c>
      <c r="G75" s="31">
        <v>39000</v>
      </c>
      <c r="H75" s="31">
        <f>E_Hoai_ND[[#This Row],[ĐƠN GIÁ]]*E_Hoai_ND[[#This Row],[SỐ LƯỢNG]]</f>
        <v>5460000</v>
      </c>
      <c r="I75" s="31"/>
      <c r="J75" s="31">
        <f>J74+E_Hoai_ND[[#This Row],[THÀNH TIỀN]]-E_Hoai_ND[[#This Row],[THANH TOÁN]]</f>
        <v>1866488548</v>
      </c>
      <c r="K75" s="24"/>
    </row>
    <row r="76" spans="1:11" x14ac:dyDescent="0.25">
      <c r="A76" s="22">
        <v>9180</v>
      </c>
      <c r="B76" s="29">
        <v>46147</v>
      </c>
      <c r="C76" s="23" t="s">
        <v>13</v>
      </c>
      <c r="D76" s="37" t="s">
        <v>103</v>
      </c>
      <c r="E76" s="23" t="s">
        <v>1179</v>
      </c>
      <c r="F76" s="31">
        <v>178</v>
      </c>
      <c r="G76" s="31">
        <v>38000</v>
      </c>
      <c r="H76" s="31">
        <f>E_Hoai_ND[[#This Row],[ĐƠN GIÁ]]*E_Hoai_ND[[#This Row],[SỐ LƯỢNG]]</f>
        <v>6764000</v>
      </c>
      <c r="I76" s="31"/>
      <c r="J76" s="31">
        <f>J75+E_Hoai_ND[[#This Row],[THÀNH TIỀN]]-E_Hoai_ND[[#This Row],[THANH TOÁN]]</f>
        <v>1873252548</v>
      </c>
      <c r="K76" s="24"/>
    </row>
    <row r="77" spans="1:11" x14ac:dyDescent="0.25">
      <c r="A77" s="22">
        <v>9281</v>
      </c>
      <c r="B77" s="29">
        <v>46151</v>
      </c>
      <c r="C77" s="23" t="s">
        <v>13</v>
      </c>
      <c r="D77" s="37" t="s">
        <v>143</v>
      </c>
      <c r="E77" s="23" t="s">
        <v>1994</v>
      </c>
      <c r="F77" s="31">
        <v>330</v>
      </c>
      <c r="G77" s="31">
        <v>64000</v>
      </c>
      <c r="H77" s="31">
        <f>E_Hoai_ND[[#This Row],[ĐƠN GIÁ]]*E_Hoai_ND[[#This Row],[SỐ LƯỢNG]]</f>
        <v>21120000</v>
      </c>
      <c r="I77" s="31"/>
      <c r="J77" s="31">
        <f>J76+E_Hoai_ND[[#This Row],[THÀNH TIỀN]]-E_Hoai_ND[[#This Row],[THANH TOÁN]]</f>
        <v>1894372548</v>
      </c>
      <c r="K77" s="24"/>
    </row>
    <row r="78" spans="1:11" x14ac:dyDescent="0.25">
      <c r="A78" s="22">
        <v>9281</v>
      </c>
      <c r="B78" s="29">
        <v>46151</v>
      </c>
      <c r="C78" s="23" t="s">
        <v>13</v>
      </c>
      <c r="D78" s="37" t="s">
        <v>45</v>
      </c>
      <c r="E78" s="23" t="s">
        <v>1832</v>
      </c>
      <c r="F78" s="31">
        <v>686</v>
      </c>
      <c r="G78" s="31">
        <v>34000</v>
      </c>
      <c r="H78" s="31">
        <f>E_Hoai_ND[[#This Row],[ĐƠN GIÁ]]*E_Hoai_ND[[#This Row],[SỐ LƯỢNG]]</f>
        <v>23324000</v>
      </c>
      <c r="I78" s="31"/>
      <c r="J78" s="31">
        <f>J77+E_Hoai_ND[[#This Row],[THÀNH TIỀN]]-E_Hoai_ND[[#This Row],[THANH TOÁN]]</f>
        <v>1917696548</v>
      </c>
      <c r="K78" s="24"/>
    </row>
    <row r="79" spans="1:11" x14ac:dyDescent="0.25">
      <c r="A79" s="22">
        <v>9281</v>
      </c>
      <c r="B79" s="29">
        <v>46151</v>
      </c>
      <c r="C79" s="23" t="s">
        <v>13</v>
      </c>
      <c r="D79" s="37" t="s">
        <v>36</v>
      </c>
      <c r="E79" s="23" t="s">
        <v>288</v>
      </c>
      <c r="F79" s="31">
        <v>41</v>
      </c>
      <c r="G79" s="31">
        <v>3500</v>
      </c>
      <c r="H79" s="31">
        <f>E_Hoai_ND[[#This Row],[ĐƠN GIÁ]]*E_Hoai_ND[[#This Row],[SỐ LƯỢNG]]</f>
        <v>143500</v>
      </c>
      <c r="I79" s="31"/>
      <c r="J79" s="31">
        <f>J78+E_Hoai_ND[[#This Row],[THÀNH TIỀN]]-E_Hoai_ND[[#This Row],[THANH TOÁN]]</f>
        <v>1917840048</v>
      </c>
      <c r="K79" s="24" t="s">
        <v>1995</v>
      </c>
    </row>
    <row r="80" spans="1:11" x14ac:dyDescent="0.25">
      <c r="A80" s="22">
        <v>9282</v>
      </c>
      <c r="B80" s="29">
        <v>46151</v>
      </c>
      <c r="C80" s="23" t="s">
        <v>13</v>
      </c>
      <c r="D80" s="37" t="s">
        <v>103</v>
      </c>
      <c r="E80" s="23" t="s">
        <v>116</v>
      </c>
      <c r="F80" s="31">
        <v>201</v>
      </c>
      <c r="G80" s="31">
        <v>38000</v>
      </c>
      <c r="H80" s="31">
        <f>E_Hoai_ND[[#This Row],[ĐƠN GIÁ]]*E_Hoai_ND[[#This Row],[SỐ LƯỢNG]]</f>
        <v>7638000</v>
      </c>
      <c r="I80" s="31"/>
      <c r="J80" s="31">
        <f>J79+E_Hoai_ND[[#This Row],[THÀNH TIỀN]]-E_Hoai_ND[[#This Row],[THANH TOÁN]]</f>
        <v>1925478048</v>
      </c>
      <c r="K80" s="24" t="s">
        <v>1999</v>
      </c>
    </row>
    <row r="81" spans="1:11" x14ac:dyDescent="0.25">
      <c r="A81" s="22">
        <v>9282</v>
      </c>
      <c r="B81" s="29">
        <v>46151</v>
      </c>
      <c r="C81" s="23" t="s">
        <v>13</v>
      </c>
      <c r="D81" s="37" t="s">
        <v>1996</v>
      </c>
      <c r="E81" s="23" t="s">
        <v>288</v>
      </c>
      <c r="F81" s="31">
        <v>368</v>
      </c>
      <c r="G81" s="31">
        <v>38000</v>
      </c>
      <c r="H81" s="31">
        <f>E_Hoai_ND[[#This Row],[ĐƠN GIÁ]]*E_Hoai_ND[[#This Row],[SỐ LƯỢNG]]</f>
        <v>13984000</v>
      </c>
      <c r="I81" s="31"/>
      <c r="J81" s="31">
        <f>J80+E_Hoai_ND[[#This Row],[THÀNH TIỀN]]-E_Hoai_ND[[#This Row],[THANH TOÁN]]</f>
        <v>1939462048</v>
      </c>
      <c r="K81" s="24"/>
    </row>
    <row r="82" spans="1:11" x14ac:dyDescent="0.25">
      <c r="A82" s="22">
        <v>9282</v>
      </c>
      <c r="B82" s="29">
        <v>46151</v>
      </c>
      <c r="C82" s="23" t="s">
        <v>13</v>
      </c>
      <c r="D82" s="37" t="s">
        <v>1996</v>
      </c>
      <c r="E82" s="23" t="s">
        <v>1997</v>
      </c>
      <c r="F82" s="31">
        <v>24</v>
      </c>
      <c r="G82" s="31">
        <v>38000</v>
      </c>
      <c r="H82" s="31">
        <f>E_Hoai_ND[[#This Row],[ĐƠN GIÁ]]*E_Hoai_ND[[#This Row],[SỐ LƯỢNG]]</f>
        <v>912000</v>
      </c>
      <c r="I82" s="31"/>
      <c r="J82" s="31">
        <f>J81+E_Hoai_ND[[#This Row],[THÀNH TIỀN]]-E_Hoai_ND[[#This Row],[THANH TOÁN]]</f>
        <v>1940374048</v>
      </c>
      <c r="K82" s="24"/>
    </row>
    <row r="83" spans="1:11" x14ac:dyDescent="0.25">
      <c r="A83" s="22">
        <v>9282</v>
      </c>
      <c r="B83" s="29">
        <v>46151</v>
      </c>
      <c r="C83" s="23" t="s">
        <v>13</v>
      </c>
      <c r="D83" s="37" t="s">
        <v>50</v>
      </c>
      <c r="E83" s="23" t="s">
        <v>1998</v>
      </c>
      <c r="F83" s="31">
        <v>525</v>
      </c>
      <c r="G83" s="31">
        <v>57000</v>
      </c>
      <c r="H83" s="31">
        <f>E_Hoai_ND[[#This Row],[ĐƠN GIÁ]]*E_Hoai_ND[[#This Row],[SỐ LƯỢNG]]</f>
        <v>29925000</v>
      </c>
      <c r="I83" s="31"/>
      <c r="J83" s="31">
        <f>J82+E_Hoai_ND[[#This Row],[THÀNH TIỀN]]-E_Hoai_ND[[#This Row],[THANH TOÁN]]</f>
        <v>1970299048</v>
      </c>
      <c r="K83" s="24" t="s">
        <v>1999</v>
      </c>
    </row>
    <row r="84" spans="1:11" x14ac:dyDescent="0.25">
      <c r="A84" s="22"/>
      <c r="B84" s="29">
        <v>46151</v>
      </c>
      <c r="C84" s="23" t="s">
        <v>21</v>
      </c>
      <c r="D84" s="37" t="s">
        <v>22</v>
      </c>
      <c r="E84" s="23" t="s">
        <v>147</v>
      </c>
      <c r="F84" s="31">
        <v>0</v>
      </c>
      <c r="G84" s="31"/>
      <c r="H84" s="31">
        <f>E_Hoai_ND[[#This Row],[ĐƠN GIÁ]]*E_Hoai_ND[[#This Row],[SỐ LƯỢNG]]</f>
        <v>0</v>
      </c>
      <c r="I84" s="31">
        <v>170000000</v>
      </c>
      <c r="J84" s="31">
        <f>J83+E_Hoai_ND[[#This Row],[THÀNH TIỀN]]-E_Hoai_ND[[#This Row],[THANH TOÁN]]</f>
        <v>1800299048</v>
      </c>
      <c r="K84" s="24"/>
    </row>
    <row r="85" spans="1:11" x14ac:dyDescent="0.25">
      <c r="A85" s="22"/>
      <c r="B85" s="29">
        <v>46155</v>
      </c>
      <c r="C85" s="23" t="s">
        <v>21</v>
      </c>
      <c r="D85" s="37" t="s">
        <v>24</v>
      </c>
      <c r="E85" s="23"/>
      <c r="F85" s="31">
        <v>0</v>
      </c>
      <c r="G85" s="31"/>
      <c r="H85" s="31">
        <f>E_Hoai_ND[[#This Row],[ĐƠN GIÁ]]*E_Hoai_ND[[#This Row],[SỐ LƯỢNG]]</f>
        <v>0</v>
      </c>
      <c r="I85" s="31">
        <v>100000000</v>
      </c>
      <c r="J85" s="31">
        <f>J84+E_Hoai_ND[[#This Row],[THÀNH TIỀN]]-E_Hoai_ND[[#This Row],[THANH TOÁN]]</f>
        <v>1700299048</v>
      </c>
      <c r="K85" s="24"/>
    </row>
    <row r="86" spans="1:11" x14ac:dyDescent="0.25">
      <c r="A86" s="22"/>
      <c r="B86" s="29">
        <v>46156</v>
      </c>
      <c r="C86" s="23" t="s">
        <v>21</v>
      </c>
      <c r="D86" s="37" t="s">
        <v>22</v>
      </c>
      <c r="E86" s="23" t="s">
        <v>147</v>
      </c>
      <c r="F86" s="31">
        <v>0</v>
      </c>
      <c r="G86" s="31"/>
      <c r="H86" s="31">
        <f>E_Hoai_ND[[#This Row],[ĐƠN GIÁ]]*E_Hoai_ND[[#This Row],[SỐ LƯỢNG]]</f>
        <v>0</v>
      </c>
      <c r="I86" s="31">
        <v>150000000</v>
      </c>
      <c r="J86" s="31">
        <f>J85+E_Hoai_ND[[#This Row],[THÀNH TIỀN]]-E_Hoai_ND[[#This Row],[THANH TOÁN]]</f>
        <v>1550299048</v>
      </c>
      <c r="K86" s="24"/>
    </row>
    <row r="87" spans="1:11" x14ac:dyDescent="0.25">
      <c r="A87" s="22">
        <v>9397</v>
      </c>
      <c r="B87" s="29">
        <v>46157</v>
      </c>
      <c r="C87" s="23" t="s">
        <v>13</v>
      </c>
      <c r="D87" s="37" t="s">
        <v>17</v>
      </c>
      <c r="E87" s="23" t="s">
        <v>484</v>
      </c>
      <c r="F87" s="31">
        <v>2610</v>
      </c>
      <c r="G87" s="31">
        <v>67000</v>
      </c>
      <c r="H87" s="31">
        <f>E_Hoai_ND[[#This Row],[ĐƠN GIÁ]]*E_Hoai_ND[[#This Row],[SỐ LƯỢNG]]</f>
        <v>174870000</v>
      </c>
      <c r="I87" s="31"/>
      <c r="J87" s="31">
        <f>J86+E_Hoai_ND[[#This Row],[THÀNH TIỀN]]-E_Hoai_ND[[#This Row],[THANH TOÁN]]</f>
        <v>1725169048</v>
      </c>
      <c r="K87" s="24"/>
    </row>
    <row r="88" spans="1:11" x14ac:dyDescent="0.25">
      <c r="A88" s="22"/>
      <c r="B88" s="29">
        <v>46164</v>
      </c>
      <c r="C88" s="23" t="s">
        <v>21</v>
      </c>
      <c r="D88" s="37" t="s">
        <v>22</v>
      </c>
      <c r="E88" s="23" t="s">
        <v>147</v>
      </c>
      <c r="F88" s="31">
        <v>0</v>
      </c>
      <c r="G88" s="31"/>
      <c r="H88" s="31">
        <f>E_Hoai_ND[[#This Row],[ĐƠN GIÁ]]*E_Hoai_ND[[#This Row],[SỐ LƯỢNG]]</f>
        <v>0</v>
      </c>
      <c r="I88" s="31">
        <v>100000000</v>
      </c>
      <c r="J88" s="31">
        <f>J87+E_Hoai_ND[[#This Row],[THÀNH TIỀN]]-E_Hoai_ND[[#This Row],[THANH TOÁN]]</f>
        <v>1625169048</v>
      </c>
      <c r="K88" s="24"/>
    </row>
    <row r="89" spans="1:11" x14ac:dyDescent="0.25">
      <c r="A89" s="22"/>
      <c r="B89" s="29">
        <v>46172</v>
      </c>
      <c r="C89" s="23" t="s">
        <v>21</v>
      </c>
      <c r="D89" s="37" t="s">
        <v>22</v>
      </c>
      <c r="E89" s="23" t="s">
        <v>147</v>
      </c>
      <c r="F89" s="31">
        <v>0</v>
      </c>
      <c r="G89" s="31"/>
      <c r="H89" s="31">
        <f>E_Hoai_ND[[#This Row],[ĐƠN GIÁ]]*E_Hoai_ND[[#This Row],[SỐ LƯỢNG]]</f>
        <v>0</v>
      </c>
      <c r="I89" s="31">
        <v>200000000</v>
      </c>
      <c r="J89" s="31">
        <f>J88+E_Hoai_ND[[#This Row],[THÀNH TIỀN]]-E_Hoai_ND[[#This Row],[THANH TOÁN]]</f>
        <v>1425169048</v>
      </c>
      <c r="K89" s="24"/>
    </row>
    <row r="90" spans="1:11" x14ac:dyDescent="0.25">
      <c r="A90" s="22">
        <v>9555</v>
      </c>
      <c r="B90" s="29">
        <v>46164</v>
      </c>
      <c r="C90" s="23" t="s">
        <v>13</v>
      </c>
      <c r="D90" s="37" t="s">
        <v>17</v>
      </c>
      <c r="E90" s="23" t="s">
        <v>25</v>
      </c>
      <c r="F90" s="31">
        <v>1035.5</v>
      </c>
      <c r="G90" s="31">
        <v>62500</v>
      </c>
      <c r="H90" s="31">
        <f>E_Hoai_ND[[#This Row],[ĐƠN GIÁ]]*E_Hoai_ND[[#This Row],[SỐ LƯỢNG]]</f>
        <v>64718750</v>
      </c>
      <c r="I90" s="31"/>
      <c r="J90" s="31">
        <f>J89+E_Hoai_ND[[#This Row],[THÀNH TIỀN]]-E_Hoai_ND[[#This Row],[THANH TOÁN]]</f>
        <v>1489887798</v>
      </c>
      <c r="K90" s="24">
        <v>1040</v>
      </c>
    </row>
    <row r="91" spans="1:11" x14ac:dyDescent="0.25">
      <c r="A91" s="22">
        <v>9555</v>
      </c>
      <c r="B91" s="29">
        <v>46164</v>
      </c>
      <c r="C91" s="23" t="s">
        <v>13</v>
      </c>
      <c r="D91" s="37" t="s">
        <v>17</v>
      </c>
      <c r="E91" s="23" t="s">
        <v>33</v>
      </c>
      <c r="F91" s="31">
        <v>699</v>
      </c>
      <c r="G91" s="31">
        <v>62500</v>
      </c>
      <c r="H91" s="31">
        <f>E_Hoai_ND[[#This Row],[ĐƠN GIÁ]]*E_Hoai_ND[[#This Row],[SỐ LƯỢNG]]</f>
        <v>43687500</v>
      </c>
      <c r="I91" s="31"/>
      <c r="J91" s="31">
        <f>J90+E_Hoai_ND[[#This Row],[THÀNH TIỀN]]-E_Hoai_ND[[#This Row],[THANH TOÁN]]</f>
        <v>1533575298</v>
      </c>
      <c r="K91" s="24">
        <v>700</v>
      </c>
    </row>
    <row r="92" spans="1:11" x14ac:dyDescent="0.25">
      <c r="A92" s="22">
        <v>9555</v>
      </c>
      <c r="B92" s="29">
        <v>46164</v>
      </c>
      <c r="C92" s="23" t="s">
        <v>13</v>
      </c>
      <c r="D92" s="37" t="s">
        <v>252</v>
      </c>
      <c r="E92" s="23" t="s">
        <v>41</v>
      </c>
      <c r="F92" s="31">
        <v>434</v>
      </c>
      <c r="G92" s="31">
        <v>38000</v>
      </c>
      <c r="H92" s="31">
        <f>E_Hoai_ND[[#This Row],[ĐƠN GIÁ]]*E_Hoai_ND[[#This Row],[SỐ LƯỢNG]]</f>
        <v>16492000</v>
      </c>
      <c r="I92" s="31"/>
      <c r="J92" s="31">
        <f>J91+E_Hoai_ND[[#This Row],[THÀNH TIỀN]]-E_Hoai_ND[[#This Row],[THANH TOÁN]]</f>
        <v>1550067298</v>
      </c>
      <c r="K92" s="24"/>
    </row>
    <row r="93" spans="1:11" x14ac:dyDescent="0.25">
      <c r="A93" s="22">
        <v>9555</v>
      </c>
      <c r="B93" s="29">
        <v>46164</v>
      </c>
      <c r="C93" s="23" t="s">
        <v>13</v>
      </c>
      <c r="D93" s="37" t="s">
        <v>50</v>
      </c>
      <c r="E93" s="23" t="s">
        <v>117</v>
      </c>
      <c r="F93" s="31">
        <v>572</v>
      </c>
      <c r="G93" s="31">
        <v>61000</v>
      </c>
      <c r="H93" s="31">
        <f>E_Hoai_ND[[#This Row],[ĐƠN GIÁ]]*E_Hoai_ND[[#This Row],[SỐ LƯỢNG]]</f>
        <v>34892000</v>
      </c>
      <c r="I93" s="31"/>
      <c r="J93" s="31">
        <f>J92+E_Hoai_ND[[#This Row],[THÀNH TIỀN]]-E_Hoai_ND[[#This Row],[THANH TOÁN]]</f>
        <v>1584959298</v>
      </c>
      <c r="K93" s="24">
        <v>573</v>
      </c>
    </row>
    <row r="94" spans="1:11" x14ac:dyDescent="0.25">
      <c r="A94" s="22">
        <v>9747</v>
      </c>
      <c r="B94" s="29">
        <v>46175</v>
      </c>
      <c r="C94" s="23" t="s">
        <v>13</v>
      </c>
      <c r="D94" s="37" t="s">
        <v>150</v>
      </c>
      <c r="E94" s="23" t="s">
        <v>390</v>
      </c>
      <c r="F94" s="31">
        <v>6786</v>
      </c>
      <c r="G94" s="31">
        <v>35500</v>
      </c>
      <c r="H94" s="31">
        <f>E_Hoai_ND[[#This Row],[ĐƠN GIÁ]]*E_Hoai_ND[[#This Row],[SỐ LƯỢNG]]</f>
        <v>240903000</v>
      </c>
      <c r="I94" s="31"/>
      <c r="J94" s="31">
        <f>J93+E_Hoai_ND[[#This Row],[THÀNH TIỀN]]-E_Hoai_ND[[#This Row],[THANH TOÁN]]</f>
        <v>1825862298</v>
      </c>
      <c r="K94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71FF5-F6A7-48C5-B780-DD6B343D97E1}">
  <sheetPr codeName="Sheet45"/>
  <dimension ref="A5:P21"/>
  <sheetViews>
    <sheetView workbookViewId="0">
      <selection activeCell="I24" sqref="I24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77547000</v>
      </c>
    </row>
    <row r="6" spans="1:16" ht="22.5" x14ac:dyDescent="0.25">
      <c r="D6" s="34" t="s">
        <v>893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/>
      <c r="C10" s="23" t="s">
        <v>12</v>
      </c>
      <c r="D10" s="37"/>
      <c r="E10" s="23"/>
      <c r="F10" s="31"/>
      <c r="G10" s="31"/>
      <c r="H10" s="31">
        <f>E_Mao_NB[[#This Row],[ĐƠN GIÁ]]*E_Mao_NB[[#This Row],[SỐ LƯỢNG]]</f>
        <v>0</v>
      </c>
      <c r="I10" s="31"/>
      <c r="J10" s="31">
        <v>1047000</v>
      </c>
      <c r="K10" s="24"/>
    </row>
    <row r="11" spans="1:16" x14ac:dyDescent="0.25">
      <c r="A11" s="22">
        <v>7828</v>
      </c>
      <c r="B11" s="29">
        <v>46084</v>
      </c>
      <c r="C11" s="23" t="s">
        <v>13</v>
      </c>
      <c r="D11" s="37" t="s">
        <v>894</v>
      </c>
      <c r="E11" s="23" t="s">
        <v>895</v>
      </c>
      <c r="F11" s="31">
        <v>526</v>
      </c>
      <c r="G11" s="31">
        <v>55000</v>
      </c>
      <c r="H11" s="31">
        <f>E_Mao_NB[[#This Row],[ĐƠN GIÁ]]*E_Mao_NB[[#This Row],[SỐ LƯỢNG]]</f>
        <v>28930000</v>
      </c>
      <c r="I11" s="31"/>
      <c r="J11" s="31">
        <f>J10+E_Mao_NB[[#This Row],[THÀNH TIỀN]]-E_Mao_NB[[#This Row],[THANH TOÁN]]</f>
        <v>29977000</v>
      </c>
      <c r="K11" s="24" t="s">
        <v>128</v>
      </c>
    </row>
    <row r="12" spans="1:16" x14ac:dyDescent="0.25">
      <c r="A12" s="25"/>
      <c r="B12" s="30">
        <v>46090</v>
      </c>
      <c r="C12" s="26" t="s">
        <v>21</v>
      </c>
      <c r="D12" s="38" t="s">
        <v>22</v>
      </c>
      <c r="E12" s="26" t="s">
        <v>23</v>
      </c>
      <c r="F12" s="28">
        <v>0</v>
      </c>
      <c r="G12" s="28">
        <v>0</v>
      </c>
      <c r="H12" s="28">
        <f>E_Mao_NB[[#This Row],[ĐƠN GIÁ]]*E_Mao_NB[[#This Row],[SỐ LƯỢNG]]</f>
        <v>0</v>
      </c>
      <c r="I12" s="28">
        <v>14000000</v>
      </c>
      <c r="J12" s="28">
        <f>J11+E_Mao_NB[[#This Row],[THÀNH TIỀN]]-E_Mao_NB[[#This Row],[THANH TOÁN]]</f>
        <v>15977000</v>
      </c>
      <c r="K12" s="27"/>
    </row>
    <row r="13" spans="1:16" x14ac:dyDescent="0.25">
      <c r="A13" s="25"/>
      <c r="B13" s="30">
        <v>46092</v>
      </c>
      <c r="C13" s="26" t="s">
        <v>21</v>
      </c>
      <c r="D13" s="38" t="s">
        <v>22</v>
      </c>
      <c r="E13" s="26" t="s">
        <v>23</v>
      </c>
      <c r="F13" s="28">
        <v>0</v>
      </c>
      <c r="G13" s="28">
        <v>0</v>
      </c>
      <c r="H13" s="28">
        <f>E_Mao_NB[[#This Row],[ĐƠN GIÁ]]*E_Mao_NB[[#This Row],[SỐ LƯỢNG]]</f>
        <v>0</v>
      </c>
      <c r="I13" s="28">
        <v>14930000</v>
      </c>
      <c r="J13" s="28">
        <f>J12+E_Mao_NB[[#This Row],[THÀNH TIỀN]]-E_Mao_NB[[#This Row],[THANH TOÁN]]</f>
        <v>1047000</v>
      </c>
      <c r="K13" s="27"/>
    </row>
    <row r="14" spans="1:16" x14ac:dyDescent="0.25">
      <c r="A14" s="22">
        <v>8559</v>
      </c>
      <c r="B14" s="29">
        <v>46116</v>
      </c>
      <c r="C14" s="23" t="s">
        <v>13</v>
      </c>
      <c r="D14" s="37" t="s">
        <v>50</v>
      </c>
      <c r="E14" s="23" t="s">
        <v>896</v>
      </c>
      <c r="F14" s="31">
        <v>500</v>
      </c>
      <c r="G14" s="31">
        <v>55000</v>
      </c>
      <c r="H14" s="31">
        <f>E_Mao_NB[[#This Row],[ĐƠN GIÁ]]*E_Mao_NB[[#This Row],[SỐ LƯỢNG]]</f>
        <v>27500000</v>
      </c>
      <c r="I14" s="31"/>
      <c r="J14" s="31">
        <f>J13+E_Mao_NB[[#This Row],[THÀNH TIỀN]]-E_Mao_NB[[#This Row],[THANH TOÁN]]</f>
        <v>28547000</v>
      </c>
      <c r="K14" s="24" t="s">
        <v>152</v>
      </c>
      <c r="P14" s="35"/>
    </row>
    <row r="15" spans="1:16" x14ac:dyDescent="0.25">
      <c r="A15" s="22">
        <v>8559</v>
      </c>
      <c r="B15" s="29">
        <v>46116</v>
      </c>
      <c r="C15" s="23" t="s">
        <v>897</v>
      </c>
      <c r="D15" s="37" t="s">
        <v>50</v>
      </c>
      <c r="E15" s="23" t="s">
        <v>896</v>
      </c>
      <c r="F15" s="31">
        <v>500</v>
      </c>
      <c r="G15" s="31">
        <v>600</v>
      </c>
      <c r="H15" s="31">
        <f>E_Mao_NB[[#This Row],[ĐƠN GIÁ]]*E_Mao_NB[[#This Row],[SỐ LƯỢNG]]</f>
        <v>300000</v>
      </c>
      <c r="I15" s="31"/>
      <c r="J15" s="31">
        <f>J14+E_Mao_NB[[#This Row],[THÀNH TIỀN]]-E_Mao_NB[[#This Row],[THANH TOÁN]]</f>
        <v>28847000</v>
      </c>
      <c r="K15" s="24"/>
    </row>
    <row r="16" spans="1:16" x14ac:dyDescent="0.25">
      <c r="A16" s="22"/>
      <c r="B16" s="29">
        <v>46122</v>
      </c>
      <c r="C16" s="23" t="s">
        <v>21</v>
      </c>
      <c r="D16" s="37" t="s">
        <v>22</v>
      </c>
      <c r="E16" s="23" t="s">
        <v>726</v>
      </c>
      <c r="F16" s="31">
        <v>0</v>
      </c>
      <c r="G16" s="31"/>
      <c r="H16" s="31">
        <f>E_Mao_NB[[#This Row],[ĐƠN GIÁ]]*E_Mao_NB[[#This Row],[SỐ LƯỢNG]]</f>
        <v>0</v>
      </c>
      <c r="I16" s="31">
        <v>17000000</v>
      </c>
      <c r="J16" s="31">
        <f>J15+E_Mao_NB[[#This Row],[THÀNH TIỀN]]-E_Mao_NB[[#This Row],[THANH TOÁN]]</f>
        <v>11847000</v>
      </c>
      <c r="K16" s="24"/>
    </row>
    <row r="17" spans="1:11" x14ac:dyDescent="0.25">
      <c r="A17" s="22"/>
      <c r="B17" s="29">
        <v>46128</v>
      </c>
      <c r="C17" s="23" t="s">
        <v>21</v>
      </c>
      <c r="D17" s="37" t="s">
        <v>22</v>
      </c>
      <c r="E17" s="23" t="s">
        <v>726</v>
      </c>
      <c r="F17" s="31">
        <v>0</v>
      </c>
      <c r="G17" s="31"/>
      <c r="H17" s="31">
        <f>E_Mao_NB[[#This Row],[ĐƠN GIÁ]]*E_Mao_NB[[#This Row],[SỐ LƯỢNG]]</f>
        <v>0</v>
      </c>
      <c r="I17" s="31">
        <v>10800000</v>
      </c>
      <c r="J17" s="31">
        <f>J16+E_Mao_NB[[#This Row],[THÀNH TIỀN]]-E_Mao_NB[[#This Row],[THANH TOÁN]]</f>
        <v>1047000</v>
      </c>
      <c r="K17" s="24"/>
    </row>
    <row r="18" spans="1:11" x14ac:dyDescent="0.25">
      <c r="A18" s="22">
        <v>8927</v>
      </c>
      <c r="B18" s="29">
        <v>46133</v>
      </c>
      <c r="C18" s="23" t="s">
        <v>13</v>
      </c>
      <c r="D18" s="37" t="s">
        <v>50</v>
      </c>
      <c r="E18" s="23" t="s">
        <v>1762</v>
      </c>
      <c r="F18" s="31">
        <v>190</v>
      </c>
      <c r="G18" s="31">
        <v>57000</v>
      </c>
      <c r="H18" s="31">
        <f>E_Mao_NB[[#This Row],[ĐƠN GIÁ]]*E_Mao_NB[[#This Row],[SỐ LƯỢNG]]</f>
        <v>10830000</v>
      </c>
      <c r="I18" s="31"/>
      <c r="J18" s="31">
        <f>J17+E_Mao_NB[[#This Row],[THÀNH TIỀN]]-E_Mao_NB[[#This Row],[THANH TOÁN]]</f>
        <v>11877000</v>
      </c>
      <c r="K18" s="24"/>
    </row>
    <row r="19" spans="1:11" x14ac:dyDescent="0.25">
      <c r="A19" s="22">
        <v>8927</v>
      </c>
      <c r="B19" s="29">
        <v>46133</v>
      </c>
      <c r="C19" s="23" t="s">
        <v>13</v>
      </c>
      <c r="D19" s="37" t="s">
        <v>50</v>
      </c>
      <c r="E19" s="23" t="s">
        <v>896</v>
      </c>
      <c r="F19" s="31">
        <v>550</v>
      </c>
      <c r="G19" s="31">
        <v>57000</v>
      </c>
      <c r="H19" s="31">
        <f>E_Mao_NB[[#This Row],[ĐƠN GIÁ]]*E_Mao_NB[[#This Row],[SỐ LƯỢNG]]</f>
        <v>31350000</v>
      </c>
      <c r="I19" s="31"/>
      <c r="J19" s="31">
        <f>J18+E_Mao_NB[[#This Row],[THÀNH TIỀN]]-E_Mao_NB[[#This Row],[THANH TOÁN]]</f>
        <v>43227000</v>
      </c>
      <c r="K19" s="24"/>
    </row>
    <row r="20" spans="1:11" x14ac:dyDescent="0.25">
      <c r="A20" s="22">
        <v>9700</v>
      </c>
      <c r="B20" s="29">
        <v>46171</v>
      </c>
      <c r="C20" s="23" t="s">
        <v>13</v>
      </c>
      <c r="D20" s="37" t="s">
        <v>50</v>
      </c>
      <c r="E20" s="23" t="s">
        <v>1762</v>
      </c>
      <c r="F20" s="31">
        <v>480</v>
      </c>
      <c r="G20" s="31">
        <v>56000</v>
      </c>
      <c r="H20" s="31">
        <f>E_Mao_NB[[#This Row],[ĐƠN GIÁ]]*E_Mao_NB[[#This Row],[SỐ LƯỢNG]]</f>
        <v>26880000</v>
      </c>
      <c r="I20" s="31"/>
      <c r="J20" s="31">
        <f>J19+E_Mao_NB[[#This Row],[THÀNH TIỀN]]-E_Mao_NB[[#This Row],[THANH TOÁN]]</f>
        <v>70107000</v>
      </c>
      <c r="K20" s="24"/>
    </row>
    <row r="21" spans="1:11" x14ac:dyDescent="0.25">
      <c r="A21" s="22">
        <v>9700</v>
      </c>
      <c r="B21" s="29">
        <v>46171</v>
      </c>
      <c r="C21" s="23" t="s">
        <v>13</v>
      </c>
      <c r="D21" s="37" t="s">
        <v>317</v>
      </c>
      <c r="E21" s="23" t="s">
        <v>1762</v>
      </c>
      <c r="F21" s="31">
        <v>124</v>
      </c>
      <c r="G21" s="31">
        <v>60000</v>
      </c>
      <c r="H21" s="31">
        <f>E_Mao_NB[[#This Row],[ĐƠN GIÁ]]*E_Mao_NB[[#This Row],[SỐ LƯỢNG]]</f>
        <v>7440000</v>
      </c>
      <c r="I21" s="31"/>
      <c r="J21" s="31">
        <f>J20+E_Mao_NB[[#This Row],[THÀNH TIỀN]]-E_Mao_NB[[#This Row],[THANH TOÁN]]</f>
        <v>77547000</v>
      </c>
      <c r="K21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E3FD1C-0BAC-4BFF-9FED-44E820AEBC31}">
  <sheetPr codeName="Sheet46"/>
  <dimension ref="A5:K18"/>
  <sheetViews>
    <sheetView workbookViewId="0">
      <selection activeCell="I14" sqref="I14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0</v>
      </c>
    </row>
    <row r="6" spans="1:11" ht="22.5" x14ac:dyDescent="0.25">
      <c r="D6" s="34" t="s">
        <v>898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Cty_Minh_Tien[[#This Row],[ĐƠN GIÁ]]*Cty_Minh_Tien[[#This Row],[SỐ LƯỢNG]]</f>
        <v>0</v>
      </c>
      <c r="I10" s="31"/>
      <c r="J10" s="31">
        <v>0</v>
      </c>
      <c r="K10" s="24"/>
    </row>
    <row r="11" spans="1:11" x14ac:dyDescent="0.25">
      <c r="A11" s="22">
        <v>7832</v>
      </c>
      <c r="B11" s="29">
        <v>46085</v>
      </c>
      <c r="C11" s="23" t="s">
        <v>13</v>
      </c>
      <c r="D11" s="37" t="s">
        <v>43</v>
      </c>
      <c r="E11" s="23" t="s">
        <v>899</v>
      </c>
      <c r="F11" s="31">
        <f>696+672+794</f>
        <v>2162</v>
      </c>
      <c r="G11" s="31">
        <v>57000</v>
      </c>
      <c r="H11" s="31">
        <f>Cty_Minh_Tien[[#This Row],[ĐƠN GIÁ]]*Cty_Minh_Tien[[#This Row],[SỐ LƯỢNG]]</f>
        <v>123234000</v>
      </c>
      <c r="I11" s="31"/>
      <c r="J11" s="31">
        <f>J10+Cty_Minh_Tien[[#This Row],[THÀNH TIỀN]]-Cty_Minh_Tien[[#This Row],[THANH TOÁN]]</f>
        <v>123234000</v>
      </c>
      <c r="K11" s="24"/>
    </row>
    <row r="12" spans="1:11" x14ac:dyDescent="0.25">
      <c r="A12" s="25">
        <v>7947</v>
      </c>
      <c r="B12" s="30">
        <v>46090</v>
      </c>
      <c r="C12" s="26" t="s">
        <v>13</v>
      </c>
      <c r="D12" s="38" t="s">
        <v>43</v>
      </c>
      <c r="E12" s="26" t="s">
        <v>429</v>
      </c>
      <c r="F12" s="28">
        <f>930+700</f>
        <v>1630</v>
      </c>
      <c r="G12" s="28">
        <v>56000</v>
      </c>
      <c r="H12" s="28">
        <f>Cty_Minh_Tien[[#This Row],[ĐƠN GIÁ]]*Cty_Minh_Tien[[#This Row],[SỐ LƯỢNG]]</f>
        <v>91280000</v>
      </c>
      <c r="I12" s="28"/>
      <c r="J12" s="28">
        <f>J11+Cty_Minh_Tien[[#This Row],[THÀNH TIỀN]]-Cty_Minh_Tien[[#This Row],[THANH TOÁN]]</f>
        <v>214514000</v>
      </c>
      <c r="K12" s="27" t="s">
        <v>900</v>
      </c>
    </row>
    <row r="13" spans="1:11" x14ac:dyDescent="0.25">
      <c r="A13" s="25">
        <v>7947</v>
      </c>
      <c r="B13" s="30">
        <v>46090</v>
      </c>
      <c r="C13" s="26" t="s">
        <v>13</v>
      </c>
      <c r="D13" s="38" t="s">
        <v>43</v>
      </c>
      <c r="E13" s="23" t="s">
        <v>146</v>
      </c>
      <c r="F13" s="31">
        <v>450</v>
      </c>
      <c r="G13" s="31">
        <v>56000</v>
      </c>
      <c r="H13" s="31">
        <f>Cty_Minh_Tien[[#This Row],[ĐƠN GIÁ]]*Cty_Minh_Tien[[#This Row],[SỐ LƯỢNG]]</f>
        <v>25200000</v>
      </c>
      <c r="I13" s="31">
        <v>3200</v>
      </c>
      <c r="J13" s="31">
        <f>J12+Cty_Minh_Tien[[#This Row],[THÀNH TIỀN]]-Cty_Minh_Tien[[#This Row],[THANH TOÁN]]</f>
        <v>239710800</v>
      </c>
      <c r="K13" s="27" t="s">
        <v>900</v>
      </c>
    </row>
    <row r="14" spans="1:11" x14ac:dyDescent="0.25">
      <c r="A14" s="25"/>
      <c r="B14" s="30">
        <v>46085</v>
      </c>
      <c r="C14" s="26" t="s">
        <v>21</v>
      </c>
      <c r="D14" s="38" t="s">
        <v>22</v>
      </c>
      <c r="E14" s="26" t="s">
        <v>261</v>
      </c>
      <c r="F14" s="28">
        <v>0</v>
      </c>
      <c r="G14" s="28">
        <v>0</v>
      </c>
      <c r="H14" s="28">
        <f>Cty_Minh_Tien[[#This Row],[ĐƠN GIÁ]]*Cty_Minh_Tien[[#This Row],[SỐ LƯỢNG]]</f>
        <v>0</v>
      </c>
      <c r="I14" s="28">
        <v>123234000</v>
      </c>
      <c r="J14" s="28">
        <f>J13+Cty_Minh_Tien[[#This Row],[THÀNH TIỀN]]-Cty_Minh_Tien[[#This Row],[THANH TOÁN]]</f>
        <v>116476800</v>
      </c>
      <c r="K14" s="27"/>
    </row>
    <row r="15" spans="1:11" x14ac:dyDescent="0.25">
      <c r="A15" s="25"/>
      <c r="B15" s="30">
        <v>46092</v>
      </c>
      <c r="C15" s="26" t="s">
        <v>21</v>
      </c>
      <c r="D15" s="38" t="s">
        <v>22</v>
      </c>
      <c r="E15" s="26" t="s">
        <v>261</v>
      </c>
      <c r="F15" s="28">
        <v>0</v>
      </c>
      <c r="G15" s="28"/>
      <c r="H15" s="28">
        <f>Cty_Minh_Tien[[#This Row],[ĐƠN GIÁ]]*Cty_Minh_Tien[[#This Row],[SỐ LƯỢNG]]</f>
        <v>0</v>
      </c>
      <c r="I15" s="28">
        <v>116476800</v>
      </c>
      <c r="J15" s="28">
        <f>J14+Cty_Minh_Tien[[#This Row],[THÀNH TIỀN]]-Cty_Minh_Tien[[#This Row],[THANH TOÁN]]</f>
        <v>0</v>
      </c>
      <c r="K15" s="27"/>
    </row>
    <row r="18" spans="8:8" x14ac:dyDescent="0.25">
      <c r="H18" s="35"/>
    </row>
  </sheetData>
  <phoneticPr fontId="9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CC42CD-A1D1-4CF4-82B8-5B5A9684D90B}">
  <sheetPr codeName="Sheet47"/>
  <dimension ref="A5:P54"/>
  <sheetViews>
    <sheetView topLeftCell="A24" workbookViewId="0">
      <selection activeCell="B51" sqref="B46:H51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1048983115</v>
      </c>
    </row>
    <row r="6" spans="1:16" ht="22.5" x14ac:dyDescent="0.25">
      <c r="D6" s="34" t="s">
        <v>901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C_Hung_HP[[#This Row],[ĐƠN GIÁ]]*C_Hung_HP[[#This Row],[SỐ LƯỢNG]]</f>
        <v>0</v>
      </c>
      <c r="I10" s="31"/>
      <c r="J10" s="31">
        <v>740148094</v>
      </c>
      <c r="K10" s="24"/>
    </row>
    <row r="11" spans="1:16" x14ac:dyDescent="0.25">
      <c r="A11" s="22">
        <v>7834</v>
      </c>
      <c r="B11" s="29">
        <v>46085</v>
      </c>
      <c r="C11" s="23" t="s">
        <v>13</v>
      </c>
      <c r="D11" s="37" t="s">
        <v>43</v>
      </c>
      <c r="E11" s="23" t="s">
        <v>134</v>
      </c>
      <c r="F11" s="31">
        <f>2486-4</f>
        <v>2482</v>
      </c>
      <c r="G11" s="31">
        <v>57000</v>
      </c>
      <c r="H11" s="31">
        <f>C_Hung_HP[[#This Row],[ĐƠN GIÁ]]*C_Hung_HP[[#This Row],[SỐ LƯỢNG]]</f>
        <v>141474000</v>
      </c>
      <c r="I11" s="31"/>
      <c r="J11" s="31">
        <f>J10+C_Hung_HP[[#This Row],[THÀNH TIỀN]]-C_Hung_HP[[#This Row],[THANH TOÁN]]</f>
        <v>881622094</v>
      </c>
      <c r="K11" s="24"/>
    </row>
    <row r="12" spans="1:16" x14ac:dyDescent="0.25">
      <c r="A12" s="22">
        <v>7834</v>
      </c>
      <c r="B12" s="29">
        <v>46085</v>
      </c>
      <c r="C12" s="23" t="s">
        <v>13</v>
      </c>
      <c r="D12" s="37" t="s">
        <v>43</v>
      </c>
      <c r="E12" s="23" t="s">
        <v>146</v>
      </c>
      <c r="F12" s="31">
        <v>2078</v>
      </c>
      <c r="G12" s="31">
        <v>58000</v>
      </c>
      <c r="H12" s="31">
        <f>C_Hung_HP[[#This Row],[ĐƠN GIÁ]]*C_Hung_HP[[#This Row],[SỐ LƯỢNG]]</f>
        <v>120524000</v>
      </c>
      <c r="I12" s="31"/>
      <c r="J12" s="31">
        <f>J11+C_Hung_HP[[#This Row],[THÀNH TIỀN]]-C_Hung_HP[[#This Row],[THANH TOÁN]]</f>
        <v>1002146094</v>
      </c>
      <c r="K12" s="24"/>
    </row>
    <row r="13" spans="1:16" x14ac:dyDescent="0.25">
      <c r="A13" s="22">
        <v>7834</v>
      </c>
      <c r="B13" s="29">
        <v>46085</v>
      </c>
      <c r="C13" s="23" t="s">
        <v>13</v>
      </c>
      <c r="D13" s="37" t="s">
        <v>43</v>
      </c>
      <c r="E13" s="23" t="s">
        <v>206</v>
      </c>
      <c r="F13" s="31">
        <f>398+388+545</f>
        <v>1331</v>
      </c>
      <c r="G13" s="31">
        <v>58000</v>
      </c>
      <c r="H13" s="31">
        <f>C_Hung_HP[[#This Row],[ĐƠN GIÁ]]*C_Hung_HP[[#This Row],[SỐ LƯỢNG]]</f>
        <v>77198000</v>
      </c>
      <c r="I13" s="31"/>
      <c r="J13" s="31">
        <f>J12+C_Hung_HP[[#This Row],[THÀNH TIỀN]]-C_Hung_HP[[#This Row],[THANH TOÁN]]</f>
        <v>1079344094</v>
      </c>
      <c r="K13" s="24"/>
    </row>
    <row r="14" spans="1:16" x14ac:dyDescent="0.25">
      <c r="A14" s="22">
        <v>7834</v>
      </c>
      <c r="B14" s="29">
        <v>46085</v>
      </c>
      <c r="C14" s="23" t="s">
        <v>13</v>
      </c>
      <c r="D14" s="37" t="s">
        <v>43</v>
      </c>
      <c r="E14" s="23" t="s">
        <v>902</v>
      </c>
      <c r="F14" s="31">
        <f>569+331</f>
        <v>900</v>
      </c>
      <c r="G14" s="31">
        <v>58000</v>
      </c>
      <c r="H14" s="31">
        <f>C_Hung_HP[[#This Row],[ĐƠN GIÁ]]*C_Hung_HP[[#This Row],[SỐ LƯỢNG]]</f>
        <v>52200000</v>
      </c>
      <c r="I14" s="31"/>
      <c r="J14" s="31">
        <f>J13+C_Hung_HP[[#This Row],[THÀNH TIỀN]]-C_Hung_HP[[#This Row],[THANH TOÁN]]</f>
        <v>1131544094</v>
      </c>
      <c r="K14" s="24"/>
      <c r="P14" s="35"/>
    </row>
    <row r="15" spans="1:16" x14ac:dyDescent="0.25">
      <c r="A15" s="25"/>
      <c r="B15" s="30">
        <v>46087</v>
      </c>
      <c r="C15" s="26" t="s">
        <v>21</v>
      </c>
      <c r="D15" s="38" t="s">
        <v>22</v>
      </c>
      <c r="E15" s="23" t="s">
        <v>147</v>
      </c>
      <c r="F15" s="31">
        <v>0</v>
      </c>
      <c r="G15" s="31">
        <v>0</v>
      </c>
      <c r="H15" s="31">
        <f>C_Hung_HP[[#This Row],[ĐƠN GIÁ]]*C_Hung_HP[[#This Row],[SỐ LƯỢNG]]</f>
        <v>0</v>
      </c>
      <c r="I15" s="31">
        <v>100000000</v>
      </c>
      <c r="J15" s="31">
        <f>J14+C_Hung_HP[[#This Row],[THÀNH TIỀN]]-C_Hung_HP[[#This Row],[THANH TOÁN]]</f>
        <v>1031544094</v>
      </c>
      <c r="K15" s="24"/>
    </row>
    <row r="16" spans="1:16" x14ac:dyDescent="0.25">
      <c r="A16" s="25">
        <v>8036</v>
      </c>
      <c r="B16" s="30">
        <v>46093</v>
      </c>
      <c r="C16" s="26" t="s">
        <v>13</v>
      </c>
      <c r="D16" s="38" t="s">
        <v>278</v>
      </c>
      <c r="E16" s="26" t="s">
        <v>134</v>
      </c>
      <c r="F16" s="28">
        <v>1044</v>
      </c>
      <c r="G16" s="28">
        <v>62000</v>
      </c>
      <c r="H16" s="28">
        <f>C_Hung_HP[[#This Row],[ĐƠN GIÁ]]*C_Hung_HP[[#This Row],[SỐ LƯỢNG]]</f>
        <v>64728000</v>
      </c>
      <c r="I16" s="28"/>
      <c r="J16" s="28">
        <f>J15+C_Hung_HP[[#This Row],[THÀNH TIỀN]]-C_Hung_HP[[#This Row],[THANH TOÁN]]</f>
        <v>1096272094</v>
      </c>
      <c r="K16" s="27"/>
    </row>
    <row r="17" spans="1:11" x14ac:dyDescent="0.25">
      <c r="A17" s="25">
        <v>8036</v>
      </c>
      <c r="B17" s="30">
        <v>46093</v>
      </c>
      <c r="C17" s="26" t="s">
        <v>13</v>
      </c>
      <c r="D17" s="38" t="s">
        <v>43</v>
      </c>
      <c r="E17" s="26" t="s">
        <v>188</v>
      </c>
      <c r="F17" s="28">
        <v>684</v>
      </c>
      <c r="G17" s="28">
        <v>56500</v>
      </c>
      <c r="H17" s="28">
        <f>C_Hung_HP[[#This Row],[ĐƠN GIÁ]]*C_Hung_HP[[#This Row],[SỐ LƯỢNG]]</f>
        <v>38646000</v>
      </c>
      <c r="I17" s="28"/>
      <c r="J17" s="28">
        <f>J16+C_Hung_HP[[#This Row],[THÀNH TIỀN]]-C_Hung_HP[[#This Row],[THANH TOÁN]]</f>
        <v>1134918094</v>
      </c>
      <c r="K17" s="27"/>
    </row>
    <row r="18" spans="1:11" x14ac:dyDescent="0.25">
      <c r="A18" s="25"/>
      <c r="B18" s="30">
        <v>46094</v>
      </c>
      <c r="C18" s="26" t="s">
        <v>21</v>
      </c>
      <c r="D18" s="38" t="s">
        <v>22</v>
      </c>
      <c r="E18" s="26" t="s">
        <v>147</v>
      </c>
      <c r="F18" s="28">
        <v>0</v>
      </c>
      <c r="G18" s="28">
        <v>0</v>
      </c>
      <c r="H18" s="28">
        <f>C_Hung_HP[[#This Row],[ĐƠN GIÁ]]*C_Hung_HP[[#This Row],[SỐ LƯỢNG]]</f>
        <v>0</v>
      </c>
      <c r="I18" s="28">
        <v>100000000</v>
      </c>
      <c r="J18" s="28">
        <f>J17+C_Hung_HP[[#This Row],[THÀNH TIỀN]]-C_Hung_HP[[#This Row],[THANH TOÁN]]</f>
        <v>1034918094</v>
      </c>
      <c r="K18" s="27"/>
    </row>
    <row r="19" spans="1:11" x14ac:dyDescent="0.25">
      <c r="A19" s="178">
        <v>8096</v>
      </c>
      <c r="B19" s="179">
        <v>46095</v>
      </c>
      <c r="C19" s="180" t="s">
        <v>13</v>
      </c>
      <c r="D19" s="181" t="s">
        <v>77</v>
      </c>
      <c r="E19" s="180" t="s">
        <v>283</v>
      </c>
      <c r="F19" s="182">
        <v>6202</v>
      </c>
      <c r="G19" s="182">
        <v>25000</v>
      </c>
      <c r="H19" s="182">
        <f>C_Hung_HP[[#This Row],[ĐƠN GIÁ]]*C_Hung_HP[[#This Row],[SỐ LƯỢNG]]</f>
        <v>155050000</v>
      </c>
      <c r="I19" s="182"/>
      <c r="J19" s="182">
        <f>J18+C_Hung_HP[[#This Row],[THÀNH TIỀN]]-C_Hung_HP[[#This Row],[THANH TOÁN]]</f>
        <v>1189968094</v>
      </c>
      <c r="K19" s="183" t="s">
        <v>903</v>
      </c>
    </row>
    <row r="20" spans="1:11" x14ac:dyDescent="0.25">
      <c r="A20" s="25">
        <v>8151</v>
      </c>
      <c r="B20" s="30">
        <v>46098</v>
      </c>
      <c r="C20" s="26" t="s">
        <v>13</v>
      </c>
      <c r="D20" s="38" t="s">
        <v>169</v>
      </c>
      <c r="E20" s="26" t="s">
        <v>134</v>
      </c>
      <c r="F20" s="28">
        <f>830-10-4</f>
        <v>816</v>
      </c>
      <c r="G20" s="28">
        <v>38000</v>
      </c>
      <c r="H20" s="28">
        <f>C_Hung_HP[[#This Row],[ĐƠN GIÁ]]*C_Hung_HP[[#This Row],[SỐ LƯỢNG]]</f>
        <v>31008000</v>
      </c>
      <c r="I20" s="28"/>
      <c r="J20" s="28">
        <f>J19+C_Hung_HP[[#This Row],[THÀNH TIỀN]]-C_Hung_HP[[#This Row],[THANH TOÁN]]</f>
        <v>1220976094</v>
      </c>
      <c r="K20" s="27"/>
    </row>
    <row r="21" spans="1:11" x14ac:dyDescent="0.25">
      <c r="A21" s="25">
        <v>8253</v>
      </c>
      <c r="B21" s="30">
        <v>46100</v>
      </c>
      <c r="C21" s="26" t="s">
        <v>13</v>
      </c>
      <c r="D21" s="38" t="s">
        <v>150</v>
      </c>
      <c r="E21" s="26" t="s">
        <v>390</v>
      </c>
      <c r="F21" s="28">
        <v>1944</v>
      </c>
      <c r="G21" s="28">
        <v>34000</v>
      </c>
      <c r="H21" s="28">
        <f>C_Hung_HP[[#This Row],[ĐƠN GIÁ]]*C_Hung_HP[[#This Row],[SỐ LƯỢNG]]</f>
        <v>66096000</v>
      </c>
      <c r="I21" s="28"/>
      <c r="J21" s="28">
        <f>J20+C_Hung_HP[[#This Row],[THÀNH TIỀN]]-C_Hung_HP[[#This Row],[THANH TOÁN]]</f>
        <v>1287072094</v>
      </c>
      <c r="K21" s="27"/>
    </row>
    <row r="22" spans="1:11" x14ac:dyDescent="0.25">
      <c r="A22" s="25"/>
      <c r="B22" s="30">
        <v>46100</v>
      </c>
      <c r="C22" s="26" t="s">
        <v>21</v>
      </c>
      <c r="D22" s="38" t="s">
        <v>22</v>
      </c>
      <c r="E22" s="26" t="s">
        <v>147</v>
      </c>
      <c r="F22" s="28">
        <v>0</v>
      </c>
      <c r="G22" s="28">
        <v>0</v>
      </c>
      <c r="H22" s="28">
        <f>C_Hung_HP[[#This Row],[ĐƠN GIÁ]]*C_Hung_HP[[#This Row],[SỐ LƯỢNG]]</f>
        <v>0</v>
      </c>
      <c r="I22" s="28">
        <v>100000000</v>
      </c>
      <c r="J22" s="28">
        <f>J21+C_Hung_HP[[#This Row],[THÀNH TIỀN]]-C_Hung_HP[[#This Row],[THANH TOÁN]]</f>
        <v>1187072094</v>
      </c>
      <c r="K22" s="27"/>
    </row>
    <row r="23" spans="1:11" x14ac:dyDescent="0.25">
      <c r="A23" s="25">
        <v>8240</v>
      </c>
      <c r="B23" s="30">
        <v>46105</v>
      </c>
      <c r="C23" s="26" t="s">
        <v>13</v>
      </c>
      <c r="D23" s="38" t="s">
        <v>14</v>
      </c>
      <c r="E23" s="26" t="s">
        <v>62</v>
      </c>
      <c r="F23" s="28">
        <v>2104</v>
      </c>
      <c r="G23" s="28">
        <v>43000</v>
      </c>
      <c r="H23" s="28">
        <f>C_Hung_HP[[#This Row],[ĐƠN GIÁ]]*C_Hung_HP[[#This Row],[SỐ LƯỢNG]]</f>
        <v>90472000</v>
      </c>
      <c r="I23" s="28"/>
      <c r="J23" s="28">
        <f>J22+C_Hung_HP[[#This Row],[THÀNH TIỀN]]-C_Hung_HP[[#This Row],[THANH TOÁN]]</f>
        <v>1277544094</v>
      </c>
      <c r="K23" s="27"/>
    </row>
    <row r="24" spans="1:11" x14ac:dyDescent="0.25">
      <c r="A24" s="25">
        <v>8330</v>
      </c>
      <c r="B24" s="30">
        <v>46106</v>
      </c>
      <c r="C24" s="26" t="s">
        <v>13</v>
      </c>
      <c r="D24" s="38" t="s">
        <v>278</v>
      </c>
      <c r="E24" s="26" t="s">
        <v>41</v>
      </c>
      <c r="F24" s="28">
        <v>542</v>
      </c>
      <c r="G24" s="28">
        <v>65000</v>
      </c>
      <c r="H24" s="28">
        <f>C_Hung_HP[[#This Row],[ĐƠN GIÁ]]*C_Hung_HP[[#This Row],[SỐ LƯỢNG]]</f>
        <v>35230000</v>
      </c>
      <c r="I24" s="28"/>
      <c r="J24" s="28">
        <f>J23+C_Hung_HP[[#This Row],[THÀNH TIỀN]]-C_Hung_HP[[#This Row],[THANH TOÁN]]</f>
        <v>1312774094</v>
      </c>
      <c r="K24" s="27"/>
    </row>
    <row r="25" spans="1:11" x14ac:dyDescent="0.25">
      <c r="A25" s="25">
        <v>8352</v>
      </c>
      <c r="B25" s="30">
        <v>46107</v>
      </c>
      <c r="C25" s="26" t="s">
        <v>13</v>
      </c>
      <c r="D25" s="38" t="s">
        <v>43</v>
      </c>
      <c r="E25" s="26" t="s">
        <v>154</v>
      </c>
      <c r="F25" s="28">
        <v>1069</v>
      </c>
      <c r="G25" s="28">
        <v>60000</v>
      </c>
      <c r="H25" s="28">
        <f>C_Hung_HP[[#This Row],[ĐƠN GIÁ]]*C_Hung_HP[[#This Row],[SỐ LƯỢNG]]</f>
        <v>64140000</v>
      </c>
      <c r="I25" s="28"/>
      <c r="J25" s="28">
        <f>J24+C_Hung_HP[[#This Row],[THÀNH TIỀN]]-C_Hung_HP[[#This Row],[THANH TOÁN]]</f>
        <v>1376914094</v>
      </c>
      <c r="K25" s="27"/>
    </row>
    <row r="26" spans="1:11" x14ac:dyDescent="0.25">
      <c r="A26" s="25">
        <v>8352</v>
      </c>
      <c r="B26" s="30">
        <v>46107</v>
      </c>
      <c r="C26" s="26" t="s">
        <v>13</v>
      </c>
      <c r="D26" s="38" t="s">
        <v>43</v>
      </c>
      <c r="E26" s="26" t="s">
        <v>246</v>
      </c>
      <c r="F26" s="28">
        <v>944</v>
      </c>
      <c r="G26" s="28">
        <v>59000</v>
      </c>
      <c r="H26" s="28">
        <f>C_Hung_HP[[#This Row],[ĐƠN GIÁ]]*C_Hung_HP[[#This Row],[SỐ LƯỢNG]]</f>
        <v>55696000</v>
      </c>
      <c r="I26" s="28"/>
      <c r="J26" s="28">
        <f>J25+C_Hung_HP[[#This Row],[THÀNH TIỀN]]-C_Hung_HP[[#This Row],[THANH TOÁN]]</f>
        <v>1432610094</v>
      </c>
      <c r="K26" s="27"/>
    </row>
    <row r="27" spans="1:11" x14ac:dyDescent="0.25">
      <c r="A27" s="25"/>
      <c r="B27" s="30">
        <v>46108</v>
      </c>
      <c r="C27" s="26" t="s">
        <v>21</v>
      </c>
      <c r="D27" s="38" t="s">
        <v>22</v>
      </c>
      <c r="E27" s="26" t="s">
        <v>147</v>
      </c>
      <c r="F27" s="28">
        <v>0</v>
      </c>
      <c r="G27" s="28">
        <v>0</v>
      </c>
      <c r="H27" s="28">
        <f>C_Hung_HP[[#This Row],[ĐƠN GIÁ]]*C_Hung_HP[[#This Row],[SỐ LƯỢNG]]</f>
        <v>0</v>
      </c>
      <c r="I27" s="28">
        <v>100000000</v>
      </c>
      <c r="J27" s="28">
        <f>J26+C_Hung_HP[[#This Row],[THÀNH TIỀN]]-C_Hung_HP[[#This Row],[THANH TOÁN]]</f>
        <v>1332610094</v>
      </c>
      <c r="K27" s="27"/>
    </row>
    <row r="28" spans="1:11" x14ac:dyDescent="0.25">
      <c r="A28" s="22"/>
      <c r="B28" s="29">
        <v>46113</v>
      </c>
      <c r="C28" s="23" t="s">
        <v>21</v>
      </c>
      <c r="D28" s="37" t="s">
        <v>22</v>
      </c>
      <c r="E28" s="23" t="s">
        <v>147</v>
      </c>
      <c r="F28" s="31"/>
      <c r="G28" s="31"/>
      <c r="H28" s="31">
        <f>C_Hung_HP[[#This Row],[ĐƠN GIÁ]]*C_Hung_HP[[#This Row],[SỐ LƯỢNG]]</f>
        <v>0</v>
      </c>
      <c r="I28" s="31">
        <v>203703675</v>
      </c>
      <c r="J28" s="31">
        <f>J27+C_Hung_HP[[#This Row],[THÀNH TIỀN]]-C_Hung_HP[[#This Row],[THANH TOÁN]]</f>
        <v>1128906419</v>
      </c>
      <c r="K28" s="24"/>
    </row>
    <row r="29" spans="1:11" x14ac:dyDescent="0.25">
      <c r="A29" s="22">
        <v>8632</v>
      </c>
      <c r="B29" s="29">
        <v>46120</v>
      </c>
      <c r="C29" s="23" t="s">
        <v>13</v>
      </c>
      <c r="D29" s="37" t="s">
        <v>43</v>
      </c>
      <c r="E29" s="23" t="s">
        <v>136</v>
      </c>
      <c r="F29" s="31">
        <v>1586</v>
      </c>
      <c r="G29" s="31">
        <v>61000</v>
      </c>
      <c r="H29" s="31">
        <f>C_Hung_HP[[#This Row],[ĐƠN GIÁ]]*C_Hung_HP[[#This Row],[SỐ LƯỢNG]]</f>
        <v>96746000</v>
      </c>
      <c r="I29" s="31"/>
      <c r="J29" s="31">
        <f>J28+C_Hung_HP[[#This Row],[THÀNH TIỀN]]-C_Hung_HP[[#This Row],[THANH TOÁN]]</f>
        <v>1225652419</v>
      </c>
      <c r="K29" s="24"/>
    </row>
    <row r="30" spans="1:11" x14ac:dyDescent="0.25">
      <c r="A30" s="22">
        <v>8632</v>
      </c>
      <c r="B30" s="29">
        <v>46120</v>
      </c>
      <c r="C30" s="23" t="s">
        <v>13</v>
      </c>
      <c r="D30" s="37" t="s">
        <v>43</v>
      </c>
      <c r="E30" s="23" t="s">
        <v>904</v>
      </c>
      <c r="F30" s="31">
        <v>299</v>
      </c>
      <c r="G30" s="31">
        <v>57500</v>
      </c>
      <c r="H30" s="31">
        <f>C_Hung_HP[[#This Row],[ĐƠN GIÁ]]*C_Hung_HP[[#This Row],[SỐ LƯỢNG]]</f>
        <v>17192500</v>
      </c>
      <c r="I30" s="31"/>
      <c r="J30" s="31">
        <f>J29+C_Hung_HP[[#This Row],[THÀNH TIỀN]]-C_Hung_HP[[#This Row],[THANH TOÁN]]</f>
        <v>1242844919</v>
      </c>
      <c r="K30" s="24"/>
    </row>
    <row r="31" spans="1:11" x14ac:dyDescent="0.25">
      <c r="A31" s="22">
        <v>8632</v>
      </c>
      <c r="B31" s="29">
        <v>46120</v>
      </c>
      <c r="C31" s="23" t="s">
        <v>13</v>
      </c>
      <c r="D31" s="37" t="s">
        <v>14</v>
      </c>
      <c r="E31" s="23" t="s">
        <v>146</v>
      </c>
      <c r="F31" s="31">
        <v>1076</v>
      </c>
      <c r="G31" s="31">
        <v>41500</v>
      </c>
      <c r="H31" s="31">
        <f>C_Hung_HP[[#This Row],[ĐƠN GIÁ]]*C_Hung_HP[[#This Row],[SỐ LƯỢNG]]</f>
        <v>44654000</v>
      </c>
      <c r="I31" s="31"/>
      <c r="J31" s="31">
        <f>J30+C_Hung_HP[[#This Row],[THÀNH TIỀN]]-C_Hung_HP[[#This Row],[THANH TOÁN]]</f>
        <v>1287498919</v>
      </c>
      <c r="K31" s="24"/>
    </row>
    <row r="32" spans="1:11" x14ac:dyDescent="0.25">
      <c r="A32" s="22"/>
      <c r="B32" s="29">
        <v>46122</v>
      </c>
      <c r="C32" s="23" t="s">
        <v>21</v>
      </c>
      <c r="D32" s="37" t="s">
        <v>22</v>
      </c>
      <c r="E32" s="23" t="s">
        <v>147</v>
      </c>
      <c r="F32" s="31">
        <v>0</v>
      </c>
      <c r="G32" s="31"/>
      <c r="H32" s="31">
        <f>C_Hung_HP[[#This Row],[ĐƠN GIÁ]]*C_Hung_HP[[#This Row],[SỐ LƯỢNG]]</f>
        <v>0</v>
      </c>
      <c r="I32" s="31">
        <v>120595182</v>
      </c>
      <c r="J32" s="31">
        <f>J31+C_Hung_HP[[#This Row],[THÀNH TIỀN]]-C_Hung_HP[[#This Row],[THANH TOÁN]]</f>
        <v>1166903737</v>
      </c>
      <c r="K32" s="24"/>
    </row>
    <row r="33" spans="1:11" x14ac:dyDescent="0.25">
      <c r="A33" s="22">
        <v>8744</v>
      </c>
      <c r="B33" s="29">
        <v>46125</v>
      </c>
      <c r="C33" s="23" t="s">
        <v>13</v>
      </c>
      <c r="D33" s="37" t="s">
        <v>17</v>
      </c>
      <c r="E33" s="23" t="s">
        <v>136</v>
      </c>
      <c r="F33" s="31">
        <v>1066</v>
      </c>
      <c r="G33" s="31">
        <v>65000</v>
      </c>
      <c r="H33" s="31">
        <f>C_Hung_HP[[#This Row],[ĐƠN GIÁ]]*C_Hung_HP[[#This Row],[SỐ LƯỢNG]]</f>
        <v>69290000</v>
      </c>
      <c r="I33" s="31"/>
      <c r="J33" s="31">
        <f>J32+C_Hung_HP[[#This Row],[THÀNH TIỀN]]-C_Hung_HP[[#This Row],[THANH TOÁN]]</f>
        <v>1236193737</v>
      </c>
      <c r="K33" s="24"/>
    </row>
    <row r="34" spans="1:11" x14ac:dyDescent="0.25">
      <c r="A34" s="22">
        <v>8744</v>
      </c>
      <c r="B34" s="29">
        <v>46125</v>
      </c>
      <c r="C34" s="23" t="s">
        <v>13</v>
      </c>
      <c r="D34" s="37" t="s">
        <v>17</v>
      </c>
      <c r="E34" s="23" t="s">
        <v>41</v>
      </c>
      <c r="F34" s="31">
        <v>472</v>
      </c>
      <c r="G34" s="31">
        <v>65000</v>
      </c>
      <c r="H34" s="31">
        <f>C_Hung_HP[[#This Row],[ĐƠN GIÁ]]*C_Hung_HP[[#This Row],[SỐ LƯỢNG]]</f>
        <v>30680000</v>
      </c>
      <c r="I34" s="31"/>
      <c r="J34" s="31">
        <f>J33+C_Hung_HP[[#This Row],[THÀNH TIỀN]]-C_Hung_HP[[#This Row],[THANH TOÁN]]</f>
        <v>1266873737</v>
      </c>
      <c r="K34" s="24"/>
    </row>
    <row r="35" spans="1:11" x14ac:dyDescent="0.25">
      <c r="A35" s="22"/>
      <c r="B35" s="29">
        <v>46126</v>
      </c>
      <c r="C35" s="23" t="s">
        <v>21</v>
      </c>
      <c r="D35" s="37" t="s">
        <v>22</v>
      </c>
      <c r="E35" s="23" t="s">
        <v>147</v>
      </c>
      <c r="F35" s="31">
        <v>0</v>
      </c>
      <c r="G35" s="31"/>
      <c r="H35" s="31">
        <f>C_Hung_HP[[#This Row],[ĐƠN GIÁ]]*C_Hung_HP[[#This Row],[SỐ LƯỢNG]]</f>
        <v>0</v>
      </c>
      <c r="I35" s="31">
        <v>100000000</v>
      </c>
      <c r="J35" s="31">
        <f>J34+C_Hung_HP[[#This Row],[THÀNH TIỀN]]-C_Hung_HP[[#This Row],[THANH TOÁN]]</f>
        <v>1166873737</v>
      </c>
      <c r="K35" s="24"/>
    </row>
    <row r="36" spans="1:11" x14ac:dyDescent="0.25">
      <c r="A36" s="22"/>
      <c r="B36" s="29">
        <v>46129</v>
      </c>
      <c r="C36" s="23" t="s">
        <v>21</v>
      </c>
      <c r="D36" s="37" t="s">
        <v>22</v>
      </c>
      <c r="E36" s="23" t="s">
        <v>147</v>
      </c>
      <c r="F36" s="31">
        <v>0</v>
      </c>
      <c r="G36" s="31"/>
      <c r="H36" s="31">
        <f>C_Hung_HP[[#This Row],[ĐƠN GIÁ]]*C_Hung_HP[[#This Row],[SỐ LƯỢNG]]</f>
        <v>0</v>
      </c>
      <c r="I36" s="31">
        <v>100000000</v>
      </c>
      <c r="J36" s="31">
        <f>J35+C_Hung_HP[[#This Row],[THÀNH TIỀN]]-C_Hung_HP[[#This Row],[THANH TOÁN]]</f>
        <v>1066873737</v>
      </c>
      <c r="K36" s="24"/>
    </row>
    <row r="37" spans="1:11" x14ac:dyDescent="0.25">
      <c r="A37" s="22"/>
      <c r="B37" s="29">
        <v>46134</v>
      </c>
      <c r="C37" s="23" t="s">
        <v>21</v>
      </c>
      <c r="D37" s="37" t="s">
        <v>22</v>
      </c>
      <c r="E37" s="23" t="s">
        <v>147</v>
      </c>
      <c r="F37" s="31">
        <v>0</v>
      </c>
      <c r="G37" s="31"/>
      <c r="H37" s="31">
        <f>C_Hung_HP[[#This Row],[ĐƠN GIÁ]]*C_Hung_HP[[#This Row],[SỐ LƯỢNG]]</f>
        <v>0</v>
      </c>
      <c r="I37" s="31">
        <v>100000000</v>
      </c>
      <c r="J37" s="31">
        <f>J36+C_Hung_HP[[#This Row],[THÀNH TIỀN]]-C_Hung_HP[[#This Row],[THANH TOÁN]]</f>
        <v>966873737</v>
      </c>
      <c r="K37" s="24"/>
    </row>
    <row r="38" spans="1:11" x14ac:dyDescent="0.25">
      <c r="A38" s="22">
        <v>8990</v>
      </c>
      <c r="B38" s="29">
        <v>46136</v>
      </c>
      <c r="C38" s="23" t="s">
        <v>13</v>
      </c>
      <c r="D38" s="37" t="s">
        <v>43</v>
      </c>
      <c r="E38" s="23" t="s">
        <v>40</v>
      </c>
      <c r="F38" s="31">
        <v>746</v>
      </c>
      <c r="G38" s="31">
        <v>62000</v>
      </c>
      <c r="H38" s="31">
        <f>C_Hung_HP[[#This Row],[ĐƠN GIÁ]]*C_Hung_HP[[#This Row],[SỐ LƯỢNG]]</f>
        <v>46252000</v>
      </c>
      <c r="I38" s="31"/>
      <c r="J38" s="31">
        <f>J37+C_Hung_HP[[#This Row],[THÀNH TIỀN]]-C_Hung_HP[[#This Row],[THANH TOÁN]]</f>
        <v>1013125737</v>
      </c>
      <c r="K38" s="24"/>
    </row>
    <row r="39" spans="1:11" x14ac:dyDescent="0.25">
      <c r="A39" s="22"/>
      <c r="B39" s="29">
        <v>46136</v>
      </c>
      <c r="C39" s="23" t="s">
        <v>21</v>
      </c>
      <c r="D39" s="37" t="s">
        <v>24</v>
      </c>
      <c r="E39" s="23"/>
      <c r="F39" s="31">
        <v>0</v>
      </c>
      <c r="G39" s="31"/>
      <c r="H39" s="31">
        <f>C_Hung_HP[[#This Row],[ĐƠN GIÁ]]*C_Hung_HP[[#This Row],[SỐ LƯỢNG]]</f>
        <v>0</v>
      </c>
      <c r="I39" s="31">
        <v>15850000</v>
      </c>
      <c r="J39" s="31">
        <f>J38+C_Hung_HP[[#This Row],[THÀNH TIỀN]]-C_Hung_HP[[#This Row],[THANH TOÁN]]</f>
        <v>997275737</v>
      </c>
      <c r="K39" s="24"/>
    </row>
    <row r="40" spans="1:11" x14ac:dyDescent="0.25">
      <c r="A40" s="22"/>
      <c r="B40" s="29">
        <v>46140</v>
      </c>
      <c r="C40" s="23" t="s">
        <v>21</v>
      </c>
      <c r="D40" s="37" t="s">
        <v>22</v>
      </c>
      <c r="E40" s="23" t="s">
        <v>147</v>
      </c>
      <c r="F40" s="31">
        <v>0</v>
      </c>
      <c r="G40" s="31"/>
      <c r="H40" s="31">
        <f>C_Hung_HP[[#This Row],[ĐƠN GIÁ]]*C_Hung_HP[[#This Row],[SỐ LƯỢNG]]</f>
        <v>0</v>
      </c>
      <c r="I40" s="31">
        <v>100000000</v>
      </c>
      <c r="J40" s="31">
        <f>J39+C_Hung_HP[[#This Row],[THÀNH TIỀN]]-C_Hung_HP[[#This Row],[THANH TOÁN]]</f>
        <v>897275737</v>
      </c>
      <c r="K40" s="24"/>
    </row>
    <row r="41" spans="1:11" x14ac:dyDescent="0.25">
      <c r="A41" s="22">
        <v>9115</v>
      </c>
      <c r="B41" s="29">
        <v>46141</v>
      </c>
      <c r="C41" s="23" t="s">
        <v>13</v>
      </c>
      <c r="D41" s="37" t="s">
        <v>43</v>
      </c>
      <c r="E41" s="23" t="s">
        <v>41</v>
      </c>
      <c r="F41" s="31">
        <v>913</v>
      </c>
      <c r="G41" s="31">
        <v>60000</v>
      </c>
      <c r="H41" s="31">
        <f>C_Hung_HP[[#This Row],[ĐƠN GIÁ]]*C_Hung_HP[[#This Row],[SỐ LƯỢNG]]</f>
        <v>54780000</v>
      </c>
      <c r="I41" s="31"/>
      <c r="J41" s="31">
        <f>J40+C_Hung_HP[[#This Row],[THÀNH TIỀN]]-C_Hung_HP[[#This Row],[THANH TOÁN]]</f>
        <v>952055737</v>
      </c>
      <c r="K41" s="24"/>
    </row>
    <row r="42" spans="1:11" x14ac:dyDescent="0.25">
      <c r="A42" s="22">
        <v>9115</v>
      </c>
      <c r="B42" s="29">
        <v>46141</v>
      </c>
      <c r="C42" s="23" t="s">
        <v>13</v>
      </c>
      <c r="D42" s="37" t="s">
        <v>43</v>
      </c>
      <c r="E42" s="23" t="s">
        <v>136</v>
      </c>
      <c r="F42" s="31">
        <v>1470</v>
      </c>
      <c r="G42" s="31">
        <v>60000</v>
      </c>
      <c r="H42" s="31">
        <f>C_Hung_HP[[#This Row],[ĐƠN GIÁ]]*C_Hung_HP[[#This Row],[SỐ LƯỢNG]]</f>
        <v>88200000</v>
      </c>
      <c r="I42" s="31"/>
      <c r="J42" s="31">
        <f>J41+C_Hung_HP[[#This Row],[THÀNH TIỀN]]-C_Hung_HP[[#This Row],[THANH TOÁN]]</f>
        <v>1040255737</v>
      </c>
      <c r="K42" s="24"/>
    </row>
    <row r="43" spans="1:11" x14ac:dyDescent="0.25">
      <c r="A43" s="22">
        <v>9115</v>
      </c>
      <c r="B43" s="29">
        <v>46141</v>
      </c>
      <c r="C43" s="23" t="s">
        <v>13</v>
      </c>
      <c r="D43" s="37" t="s">
        <v>43</v>
      </c>
      <c r="E43" s="23" t="s">
        <v>256</v>
      </c>
      <c r="F43" s="31">
        <v>716</v>
      </c>
      <c r="G43" s="31">
        <v>59000</v>
      </c>
      <c r="H43" s="31">
        <f>C_Hung_HP[[#This Row],[ĐƠN GIÁ]]*C_Hung_HP[[#This Row],[SỐ LƯỢNG]]</f>
        <v>42244000</v>
      </c>
      <c r="I43" s="31"/>
      <c r="J43" s="31">
        <f>J42+C_Hung_HP[[#This Row],[THÀNH TIỀN]]-C_Hung_HP[[#This Row],[THANH TOÁN]]</f>
        <v>1082499737</v>
      </c>
      <c r="K43" s="24"/>
    </row>
    <row r="44" spans="1:11" x14ac:dyDescent="0.25">
      <c r="A44" s="22">
        <v>9115</v>
      </c>
      <c r="B44" s="29">
        <v>46141</v>
      </c>
      <c r="C44" s="23" t="s">
        <v>13</v>
      </c>
      <c r="D44" s="37" t="s">
        <v>43</v>
      </c>
      <c r="E44" s="23" t="s">
        <v>148</v>
      </c>
      <c r="F44" s="31">
        <v>1312</v>
      </c>
      <c r="G44" s="31">
        <v>59000</v>
      </c>
      <c r="H44" s="31">
        <f>C_Hung_HP[[#This Row],[ĐƠN GIÁ]]*C_Hung_HP[[#This Row],[SỐ LƯỢNG]]</f>
        <v>77408000</v>
      </c>
      <c r="I44" s="31"/>
      <c r="J44" s="31">
        <f>J43+C_Hung_HP[[#This Row],[THÀNH TIỀN]]-C_Hung_HP[[#This Row],[THANH TOÁN]]</f>
        <v>1159907737</v>
      </c>
      <c r="K44" s="24"/>
    </row>
    <row r="45" spans="1:11" x14ac:dyDescent="0.25">
      <c r="A45" s="22">
        <v>9208</v>
      </c>
      <c r="B45" s="29">
        <v>46148</v>
      </c>
      <c r="C45" s="23" t="s">
        <v>13</v>
      </c>
      <c r="D45" s="37" t="s">
        <v>43</v>
      </c>
      <c r="E45" s="23" t="s">
        <v>62</v>
      </c>
      <c r="F45" s="31">
        <v>1499</v>
      </c>
      <c r="G45" s="31">
        <v>62000</v>
      </c>
      <c r="H45" s="31">
        <f>C_Hung_HP[[#This Row],[ĐƠN GIÁ]]*C_Hung_HP[[#This Row],[SỐ LƯỢNG]]</f>
        <v>92938000</v>
      </c>
      <c r="I45" s="31"/>
      <c r="J45" s="31">
        <f>J44+C_Hung_HP[[#This Row],[THÀNH TIỀN]]-C_Hung_HP[[#This Row],[THANH TOÁN]]</f>
        <v>1252845737</v>
      </c>
      <c r="K45" s="24"/>
    </row>
    <row r="46" spans="1:11" x14ac:dyDescent="0.25">
      <c r="A46" s="22"/>
      <c r="B46" s="29">
        <v>46148</v>
      </c>
      <c r="C46" s="23" t="s">
        <v>21</v>
      </c>
      <c r="D46" s="37" t="s">
        <v>24</v>
      </c>
      <c r="E46" s="23"/>
      <c r="F46" s="31">
        <v>0</v>
      </c>
      <c r="G46" s="31"/>
      <c r="H46" s="31">
        <f>C_Hung_HP[[#This Row],[ĐƠN GIÁ]]*C_Hung_HP[[#This Row],[SỐ LƯỢNG]]</f>
        <v>0</v>
      </c>
      <c r="I46" s="31">
        <v>155050000</v>
      </c>
      <c r="J46" s="31">
        <f>J45+C_Hung_HP[[#This Row],[THÀNH TIỀN]]-C_Hung_HP[[#This Row],[THANH TOÁN]]</f>
        <v>1097795737</v>
      </c>
      <c r="K46" s="24"/>
    </row>
    <row r="47" spans="1:11" x14ac:dyDescent="0.25">
      <c r="A47" s="25"/>
      <c r="B47" s="30">
        <v>46157</v>
      </c>
      <c r="C47" s="23" t="s">
        <v>21</v>
      </c>
      <c r="D47" s="37" t="s">
        <v>22</v>
      </c>
      <c r="E47" s="23" t="s">
        <v>147</v>
      </c>
      <c r="F47" s="31">
        <v>0</v>
      </c>
      <c r="G47" s="28"/>
      <c r="H47" s="28">
        <f>C_Hung_HP[[#This Row],[ĐƠN GIÁ]]*C_Hung_HP[[#This Row],[SỐ LƯỢNG]]</f>
        <v>0</v>
      </c>
      <c r="I47" s="28">
        <v>167574534</v>
      </c>
      <c r="J47" s="28">
        <f>J46+C_Hung_HP[[#This Row],[THÀNH TIỀN]]-C_Hung_HP[[#This Row],[THANH TOÁN]]</f>
        <v>930221203</v>
      </c>
      <c r="K47" s="27"/>
    </row>
    <row r="48" spans="1:11" x14ac:dyDescent="0.25">
      <c r="A48" s="22"/>
      <c r="B48" s="29">
        <v>46161</v>
      </c>
      <c r="C48" s="23" t="s">
        <v>21</v>
      </c>
      <c r="D48" s="37" t="s">
        <v>22</v>
      </c>
      <c r="E48" s="23" t="s">
        <v>147</v>
      </c>
      <c r="F48" s="31">
        <v>0</v>
      </c>
      <c r="G48" s="31"/>
      <c r="H48" s="31">
        <f>C_Hung_HP[[#This Row],[ĐƠN GIÁ]]*C_Hung_HP[[#This Row],[SỐ LƯỢNG]]</f>
        <v>0</v>
      </c>
      <c r="I48" s="31">
        <v>150000000</v>
      </c>
      <c r="J48" s="31">
        <f>J47+C_Hung_HP[[#This Row],[THÀNH TIỀN]]-C_Hung_HP[[#This Row],[THANH TOÁN]]</f>
        <v>780221203</v>
      </c>
      <c r="K48" s="24"/>
    </row>
    <row r="49" spans="1:11" x14ac:dyDescent="0.25">
      <c r="A49" s="22">
        <v>9570</v>
      </c>
      <c r="B49" s="29">
        <v>46165</v>
      </c>
      <c r="C49" s="23" t="s">
        <v>13</v>
      </c>
      <c r="D49" s="37" t="s">
        <v>43</v>
      </c>
      <c r="E49" s="23" t="s">
        <v>2314</v>
      </c>
      <c r="F49" s="31">
        <v>4921</v>
      </c>
      <c r="G49" s="31">
        <v>63000</v>
      </c>
      <c r="H49" s="31">
        <f>C_Hung_HP[[#This Row],[ĐƠN GIÁ]]*C_Hung_HP[[#This Row],[SỐ LƯỢNG]]</f>
        <v>310023000</v>
      </c>
      <c r="I49" s="31"/>
      <c r="J49" s="31">
        <f>J48+C_Hung_HP[[#This Row],[THÀNH TIỀN]]-C_Hung_HP[[#This Row],[THANH TOÁN]]</f>
        <v>1090244203</v>
      </c>
      <c r="K49" s="24"/>
    </row>
    <row r="50" spans="1:11" x14ac:dyDescent="0.25">
      <c r="A50" s="22">
        <v>9690</v>
      </c>
      <c r="B50" s="29">
        <v>46171</v>
      </c>
      <c r="C50" s="23" t="s">
        <v>13</v>
      </c>
      <c r="D50" s="37" t="s">
        <v>75</v>
      </c>
      <c r="E50" s="23" t="s">
        <v>146</v>
      </c>
      <c r="F50" s="31">
        <v>728</v>
      </c>
      <c r="G50" s="31">
        <v>37500</v>
      </c>
      <c r="H50" s="31">
        <f>C_Hung_HP[[#This Row],[ĐƠN GIÁ]]*C_Hung_HP[[#This Row],[SỐ LƯỢNG]]</f>
        <v>27300000</v>
      </c>
      <c r="I50" s="31"/>
      <c r="J50" s="31">
        <f>J49+C_Hung_HP[[#This Row],[THÀNH TIỀN]]-C_Hung_HP[[#This Row],[THANH TOÁN]]</f>
        <v>1117544203</v>
      </c>
      <c r="K50" s="24"/>
    </row>
    <row r="51" spans="1:11" x14ac:dyDescent="0.25">
      <c r="A51" s="22">
        <v>9690</v>
      </c>
      <c r="B51" s="29">
        <v>46171</v>
      </c>
      <c r="C51" s="23" t="s">
        <v>426</v>
      </c>
      <c r="D51" s="37" t="s">
        <v>43</v>
      </c>
      <c r="E51" s="23" t="s">
        <v>62</v>
      </c>
      <c r="F51" s="31">
        <v>917</v>
      </c>
      <c r="G51" s="31">
        <v>-62000</v>
      </c>
      <c r="H51" s="31">
        <f>C_Hung_HP[[#This Row],[ĐƠN GIÁ]]*C_Hung_HP[[#This Row],[SỐ LƯỢNG]]</f>
        <v>-56854000</v>
      </c>
      <c r="I51" s="31"/>
      <c r="J51" s="31">
        <f>J50+C_Hung_HP[[#This Row],[THÀNH TIỀN]]-C_Hung_HP[[#This Row],[THANH TOÁN]]</f>
        <v>1060690203</v>
      </c>
      <c r="K51" s="24"/>
    </row>
    <row r="52" spans="1:11" x14ac:dyDescent="0.25">
      <c r="A52" s="22"/>
      <c r="B52" s="29">
        <v>46170</v>
      </c>
      <c r="C52" s="23" t="s">
        <v>21</v>
      </c>
      <c r="D52" s="37" t="s">
        <v>22</v>
      </c>
      <c r="E52" s="23" t="s">
        <v>147</v>
      </c>
      <c r="F52" s="31">
        <v>0</v>
      </c>
      <c r="G52" s="31"/>
      <c r="H52" s="31">
        <f>C_Hung_HP[[#This Row],[ĐƠN GIÁ]]*C_Hung_HP[[#This Row],[SỐ LƯỢNG]]</f>
        <v>0</v>
      </c>
      <c r="I52" s="31">
        <v>119835088</v>
      </c>
      <c r="J52" s="31">
        <f>J51+C_Hung_HP[[#This Row],[THÀNH TIỀN]]-C_Hung_HP[[#This Row],[THANH TOÁN]]</f>
        <v>940855115</v>
      </c>
      <c r="K52" s="24"/>
    </row>
    <row r="53" spans="1:11" x14ac:dyDescent="0.25">
      <c r="A53" s="22">
        <v>9754</v>
      </c>
      <c r="B53" s="29">
        <v>46175</v>
      </c>
      <c r="C53" s="23" t="s">
        <v>13</v>
      </c>
      <c r="D53" s="37" t="s">
        <v>50</v>
      </c>
      <c r="E53" s="23" t="s">
        <v>2552</v>
      </c>
      <c r="F53" s="31">
        <v>1744</v>
      </c>
      <c r="G53" s="31">
        <v>62000</v>
      </c>
      <c r="H53" s="31">
        <f>C_Hung_HP[[#This Row],[ĐƠN GIÁ]]*C_Hung_HP[[#This Row],[SỐ LƯỢNG]]</f>
        <v>108128000</v>
      </c>
      <c r="I53" s="31"/>
      <c r="J53" s="31">
        <f>J52+C_Hung_HP[[#This Row],[THÀNH TIỀN]]-C_Hung_HP[[#This Row],[THANH TOÁN]]</f>
        <v>1048983115</v>
      </c>
      <c r="K53" s="24"/>
    </row>
    <row r="54" spans="1:11" x14ac:dyDescent="0.25">
      <c r="A54" s="22"/>
      <c r="B54" s="29">
        <v>46177</v>
      </c>
      <c r="C54" s="23" t="s">
        <v>21</v>
      </c>
      <c r="D54" s="37" t="s">
        <v>22</v>
      </c>
      <c r="E54" s="23" t="s">
        <v>147</v>
      </c>
      <c r="F54" s="31">
        <v>0</v>
      </c>
      <c r="G54" s="31"/>
      <c r="H54" s="31">
        <f>C_Hung_HP[[#This Row],[ĐƠN GIÁ]]*C_Hung_HP[[#This Row],[SỐ LƯỢNG]]</f>
        <v>0</v>
      </c>
      <c r="I54" s="31">
        <v>154815383</v>
      </c>
      <c r="J54" s="31">
        <f>J53+C_Hung_HP[[#This Row],[THÀNH TIỀN]]-C_Hung_HP[[#This Row],[THANH TOÁN]]</f>
        <v>894167732</v>
      </c>
      <c r="K54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A1353F-7D0D-4902-85D9-2FD66228AC35}">
  <sheetPr codeName="Sheet49"/>
  <dimension ref="A5:K37"/>
  <sheetViews>
    <sheetView topLeftCell="A8" workbookViewId="0">
      <selection activeCell="F34" sqref="F34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1327726854</v>
      </c>
    </row>
    <row r="6" spans="1:11" ht="22.5" x14ac:dyDescent="0.25">
      <c r="D6" s="34" t="s">
        <v>905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C_Thuyen_Cty_Gia_Hung[[#This Row],[ĐƠN GIÁ]]*C_Thuyen_Cty_Gia_Hung[[#This Row],[SỐ LƯỢNG]]</f>
        <v>0</v>
      </c>
      <c r="I10" s="31"/>
      <c r="J10" s="31">
        <v>26489745</v>
      </c>
      <c r="K10" s="24"/>
    </row>
    <row r="11" spans="1:11" x14ac:dyDescent="0.25">
      <c r="A11" s="22">
        <v>7839</v>
      </c>
      <c r="B11" s="29">
        <v>46085</v>
      </c>
      <c r="C11" s="23" t="s">
        <v>13</v>
      </c>
      <c r="D11" s="37" t="s">
        <v>17</v>
      </c>
      <c r="E11" s="23" t="s">
        <v>230</v>
      </c>
      <c r="F11" s="31">
        <v>613</v>
      </c>
      <c r="G11" s="31">
        <v>61000</v>
      </c>
      <c r="H11" s="31">
        <f>C_Thuyen_Cty_Gia_Hung[[#This Row],[ĐƠN GIÁ]]*C_Thuyen_Cty_Gia_Hung[[#This Row],[SỐ LƯỢNG]]</f>
        <v>37393000</v>
      </c>
      <c r="I11" s="31"/>
      <c r="J11" s="31">
        <f>J10+C_Thuyen_Cty_Gia_Hung[[#This Row],[THÀNH TIỀN]]-C_Thuyen_Cty_Gia_Hung[[#This Row],[THANH TOÁN]]</f>
        <v>63882745</v>
      </c>
      <c r="K11" s="24"/>
    </row>
    <row r="12" spans="1:11" x14ac:dyDescent="0.25">
      <c r="A12" s="22">
        <v>7937</v>
      </c>
      <c r="B12" s="29">
        <v>46088</v>
      </c>
      <c r="C12" s="23" t="s">
        <v>13</v>
      </c>
      <c r="D12" s="37" t="s">
        <v>26</v>
      </c>
      <c r="E12" s="23" t="s">
        <v>230</v>
      </c>
      <c r="F12" s="31">
        <v>966</v>
      </c>
      <c r="G12" s="31">
        <v>36000</v>
      </c>
      <c r="H12" s="31">
        <f>C_Thuyen_Cty_Gia_Hung[[#This Row],[ĐƠN GIÁ]]*C_Thuyen_Cty_Gia_Hung[[#This Row],[SỐ LƯỢNG]]</f>
        <v>34776000</v>
      </c>
      <c r="I12" s="31"/>
      <c r="J12" s="31">
        <f>J11+C_Thuyen_Cty_Gia_Hung[[#This Row],[THÀNH TIỀN]]-C_Thuyen_Cty_Gia_Hung[[#This Row],[THANH TOÁN]]</f>
        <v>98658745</v>
      </c>
      <c r="K12" s="24"/>
    </row>
    <row r="13" spans="1:11" x14ac:dyDescent="0.25">
      <c r="A13" s="25">
        <v>7977</v>
      </c>
      <c r="B13" s="30">
        <v>46091</v>
      </c>
      <c r="C13" s="26" t="s">
        <v>13</v>
      </c>
      <c r="D13" s="38" t="s">
        <v>17</v>
      </c>
      <c r="E13" s="26" t="s">
        <v>211</v>
      </c>
      <c r="F13" s="28">
        <f>2654-20</f>
        <v>2634</v>
      </c>
      <c r="G13" s="28">
        <v>64000</v>
      </c>
      <c r="H13" s="28">
        <f>C_Thuyen_Cty_Gia_Hung[[#This Row],[ĐƠN GIÁ]]*C_Thuyen_Cty_Gia_Hung[[#This Row],[SỐ LƯỢNG]]</f>
        <v>168576000</v>
      </c>
      <c r="I13" s="28"/>
      <c r="J13" s="28">
        <f>J12+C_Thuyen_Cty_Gia_Hung[[#This Row],[THÀNH TIỀN]]-C_Thuyen_Cty_Gia_Hung[[#This Row],[THANH TOÁN]]</f>
        <v>267234745</v>
      </c>
      <c r="K13" s="27"/>
    </row>
    <row r="14" spans="1:11" x14ac:dyDescent="0.25">
      <c r="A14" s="25">
        <v>7977</v>
      </c>
      <c r="B14" s="30">
        <v>46091</v>
      </c>
      <c r="C14" s="26" t="s">
        <v>13</v>
      </c>
      <c r="D14" s="38" t="s">
        <v>43</v>
      </c>
      <c r="E14" s="26" t="s">
        <v>689</v>
      </c>
      <c r="F14" s="28">
        <f>960+740</f>
        <v>1700</v>
      </c>
      <c r="G14" s="28">
        <v>58000</v>
      </c>
      <c r="H14" s="28">
        <f>C_Thuyen_Cty_Gia_Hung[[#This Row],[ĐƠN GIÁ]]*C_Thuyen_Cty_Gia_Hung[[#This Row],[SỐ LƯỢNG]]</f>
        <v>98600000</v>
      </c>
      <c r="I14" s="28"/>
      <c r="J14" s="28">
        <f>J13+C_Thuyen_Cty_Gia_Hung[[#This Row],[THÀNH TIỀN]]-C_Thuyen_Cty_Gia_Hung[[#This Row],[THANH TOÁN]]</f>
        <v>365834745</v>
      </c>
      <c r="K14" s="27"/>
    </row>
    <row r="15" spans="1:11" x14ac:dyDescent="0.25">
      <c r="A15" s="25"/>
      <c r="B15" s="30">
        <v>46101</v>
      </c>
      <c r="C15" s="26" t="s">
        <v>21</v>
      </c>
      <c r="D15" s="38" t="s">
        <v>22</v>
      </c>
      <c r="E15" s="26" t="s">
        <v>83</v>
      </c>
      <c r="F15" s="28">
        <v>0</v>
      </c>
      <c r="G15" s="28">
        <v>0</v>
      </c>
      <c r="H15" s="28">
        <f>C_Thuyen_Cty_Gia_Hung[[#This Row],[ĐƠN GIÁ]]*C_Thuyen_Cty_Gia_Hung[[#This Row],[SỐ LƯỢNG]]</f>
        <v>0</v>
      </c>
      <c r="I15" s="28">
        <v>26480000</v>
      </c>
      <c r="J15" s="28">
        <f>J14+C_Thuyen_Cty_Gia_Hung[[#This Row],[THÀNH TIỀN]]-C_Thuyen_Cty_Gia_Hung[[#This Row],[THANH TOÁN]]</f>
        <v>339354745</v>
      </c>
      <c r="K15" s="27"/>
    </row>
    <row r="16" spans="1:11" x14ac:dyDescent="0.25">
      <c r="A16" s="22"/>
      <c r="B16" s="29">
        <v>46115</v>
      </c>
      <c r="C16" s="23" t="s">
        <v>21</v>
      </c>
      <c r="D16" s="37" t="s">
        <v>22</v>
      </c>
      <c r="E16" s="23" t="s">
        <v>83</v>
      </c>
      <c r="F16" s="31">
        <v>0</v>
      </c>
      <c r="G16" s="31"/>
      <c r="H16" s="31">
        <f>C_Thuyen_Cty_Gia_Hung[[#This Row],[ĐƠN GIÁ]]*C_Thuyen_Cty_Gia_Hung[[#This Row],[SỐ LƯỢNG]]</f>
        <v>0</v>
      </c>
      <c r="I16" s="31">
        <v>50000000</v>
      </c>
      <c r="J16" s="31">
        <f>J15+C_Thuyen_Cty_Gia_Hung[[#This Row],[THÀNH TIỀN]]-C_Thuyen_Cty_Gia_Hung[[#This Row],[THANH TOÁN]]</f>
        <v>289354745</v>
      </c>
      <c r="K16" s="24"/>
    </row>
    <row r="17" spans="1:11" x14ac:dyDescent="0.25">
      <c r="A17" s="22">
        <v>8610</v>
      </c>
      <c r="B17" s="29">
        <v>46119</v>
      </c>
      <c r="C17" s="23" t="s">
        <v>13</v>
      </c>
      <c r="D17" s="37" t="s">
        <v>43</v>
      </c>
      <c r="E17" s="23" t="s">
        <v>283</v>
      </c>
      <c r="F17" s="31">
        <v>3046</v>
      </c>
      <c r="G17" s="31">
        <v>57000</v>
      </c>
      <c r="H17" s="31">
        <f>C_Thuyen_Cty_Gia_Hung[[#This Row],[ĐƠN GIÁ]]*C_Thuyen_Cty_Gia_Hung[[#This Row],[SỐ LƯỢNG]]</f>
        <v>173622000</v>
      </c>
      <c r="I17" s="31"/>
      <c r="J17" s="31">
        <f>J16+C_Thuyen_Cty_Gia_Hung[[#This Row],[THÀNH TIỀN]]-C_Thuyen_Cty_Gia_Hung[[#This Row],[THANH TOÁN]]</f>
        <v>462976745</v>
      </c>
      <c r="K17" s="24"/>
    </row>
    <row r="18" spans="1:11" x14ac:dyDescent="0.25">
      <c r="A18" s="22"/>
      <c r="B18" s="29">
        <v>46122</v>
      </c>
      <c r="C18" s="23" t="s">
        <v>21</v>
      </c>
      <c r="D18" s="37" t="s">
        <v>22</v>
      </c>
      <c r="E18" s="23" t="s">
        <v>83</v>
      </c>
      <c r="F18" s="31">
        <v>0</v>
      </c>
      <c r="G18" s="31"/>
      <c r="H18" s="31">
        <f>C_Thuyen_Cty_Gia_Hung[[#This Row],[ĐƠN GIÁ]]*C_Thuyen_Cty_Gia_Hung[[#This Row],[SỐ LƯỢNG]]</f>
        <v>0</v>
      </c>
      <c r="I18" s="31">
        <v>50000000</v>
      </c>
      <c r="J18" s="31">
        <f>J17+C_Thuyen_Cty_Gia_Hung[[#This Row],[THÀNH TIỀN]]-C_Thuyen_Cty_Gia_Hung[[#This Row],[THANH TOÁN]]</f>
        <v>412976745</v>
      </c>
      <c r="K18" s="24"/>
    </row>
    <row r="19" spans="1:11" x14ac:dyDescent="0.25">
      <c r="A19" s="22">
        <v>8735</v>
      </c>
      <c r="B19" s="29">
        <v>46125</v>
      </c>
      <c r="C19" s="23" t="s">
        <v>13</v>
      </c>
      <c r="D19" s="37" t="s">
        <v>14</v>
      </c>
      <c r="E19" s="23" t="s">
        <v>78</v>
      </c>
      <c r="F19" s="31">
        <v>1470</v>
      </c>
      <c r="G19" s="31">
        <v>45000</v>
      </c>
      <c r="H19" s="31">
        <f>C_Thuyen_Cty_Gia_Hung[[#This Row],[ĐƠN GIÁ]]*C_Thuyen_Cty_Gia_Hung[[#This Row],[SỐ LƯỢNG]]</f>
        <v>66150000</v>
      </c>
      <c r="I19" s="31"/>
      <c r="J19" s="31">
        <f>J18+C_Thuyen_Cty_Gia_Hung[[#This Row],[THÀNH TIỀN]]-C_Thuyen_Cty_Gia_Hung[[#This Row],[THANH TOÁN]]</f>
        <v>479126745</v>
      </c>
      <c r="K19" s="24"/>
    </row>
    <row r="20" spans="1:11" x14ac:dyDescent="0.25">
      <c r="A20" s="22">
        <v>8735</v>
      </c>
      <c r="B20" s="29">
        <v>46125</v>
      </c>
      <c r="C20" s="23" t="s">
        <v>13</v>
      </c>
      <c r="D20" s="37" t="s">
        <v>14</v>
      </c>
      <c r="E20" s="23" t="s">
        <v>136</v>
      </c>
      <c r="F20" s="31">
        <v>1064</v>
      </c>
      <c r="G20" s="31">
        <v>41500</v>
      </c>
      <c r="H20" s="31">
        <f>C_Thuyen_Cty_Gia_Hung[[#This Row],[ĐƠN GIÁ]]*C_Thuyen_Cty_Gia_Hung[[#This Row],[SỐ LƯỢNG]]</f>
        <v>44156000</v>
      </c>
      <c r="I20" s="31"/>
      <c r="J20" s="31">
        <f>J19+C_Thuyen_Cty_Gia_Hung[[#This Row],[THÀNH TIỀN]]-C_Thuyen_Cty_Gia_Hung[[#This Row],[THANH TOÁN]]</f>
        <v>523282745</v>
      </c>
      <c r="K20" s="24"/>
    </row>
    <row r="21" spans="1:11" x14ac:dyDescent="0.25">
      <c r="A21" s="22">
        <v>8786</v>
      </c>
      <c r="B21" s="29">
        <v>46127</v>
      </c>
      <c r="C21" s="23" t="s">
        <v>13</v>
      </c>
      <c r="D21" s="37" t="s">
        <v>14</v>
      </c>
      <c r="E21" s="23" t="s">
        <v>40</v>
      </c>
      <c r="F21" s="31">
        <v>1066</v>
      </c>
      <c r="G21" s="31">
        <v>47000</v>
      </c>
      <c r="H21" s="31">
        <f>C_Thuyen_Cty_Gia_Hung[[#This Row],[ĐƠN GIÁ]]*C_Thuyen_Cty_Gia_Hung[[#This Row],[SỐ LƯỢNG]]</f>
        <v>50102000</v>
      </c>
      <c r="I21" s="31"/>
      <c r="J21" s="31">
        <f>J20+C_Thuyen_Cty_Gia_Hung[[#This Row],[THÀNH TIỀN]]-C_Thuyen_Cty_Gia_Hung[[#This Row],[THANH TOÁN]]</f>
        <v>573384745</v>
      </c>
      <c r="K21" s="24"/>
    </row>
    <row r="22" spans="1:11" x14ac:dyDescent="0.25">
      <c r="A22" s="22"/>
      <c r="B22" s="29">
        <v>46128</v>
      </c>
      <c r="C22" s="23" t="s">
        <v>21</v>
      </c>
      <c r="D22" s="37" t="s">
        <v>22</v>
      </c>
      <c r="E22" s="23" t="s">
        <v>83</v>
      </c>
      <c r="F22" s="31">
        <v>0</v>
      </c>
      <c r="G22" s="31"/>
      <c r="H22" s="31">
        <f>C_Thuyen_Cty_Gia_Hung[[#This Row],[ĐƠN GIÁ]]*C_Thuyen_Cty_Gia_Hung[[#This Row],[SỐ LƯỢNG]]</f>
        <v>0</v>
      </c>
      <c r="I22" s="31">
        <v>80000000</v>
      </c>
      <c r="J22" s="31">
        <f>J21+C_Thuyen_Cty_Gia_Hung[[#This Row],[THÀNH TIỀN]]-C_Thuyen_Cty_Gia_Hung[[#This Row],[THANH TOÁN]]</f>
        <v>493384745</v>
      </c>
      <c r="K22" s="24"/>
    </row>
    <row r="23" spans="1:11" x14ac:dyDescent="0.25">
      <c r="A23" s="22">
        <v>8978</v>
      </c>
      <c r="B23" s="29">
        <v>46136</v>
      </c>
      <c r="C23" s="23" t="s">
        <v>13</v>
      </c>
      <c r="D23" s="37" t="s">
        <v>43</v>
      </c>
      <c r="E23" s="23" t="s">
        <v>148</v>
      </c>
      <c r="F23" s="31">
        <v>6878</v>
      </c>
      <c r="G23" s="31">
        <v>60500</v>
      </c>
      <c r="H23" s="31">
        <f>C_Thuyen_Cty_Gia_Hung[[#This Row],[ĐƠN GIÁ]]*C_Thuyen_Cty_Gia_Hung[[#This Row],[SỐ LƯỢNG]]</f>
        <v>416119000</v>
      </c>
      <c r="I23" s="31"/>
      <c r="J23" s="31">
        <f>J22+C_Thuyen_Cty_Gia_Hung[[#This Row],[THÀNH TIỀN]]-C_Thuyen_Cty_Gia_Hung[[#This Row],[THANH TOÁN]]</f>
        <v>909503745</v>
      </c>
      <c r="K23" s="24"/>
    </row>
    <row r="24" spans="1:11" x14ac:dyDescent="0.25">
      <c r="A24" s="22">
        <v>8978</v>
      </c>
      <c r="B24" s="29">
        <v>46136</v>
      </c>
      <c r="C24" s="23" t="s">
        <v>13</v>
      </c>
      <c r="D24" s="37" t="s">
        <v>43</v>
      </c>
      <c r="E24" s="23" t="s">
        <v>148</v>
      </c>
      <c r="F24" s="31">
        <v>5257</v>
      </c>
      <c r="G24" s="31">
        <v>60500</v>
      </c>
      <c r="H24" s="31">
        <f>C_Thuyen_Cty_Gia_Hung[[#This Row],[ĐƠN GIÁ]]*C_Thuyen_Cty_Gia_Hung[[#This Row],[SỐ LƯỢNG]]</f>
        <v>318048500</v>
      </c>
      <c r="I24" s="31"/>
      <c r="J24" s="31">
        <f>J23+C_Thuyen_Cty_Gia_Hung[[#This Row],[THÀNH TIỀN]]-C_Thuyen_Cty_Gia_Hung[[#This Row],[THANH TOÁN]]</f>
        <v>1227552245</v>
      </c>
      <c r="K24" s="24"/>
    </row>
    <row r="25" spans="1:11" x14ac:dyDescent="0.25">
      <c r="A25" s="22">
        <v>8980</v>
      </c>
      <c r="B25" s="29">
        <v>46136</v>
      </c>
      <c r="C25" s="23" t="s">
        <v>13</v>
      </c>
      <c r="D25" s="37" t="s">
        <v>43</v>
      </c>
      <c r="E25" s="23" t="s">
        <v>148</v>
      </c>
      <c r="F25" s="31">
        <v>5242</v>
      </c>
      <c r="G25" s="31">
        <v>60500</v>
      </c>
      <c r="H25" s="31">
        <f>C_Thuyen_Cty_Gia_Hung[[#This Row],[ĐƠN GIÁ]]*C_Thuyen_Cty_Gia_Hung[[#This Row],[SỐ LƯỢNG]]</f>
        <v>317141000</v>
      </c>
      <c r="I25" s="31"/>
      <c r="J25" s="31">
        <f>J24+C_Thuyen_Cty_Gia_Hung[[#This Row],[THÀNH TIỀN]]-C_Thuyen_Cty_Gia_Hung[[#This Row],[THANH TOÁN]]</f>
        <v>1544693245</v>
      </c>
      <c r="K25" s="24"/>
    </row>
    <row r="26" spans="1:11" x14ac:dyDescent="0.25">
      <c r="A26" s="22"/>
      <c r="B26" s="29">
        <v>46136</v>
      </c>
      <c r="C26" s="23" t="s">
        <v>21</v>
      </c>
      <c r="D26" s="37" t="s">
        <v>22</v>
      </c>
      <c r="E26" s="23" t="s">
        <v>261</v>
      </c>
      <c r="F26" s="31">
        <v>0</v>
      </c>
      <c r="G26" s="31"/>
      <c r="H26" s="31">
        <f>C_Thuyen_Cty_Gia_Hung[[#This Row],[ĐƠN GIÁ]]*C_Thuyen_Cty_Gia_Hung[[#This Row],[SỐ LƯỢNG]]</f>
        <v>0</v>
      </c>
      <c r="I26" s="31">
        <v>70000000</v>
      </c>
      <c r="J26" s="31">
        <f>J25+C_Thuyen_Cty_Gia_Hung[[#This Row],[THÀNH TIỀN]]-C_Thuyen_Cty_Gia_Hung[[#This Row],[THANH TOÁN]]</f>
        <v>1474693245</v>
      </c>
      <c r="K26" s="24"/>
    </row>
    <row r="27" spans="1:11" x14ac:dyDescent="0.25">
      <c r="A27" s="22">
        <v>9019</v>
      </c>
      <c r="B27" s="29">
        <v>46137</v>
      </c>
      <c r="C27" s="23" t="s">
        <v>13</v>
      </c>
      <c r="D27" s="37" t="s">
        <v>43</v>
      </c>
      <c r="E27" s="23" t="s">
        <v>203</v>
      </c>
      <c r="F27" s="31">
        <v>2934</v>
      </c>
      <c r="G27" s="31">
        <v>61000</v>
      </c>
      <c r="H27" s="31">
        <f>C_Thuyen_Cty_Gia_Hung[[#This Row],[ĐƠN GIÁ]]*C_Thuyen_Cty_Gia_Hung[[#This Row],[SỐ LƯỢNG]]</f>
        <v>178974000</v>
      </c>
      <c r="I27" s="31"/>
      <c r="J27" s="31">
        <f>J26+C_Thuyen_Cty_Gia_Hung[[#This Row],[THÀNH TIỀN]]-C_Thuyen_Cty_Gia_Hung[[#This Row],[THANH TOÁN]]</f>
        <v>1653667245</v>
      </c>
      <c r="K27" s="24"/>
    </row>
    <row r="28" spans="1:11" x14ac:dyDescent="0.25">
      <c r="A28" s="22"/>
      <c r="B28" s="29">
        <v>46141</v>
      </c>
      <c r="C28" s="23" t="s">
        <v>21</v>
      </c>
      <c r="D28" s="37" t="s">
        <v>22</v>
      </c>
      <c r="E28" s="23" t="s">
        <v>261</v>
      </c>
      <c r="F28" s="31">
        <v>0</v>
      </c>
      <c r="G28" s="31"/>
      <c r="H28" s="31">
        <f>C_Thuyen_Cty_Gia_Hung[[#This Row],[ĐƠN GIÁ]]*C_Thuyen_Cty_Gia_Hung[[#This Row],[SỐ LƯỢNG]]</f>
        <v>0</v>
      </c>
      <c r="I28" s="31">
        <v>100000000</v>
      </c>
      <c r="J28" s="31">
        <f>J27+C_Thuyen_Cty_Gia_Hung[[#This Row],[THÀNH TIỀN]]-C_Thuyen_Cty_Gia_Hung[[#This Row],[THANH TOÁN]]</f>
        <v>1553667245</v>
      </c>
      <c r="K28" s="24"/>
    </row>
    <row r="29" spans="1:11" x14ac:dyDescent="0.25">
      <c r="A29" s="22">
        <v>9145</v>
      </c>
      <c r="B29" s="29">
        <v>46146</v>
      </c>
      <c r="C29" s="23" t="s">
        <v>13</v>
      </c>
      <c r="D29" s="37" t="s">
        <v>43</v>
      </c>
      <c r="E29" s="23" t="s">
        <v>283</v>
      </c>
      <c r="F29" s="31">
        <v>1450</v>
      </c>
      <c r="G29" s="31">
        <v>59500</v>
      </c>
      <c r="H29" s="31">
        <f>C_Thuyen_Cty_Gia_Hung[[#This Row],[ĐƠN GIÁ]]*C_Thuyen_Cty_Gia_Hung[[#This Row],[SỐ LƯỢNG]]</f>
        <v>86275000</v>
      </c>
      <c r="I29" s="31"/>
      <c r="J29" s="31">
        <f>J28+C_Thuyen_Cty_Gia_Hung[[#This Row],[THÀNH TIỀN]]-C_Thuyen_Cty_Gia_Hung[[#This Row],[THANH TOÁN]]</f>
        <v>1639942245</v>
      </c>
      <c r="K29" s="24"/>
    </row>
    <row r="30" spans="1:11" x14ac:dyDescent="0.25">
      <c r="A30" s="22"/>
      <c r="B30" s="29">
        <v>46150</v>
      </c>
      <c r="C30" s="23" t="s">
        <v>21</v>
      </c>
      <c r="D30" s="37" t="s">
        <v>22</v>
      </c>
      <c r="E30" s="23" t="s">
        <v>261</v>
      </c>
      <c r="F30" s="31">
        <v>0</v>
      </c>
      <c r="G30" s="31"/>
      <c r="H30" s="31">
        <f>C_Thuyen_Cty_Gia_Hung[[#This Row],[ĐƠN GIÁ]]*C_Thuyen_Cty_Gia_Hung[[#This Row],[SỐ LƯỢNG]]</f>
        <v>0</v>
      </c>
      <c r="I30" s="31">
        <v>80000000</v>
      </c>
      <c r="J30" s="31">
        <f>J29+C_Thuyen_Cty_Gia_Hung[[#This Row],[THÀNH TIỀN]]-C_Thuyen_Cty_Gia_Hung[[#This Row],[THANH TOÁN]]</f>
        <v>1559942245</v>
      </c>
      <c r="K30" s="24"/>
    </row>
    <row r="31" spans="1:11" x14ac:dyDescent="0.25">
      <c r="A31" s="22"/>
      <c r="B31" s="29">
        <v>46158</v>
      </c>
      <c r="C31" s="23" t="s">
        <v>21</v>
      </c>
      <c r="D31" s="37" t="s">
        <v>22</v>
      </c>
      <c r="E31" s="23" t="s">
        <v>147</v>
      </c>
      <c r="F31" s="31">
        <v>0</v>
      </c>
      <c r="G31" s="31"/>
      <c r="H31" s="31">
        <f>C_Thuyen_Cty_Gia_Hung[[#This Row],[ĐƠN GIÁ]]*C_Thuyen_Cty_Gia_Hung[[#This Row],[SỐ LƯỢNG]]</f>
        <v>0</v>
      </c>
      <c r="I31" s="31">
        <v>100000000</v>
      </c>
      <c r="J31" s="31">
        <f>J30+C_Thuyen_Cty_Gia_Hung[[#This Row],[THÀNH TIỀN]]-C_Thuyen_Cty_Gia_Hung[[#This Row],[THANH TOÁN]]</f>
        <v>1459942245</v>
      </c>
      <c r="K31" s="24"/>
    </row>
    <row r="32" spans="1:11" x14ac:dyDescent="0.25">
      <c r="A32" s="22"/>
      <c r="B32" s="29">
        <v>46164</v>
      </c>
      <c r="C32" s="23" t="s">
        <v>21</v>
      </c>
      <c r="D32" s="37" t="s">
        <v>22</v>
      </c>
      <c r="E32" s="23" t="s">
        <v>261</v>
      </c>
      <c r="F32" s="31">
        <v>0</v>
      </c>
      <c r="G32" s="31"/>
      <c r="H32" s="31">
        <f>C_Thuyen_Cty_Gia_Hung[[#This Row],[ĐƠN GIÁ]]*C_Thuyen_Cty_Gia_Hung[[#This Row],[SỐ LƯỢNG]]</f>
        <v>0</v>
      </c>
      <c r="I32" s="31">
        <v>100000000</v>
      </c>
      <c r="J32" s="31">
        <f>J31+C_Thuyen_Cty_Gia_Hung[[#This Row],[THÀNH TIỀN]]-C_Thuyen_Cty_Gia_Hung[[#This Row],[THANH TOÁN]]</f>
        <v>1359942245</v>
      </c>
      <c r="K32" s="24"/>
    </row>
    <row r="33" spans="1:11" x14ac:dyDescent="0.25">
      <c r="A33" s="22">
        <v>9623</v>
      </c>
      <c r="B33" s="29">
        <v>46168</v>
      </c>
      <c r="C33" s="23" t="s">
        <v>13</v>
      </c>
      <c r="D33" s="37" t="s">
        <v>43</v>
      </c>
      <c r="E33" s="23" t="s">
        <v>271</v>
      </c>
      <c r="F33" s="31">
        <v>1126</v>
      </c>
      <c r="G33" s="31">
        <v>64000</v>
      </c>
      <c r="H33" s="31">
        <f>C_Thuyen_Cty_Gia_Hung[[#This Row],[ĐƠN GIÁ]]*C_Thuyen_Cty_Gia_Hung[[#This Row],[SỐ LƯỢNG]]</f>
        <v>72064000</v>
      </c>
      <c r="I33" s="31"/>
      <c r="J33" s="31">
        <f>J32+C_Thuyen_Cty_Gia_Hung[[#This Row],[THÀNH TIỀN]]-C_Thuyen_Cty_Gia_Hung[[#This Row],[THANH TOÁN]]</f>
        <v>1432006245</v>
      </c>
      <c r="K33" s="24"/>
    </row>
    <row r="34" spans="1:11" x14ac:dyDescent="0.25">
      <c r="A34" s="22"/>
      <c r="B34" s="29">
        <v>46167</v>
      </c>
      <c r="C34" s="23" t="s">
        <v>21</v>
      </c>
      <c r="D34" s="37" t="s">
        <v>22</v>
      </c>
      <c r="E34" s="23" t="s">
        <v>83</v>
      </c>
      <c r="F34" s="31">
        <v>0</v>
      </c>
      <c r="G34" s="31"/>
      <c r="H34" s="31">
        <f>C_Thuyen_Cty_Gia_Hung[[#This Row],[ĐƠN GIÁ]]*C_Thuyen_Cty_Gia_Hung[[#This Row],[SỐ LƯỢNG]]</f>
        <v>0</v>
      </c>
      <c r="I34" s="31">
        <v>173621391</v>
      </c>
      <c r="J34" s="31">
        <f>J33+C_Thuyen_Cty_Gia_Hung[[#This Row],[THÀNH TIỀN]]-C_Thuyen_Cty_Gia_Hung[[#This Row],[THANH TOÁN]]</f>
        <v>1258384854</v>
      </c>
      <c r="K34" s="24"/>
    </row>
    <row r="35" spans="1:11" x14ac:dyDescent="0.25">
      <c r="A35" s="22">
        <v>9713</v>
      </c>
      <c r="B35" s="29">
        <v>46172</v>
      </c>
      <c r="C35" s="23" t="s">
        <v>13</v>
      </c>
      <c r="D35" s="37" t="s">
        <v>43</v>
      </c>
      <c r="E35" s="23" t="s">
        <v>256</v>
      </c>
      <c r="F35" s="31">
        <v>1092</v>
      </c>
      <c r="G35" s="31">
        <v>63500</v>
      </c>
      <c r="H35" s="31">
        <f>C_Thuyen_Cty_Gia_Hung[[#This Row],[ĐƠN GIÁ]]*C_Thuyen_Cty_Gia_Hung[[#This Row],[SỐ LƯỢNG]]</f>
        <v>69342000</v>
      </c>
      <c r="I35" s="31"/>
      <c r="J35" s="31">
        <f>J34+C_Thuyen_Cty_Gia_Hung[[#This Row],[THÀNH TIỀN]]-C_Thuyen_Cty_Gia_Hung[[#This Row],[THANH TOÁN]]</f>
        <v>1327726854</v>
      </c>
      <c r="K35" s="24"/>
    </row>
    <row r="36" spans="1:11" x14ac:dyDescent="0.25">
      <c r="A36" s="22"/>
      <c r="B36" s="29">
        <v>46167</v>
      </c>
      <c r="C36" s="23" t="s">
        <v>21</v>
      </c>
      <c r="D36" s="37" t="s">
        <v>260</v>
      </c>
      <c r="E36" s="23" t="s">
        <v>261</v>
      </c>
      <c r="F36" s="31">
        <v>0</v>
      </c>
      <c r="G36" s="31"/>
      <c r="H36" s="31">
        <f>C_Thuyen_Cty_Gia_Hung[[#This Row],[ĐƠN GIÁ]]*C_Thuyen_Cty_Gia_Hung[[#This Row],[SỐ LƯỢNG]]</f>
        <v>0</v>
      </c>
      <c r="I36" s="31">
        <v>160407214</v>
      </c>
      <c r="J36" s="31">
        <f>J35+C_Thuyen_Cty_Gia_Hung[[#This Row],[THÀNH TIỀN]]-C_Thuyen_Cty_Gia_Hung[[#This Row],[THANH TOÁN]]</f>
        <v>1167319640</v>
      </c>
      <c r="K36" s="24"/>
    </row>
    <row r="37" spans="1:11" x14ac:dyDescent="0.25">
      <c r="A37" s="22"/>
      <c r="B37" s="29">
        <v>46178</v>
      </c>
      <c r="C37" s="23" t="s">
        <v>21</v>
      </c>
      <c r="D37" s="37" t="s">
        <v>22</v>
      </c>
      <c r="E37" s="23" t="s">
        <v>147</v>
      </c>
      <c r="F37" s="31">
        <v>0</v>
      </c>
      <c r="G37" s="31"/>
      <c r="H37" s="31">
        <f>C_Thuyen_Cty_Gia_Hung[[#This Row],[ĐƠN GIÁ]]*C_Thuyen_Cty_Gia_Hung[[#This Row],[SỐ LƯỢNG]]</f>
        <v>0</v>
      </c>
      <c r="I37" s="31">
        <v>100000000</v>
      </c>
      <c r="J37" s="31">
        <f>J36+C_Thuyen_Cty_Gia_Hung[[#This Row],[THÀNH TIỀN]]-C_Thuyen_Cty_Gia_Hung[[#This Row],[THANH TOÁN]]</f>
        <v>1067319640</v>
      </c>
      <c r="K37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AEFA6B-C496-4F3B-A552-E6E2A2440D2A}">
  <sheetPr codeName="Sheet51"/>
  <dimension ref="A5:P42"/>
  <sheetViews>
    <sheetView topLeftCell="A10" workbookViewId="0">
      <selection activeCell="K30" sqref="J30:K30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196742500</v>
      </c>
    </row>
    <row r="6" spans="1:16" ht="22.5" x14ac:dyDescent="0.25">
      <c r="D6" s="34" t="s">
        <v>906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Cty_Dai_Dong[[#This Row],[ĐƠN GIÁ]]*Cty_Dai_Dong[[#This Row],[SỐ LƯỢNG]]</f>
        <v>0</v>
      </c>
      <c r="I10" s="31"/>
      <c r="J10" s="31">
        <v>0</v>
      </c>
      <c r="K10" s="24"/>
    </row>
    <row r="11" spans="1:16" x14ac:dyDescent="0.25">
      <c r="A11" s="22">
        <v>7840</v>
      </c>
      <c r="B11" s="29">
        <v>46085</v>
      </c>
      <c r="C11" s="23" t="s">
        <v>13</v>
      </c>
      <c r="D11" s="37" t="s">
        <v>50</v>
      </c>
      <c r="E11" s="23" t="s">
        <v>907</v>
      </c>
      <c r="F11" s="31">
        <v>998</v>
      </c>
      <c r="G11" s="31">
        <v>58000</v>
      </c>
      <c r="H11" s="31">
        <f>Cty_Dai_Dong[[#This Row],[ĐƠN GIÁ]]*Cty_Dai_Dong[[#This Row],[SỐ LƯỢNG]]</f>
        <v>57884000</v>
      </c>
      <c r="I11" s="31"/>
      <c r="J11" s="31">
        <f>J10+Cty_Dai_Dong[[#This Row],[THÀNH TIỀN]]-Cty_Dai_Dong[[#This Row],[THANH TOÁN]]</f>
        <v>57884000</v>
      </c>
      <c r="K11" s="24"/>
    </row>
    <row r="12" spans="1:16" x14ac:dyDescent="0.25">
      <c r="A12" s="25">
        <v>8040</v>
      </c>
      <c r="B12" s="30">
        <v>46093</v>
      </c>
      <c r="C12" s="26" t="s">
        <v>13</v>
      </c>
      <c r="D12" s="38" t="s">
        <v>150</v>
      </c>
      <c r="E12" s="26" t="s">
        <v>390</v>
      </c>
      <c r="F12" s="28">
        <v>1598</v>
      </c>
      <c r="G12" s="28">
        <v>34000</v>
      </c>
      <c r="H12" s="28">
        <f>Cty_Dai_Dong[[#This Row],[ĐƠN GIÁ]]*Cty_Dai_Dong[[#This Row],[SỐ LƯỢNG]]</f>
        <v>54332000</v>
      </c>
      <c r="I12" s="28"/>
      <c r="J12" s="28">
        <f>J11+Cty_Dai_Dong[[#This Row],[THÀNH TIỀN]]-Cty_Dai_Dong[[#This Row],[THANH TOÁN]]</f>
        <v>112216000</v>
      </c>
      <c r="K12" s="27"/>
    </row>
    <row r="13" spans="1:16" x14ac:dyDescent="0.25">
      <c r="A13" s="25">
        <v>8144</v>
      </c>
      <c r="B13" s="30">
        <v>46098</v>
      </c>
      <c r="C13" s="26" t="s">
        <v>13</v>
      </c>
      <c r="D13" s="38" t="s">
        <v>43</v>
      </c>
      <c r="E13" s="26" t="s">
        <v>136</v>
      </c>
      <c r="F13" s="28">
        <v>737</v>
      </c>
      <c r="G13" s="28">
        <v>57000</v>
      </c>
      <c r="H13" s="28">
        <f>Cty_Dai_Dong[[#This Row],[ĐƠN GIÁ]]*Cty_Dai_Dong[[#This Row],[SỐ LƯỢNG]]</f>
        <v>42009000</v>
      </c>
      <c r="I13" s="28"/>
      <c r="J13" s="28">
        <f>J12+Cty_Dai_Dong[[#This Row],[THÀNH TIỀN]]-Cty_Dai_Dong[[#This Row],[THANH TOÁN]]</f>
        <v>154225000</v>
      </c>
      <c r="K13" s="27"/>
    </row>
    <row r="14" spans="1:16" x14ac:dyDescent="0.25">
      <c r="A14" s="25">
        <v>8144</v>
      </c>
      <c r="B14" s="30">
        <v>46098</v>
      </c>
      <c r="C14" s="26" t="s">
        <v>13</v>
      </c>
      <c r="D14" s="38" t="s">
        <v>43</v>
      </c>
      <c r="E14" s="23" t="s">
        <v>148</v>
      </c>
      <c r="F14" s="31">
        <v>649</v>
      </c>
      <c r="G14" s="31">
        <v>56500</v>
      </c>
      <c r="H14" s="31">
        <f>Cty_Dai_Dong[[#This Row],[ĐƠN GIÁ]]*Cty_Dai_Dong[[#This Row],[SỐ LƯỢNG]]</f>
        <v>36668500</v>
      </c>
      <c r="I14" s="31"/>
      <c r="J14" s="31">
        <f>J13+Cty_Dai_Dong[[#This Row],[THÀNH TIỀN]]-Cty_Dai_Dong[[#This Row],[THANH TOÁN]]</f>
        <v>190893500</v>
      </c>
      <c r="K14" s="24"/>
      <c r="P14" s="35"/>
    </row>
    <row r="15" spans="1:16" x14ac:dyDescent="0.25">
      <c r="A15" s="25">
        <v>8298</v>
      </c>
      <c r="B15" s="30">
        <v>46102</v>
      </c>
      <c r="C15" s="26" t="s">
        <v>13</v>
      </c>
      <c r="D15" s="38" t="s">
        <v>43</v>
      </c>
      <c r="E15" s="26" t="s">
        <v>908</v>
      </c>
      <c r="F15" s="28">
        <v>860</v>
      </c>
      <c r="G15" s="28">
        <v>55000</v>
      </c>
      <c r="H15" s="28">
        <f>Cty_Dai_Dong[[#This Row],[ĐƠN GIÁ]]*Cty_Dai_Dong[[#This Row],[SỐ LƯỢNG]]</f>
        <v>47300000</v>
      </c>
      <c r="I15" s="28"/>
      <c r="J15" s="28">
        <f>J14+Cty_Dai_Dong[[#This Row],[THÀNH TIỀN]]-Cty_Dai_Dong[[#This Row],[THANH TOÁN]]</f>
        <v>238193500</v>
      </c>
      <c r="K15" s="27"/>
    </row>
    <row r="16" spans="1:16" x14ac:dyDescent="0.25">
      <c r="A16" s="25">
        <v>8298</v>
      </c>
      <c r="B16" s="30">
        <v>46102</v>
      </c>
      <c r="C16" s="26" t="s">
        <v>13</v>
      </c>
      <c r="D16" s="38" t="s">
        <v>43</v>
      </c>
      <c r="E16" s="23" t="s">
        <v>78</v>
      </c>
      <c r="F16" s="31">
        <v>120</v>
      </c>
      <c r="G16" s="31">
        <v>64000</v>
      </c>
      <c r="H16" s="31">
        <f>Cty_Dai_Dong[[#This Row],[ĐƠN GIÁ]]*Cty_Dai_Dong[[#This Row],[SỐ LƯỢNG]]</f>
        <v>7680000</v>
      </c>
      <c r="I16" s="31"/>
      <c r="J16" s="31">
        <f>J15+Cty_Dai_Dong[[#This Row],[THÀNH TIỀN]]-Cty_Dai_Dong[[#This Row],[THANH TOÁN]]</f>
        <v>245873500</v>
      </c>
      <c r="K16" s="24"/>
    </row>
    <row r="17" spans="1:11" x14ac:dyDescent="0.25">
      <c r="A17" s="25">
        <v>8298</v>
      </c>
      <c r="B17" s="30">
        <v>46102</v>
      </c>
      <c r="C17" s="26" t="s">
        <v>13</v>
      </c>
      <c r="D17" s="38" t="s">
        <v>43</v>
      </c>
      <c r="E17" s="23" t="s">
        <v>41</v>
      </c>
      <c r="F17" s="31">
        <v>110</v>
      </c>
      <c r="G17" s="31">
        <v>63000</v>
      </c>
      <c r="H17" s="31">
        <f>Cty_Dai_Dong[[#This Row],[ĐƠN GIÁ]]*Cty_Dai_Dong[[#This Row],[SỐ LƯỢNG]]</f>
        <v>6930000</v>
      </c>
      <c r="I17" s="31"/>
      <c r="J17" s="31">
        <f>J16+Cty_Dai_Dong[[#This Row],[THÀNH TIỀN]]-Cty_Dai_Dong[[#This Row],[THANH TOÁN]]</f>
        <v>252803500</v>
      </c>
      <c r="K17" s="24"/>
    </row>
    <row r="18" spans="1:11" x14ac:dyDescent="0.25">
      <c r="A18" s="22">
        <v>670</v>
      </c>
      <c r="B18" s="29">
        <v>46105</v>
      </c>
      <c r="C18" s="23" t="s">
        <v>166</v>
      </c>
      <c r="D18" s="37" t="s">
        <v>43</v>
      </c>
      <c r="E18" s="23" t="s">
        <v>248</v>
      </c>
      <c r="F18" s="31">
        <v>440</v>
      </c>
      <c r="G18" s="31">
        <v>-55000</v>
      </c>
      <c r="H18" s="31">
        <f>Cty_Dai_Dong[[#This Row],[ĐƠN GIÁ]]*Cty_Dai_Dong[[#This Row],[SỐ LƯỢNG]]</f>
        <v>-24200000</v>
      </c>
      <c r="I18" s="31"/>
      <c r="J18" s="31">
        <f>J17+Cty_Dai_Dong[[#This Row],[THÀNH TIỀN]]-Cty_Dai_Dong[[#This Row],[THANH TOÁN]]</f>
        <v>228603500</v>
      </c>
      <c r="K18" s="24"/>
    </row>
    <row r="19" spans="1:11" x14ac:dyDescent="0.25">
      <c r="A19" s="22">
        <v>8504</v>
      </c>
      <c r="B19" s="29">
        <v>46114</v>
      </c>
      <c r="C19" s="23" t="s">
        <v>13</v>
      </c>
      <c r="D19" s="37" t="s">
        <v>103</v>
      </c>
      <c r="E19" s="23" t="s">
        <v>909</v>
      </c>
      <c r="F19" s="31">
        <v>240</v>
      </c>
      <c r="G19" s="31">
        <v>38000</v>
      </c>
      <c r="H19" s="31">
        <f>Cty_Dai_Dong[[#This Row],[ĐƠN GIÁ]]*Cty_Dai_Dong[[#This Row],[SỐ LƯỢNG]]</f>
        <v>9120000</v>
      </c>
      <c r="I19" s="31"/>
      <c r="J19" s="31">
        <f>J18+Cty_Dai_Dong[[#This Row],[THÀNH TIỀN]]-Cty_Dai_Dong[[#This Row],[THANH TOÁN]]</f>
        <v>237723500</v>
      </c>
      <c r="K19" s="24"/>
    </row>
    <row r="20" spans="1:11" x14ac:dyDescent="0.25">
      <c r="A20" s="22">
        <v>8676</v>
      </c>
      <c r="B20" s="29">
        <v>46122</v>
      </c>
      <c r="C20" s="23" t="s">
        <v>13</v>
      </c>
      <c r="D20" s="37" t="s">
        <v>43</v>
      </c>
      <c r="E20" s="23" t="s">
        <v>910</v>
      </c>
      <c r="F20" s="31">
        <v>360</v>
      </c>
      <c r="G20" s="31">
        <v>56000</v>
      </c>
      <c r="H20" s="31">
        <f>Cty_Dai_Dong[[#This Row],[ĐƠN GIÁ]]*Cty_Dai_Dong[[#This Row],[SỐ LƯỢNG]]</f>
        <v>20160000</v>
      </c>
      <c r="I20" s="31"/>
      <c r="J20" s="31">
        <f>J19+Cty_Dai_Dong[[#This Row],[THÀNH TIỀN]]-Cty_Dai_Dong[[#This Row],[THANH TOÁN]]</f>
        <v>257883500</v>
      </c>
      <c r="K20" s="24"/>
    </row>
    <row r="21" spans="1:11" x14ac:dyDescent="0.25">
      <c r="A21" s="22">
        <v>8822</v>
      </c>
      <c r="B21" s="29">
        <v>46128</v>
      </c>
      <c r="C21" s="23" t="s">
        <v>13</v>
      </c>
      <c r="D21" s="37" t="s">
        <v>109</v>
      </c>
      <c r="E21" s="23" t="s">
        <v>678</v>
      </c>
      <c r="F21" s="31">
        <v>1522</v>
      </c>
      <c r="G21" s="31">
        <v>59000</v>
      </c>
      <c r="H21" s="31">
        <f>Cty_Dai_Dong[[#This Row],[ĐƠN GIÁ]]*Cty_Dai_Dong[[#This Row],[SỐ LƯỢNG]]</f>
        <v>89798000</v>
      </c>
      <c r="I21" s="31"/>
      <c r="J21" s="31">
        <f>J20+Cty_Dai_Dong[[#This Row],[THÀNH TIỀN]]-Cty_Dai_Dong[[#This Row],[THANH TOÁN]]</f>
        <v>347681500</v>
      </c>
      <c r="K21" s="24"/>
    </row>
    <row r="22" spans="1:11" x14ac:dyDescent="0.25">
      <c r="A22" s="22">
        <v>8847</v>
      </c>
      <c r="B22" s="29">
        <v>46129</v>
      </c>
      <c r="C22" s="23" t="s">
        <v>13</v>
      </c>
      <c r="D22" s="37" t="s">
        <v>109</v>
      </c>
      <c r="E22" s="23" t="s">
        <v>678</v>
      </c>
      <c r="F22" s="31">
        <v>642</v>
      </c>
      <c r="G22" s="31">
        <v>59000</v>
      </c>
      <c r="H22" s="31">
        <f>Cty_Dai_Dong[[#This Row],[ĐƠN GIÁ]]*Cty_Dai_Dong[[#This Row],[SỐ LƯỢNG]]</f>
        <v>37878000</v>
      </c>
      <c r="I22" s="31"/>
      <c r="J22" s="31">
        <f>J21+Cty_Dai_Dong[[#This Row],[THÀNH TIỀN]]-Cty_Dai_Dong[[#This Row],[THANH TOÁN]]</f>
        <v>385559500</v>
      </c>
      <c r="K22" s="24"/>
    </row>
    <row r="23" spans="1:11" x14ac:dyDescent="0.25">
      <c r="A23" s="22">
        <v>8847</v>
      </c>
      <c r="B23" s="29">
        <v>46129</v>
      </c>
      <c r="C23" s="23" t="s">
        <v>13</v>
      </c>
      <c r="D23" s="37" t="s">
        <v>109</v>
      </c>
      <c r="E23" s="23" t="s">
        <v>911</v>
      </c>
      <c r="F23" s="31">
        <v>722</v>
      </c>
      <c r="G23" s="31">
        <v>59500</v>
      </c>
      <c r="H23" s="31">
        <f>Cty_Dai_Dong[[#This Row],[ĐƠN GIÁ]]*Cty_Dai_Dong[[#This Row],[SỐ LƯỢNG]]</f>
        <v>42959000</v>
      </c>
      <c r="I23" s="31"/>
      <c r="J23" s="31">
        <f>J22+Cty_Dai_Dong[[#This Row],[THÀNH TIỀN]]-Cty_Dai_Dong[[#This Row],[THANH TOÁN]]</f>
        <v>428518500</v>
      </c>
      <c r="K23" s="24"/>
    </row>
    <row r="24" spans="1:11" x14ac:dyDescent="0.25">
      <c r="A24" s="22"/>
      <c r="B24" s="29">
        <v>46115</v>
      </c>
      <c r="C24" s="23" t="s">
        <v>21</v>
      </c>
      <c r="D24" s="37" t="s">
        <v>22</v>
      </c>
      <c r="E24" s="23" t="s">
        <v>147</v>
      </c>
      <c r="F24" s="31">
        <v>0</v>
      </c>
      <c r="G24" s="31"/>
      <c r="H24" s="31">
        <f>Cty_Dai_Dong[[#This Row],[ĐƠN GIÁ]]*Cty_Dai_Dong[[#This Row],[SỐ LƯỢNG]]</f>
        <v>0</v>
      </c>
      <c r="I24" s="31">
        <v>50000000</v>
      </c>
      <c r="J24" s="31">
        <f>J23+Cty_Dai_Dong[[#This Row],[THÀNH TIỀN]]-Cty_Dai_Dong[[#This Row],[THANH TOÁN]]</f>
        <v>378518500</v>
      </c>
      <c r="K24" s="24"/>
    </row>
    <row r="25" spans="1:11" x14ac:dyDescent="0.25">
      <c r="A25" s="22"/>
      <c r="B25" s="29">
        <v>46122</v>
      </c>
      <c r="C25" s="23" t="s">
        <v>21</v>
      </c>
      <c r="D25" s="37" t="s">
        <v>22</v>
      </c>
      <c r="E25" s="23" t="s">
        <v>147</v>
      </c>
      <c r="F25" s="31">
        <v>0</v>
      </c>
      <c r="G25" s="31"/>
      <c r="H25" s="31">
        <f>Cty_Dai_Dong[[#This Row],[ĐƠN GIÁ]]*Cty_Dai_Dong[[#This Row],[SỐ LƯỢNG]]</f>
        <v>0</v>
      </c>
      <c r="I25" s="31">
        <v>50000000</v>
      </c>
      <c r="J25" s="31">
        <f>J24+Cty_Dai_Dong[[#This Row],[THÀNH TIỀN]]-Cty_Dai_Dong[[#This Row],[THANH TOÁN]]</f>
        <v>328518500</v>
      </c>
      <c r="K25" s="24"/>
    </row>
    <row r="26" spans="1:11" x14ac:dyDescent="0.25">
      <c r="A26" s="22"/>
      <c r="B26" s="29">
        <v>46128</v>
      </c>
      <c r="C26" s="23" t="s">
        <v>21</v>
      </c>
      <c r="D26" s="37" t="s">
        <v>22</v>
      </c>
      <c r="E26" s="23" t="s">
        <v>147</v>
      </c>
      <c r="F26" s="31">
        <v>0</v>
      </c>
      <c r="G26" s="31"/>
      <c r="H26" s="31">
        <f>Cty_Dai_Dong[[#This Row],[ĐƠN GIÁ]]*Cty_Dai_Dong[[#This Row],[SỐ LƯỢNG]]</f>
        <v>0</v>
      </c>
      <c r="I26" s="31">
        <v>70000000</v>
      </c>
      <c r="J26" s="31">
        <f>J25+Cty_Dai_Dong[[#This Row],[THÀNH TIỀN]]-Cty_Dai_Dong[[#This Row],[THANH TOÁN]]</f>
        <v>258518500</v>
      </c>
      <c r="K26" s="24"/>
    </row>
    <row r="27" spans="1:11" x14ac:dyDescent="0.25">
      <c r="A27" s="22"/>
      <c r="B27" s="29">
        <v>46136</v>
      </c>
      <c r="C27" s="23" t="s">
        <v>21</v>
      </c>
      <c r="D27" s="37" t="s">
        <v>22</v>
      </c>
      <c r="E27" s="23" t="s">
        <v>147</v>
      </c>
      <c r="F27" s="31">
        <v>0</v>
      </c>
      <c r="G27" s="31"/>
      <c r="H27" s="31">
        <f>Cty_Dai_Dong[[#This Row],[ĐƠN GIÁ]]*Cty_Dai_Dong[[#This Row],[SỐ LƯỢNG]]</f>
        <v>0</v>
      </c>
      <c r="I27" s="31">
        <v>50000000</v>
      </c>
      <c r="J27" s="31">
        <f>J26+Cty_Dai_Dong[[#This Row],[THÀNH TIỀN]]-Cty_Dai_Dong[[#This Row],[THANH TOÁN]]</f>
        <v>208518500</v>
      </c>
      <c r="K27" s="24"/>
    </row>
    <row r="28" spans="1:11" x14ac:dyDescent="0.25">
      <c r="A28" s="22">
        <v>9024</v>
      </c>
      <c r="B28" s="29">
        <v>46137</v>
      </c>
      <c r="C28" s="23" t="s">
        <v>13</v>
      </c>
      <c r="D28" s="37" t="s">
        <v>109</v>
      </c>
      <c r="E28" s="23" t="s">
        <v>1838</v>
      </c>
      <c r="F28" s="31">
        <v>186</v>
      </c>
      <c r="G28" s="31">
        <v>60000</v>
      </c>
      <c r="H28" s="31">
        <f>Cty_Dai_Dong[[#This Row],[ĐƠN GIÁ]]*Cty_Dai_Dong[[#This Row],[SỐ LƯỢNG]]</f>
        <v>11160000</v>
      </c>
      <c r="I28" s="31"/>
      <c r="J28" s="31">
        <f>J27+Cty_Dai_Dong[[#This Row],[THÀNH TIỀN]]-Cty_Dai_Dong[[#This Row],[THANH TOÁN]]</f>
        <v>219678500</v>
      </c>
      <c r="K28" s="24"/>
    </row>
    <row r="29" spans="1:11" x14ac:dyDescent="0.25">
      <c r="A29" s="22">
        <v>9087</v>
      </c>
      <c r="B29" s="29">
        <v>46140</v>
      </c>
      <c r="C29" s="23" t="s">
        <v>13</v>
      </c>
      <c r="D29" s="37" t="s">
        <v>17</v>
      </c>
      <c r="E29" s="23" t="s">
        <v>1366</v>
      </c>
      <c r="F29" s="31">
        <v>58</v>
      </c>
      <c r="G29" s="31">
        <v>66000</v>
      </c>
      <c r="H29" s="31">
        <f>Cty_Dai_Dong[[#This Row],[ĐƠN GIÁ]]*Cty_Dai_Dong[[#This Row],[SỐ LƯỢNG]]</f>
        <v>3828000</v>
      </c>
      <c r="I29" s="31"/>
      <c r="J29" s="31">
        <f>J28+Cty_Dai_Dong[[#This Row],[THÀNH TIỀN]]-Cty_Dai_Dong[[#This Row],[THANH TOÁN]]</f>
        <v>223506500</v>
      </c>
      <c r="K29" s="24"/>
    </row>
    <row r="30" spans="1:11" x14ac:dyDescent="0.25">
      <c r="A30" s="22">
        <v>9087</v>
      </c>
      <c r="B30" s="29">
        <v>46140</v>
      </c>
      <c r="C30" s="23" t="s">
        <v>13</v>
      </c>
      <c r="D30" s="37" t="s">
        <v>32</v>
      </c>
      <c r="E30" s="23" t="s">
        <v>230</v>
      </c>
      <c r="F30" s="31">
        <v>230</v>
      </c>
      <c r="G30" s="31">
        <v>45000</v>
      </c>
      <c r="H30" s="31">
        <f>Cty_Dai_Dong[[#This Row],[ĐƠN GIÁ]]*Cty_Dai_Dong[[#This Row],[SỐ LƯỢNG]]</f>
        <v>10350000</v>
      </c>
      <c r="I30" s="31"/>
      <c r="J30" s="31">
        <f>J29+Cty_Dai_Dong[[#This Row],[THÀNH TIỀN]]-Cty_Dai_Dong[[#This Row],[THANH TOÁN]]</f>
        <v>233856500</v>
      </c>
      <c r="K30" s="24"/>
    </row>
    <row r="31" spans="1:11" x14ac:dyDescent="0.25">
      <c r="A31" s="22">
        <v>9140</v>
      </c>
      <c r="B31" s="29">
        <v>46146</v>
      </c>
      <c r="C31" s="23" t="s">
        <v>13</v>
      </c>
      <c r="D31" s="37" t="s">
        <v>17</v>
      </c>
      <c r="E31" s="23" t="s">
        <v>40</v>
      </c>
      <c r="F31" s="31">
        <v>592</v>
      </c>
      <c r="G31" s="31">
        <v>66000</v>
      </c>
      <c r="H31" s="31">
        <f>Cty_Dai_Dong[[#This Row],[ĐƠN GIÁ]]*Cty_Dai_Dong[[#This Row],[SỐ LƯỢNG]]</f>
        <v>39072000</v>
      </c>
      <c r="I31" s="31"/>
      <c r="J31" s="31">
        <f>J30+Cty_Dai_Dong[[#This Row],[THÀNH TIỀN]]-Cty_Dai_Dong[[#This Row],[THANH TOÁN]]</f>
        <v>272928500</v>
      </c>
      <c r="K31" s="24"/>
    </row>
    <row r="32" spans="1:11" x14ac:dyDescent="0.25">
      <c r="A32" s="22">
        <v>9140</v>
      </c>
      <c r="B32" s="29">
        <v>46146</v>
      </c>
      <c r="C32" s="23" t="s">
        <v>13</v>
      </c>
      <c r="D32" s="37" t="s">
        <v>43</v>
      </c>
      <c r="E32" s="23" t="s">
        <v>148</v>
      </c>
      <c r="F32" s="31">
        <v>550</v>
      </c>
      <c r="G32" s="31">
        <v>55000</v>
      </c>
      <c r="H32" s="31">
        <f>Cty_Dai_Dong[[#This Row],[ĐƠN GIÁ]]*Cty_Dai_Dong[[#This Row],[SỐ LƯỢNG]]</f>
        <v>30250000</v>
      </c>
      <c r="I32" s="31"/>
      <c r="J32" s="31">
        <f>J31+Cty_Dai_Dong[[#This Row],[THÀNH TIỀN]]-Cty_Dai_Dong[[#This Row],[THANH TOÁN]]</f>
        <v>303178500</v>
      </c>
      <c r="K32" s="24"/>
    </row>
    <row r="33" spans="1:11" x14ac:dyDescent="0.25">
      <c r="A33" s="22">
        <v>9245</v>
      </c>
      <c r="B33" s="29">
        <v>46149</v>
      </c>
      <c r="C33" s="23" t="s">
        <v>13</v>
      </c>
      <c r="D33" s="37" t="s">
        <v>43</v>
      </c>
      <c r="E33" s="23" t="s">
        <v>1976</v>
      </c>
      <c r="F33" s="31">
        <v>818</v>
      </c>
      <c r="G33" s="31">
        <v>64000</v>
      </c>
      <c r="H33" s="31">
        <f>Cty_Dai_Dong[[#This Row],[ĐƠN GIÁ]]*Cty_Dai_Dong[[#This Row],[SỐ LƯỢNG]]</f>
        <v>52352000</v>
      </c>
      <c r="I33" s="31"/>
      <c r="J33" s="31">
        <f>J32+Cty_Dai_Dong[[#This Row],[THÀNH TIỀN]]-Cty_Dai_Dong[[#This Row],[THANH TOÁN]]</f>
        <v>355530500</v>
      </c>
      <c r="K33" s="24"/>
    </row>
    <row r="34" spans="1:11" x14ac:dyDescent="0.25">
      <c r="A34" s="22">
        <v>9316</v>
      </c>
      <c r="B34" s="29">
        <v>46153</v>
      </c>
      <c r="C34" s="23" t="s">
        <v>13</v>
      </c>
      <c r="D34" s="37" t="s">
        <v>43</v>
      </c>
      <c r="E34" s="23" t="s">
        <v>41</v>
      </c>
      <c r="F34" s="31">
        <v>260</v>
      </c>
      <c r="G34" s="31">
        <v>58000</v>
      </c>
      <c r="H34" s="31">
        <f>Cty_Dai_Dong[[#This Row],[ĐƠN GIÁ]]*Cty_Dai_Dong[[#This Row],[SỐ LƯỢNG]]</f>
        <v>15080000</v>
      </c>
      <c r="I34" s="31"/>
      <c r="J34" s="31">
        <f>J33+Cty_Dai_Dong[[#This Row],[THÀNH TIỀN]]-Cty_Dai_Dong[[#This Row],[THANH TOÁN]]</f>
        <v>370610500</v>
      </c>
      <c r="K34" s="24"/>
    </row>
    <row r="35" spans="1:11" x14ac:dyDescent="0.25">
      <c r="A35" s="22"/>
      <c r="B35" s="29">
        <v>46150</v>
      </c>
      <c r="C35" s="23" t="s">
        <v>21</v>
      </c>
      <c r="D35" s="37" t="s">
        <v>22</v>
      </c>
      <c r="E35" s="23" t="s">
        <v>147</v>
      </c>
      <c r="F35" s="31">
        <v>0</v>
      </c>
      <c r="G35" s="31"/>
      <c r="H35" s="31">
        <f>Cty_Dai_Dong[[#This Row],[ĐƠN GIÁ]]*Cty_Dai_Dong[[#This Row],[SỐ LƯỢNG]]</f>
        <v>0</v>
      </c>
      <c r="I35" s="31">
        <v>40000000</v>
      </c>
      <c r="J35" s="31">
        <f>J34+Cty_Dai_Dong[[#This Row],[THÀNH TIỀN]]-Cty_Dai_Dong[[#This Row],[THANH TOÁN]]</f>
        <v>330610500</v>
      </c>
      <c r="K35" s="24"/>
    </row>
    <row r="36" spans="1:11" x14ac:dyDescent="0.25">
      <c r="A36" s="22"/>
      <c r="B36" s="29">
        <v>46157</v>
      </c>
      <c r="C36" s="23" t="s">
        <v>21</v>
      </c>
      <c r="D36" s="37" t="s">
        <v>22</v>
      </c>
      <c r="E36" s="23" t="s">
        <v>147</v>
      </c>
      <c r="F36" s="31">
        <v>0</v>
      </c>
      <c r="G36" s="31"/>
      <c r="H36" s="31">
        <f>Cty_Dai_Dong[[#This Row],[ĐƠN GIÁ]]*Cty_Dai_Dong[[#This Row],[SỐ LƯỢNG]]</f>
        <v>0</v>
      </c>
      <c r="I36" s="31">
        <v>70000000</v>
      </c>
      <c r="J36" s="31">
        <f>J35+Cty_Dai_Dong[[#This Row],[THÀNH TIỀN]]-Cty_Dai_Dong[[#This Row],[THANH TOÁN]]</f>
        <v>260610500</v>
      </c>
      <c r="K36" s="24"/>
    </row>
    <row r="37" spans="1:11" x14ac:dyDescent="0.25">
      <c r="A37" s="22">
        <v>9358</v>
      </c>
      <c r="B37" s="29">
        <v>46155</v>
      </c>
      <c r="C37" s="23" t="s">
        <v>13</v>
      </c>
      <c r="D37" s="37" t="s">
        <v>317</v>
      </c>
      <c r="E37" s="23" t="s">
        <v>116</v>
      </c>
      <c r="F37" s="31">
        <v>52</v>
      </c>
      <c r="G37" s="31">
        <v>64000</v>
      </c>
      <c r="H37" s="31">
        <f>Cty_Dai_Dong[[#This Row],[ĐƠN GIÁ]]*Cty_Dai_Dong[[#This Row],[SỐ LƯỢNG]]</f>
        <v>3328000</v>
      </c>
      <c r="I37" s="31"/>
      <c r="J37" s="31">
        <f>J36+Cty_Dai_Dong[[#This Row],[THÀNH TIỀN]]-Cty_Dai_Dong[[#This Row],[THANH TOÁN]]</f>
        <v>263938500</v>
      </c>
      <c r="K37" s="24"/>
    </row>
    <row r="38" spans="1:11" x14ac:dyDescent="0.25">
      <c r="A38" s="22">
        <v>9485</v>
      </c>
      <c r="B38" s="29">
        <v>46161</v>
      </c>
      <c r="C38" s="23" t="s">
        <v>13</v>
      </c>
      <c r="D38" s="37" t="s">
        <v>50</v>
      </c>
      <c r="E38" s="23" t="s">
        <v>1763</v>
      </c>
      <c r="F38" s="31">
        <v>254</v>
      </c>
      <c r="G38" s="31">
        <v>58000</v>
      </c>
      <c r="H38" s="31">
        <f>Cty_Dai_Dong[[#This Row],[ĐƠN GIÁ]]*Cty_Dai_Dong[[#This Row],[SỐ LƯỢNG]]</f>
        <v>14732000</v>
      </c>
      <c r="I38" s="31"/>
      <c r="J38" s="31">
        <f>J37+Cty_Dai_Dong[[#This Row],[THÀNH TIỀN]]-Cty_Dai_Dong[[#This Row],[THANH TOÁN]]</f>
        <v>278670500</v>
      </c>
      <c r="K38" s="24"/>
    </row>
    <row r="39" spans="1:11" x14ac:dyDescent="0.25">
      <c r="A39" s="22">
        <v>9485</v>
      </c>
      <c r="B39" s="29">
        <v>46161</v>
      </c>
      <c r="C39" s="23" t="s">
        <v>13</v>
      </c>
      <c r="D39" s="37" t="s">
        <v>50</v>
      </c>
      <c r="E39" s="23" t="s">
        <v>1763</v>
      </c>
      <c r="F39" s="31">
        <v>108</v>
      </c>
      <c r="G39" s="31">
        <v>61000</v>
      </c>
      <c r="H39" s="31">
        <f>Cty_Dai_Dong[[#This Row],[ĐƠN GIÁ]]*Cty_Dai_Dong[[#This Row],[SỐ LƯỢNG]]</f>
        <v>6588000</v>
      </c>
      <c r="I39" s="31"/>
      <c r="J39" s="31">
        <f>J38+Cty_Dai_Dong[[#This Row],[THÀNH TIỀN]]-Cty_Dai_Dong[[#This Row],[THANH TOÁN]]</f>
        <v>285258500</v>
      </c>
      <c r="K39" s="24"/>
    </row>
    <row r="40" spans="1:11" x14ac:dyDescent="0.25">
      <c r="A40" s="22">
        <v>9485</v>
      </c>
      <c r="B40" s="29">
        <v>46161</v>
      </c>
      <c r="C40" s="23" t="s">
        <v>13</v>
      </c>
      <c r="D40" s="37" t="s">
        <v>50</v>
      </c>
      <c r="E40" s="23" t="s">
        <v>848</v>
      </c>
      <c r="F40" s="31">
        <v>198</v>
      </c>
      <c r="G40" s="31">
        <v>58000</v>
      </c>
      <c r="H40" s="31">
        <f>Cty_Dai_Dong[[#This Row],[ĐƠN GIÁ]]*Cty_Dai_Dong[[#This Row],[SỐ LƯỢNG]]</f>
        <v>11484000</v>
      </c>
      <c r="I40" s="31"/>
      <c r="J40" s="31">
        <f>J39+Cty_Dai_Dong[[#This Row],[THÀNH TIỀN]]-Cty_Dai_Dong[[#This Row],[THANH TOÁN]]</f>
        <v>296742500</v>
      </c>
      <c r="K40" s="24"/>
    </row>
    <row r="41" spans="1:11" x14ac:dyDescent="0.25">
      <c r="A41" s="22"/>
      <c r="B41" s="29">
        <v>46171</v>
      </c>
      <c r="C41" s="23" t="s">
        <v>21</v>
      </c>
      <c r="D41" s="37" t="s">
        <v>22</v>
      </c>
      <c r="E41" s="23" t="s">
        <v>147</v>
      </c>
      <c r="F41" s="31">
        <v>0</v>
      </c>
      <c r="G41" s="31"/>
      <c r="H41" s="31">
        <f>Cty_Dai_Dong[[#This Row],[ĐƠN GIÁ]]*Cty_Dai_Dong[[#This Row],[SỐ LƯỢNG]]</f>
        <v>0</v>
      </c>
      <c r="I41" s="31">
        <v>100000000</v>
      </c>
      <c r="J41" s="31">
        <f>J40+Cty_Dai_Dong[[#This Row],[THÀNH TIỀN]]-Cty_Dai_Dong[[#This Row],[THANH TOÁN]]</f>
        <v>196742500</v>
      </c>
      <c r="K41" s="24"/>
    </row>
    <row r="42" spans="1:11" x14ac:dyDescent="0.25">
      <c r="A42" s="22"/>
      <c r="B42" s="29">
        <v>46178</v>
      </c>
      <c r="C42" s="23" t="s">
        <v>21</v>
      </c>
      <c r="D42" s="37" t="s">
        <v>22</v>
      </c>
      <c r="E42" s="23" t="s">
        <v>147</v>
      </c>
      <c r="F42" s="31">
        <v>0</v>
      </c>
      <c r="G42" s="31"/>
      <c r="H42" s="31">
        <f>Cty_Dai_Dong[[#This Row],[ĐƠN GIÁ]]*Cty_Dai_Dong[[#This Row],[SỐ LƯỢNG]]</f>
        <v>0</v>
      </c>
      <c r="I42" s="31">
        <v>80000000</v>
      </c>
      <c r="J42" s="31">
        <f>J41+Cty_Dai_Dong[[#This Row],[THÀNH TIỀN]]-Cty_Dai_Dong[[#This Row],[THANH TOÁN]]</f>
        <v>116742500</v>
      </c>
      <c r="K42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51D00-F33A-4E87-8D4D-058948D3F1B3}">
  <sheetPr codeName="Sheet52"/>
  <dimension ref="A5:K18"/>
  <sheetViews>
    <sheetView workbookViewId="0">
      <selection activeCell="A33" sqref="A33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0</v>
      </c>
    </row>
    <row r="6" spans="1:11" ht="22.5" x14ac:dyDescent="0.25">
      <c r="D6" s="34" t="s">
        <v>912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Cty_Tan_Tien[[#This Row],[ĐƠN GIÁ]]*Cty_Tan_Tien[[#This Row],[SỐ LƯỢNG]]</f>
        <v>0</v>
      </c>
      <c r="I10" s="31"/>
      <c r="J10" s="31">
        <v>0</v>
      </c>
      <c r="K10" s="24"/>
    </row>
    <row r="11" spans="1:11" x14ac:dyDescent="0.25">
      <c r="A11" s="22">
        <v>7841</v>
      </c>
      <c r="B11" s="29">
        <v>46085</v>
      </c>
      <c r="C11" s="23" t="s">
        <v>13</v>
      </c>
      <c r="D11" s="37" t="s">
        <v>43</v>
      </c>
      <c r="E11" s="23" t="s">
        <v>913</v>
      </c>
      <c r="F11" s="31">
        <f>2094-5</f>
        <v>2089</v>
      </c>
      <c r="G11" s="31">
        <v>58000</v>
      </c>
      <c r="H11" s="31">
        <f>Cty_Tan_Tien[[#This Row],[ĐƠN GIÁ]]*Cty_Tan_Tien[[#This Row],[SỐ LƯỢNG]]</f>
        <v>121162000</v>
      </c>
      <c r="I11" s="31"/>
      <c r="J11" s="31">
        <f>J10+Cty_Tan_Tien[[#This Row],[THÀNH TIỀN]]-Cty_Tan_Tien[[#This Row],[THANH TOÁN]]</f>
        <v>121162000</v>
      </c>
      <c r="K11" s="24"/>
    </row>
    <row r="12" spans="1:11" x14ac:dyDescent="0.25">
      <c r="A12" s="25">
        <v>7951</v>
      </c>
      <c r="B12" s="30">
        <v>46090</v>
      </c>
      <c r="C12" s="26" t="s">
        <v>13</v>
      </c>
      <c r="D12" s="38" t="s">
        <v>43</v>
      </c>
      <c r="E12" s="26" t="s">
        <v>469</v>
      </c>
      <c r="F12" s="28">
        <v>180</v>
      </c>
      <c r="G12" s="28">
        <v>63000</v>
      </c>
      <c r="H12" s="28">
        <f>Cty_Tan_Tien[[#This Row],[ĐƠN GIÁ]]*Cty_Tan_Tien[[#This Row],[SỐ LƯỢNG]]</f>
        <v>11340000</v>
      </c>
      <c r="I12" s="28"/>
      <c r="J12" s="28">
        <f>J11+Cty_Tan_Tien[[#This Row],[THÀNH TIỀN]]-Cty_Tan_Tien[[#This Row],[THANH TOÁN]]</f>
        <v>132502000</v>
      </c>
      <c r="K12" s="27"/>
    </row>
    <row r="13" spans="1:11" x14ac:dyDescent="0.25">
      <c r="A13" s="25">
        <v>8190</v>
      </c>
      <c r="B13" s="30">
        <v>46099</v>
      </c>
      <c r="C13" s="26" t="s">
        <v>13</v>
      </c>
      <c r="D13" s="38" t="s">
        <v>43</v>
      </c>
      <c r="E13" s="26" t="s">
        <v>251</v>
      </c>
      <c r="F13" s="28">
        <v>5825</v>
      </c>
      <c r="G13" s="28">
        <v>60500</v>
      </c>
      <c r="H13" s="28">
        <f>Cty_Tan_Tien[[#This Row],[ĐƠN GIÁ]]*Cty_Tan_Tien[[#This Row],[SỐ LƯỢNG]]</f>
        <v>352412500</v>
      </c>
      <c r="I13" s="28"/>
      <c r="J13" s="28">
        <f>J12+Cty_Tan_Tien[[#This Row],[THÀNH TIỀN]]-Cty_Tan_Tien[[#This Row],[THANH TOÁN]]</f>
        <v>484914500</v>
      </c>
      <c r="K13" s="27"/>
    </row>
    <row r="14" spans="1:11" x14ac:dyDescent="0.25">
      <c r="A14" s="25"/>
      <c r="B14" s="30">
        <v>46085</v>
      </c>
      <c r="C14" s="26" t="s">
        <v>21</v>
      </c>
      <c r="D14" s="38" t="s">
        <v>22</v>
      </c>
      <c r="E14" s="26" t="s">
        <v>261</v>
      </c>
      <c r="F14" s="28">
        <v>0</v>
      </c>
      <c r="G14" s="28">
        <v>0</v>
      </c>
      <c r="H14" s="28">
        <f>Cty_Tan_Tien[[#This Row],[ĐƠN GIÁ]]*Cty_Tan_Tien[[#This Row],[SỐ LƯỢNG]]</f>
        <v>0</v>
      </c>
      <c r="I14" s="28">
        <v>121162000</v>
      </c>
      <c r="J14" s="28">
        <f>J13+Cty_Tan_Tien[[#This Row],[THÀNH TIỀN]]-Cty_Tan_Tien[[#This Row],[THANH TOÁN]]</f>
        <v>363752500</v>
      </c>
      <c r="K14" s="27"/>
    </row>
    <row r="15" spans="1:11" x14ac:dyDescent="0.25">
      <c r="A15" s="25"/>
      <c r="B15" s="30">
        <v>46090</v>
      </c>
      <c r="C15" s="26" t="s">
        <v>21</v>
      </c>
      <c r="D15" s="38" t="s">
        <v>22</v>
      </c>
      <c r="E15" s="26" t="s">
        <v>261</v>
      </c>
      <c r="F15" s="28">
        <v>0</v>
      </c>
      <c r="G15" s="28">
        <v>0</v>
      </c>
      <c r="H15" s="28">
        <f>Cty_Tan_Tien[[#This Row],[ĐƠN GIÁ]]*Cty_Tan_Tien[[#This Row],[SỐ LƯỢNG]]</f>
        <v>0</v>
      </c>
      <c r="I15" s="28">
        <v>11340000</v>
      </c>
      <c r="J15" s="28">
        <f>J14+Cty_Tan_Tien[[#This Row],[THÀNH TIỀN]]-Cty_Tan_Tien[[#This Row],[THANH TOÁN]]</f>
        <v>352412500</v>
      </c>
      <c r="K15" s="27"/>
    </row>
    <row r="16" spans="1:11" x14ac:dyDescent="0.25">
      <c r="A16" s="25"/>
      <c r="B16" s="30">
        <v>46100</v>
      </c>
      <c r="C16" s="26" t="s">
        <v>21</v>
      </c>
      <c r="D16" s="38" t="s">
        <v>22</v>
      </c>
      <c r="E16" s="26" t="s">
        <v>261</v>
      </c>
      <c r="F16" s="28">
        <v>0</v>
      </c>
      <c r="G16" s="28">
        <v>0</v>
      </c>
      <c r="H16" s="28">
        <f>Cty_Tan_Tien[[#This Row],[ĐƠN GIÁ]]*Cty_Tan_Tien[[#This Row],[SỐ LƯỢNG]]</f>
        <v>0</v>
      </c>
      <c r="I16" s="28">
        <v>352412000</v>
      </c>
      <c r="J16" s="28">
        <f>J15+Cty_Tan_Tien[[#This Row],[THÀNH TIỀN]]-Cty_Tan_Tien[[#This Row],[THANH TOÁN]]</f>
        <v>500</v>
      </c>
      <c r="K16" s="27"/>
    </row>
    <row r="17" spans="1:11" x14ac:dyDescent="0.25">
      <c r="A17" s="22">
        <v>9205</v>
      </c>
      <c r="B17" s="29">
        <v>46148</v>
      </c>
      <c r="C17" s="23" t="s">
        <v>13</v>
      </c>
      <c r="D17" s="37" t="s">
        <v>43</v>
      </c>
      <c r="E17" s="23" t="s">
        <v>251</v>
      </c>
      <c r="F17" s="31">
        <v>402</v>
      </c>
      <c r="G17" s="31">
        <v>61000</v>
      </c>
      <c r="H17" s="31">
        <f>Cty_Tan_Tien[[#This Row],[ĐƠN GIÁ]]*Cty_Tan_Tien[[#This Row],[SỐ LƯỢNG]]</f>
        <v>24522000</v>
      </c>
      <c r="I17" s="31"/>
      <c r="J17" s="31">
        <f>J16+Cty_Tan_Tien[[#This Row],[THÀNH TIỀN]]-Cty_Tan_Tien[[#This Row],[THANH TOÁN]]</f>
        <v>24522500</v>
      </c>
      <c r="K17" s="24"/>
    </row>
    <row r="18" spans="1:11" x14ac:dyDescent="0.25">
      <c r="A18" s="22"/>
      <c r="B18" s="29">
        <v>46148</v>
      </c>
      <c r="C18" s="23" t="s">
        <v>21</v>
      </c>
      <c r="D18" s="37" t="s">
        <v>22</v>
      </c>
      <c r="E18" s="23" t="s">
        <v>147</v>
      </c>
      <c r="F18" s="31">
        <v>0</v>
      </c>
      <c r="G18" s="31"/>
      <c r="H18" s="31">
        <f>Cty_Tan_Tien[[#This Row],[ĐƠN GIÁ]]*Cty_Tan_Tien[[#This Row],[SỐ LƯỢNG]]</f>
        <v>0</v>
      </c>
      <c r="I18" s="31">
        <v>24522500</v>
      </c>
      <c r="J18" s="31">
        <f>J17+Cty_Tan_Tien[[#This Row],[THÀNH TIỀN]]-Cty_Tan_Tien[[#This Row],[THANH TOÁN]]</f>
        <v>0</v>
      </c>
      <c r="K18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D9E66-1D9E-4CEB-B856-35DCCFA3DEE5}">
  <sheetPr codeName="Sheet53"/>
  <dimension ref="A5:P34"/>
  <sheetViews>
    <sheetView topLeftCell="A8" workbookViewId="0">
      <selection activeCell="H38" sqref="H38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1392371061</v>
      </c>
    </row>
    <row r="6" spans="1:16" ht="22.5" x14ac:dyDescent="0.25">
      <c r="D6" s="34" t="s">
        <v>914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Cty_Thien_An[[#This Row],[ĐƠN GIÁ]]*Cty_Thien_An[[#This Row],[SỐ LƯỢNG]]</f>
        <v>0</v>
      </c>
      <c r="I10" s="31"/>
      <c r="J10" s="31">
        <v>1274484372</v>
      </c>
      <c r="K10" s="24"/>
    </row>
    <row r="11" spans="1:16" x14ac:dyDescent="0.25">
      <c r="A11" s="22">
        <v>7843</v>
      </c>
      <c r="B11" s="29">
        <v>46085</v>
      </c>
      <c r="C11" s="23" t="s">
        <v>13</v>
      </c>
      <c r="D11" s="37" t="s">
        <v>701</v>
      </c>
      <c r="E11" s="23" t="s">
        <v>62</v>
      </c>
      <c r="F11" s="31">
        <f>1818-16-6</f>
        <v>1796</v>
      </c>
      <c r="G11" s="31">
        <v>42000</v>
      </c>
      <c r="H11" s="31">
        <f>Cty_Thien_An[[#This Row],[ĐƠN GIÁ]]*Cty_Thien_An[[#This Row],[SỐ LƯỢNG]]</f>
        <v>75432000</v>
      </c>
      <c r="I11" s="31"/>
      <c r="J11" s="31">
        <f>J10+Cty_Thien_An[[#This Row],[THÀNH TIỀN]]-Cty_Thien_An[[#This Row],[THANH TOÁN]]</f>
        <v>1349916372</v>
      </c>
      <c r="K11" s="24"/>
    </row>
    <row r="12" spans="1:16" x14ac:dyDescent="0.25">
      <c r="A12" s="22">
        <v>7843</v>
      </c>
      <c r="B12" s="29">
        <v>46085</v>
      </c>
      <c r="C12" s="23" t="s">
        <v>13</v>
      </c>
      <c r="D12" s="37" t="s">
        <v>17</v>
      </c>
      <c r="E12" s="23" t="s">
        <v>134</v>
      </c>
      <c r="F12" s="31">
        <v>1758</v>
      </c>
      <c r="G12" s="31">
        <v>59000</v>
      </c>
      <c r="H12" s="31">
        <f>Cty_Thien_An[[#This Row],[ĐƠN GIÁ]]*Cty_Thien_An[[#This Row],[SỐ LƯỢNG]]</f>
        <v>103722000</v>
      </c>
      <c r="I12" s="31"/>
      <c r="J12" s="31">
        <f>J11+Cty_Thien_An[[#This Row],[THÀNH TIỀN]]-Cty_Thien_An[[#This Row],[THANH TOÁN]]</f>
        <v>1453638372</v>
      </c>
      <c r="K12" s="24"/>
    </row>
    <row r="13" spans="1:16" x14ac:dyDescent="0.25">
      <c r="A13" s="25">
        <v>8012</v>
      </c>
      <c r="B13" s="30">
        <v>46092</v>
      </c>
      <c r="C13" s="26" t="s">
        <v>13</v>
      </c>
      <c r="D13" s="38" t="s">
        <v>265</v>
      </c>
      <c r="E13" s="26" t="s">
        <v>211</v>
      </c>
      <c r="F13" s="28">
        <f>1566-8</f>
        <v>1558</v>
      </c>
      <c r="G13" s="28">
        <v>63000</v>
      </c>
      <c r="H13" s="28">
        <f>Cty_Thien_An[[#This Row],[ĐƠN GIÁ]]*Cty_Thien_An[[#This Row],[SỐ LƯỢNG]]</f>
        <v>98154000</v>
      </c>
      <c r="I13" s="28"/>
      <c r="J13" s="28">
        <f>J12+Cty_Thien_An[[#This Row],[THÀNH TIỀN]]-Cty_Thien_An[[#This Row],[THANH TOÁN]]</f>
        <v>1551792372</v>
      </c>
      <c r="K13" s="27"/>
    </row>
    <row r="14" spans="1:16" x14ac:dyDescent="0.25">
      <c r="A14" s="25"/>
      <c r="B14" s="30">
        <v>46097</v>
      </c>
      <c r="C14" s="26" t="s">
        <v>21</v>
      </c>
      <c r="D14" s="38" t="s">
        <v>22</v>
      </c>
      <c r="E14" s="26" t="s">
        <v>83</v>
      </c>
      <c r="F14" s="28">
        <v>0</v>
      </c>
      <c r="G14" s="28">
        <v>0</v>
      </c>
      <c r="H14" s="28">
        <f>Cty_Thien_An[[#This Row],[ĐƠN GIÁ]]*Cty_Thien_An[[#This Row],[SỐ LƯỢNG]]</f>
        <v>0</v>
      </c>
      <c r="I14" s="28">
        <v>577079800</v>
      </c>
      <c r="J14" s="28">
        <f>J13+Cty_Thien_An[[#This Row],[THÀNH TIỀN]]-Cty_Thien_An[[#This Row],[THANH TOÁN]]</f>
        <v>974712572</v>
      </c>
      <c r="K14" s="27"/>
      <c r="P14" s="35"/>
    </row>
    <row r="15" spans="1:16" x14ac:dyDescent="0.25">
      <c r="A15" s="25">
        <v>8324</v>
      </c>
      <c r="B15" s="30">
        <v>46106</v>
      </c>
      <c r="C15" s="26" t="s">
        <v>13</v>
      </c>
      <c r="D15" s="38" t="s">
        <v>43</v>
      </c>
      <c r="E15" s="26" t="s">
        <v>915</v>
      </c>
      <c r="F15" s="28">
        <v>2412</v>
      </c>
      <c r="G15" s="28">
        <v>60500</v>
      </c>
      <c r="H15" s="28">
        <f>Cty_Thien_An[[#This Row],[ĐƠN GIÁ]]*Cty_Thien_An[[#This Row],[SỐ LƯỢNG]]</f>
        <v>145926000</v>
      </c>
      <c r="I15" s="28"/>
      <c r="J15" s="28">
        <f>J14+Cty_Thien_An[[#This Row],[THÀNH TIỀN]]-Cty_Thien_An[[#This Row],[THANH TOÁN]]</f>
        <v>1120638572</v>
      </c>
      <c r="K15" s="27"/>
    </row>
    <row r="16" spans="1:16" x14ac:dyDescent="0.25">
      <c r="A16" s="25">
        <v>8324</v>
      </c>
      <c r="B16" s="30">
        <v>46106</v>
      </c>
      <c r="C16" s="26" t="s">
        <v>13</v>
      </c>
      <c r="D16" s="38" t="s">
        <v>135</v>
      </c>
      <c r="E16" s="26" t="s">
        <v>148</v>
      </c>
      <c r="F16" s="28">
        <v>414</v>
      </c>
      <c r="G16" s="28">
        <v>39000</v>
      </c>
      <c r="H16" s="28">
        <f>Cty_Thien_An[[#This Row],[ĐƠN GIÁ]]*Cty_Thien_An[[#This Row],[SỐ LƯỢNG]]</f>
        <v>16146000</v>
      </c>
      <c r="I16" s="28"/>
      <c r="J16" s="28">
        <f>J15+Cty_Thien_An[[#This Row],[THÀNH TIỀN]]-Cty_Thien_An[[#This Row],[THANH TOÁN]]</f>
        <v>1136784572</v>
      </c>
      <c r="K16" s="27"/>
    </row>
    <row r="17" spans="1:11" x14ac:dyDescent="0.25">
      <c r="A17" s="22">
        <v>8456</v>
      </c>
      <c r="B17" s="29">
        <v>46113</v>
      </c>
      <c r="C17" s="23" t="s">
        <v>13</v>
      </c>
      <c r="D17" s="37" t="s">
        <v>265</v>
      </c>
      <c r="E17" s="23" t="s">
        <v>220</v>
      </c>
      <c r="F17" s="31">
        <v>1954</v>
      </c>
      <c r="G17" s="31">
        <v>65000</v>
      </c>
      <c r="H17" s="31">
        <f>Cty_Thien_An[[#This Row],[ĐƠN GIÁ]]*Cty_Thien_An[[#This Row],[SỐ LƯỢNG]]</f>
        <v>127010000</v>
      </c>
      <c r="I17" s="31"/>
      <c r="J17" s="31">
        <f>J16+Cty_Thien_An[[#This Row],[THÀNH TIỀN]]-Cty_Thien_An[[#This Row],[THANH TOÁN]]</f>
        <v>1263794572</v>
      </c>
      <c r="K17" s="24"/>
    </row>
    <row r="18" spans="1:11" x14ac:dyDescent="0.25">
      <c r="A18" s="22">
        <v>8477</v>
      </c>
      <c r="B18" s="29">
        <v>46113</v>
      </c>
      <c r="C18" s="23" t="s">
        <v>13</v>
      </c>
      <c r="D18" s="37" t="s">
        <v>103</v>
      </c>
      <c r="E18" s="23" t="s">
        <v>122</v>
      </c>
      <c r="F18" s="31">
        <v>1094</v>
      </c>
      <c r="G18" s="31">
        <v>39000</v>
      </c>
      <c r="H18" s="31">
        <f>Cty_Thien_An[[#This Row],[ĐƠN GIÁ]]*Cty_Thien_An[[#This Row],[SỐ LƯỢNG]]</f>
        <v>42666000</v>
      </c>
      <c r="I18" s="31"/>
      <c r="J18" s="31">
        <f>J17+Cty_Thien_An[[#This Row],[THÀNH TIỀN]]-Cty_Thien_An[[#This Row],[THANH TOÁN]]</f>
        <v>1306460572</v>
      </c>
      <c r="K18" s="24"/>
    </row>
    <row r="19" spans="1:11" x14ac:dyDescent="0.25">
      <c r="A19" s="22">
        <v>8488</v>
      </c>
      <c r="B19" s="29">
        <v>46114</v>
      </c>
      <c r="C19" s="23" t="s">
        <v>13</v>
      </c>
      <c r="D19" s="37" t="s">
        <v>265</v>
      </c>
      <c r="E19" s="23" t="s">
        <v>488</v>
      </c>
      <c r="F19" s="31">
        <v>5614</v>
      </c>
      <c r="G19" s="31">
        <v>63500</v>
      </c>
      <c r="H19" s="31">
        <f>Cty_Thien_An[[#This Row],[ĐƠN GIÁ]]*Cty_Thien_An[[#This Row],[SỐ LƯỢNG]]</f>
        <v>356489000</v>
      </c>
      <c r="I19" s="31"/>
      <c r="J19" s="31">
        <f>J18+Cty_Thien_An[[#This Row],[THÀNH TIỀN]]-Cty_Thien_An[[#This Row],[THANH TOÁN]]</f>
        <v>1662949572</v>
      </c>
      <c r="K19" s="24"/>
    </row>
    <row r="20" spans="1:11" x14ac:dyDescent="0.25">
      <c r="A20" s="22"/>
      <c r="B20" s="29">
        <v>46118</v>
      </c>
      <c r="C20" s="23" t="s">
        <v>21</v>
      </c>
      <c r="D20" s="37" t="s">
        <v>22</v>
      </c>
      <c r="E20" s="23" t="s">
        <v>83</v>
      </c>
      <c r="F20" s="31">
        <v>0</v>
      </c>
      <c r="G20" s="31"/>
      <c r="H20" s="31">
        <f>Cty_Thien_An[[#This Row],[ĐƠN GIÁ]]*Cty_Thien_An[[#This Row],[SỐ LƯỢNG]]</f>
        <v>0</v>
      </c>
      <c r="I20" s="31">
        <v>439397061</v>
      </c>
      <c r="J20" s="31">
        <f>J19+Cty_Thien_An[[#This Row],[THÀNH TIỀN]]-Cty_Thien_An[[#This Row],[THANH TOÁN]]</f>
        <v>1223552511</v>
      </c>
      <c r="K20" s="24"/>
    </row>
    <row r="21" spans="1:11" x14ac:dyDescent="0.25">
      <c r="A21" s="22">
        <v>8690</v>
      </c>
      <c r="B21" s="29">
        <v>46122</v>
      </c>
      <c r="C21" s="23" t="s">
        <v>13</v>
      </c>
      <c r="D21" s="37" t="s">
        <v>14</v>
      </c>
      <c r="E21" s="23" t="s">
        <v>41</v>
      </c>
      <c r="F21" s="31">
        <v>3064</v>
      </c>
      <c r="G21" s="31">
        <v>43000</v>
      </c>
      <c r="H21" s="31">
        <f>Cty_Thien_An[[#This Row],[ĐƠN GIÁ]]*Cty_Thien_An[[#This Row],[SỐ LƯỢNG]]</f>
        <v>131752000</v>
      </c>
      <c r="I21" s="31"/>
      <c r="J21" s="31">
        <f>J20+Cty_Thien_An[[#This Row],[THÀNH TIỀN]]-Cty_Thien_An[[#This Row],[THANH TOÁN]]</f>
        <v>1355304511</v>
      </c>
      <c r="K21" s="24"/>
    </row>
    <row r="22" spans="1:11" x14ac:dyDescent="0.25">
      <c r="A22" s="22">
        <v>9000</v>
      </c>
      <c r="B22" s="29">
        <v>46136</v>
      </c>
      <c r="C22" s="23" t="s">
        <v>13</v>
      </c>
      <c r="D22" s="37" t="s">
        <v>17</v>
      </c>
      <c r="E22" s="23" t="s">
        <v>62</v>
      </c>
      <c r="F22" s="31">
        <v>1689</v>
      </c>
      <c r="G22" s="31">
        <v>66000</v>
      </c>
      <c r="H22" s="31">
        <f>Cty_Thien_An[[#This Row],[ĐƠN GIÁ]]*Cty_Thien_An[[#This Row],[SỐ LƯỢNG]]</f>
        <v>111474000</v>
      </c>
      <c r="I22" s="31"/>
      <c r="J22" s="31">
        <f>J21+Cty_Thien_An[[#This Row],[THÀNH TIỀN]]-Cty_Thien_An[[#This Row],[THANH TOÁN]]</f>
        <v>1466778511</v>
      </c>
      <c r="K22" s="24"/>
    </row>
    <row r="23" spans="1:11" x14ac:dyDescent="0.25">
      <c r="A23" s="22"/>
      <c r="B23" s="29">
        <v>46140</v>
      </c>
      <c r="C23" s="23" t="s">
        <v>21</v>
      </c>
      <c r="D23" s="37" t="s">
        <v>22</v>
      </c>
      <c r="E23" s="23" t="s">
        <v>83</v>
      </c>
      <c r="F23" s="31">
        <v>0</v>
      </c>
      <c r="G23" s="31"/>
      <c r="H23" s="31">
        <f>Cty_Thien_An[[#This Row],[ĐƠN GIÁ]]*Cty_Thien_An[[#This Row],[SỐ LƯỢNG]]</f>
        <v>0</v>
      </c>
      <c r="I23" s="31">
        <v>367935150</v>
      </c>
      <c r="J23" s="31">
        <f>J22+Cty_Thien_An[[#This Row],[THÀNH TIỀN]]-Cty_Thien_An[[#This Row],[THANH TOÁN]]</f>
        <v>1098843361</v>
      </c>
      <c r="K23" s="24"/>
    </row>
    <row r="24" spans="1:11" x14ac:dyDescent="0.25">
      <c r="A24" s="22">
        <v>9163</v>
      </c>
      <c r="B24" s="29">
        <v>46147</v>
      </c>
      <c r="C24" s="23" t="s">
        <v>13</v>
      </c>
      <c r="D24" s="37" t="s">
        <v>109</v>
      </c>
      <c r="E24" s="23" t="s">
        <v>1936</v>
      </c>
      <c r="F24" s="31">
        <v>578</v>
      </c>
      <c r="G24" s="31">
        <v>75000</v>
      </c>
      <c r="H24" s="31">
        <f>Cty_Thien_An[[#This Row],[ĐƠN GIÁ]]*Cty_Thien_An[[#This Row],[SỐ LƯỢNG]]</f>
        <v>43350000</v>
      </c>
      <c r="I24" s="31"/>
      <c r="J24" s="31">
        <f>J23+Cty_Thien_An[[#This Row],[THÀNH TIỀN]]-Cty_Thien_An[[#This Row],[THANH TOÁN]]</f>
        <v>1142193361</v>
      </c>
      <c r="K24" s="24"/>
    </row>
    <row r="25" spans="1:11" x14ac:dyDescent="0.25">
      <c r="A25" s="22">
        <v>9335</v>
      </c>
      <c r="B25" s="29">
        <v>46154</v>
      </c>
      <c r="C25" s="23" t="s">
        <v>13</v>
      </c>
      <c r="D25" s="37" t="s">
        <v>14</v>
      </c>
      <c r="E25" s="23" t="s">
        <v>146</v>
      </c>
      <c r="F25" s="31">
        <v>896</v>
      </c>
      <c r="G25" s="31">
        <v>43000</v>
      </c>
      <c r="H25" s="31">
        <f>Cty_Thien_An[[#This Row],[ĐƠN GIÁ]]*Cty_Thien_An[[#This Row],[SỐ LƯỢNG]]</f>
        <v>38528000</v>
      </c>
      <c r="I25" s="31"/>
      <c r="J25" s="31">
        <f>J24+Cty_Thien_An[[#This Row],[THÀNH TIỀN]]-Cty_Thien_An[[#This Row],[THANH TOÁN]]</f>
        <v>1180721361</v>
      </c>
      <c r="K25" s="24"/>
    </row>
    <row r="26" spans="1:11" x14ac:dyDescent="0.25">
      <c r="A26" s="22">
        <v>9335</v>
      </c>
      <c r="B26" s="29">
        <v>46154</v>
      </c>
      <c r="C26" s="23" t="s">
        <v>13</v>
      </c>
      <c r="D26" s="37" t="s">
        <v>135</v>
      </c>
      <c r="E26" s="23" t="s">
        <v>148</v>
      </c>
      <c r="F26" s="31">
        <v>1052</v>
      </c>
      <c r="G26" s="31">
        <v>39500</v>
      </c>
      <c r="H26" s="31">
        <f>Cty_Thien_An[[#This Row],[ĐƠN GIÁ]]*Cty_Thien_An[[#This Row],[SỐ LƯỢNG]]</f>
        <v>41554000</v>
      </c>
      <c r="I26" s="31"/>
      <c r="J26" s="31">
        <f>J25+Cty_Thien_An[[#This Row],[THÀNH TIỀN]]-Cty_Thien_An[[#This Row],[THANH TOÁN]]</f>
        <v>1222275361</v>
      </c>
      <c r="K26" s="24"/>
    </row>
    <row r="27" spans="1:11" x14ac:dyDescent="0.25">
      <c r="A27" s="22"/>
      <c r="B27" s="29">
        <v>46154</v>
      </c>
      <c r="C27" s="23" t="s">
        <v>21</v>
      </c>
      <c r="D27" s="37" t="s">
        <v>22</v>
      </c>
      <c r="E27" s="23" t="s">
        <v>261</v>
      </c>
      <c r="F27" s="31">
        <v>0</v>
      </c>
      <c r="G27" s="31"/>
      <c r="H27" s="31">
        <f>Cty_Thien_An[[#This Row],[ĐƠN GIÁ]]*Cty_Thien_An[[#This Row],[SỐ LƯỢNG]]</f>
        <v>0</v>
      </c>
      <c r="I27" s="31">
        <v>174117180</v>
      </c>
      <c r="J27" s="31">
        <f>J26+Cty_Thien_An[[#This Row],[THÀNH TIỀN]]-Cty_Thien_An[[#This Row],[THANH TOÁN]]</f>
        <v>1048158181</v>
      </c>
      <c r="K27" s="24"/>
    </row>
    <row r="28" spans="1:11" x14ac:dyDescent="0.25">
      <c r="A28" s="22">
        <v>9516</v>
      </c>
      <c r="B28" s="29">
        <v>46163</v>
      </c>
      <c r="C28" s="23" t="s">
        <v>13</v>
      </c>
      <c r="D28" s="37" t="s">
        <v>169</v>
      </c>
      <c r="E28" s="23" t="s">
        <v>136</v>
      </c>
      <c r="F28" s="31">
        <v>5446</v>
      </c>
      <c r="G28" s="31">
        <v>37500</v>
      </c>
      <c r="H28" s="31">
        <f>Cty_Thien_An[[#This Row],[ĐƠN GIÁ]]*Cty_Thien_An[[#This Row],[SỐ LƯỢNG]]</f>
        <v>204225000</v>
      </c>
      <c r="I28" s="31"/>
      <c r="J28" s="31">
        <f>J27+Cty_Thien_An[[#This Row],[THÀNH TIỀN]]-Cty_Thien_An[[#This Row],[THANH TOÁN]]</f>
        <v>1252383181</v>
      </c>
      <c r="K28" s="24"/>
    </row>
    <row r="29" spans="1:11" x14ac:dyDescent="0.25">
      <c r="A29" s="22">
        <v>9516</v>
      </c>
      <c r="B29" s="29">
        <v>46163</v>
      </c>
      <c r="C29" s="23" t="s">
        <v>13</v>
      </c>
      <c r="D29" s="37" t="s">
        <v>169</v>
      </c>
      <c r="E29" s="23" t="s">
        <v>62</v>
      </c>
      <c r="F29" s="31">
        <v>2042</v>
      </c>
      <c r="G29" s="31">
        <v>39000</v>
      </c>
      <c r="H29" s="31">
        <f>Cty_Thien_An[[#This Row],[ĐƠN GIÁ]]*Cty_Thien_An[[#This Row],[SỐ LƯỢNG]]</f>
        <v>79638000</v>
      </c>
      <c r="I29" s="31"/>
      <c r="J29" s="31">
        <f>J28+Cty_Thien_An[[#This Row],[THÀNH TIỀN]]-Cty_Thien_An[[#This Row],[THANH TOÁN]]</f>
        <v>1332021181</v>
      </c>
      <c r="K29" s="24"/>
    </row>
    <row r="30" spans="1:11" x14ac:dyDescent="0.25">
      <c r="A30" s="22">
        <v>9634</v>
      </c>
      <c r="B30" s="29">
        <v>46168</v>
      </c>
      <c r="C30" s="23" t="s">
        <v>13</v>
      </c>
      <c r="D30" s="37" t="s">
        <v>43</v>
      </c>
      <c r="E30" s="23" t="s">
        <v>283</v>
      </c>
      <c r="F30" s="31">
        <v>2120</v>
      </c>
      <c r="G30" s="31">
        <v>63000</v>
      </c>
      <c r="H30" s="31">
        <f>Cty_Thien_An[[#This Row],[ĐƠN GIÁ]]*Cty_Thien_An[[#This Row],[SỐ LƯỢNG]]</f>
        <v>133560000</v>
      </c>
      <c r="I30" s="31"/>
      <c r="J30" s="31">
        <f>J29+Cty_Thien_An[[#This Row],[THÀNH TIỀN]]-Cty_Thien_An[[#This Row],[THANH TOÁN]]</f>
        <v>1465581181</v>
      </c>
      <c r="K30" s="24"/>
    </row>
    <row r="31" spans="1:11" x14ac:dyDescent="0.25">
      <c r="A31" s="22">
        <v>9634</v>
      </c>
      <c r="B31" s="29">
        <v>46168</v>
      </c>
      <c r="C31" s="23" t="s">
        <v>13</v>
      </c>
      <c r="D31" s="37" t="s">
        <v>265</v>
      </c>
      <c r="E31" s="23" t="s">
        <v>136</v>
      </c>
      <c r="F31" s="31">
        <v>5320</v>
      </c>
      <c r="G31" s="31">
        <v>67500</v>
      </c>
      <c r="H31" s="31">
        <f>Cty_Thien_An[[#This Row],[ĐƠN GIÁ]]*Cty_Thien_An[[#This Row],[SỐ LƯỢNG]]</f>
        <v>359100000</v>
      </c>
      <c r="I31" s="31"/>
      <c r="J31" s="31">
        <f>J30+Cty_Thien_An[[#This Row],[THÀNH TIỀN]]-Cty_Thien_An[[#This Row],[THANH TOÁN]]</f>
        <v>1824681181</v>
      </c>
      <c r="K31" s="24"/>
    </row>
    <row r="32" spans="1:11" x14ac:dyDescent="0.25">
      <c r="A32" s="22"/>
      <c r="B32" s="29">
        <v>46168</v>
      </c>
      <c r="C32" s="23" t="s">
        <v>21</v>
      </c>
      <c r="D32" s="37" t="s">
        <v>22</v>
      </c>
      <c r="E32" s="23" t="s">
        <v>261</v>
      </c>
      <c r="F32" s="31">
        <v>0</v>
      </c>
      <c r="G32" s="31"/>
      <c r="H32" s="31">
        <f>Cty_Thien_An[[#This Row],[ĐƠN GIÁ]]*Cty_Thien_An[[#This Row],[SỐ LƯỢNG]]</f>
        <v>0</v>
      </c>
      <c r="I32" s="31">
        <v>526162120</v>
      </c>
      <c r="J32" s="31">
        <f>J31+Cty_Thien_An[[#This Row],[THÀNH TIỀN]]-Cty_Thien_An[[#This Row],[THANH TOÁN]]</f>
        <v>1298519061</v>
      </c>
      <c r="K32" s="24"/>
    </row>
    <row r="33" spans="1:11" x14ac:dyDescent="0.25">
      <c r="A33" s="22">
        <v>9676</v>
      </c>
      <c r="B33" s="29">
        <v>46170</v>
      </c>
      <c r="C33" s="23" t="s">
        <v>13</v>
      </c>
      <c r="D33" s="37" t="s">
        <v>36</v>
      </c>
      <c r="E33" s="23" t="s">
        <v>110</v>
      </c>
      <c r="F33" s="31">
        <v>1422</v>
      </c>
      <c r="G33" s="31">
        <v>66000</v>
      </c>
      <c r="H33" s="31">
        <f>Cty_Thien_An[[#This Row],[ĐƠN GIÁ]]*Cty_Thien_An[[#This Row],[SỐ LƯỢNG]]</f>
        <v>93852000</v>
      </c>
      <c r="I33" s="31"/>
      <c r="J33" s="31">
        <f>J32+Cty_Thien_An[[#This Row],[THÀNH TIỀN]]-Cty_Thien_An[[#This Row],[THANH TOÁN]]</f>
        <v>1392371061</v>
      </c>
      <c r="K33" s="24"/>
    </row>
    <row r="34" spans="1:11" x14ac:dyDescent="0.25">
      <c r="A34" s="151">
        <v>9676</v>
      </c>
      <c r="B34" s="152">
        <v>46170</v>
      </c>
      <c r="C34" s="55" t="s">
        <v>426</v>
      </c>
      <c r="D34" s="149" t="s">
        <v>50</v>
      </c>
      <c r="E34" s="55" t="s">
        <v>250</v>
      </c>
      <c r="F34" s="57">
        <v>196</v>
      </c>
      <c r="G34" s="57"/>
      <c r="H34" s="57">
        <f>Cty_Thien_An[[#This Row],[ĐƠN GIÁ]]*Cty_Thien_An[[#This Row],[SỐ LƯỢNG]]</f>
        <v>0</v>
      </c>
      <c r="I34" s="57"/>
      <c r="J34" s="57">
        <f>J33+Cty_Thien_An[[#This Row],[THÀNH TIỀN]]-Cty_Thien_An[[#This Row],[THANH TOÁN]]</f>
        <v>1392371061</v>
      </c>
      <c r="K34" s="58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CAF22-7EE2-4681-A450-A7B2DE79F652}">
  <sheetPr codeName="Sheet54"/>
  <dimension ref="A5:P83"/>
  <sheetViews>
    <sheetView topLeftCell="A60" workbookViewId="0">
      <selection activeCell="I78" sqref="I78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1196629800</v>
      </c>
    </row>
    <row r="6" spans="1:16" ht="22.5" x14ac:dyDescent="0.25">
      <c r="D6" s="34" t="s">
        <v>916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Cty_Ha_Cuong[[#This Row],[ĐƠN GIÁ]]*Cty_Ha_Cuong[[#This Row],[SỐ LƯỢNG]]</f>
        <v>0</v>
      </c>
      <c r="I10" s="31"/>
      <c r="J10" s="31">
        <v>388120000</v>
      </c>
      <c r="K10" s="24"/>
    </row>
    <row r="11" spans="1:16" x14ac:dyDescent="0.25">
      <c r="A11" s="22">
        <v>7844</v>
      </c>
      <c r="B11" s="29">
        <v>46085</v>
      </c>
      <c r="C11" s="23" t="s">
        <v>13</v>
      </c>
      <c r="D11" s="37" t="s">
        <v>917</v>
      </c>
      <c r="E11" s="23" t="s">
        <v>918</v>
      </c>
      <c r="F11" s="31">
        <v>620</v>
      </c>
      <c r="G11" s="31">
        <v>40000</v>
      </c>
      <c r="H11" s="31">
        <f>Cty_Ha_Cuong[[#This Row],[ĐƠN GIÁ]]*Cty_Ha_Cuong[[#This Row],[SỐ LƯỢNG]]</f>
        <v>24800000</v>
      </c>
      <c r="I11" s="31"/>
      <c r="J11" s="31">
        <f>J10+Cty_Ha_Cuong[[#This Row],[THÀNH TIỀN]]-Cty_Ha_Cuong[[#This Row],[THANH TOÁN]]</f>
        <v>412920000</v>
      </c>
      <c r="K11" s="24" t="s">
        <v>128</v>
      </c>
    </row>
    <row r="12" spans="1:16" x14ac:dyDescent="0.25">
      <c r="A12" s="22">
        <v>7844</v>
      </c>
      <c r="B12" s="29">
        <v>46085</v>
      </c>
      <c r="C12" s="23" t="s">
        <v>13</v>
      </c>
      <c r="D12" s="37" t="s">
        <v>290</v>
      </c>
      <c r="E12" s="23" t="s">
        <v>127</v>
      </c>
      <c r="F12" s="31">
        <v>1164</v>
      </c>
      <c r="G12" s="31">
        <v>57000</v>
      </c>
      <c r="H12" s="31">
        <f>Cty_Ha_Cuong[[#This Row],[ĐƠN GIÁ]]*Cty_Ha_Cuong[[#This Row],[SỐ LƯỢNG]]</f>
        <v>66348000</v>
      </c>
      <c r="I12" s="31"/>
      <c r="J12" s="31">
        <f>J11+Cty_Ha_Cuong[[#This Row],[THÀNH TIỀN]]-Cty_Ha_Cuong[[#This Row],[THANH TOÁN]]</f>
        <v>479268000</v>
      </c>
      <c r="K12" s="24" t="s">
        <v>128</v>
      </c>
    </row>
    <row r="13" spans="1:16" x14ac:dyDescent="0.25">
      <c r="A13" s="22">
        <v>7844</v>
      </c>
      <c r="B13" s="29">
        <v>46085</v>
      </c>
      <c r="C13" s="23" t="s">
        <v>13</v>
      </c>
      <c r="D13" s="37" t="s">
        <v>290</v>
      </c>
      <c r="E13" s="23" t="s">
        <v>873</v>
      </c>
      <c r="F13" s="31">
        <f>640+764</f>
        <v>1404</v>
      </c>
      <c r="G13" s="31">
        <v>57000</v>
      </c>
      <c r="H13" s="31">
        <f>Cty_Ha_Cuong[[#This Row],[ĐƠN GIÁ]]*Cty_Ha_Cuong[[#This Row],[SỐ LƯỢNG]]</f>
        <v>80028000</v>
      </c>
      <c r="I13" s="31"/>
      <c r="J13" s="31">
        <f>J12+Cty_Ha_Cuong[[#This Row],[THÀNH TIỀN]]-Cty_Ha_Cuong[[#This Row],[THANH TOÁN]]</f>
        <v>559296000</v>
      </c>
      <c r="K13" s="24" t="s">
        <v>128</v>
      </c>
    </row>
    <row r="14" spans="1:16" x14ac:dyDescent="0.25">
      <c r="A14" s="22">
        <v>7894</v>
      </c>
      <c r="B14" s="29">
        <v>46087</v>
      </c>
      <c r="C14" s="23" t="s">
        <v>13</v>
      </c>
      <c r="D14" s="37" t="s">
        <v>17</v>
      </c>
      <c r="E14" s="23" t="s">
        <v>873</v>
      </c>
      <c r="F14" s="31">
        <f>694+718</f>
        <v>1412</v>
      </c>
      <c r="G14" s="31">
        <v>57000</v>
      </c>
      <c r="H14" s="31">
        <f>Cty_Ha_Cuong[[#This Row],[ĐƠN GIÁ]]*Cty_Ha_Cuong[[#This Row],[SỐ LƯỢNG]]</f>
        <v>80484000</v>
      </c>
      <c r="I14" s="31"/>
      <c r="J14" s="31">
        <f>J13+Cty_Ha_Cuong[[#This Row],[THÀNH TIỀN]]-Cty_Ha_Cuong[[#This Row],[THANH TOÁN]]</f>
        <v>639780000</v>
      </c>
      <c r="K14" s="24"/>
      <c r="P14" s="35"/>
    </row>
    <row r="15" spans="1:16" x14ac:dyDescent="0.25">
      <c r="A15" s="22">
        <v>7894</v>
      </c>
      <c r="B15" s="29">
        <v>46087</v>
      </c>
      <c r="C15" s="23" t="s">
        <v>13</v>
      </c>
      <c r="D15" s="37" t="s">
        <v>17</v>
      </c>
      <c r="E15" s="23" t="s">
        <v>919</v>
      </c>
      <c r="F15" s="31">
        <f>404+486+414+468</f>
        <v>1772</v>
      </c>
      <c r="G15" s="31">
        <v>57000</v>
      </c>
      <c r="H15" s="31">
        <f>Cty_Ha_Cuong[[#This Row],[ĐƠN GIÁ]]*Cty_Ha_Cuong[[#This Row],[SỐ LƯỢNG]]</f>
        <v>101004000</v>
      </c>
      <c r="I15" s="28"/>
      <c r="J15" s="31">
        <f>J14+Cty_Ha_Cuong[[#This Row],[THÀNH TIỀN]]-Cty_Ha_Cuong[[#This Row],[THANH TOÁN]]</f>
        <v>740784000</v>
      </c>
      <c r="K15" s="27"/>
    </row>
    <row r="16" spans="1:16" x14ac:dyDescent="0.25">
      <c r="A16" s="22">
        <v>7894</v>
      </c>
      <c r="B16" s="29">
        <v>46087</v>
      </c>
      <c r="C16" s="23" t="s">
        <v>13</v>
      </c>
      <c r="D16" s="37" t="s">
        <v>17</v>
      </c>
      <c r="E16" s="23" t="s">
        <v>127</v>
      </c>
      <c r="F16" s="31">
        <f>486+484</f>
        <v>970</v>
      </c>
      <c r="G16" s="31">
        <v>57000</v>
      </c>
      <c r="H16" s="31">
        <f>Cty_Ha_Cuong[[#This Row],[ĐƠN GIÁ]]*Cty_Ha_Cuong[[#This Row],[SỐ LƯỢNG]]</f>
        <v>55290000</v>
      </c>
      <c r="I16" s="31"/>
      <c r="J16" s="31">
        <f>J15+Cty_Ha_Cuong[[#This Row],[THÀNH TIỀN]]-Cty_Ha_Cuong[[#This Row],[THANH TOÁN]]</f>
        <v>796074000</v>
      </c>
      <c r="K16" s="24"/>
    </row>
    <row r="17" spans="1:11" x14ac:dyDescent="0.25">
      <c r="A17" s="22">
        <v>7894</v>
      </c>
      <c r="B17" s="29">
        <v>46087</v>
      </c>
      <c r="C17" s="23" t="s">
        <v>13</v>
      </c>
      <c r="D17" s="37" t="s">
        <v>17</v>
      </c>
      <c r="E17" s="23" t="s">
        <v>920</v>
      </c>
      <c r="F17" s="31">
        <f>536-8+578-12</f>
        <v>1094</v>
      </c>
      <c r="G17" s="31">
        <v>57000</v>
      </c>
      <c r="H17" s="31">
        <f>Cty_Ha_Cuong[[#This Row],[ĐƠN GIÁ]]*Cty_Ha_Cuong[[#This Row],[SỐ LƯỢNG]]</f>
        <v>62358000</v>
      </c>
      <c r="I17" s="31"/>
      <c r="J17" s="31">
        <f>J16+Cty_Ha_Cuong[[#This Row],[THÀNH TIỀN]]-Cty_Ha_Cuong[[#This Row],[THANH TOÁN]]</f>
        <v>858432000</v>
      </c>
      <c r="K17" s="24"/>
    </row>
    <row r="18" spans="1:11" x14ac:dyDescent="0.25">
      <c r="A18" s="22">
        <v>7894</v>
      </c>
      <c r="B18" s="29">
        <v>46087</v>
      </c>
      <c r="C18" s="23" t="s">
        <v>13</v>
      </c>
      <c r="D18" s="37" t="s">
        <v>17</v>
      </c>
      <c r="E18" s="23" t="s">
        <v>258</v>
      </c>
      <c r="F18" s="31">
        <f>184+180</f>
        <v>364</v>
      </c>
      <c r="G18" s="31">
        <v>58000</v>
      </c>
      <c r="H18" s="31">
        <f>Cty_Ha_Cuong[[#This Row],[ĐƠN GIÁ]]*Cty_Ha_Cuong[[#This Row],[SỐ LƯỢNG]]</f>
        <v>21112000</v>
      </c>
      <c r="I18" s="31"/>
      <c r="J18" s="31">
        <f>J17+Cty_Ha_Cuong[[#This Row],[THÀNH TIỀN]]-Cty_Ha_Cuong[[#This Row],[THANH TOÁN]]</f>
        <v>879544000</v>
      </c>
      <c r="K18" s="24"/>
    </row>
    <row r="19" spans="1:11" x14ac:dyDescent="0.25">
      <c r="A19" s="22">
        <v>7894</v>
      </c>
      <c r="B19" s="29">
        <v>46087</v>
      </c>
      <c r="C19" s="23" t="s">
        <v>13</v>
      </c>
      <c r="D19" s="37" t="s">
        <v>32</v>
      </c>
      <c r="E19" s="23" t="s">
        <v>46</v>
      </c>
      <c r="F19" s="31">
        <v>606</v>
      </c>
      <c r="G19" s="31">
        <v>41000</v>
      </c>
      <c r="H19" s="31">
        <f>Cty_Ha_Cuong[[#This Row],[ĐƠN GIÁ]]*Cty_Ha_Cuong[[#This Row],[SỐ LƯỢNG]]</f>
        <v>24846000</v>
      </c>
      <c r="I19" s="31"/>
      <c r="J19" s="31">
        <f>J18+Cty_Ha_Cuong[[#This Row],[THÀNH TIỀN]]-Cty_Ha_Cuong[[#This Row],[THANH TOÁN]]</f>
        <v>904390000</v>
      </c>
      <c r="K19" s="24"/>
    </row>
    <row r="20" spans="1:11" x14ac:dyDescent="0.25">
      <c r="A20" s="22">
        <v>7956</v>
      </c>
      <c r="B20" s="29">
        <v>46090</v>
      </c>
      <c r="C20" s="23" t="s">
        <v>13</v>
      </c>
      <c r="D20" s="37" t="s">
        <v>43</v>
      </c>
      <c r="E20" s="23" t="s">
        <v>211</v>
      </c>
      <c r="F20" s="31">
        <v>348</v>
      </c>
      <c r="G20" s="31">
        <v>59000</v>
      </c>
      <c r="H20" s="31">
        <f>Cty_Ha_Cuong[[#This Row],[ĐƠN GIÁ]]*Cty_Ha_Cuong[[#This Row],[SỐ LƯỢNG]]</f>
        <v>20532000</v>
      </c>
      <c r="I20" s="31"/>
      <c r="J20" s="31">
        <f>J19+Cty_Ha_Cuong[[#This Row],[THÀNH TIỀN]]-Cty_Ha_Cuong[[#This Row],[THANH TOÁN]]</f>
        <v>924922000</v>
      </c>
      <c r="K20" s="24" t="s">
        <v>128</v>
      </c>
    </row>
    <row r="21" spans="1:11" x14ac:dyDescent="0.25">
      <c r="A21" s="22">
        <v>7956</v>
      </c>
      <c r="B21" s="29">
        <v>46090</v>
      </c>
      <c r="C21" s="23" t="s">
        <v>13</v>
      </c>
      <c r="D21" s="37" t="s">
        <v>17</v>
      </c>
      <c r="E21" s="23" t="s">
        <v>211</v>
      </c>
      <c r="F21" s="31">
        <v>156</v>
      </c>
      <c r="G21" s="31">
        <v>59000</v>
      </c>
      <c r="H21" s="31">
        <f>Cty_Ha_Cuong[[#This Row],[ĐƠN GIÁ]]*Cty_Ha_Cuong[[#This Row],[SỐ LƯỢNG]]</f>
        <v>9204000</v>
      </c>
      <c r="I21" s="31"/>
      <c r="J21" s="31">
        <f>J20+Cty_Ha_Cuong[[#This Row],[THÀNH TIỀN]]-Cty_Ha_Cuong[[#This Row],[THANH TOÁN]]</f>
        <v>934126000</v>
      </c>
      <c r="K21" s="24" t="s">
        <v>128</v>
      </c>
    </row>
    <row r="22" spans="1:11" x14ac:dyDescent="0.25">
      <c r="A22" s="22">
        <v>7956</v>
      </c>
      <c r="B22" s="29">
        <v>46090</v>
      </c>
      <c r="C22" s="23" t="s">
        <v>13</v>
      </c>
      <c r="D22" s="37" t="s">
        <v>17</v>
      </c>
      <c r="E22" s="23" t="s">
        <v>220</v>
      </c>
      <c r="F22" s="31">
        <v>156</v>
      </c>
      <c r="G22" s="31">
        <v>59000</v>
      </c>
      <c r="H22" s="31">
        <f>Cty_Ha_Cuong[[#This Row],[ĐƠN GIÁ]]*Cty_Ha_Cuong[[#This Row],[SỐ LƯỢNG]]</f>
        <v>9204000</v>
      </c>
      <c r="I22" s="31"/>
      <c r="J22" s="31">
        <f>J21+Cty_Ha_Cuong[[#This Row],[THÀNH TIỀN]]-Cty_Ha_Cuong[[#This Row],[THANH TOÁN]]</f>
        <v>943330000</v>
      </c>
      <c r="K22" s="24" t="s">
        <v>128</v>
      </c>
    </row>
    <row r="23" spans="1:11" x14ac:dyDescent="0.25">
      <c r="A23" s="22">
        <v>7956</v>
      </c>
      <c r="B23" s="29">
        <v>46090</v>
      </c>
      <c r="C23" s="23" t="s">
        <v>13</v>
      </c>
      <c r="D23" s="37" t="s">
        <v>17</v>
      </c>
      <c r="E23" s="23" t="s">
        <v>33</v>
      </c>
      <c r="F23" s="31">
        <v>1004</v>
      </c>
      <c r="G23" s="31">
        <v>58500</v>
      </c>
      <c r="H23" s="31">
        <f>Cty_Ha_Cuong[[#This Row],[ĐƠN GIÁ]]*Cty_Ha_Cuong[[#This Row],[SỐ LƯỢNG]]</f>
        <v>58734000</v>
      </c>
      <c r="I23" s="31"/>
      <c r="J23" s="31">
        <f>J22+Cty_Ha_Cuong[[#This Row],[THÀNH TIỀN]]-Cty_Ha_Cuong[[#This Row],[THANH TOÁN]]</f>
        <v>1002064000</v>
      </c>
      <c r="K23" s="24" t="s">
        <v>128</v>
      </c>
    </row>
    <row r="24" spans="1:11" x14ac:dyDescent="0.25">
      <c r="A24" s="25">
        <v>7987</v>
      </c>
      <c r="B24" s="30">
        <v>46091</v>
      </c>
      <c r="C24" s="26" t="s">
        <v>13</v>
      </c>
      <c r="D24" s="38" t="s">
        <v>26</v>
      </c>
      <c r="E24" s="26" t="s">
        <v>33</v>
      </c>
      <c r="F24" s="28">
        <v>482</v>
      </c>
      <c r="G24" s="28">
        <v>34000</v>
      </c>
      <c r="H24" s="28">
        <f>Cty_Ha_Cuong[[#This Row],[ĐƠN GIÁ]]*Cty_Ha_Cuong[[#This Row],[SỐ LƯỢNG]]</f>
        <v>16388000</v>
      </c>
      <c r="I24" s="28"/>
      <c r="J24" s="28">
        <f>J23+Cty_Ha_Cuong[[#This Row],[THÀNH TIỀN]]-Cty_Ha_Cuong[[#This Row],[THANH TOÁN]]</f>
        <v>1018452000</v>
      </c>
      <c r="K24" s="27"/>
    </row>
    <row r="25" spans="1:11" x14ac:dyDescent="0.25">
      <c r="A25" s="25">
        <v>7987</v>
      </c>
      <c r="B25" s="30">
        <v>46091</v>
      </c>
      <c r="C25" s="26" t="s">
        <v>13</v>
      </c>
      <c r="D25" s="38" t="s">
        <v>17</v>
      </c>
      <c r="E25" s="26" t="s">
        <v>127</v>
      </c>
      <c r="F25" s="28">
        <f>488+490</f>
        <v>978</v>
      </c>
      <c r="G25" s="28">
        <v>58500</v>
      </c>
      <c r="H25" s="28">
        <f>Cty_Ha_Cuong[[#This Row],[ĐƠN GIÁ]]*Cty_Ha_Cuong[[#This Row],[SỐ LƯỢNG]]</f>
        <v>57213000</v>
      </c>
      <c r="I25" s="28"/>
      <c r="J25" s="28">
        <f>J24+Cty_Ha_Cuong[[#This Row],[THÀNH TIỀN]]-Cty_Ha_Cuong[[#This Row],[THANH TOÁN]]</f>
        <v>1075665000</v>
      </c>
      <c r="K25" s="27"/>
    </row>
    <row r="26" spans="1:11" x14ac:dyDescent="0.25">
      <c r="A26" s="25">
        <v>7987</v>
      </c>
      <c r="B26" s="30">
        <v>46091</v>
      </c>
      <c r="C26" s="26" t="s">
        <v>13</v>
      </c>
      <c r="D26" s="38" t="s">
        <v>17</v>
      </c>
      <c r="E26" s="26" t="s">
        <v>920</v>
      </c>
      <c r="F26" s="28">
        <f>482-10+552-6</f>
        <v>1018</v>
      </c>
      <c r="G26" s="28">
        <v>58500</v>
      </c>
      <c r="H26" s="28">
        <f>Cty_Ha_Cuong[[#This Row],[ĐƠN GIÁ]]*Cty_Ha_Cuong[[#This Row],[SỐ LƯỢNG]]</f>
        <v>59553000</v>
      </c>
      <c r="I26" s="28"/>
      <c r="J26" s="28">
        <f>J25+Cty_Ha_Cuong[[#This Row],[THÀNH TIỀN]]-Cty_Ha_Cuong[[#This Row],[THANH TOÁN]]</f>
        <v>1135218000</v>
      </c>
      <c r="K26" s="27"/>
    </row>
    <row r="27" spans="1:11" x14ac:dyDescent="0.25">
      <c r="A27" s="25">
        <v>7987</v>
      </c>
      <c r="B27" s="30">
        <v>46091</v>
      </c>
      <c r="C27" s="26" t="s">
        <v>13</v>
      </c>
      <c r="D27" s="38" t="s">
        <v>17</v>
      </c>
      <c r="E27" s="26" t="s">
        <v>33</v>
      </c>
      <c r="F27" s="28">
        <f>500+502+504+500+498-2</f>
        <v>2502</v>
      </c>
      <c r="G27" s="28">
        <v>58500</v>
      </c>
      <c r="H27" s="28">
        <f>Cty_Ha_Cuong[[#This Row],[ĐƠN GIÁ]]*Cty_Ha_Cuong[[#This Row],[SỐ LƯỢNG]]</f>
        <v>146367000</v>
      </c>
      <c r="I27" s="28"/>
      <c r="J27" s="28">
        <f>J26+Cty_Ha_Cuong[[#This Row],[THÀNH TIỀN]]-Cty_Ha_Cuong[[#This Row],[THANH TOÁN]]</f>
        <v>1281585000</v>
      </c>
      <c r="K27" s="27"/>
    </row>
    <row r="28" spans="1:11" x14ac:dyDescent="0.25">
      <c r="A28" s="25">
        <v>8013</v>
      </c>
      <c r="B28" s="30">
        <v>46092</v>
      </c>
      <c r="C28" s="26" t="s">
        <v>13</v>
      </c>
      <c r="D28" s="38" t="s">
        <v>17</v>
      </c>
      <c r="E28" s="26" t="s">
        <v>211</v>
      </c>
      <c r="F28" s="28">
        <v>184</v>
      </c>
      <c r="G28" s="28">
        <v>59000</v>
      </c>
      <c r="H28" s="28">
        <f>Cty_Ha_Cuong[[#This Row],[ĐƠN GIÁ]]*Cty_Ha_Cuong[[#This Row],[SỐ LƯỢNG]]</f>
        <v>10856000</v>
      </c>
      <c r="I28" s="28"/>
      <c r="J28" s="28">
        <f>J27+Cty_Ha_Cuong[[#This Row],[THÀNH TIỀN]]-Cty_Ha_Cuong[[#This Row],[THANH TOÁN]]</f>
        <v>1292441000</v>
      </c>
      <c r="K28" s="27" t="s">
        <v>128</v>
      </c>
    </row>
    <row r="29" spans="1:11" x14ac:dyDescent="0.25">
      <c r="A29" s="25">
        <v>8013</v>
      </c>
      <c r="B29" s="30">
        <v>46092</v>
      </c>
      <c r="C29" s="26" t="s">
        <v>13</v>
      </c>
      <c r="D29" s="38" t="s">
        <v>17</v>
      </c>
      <c r="E29" s="23" t="s">
        <v>33</v>
      </c>
      <c r="F29" s="31">
        <f>552+614</f>
        <v>1166</v>
      </c>
      <c r="G29" s="31">
        <v>58500</v>
      </c>
      <c r="H29" s="31">
        <f>Cty_Ha_Cuong[[#This Row],[ĐƠN GIÁ]]*Cty_Ha_Cuong[[#This Row],[SỐ LƯỢNG]]</f>
        <v>68211000</v>
      </c>
      <c r="I29" s="31"/>
      <c r="J29" s="31">
        <f>J28+Cty_Ha_Cuong[[#This Row],[THÀNH TIỀN]]-Cty_Ha_Cuong[[#This Row],[THANH TOÁN]]</f>
        <v>1360652000</v>
      </c>
      <c r="K29" s="27" t="s">
        <v>128</v>
      </c>
    </row>
    <row r="30" spans="1:11" x14ac:dyDescent="0.25">
      <c r="A30" s="25">
        <v>8013</v>
      </c>
      <c r="B30" s="30">
        <v>46092</v>
      </c>
      <c r="C30" s="26" t="s">
        <v>13</v>
      </c>
      <c r="D30" s="38" t="s">
        <v>17</v>
      </c>
      <c r="E30" s="23" t="s">
        <v>46</v>
      </c>
      <c r="F30" s="31">
        <f>926+924</f>
        <v>1850</v>
      </c>
      <c r="G30" s="31">
        <v>58500</v>
      </c>
      <c r="H30" s="31">
        <f>Cty_Ha_Cuong[[#This Row],[ĐƠN GIÁ]]*Cty_Ha_Cuong[[#This Row],[SỐ LƯỢNG]]</f>
        <v>108225000</v>
      </c>
      <c r="I30" s="31"/>
      <c r="J30" s="31">
        <f>J29+Cty_Ha_Cuong[[#This Row],[THÀNH TIỀN]]-Cty_Ha_Cuong[[#This Row],[THANH TOÁN]]</f>
        <v>1468877000</v>
      </c>
      <c r="K30" s="27" t="s">
        <v>128</v>
      </c>
    </row>
    <row r="31" spans="1:11" x14ac:dyDescent="0.25">
      <c r="A31" s="25">
        <v>8075</v>
      </c>
      <c r="B31" s="30">
        <v>46094</v>
      </c>
      <c r="C31" s="26" t="s">
        <v>13</v>
      </c>
      <c r="D31" s="38" t="s">
        <v>68</v>
      </c>
      <c r="E31" s="26" t="s">
        <v>921</v>
      </c>
      <c r="F31" s="28">
        <v>142</v>
      </c>
      <c r="G31" s="28">
        <v>42000</v>
      </c>
      <c r="H31" s="28">
        <f>Cty_Ha_Cuong[[#This Row],[ĐƠN GIÁ]]*Cty_Ha_Cuong[[#This Row],[SỐ LƯỢNG]]</f>
        <v>5964000</v>
      </c>
      <c r="I31" s="28"/>
      <c r="J31" s="28">
        <f>J30+Cty_Ha_Cuong[[#This Row],[THÀNH TIỀN]]-Cty_Ha_Cuong[[#This Row],[THANH TOÁN]]</f>
        <v>1474841000</v>
      </c>
      <c r="K31" s="27" t="s">
        <v>128</v>
      </c>
    </row>
    <row r="32" spans="1:11" x14ac:dyDescent="0.25">
      <c r="A32" s="25">
        <v>8075</v>
      </c>
      <c r="B32" s="30">
        <v>46094</v>
      </c>
      <c r="C32" s="26" t="s">
        <v>13</v>
      </c>
      <c r="D32" s="37" t="s">
        <v>17</v>
      </c>
      <c r="E32" s="23" t="s">
        <v>922</v>
      </c>
      <c r="F32" s="31">
        <v>577</v>
      </c>
      <c r="G32" s="31">
        <v>59000</v>
      </c>
      <c r="H32" s="31">
        <f>Cty_Ha_Cuong[[#This Row],[ĐƠN GIÁ]]*Cty_Ha_Cuong[[#This Row],[SỐ LƯỢNG]]</f>
        <v>34043000</v>
      </c>
      <c r="I32" s="31"/>
      <c r="J32" s="31">
        <f>J31+Cty_Ha_Cuong[[#This Row],[THÀNH TIỀN]]-Cty_Ha_Cuong[[#This Row],[THANH TOÁN]]</f>
        <v>1508884000</v>
      </c>
      <c r="K32" s="27" t="s">
        <v>128</v>
      </c>
    </row>
    <row r="33" spans="1:11" x14ac:dyDescent="0.25">
      <c r="A33" s="25"/>
      <c r="B33" s="30">
        <v>46094</v>
      </c>
      <c r="C33" s="26" t="s">
        <v>21</v>
      </c>
      <c r="D33" s="38" t="s">
        <v>22</v>
      </c>
      <c r="E33" s="26" t="s">
        <v>261</v>
      </c>
      <c r="F33" s="28">
        <v>0</v>
      </c>
      <c r="G33" s="28">
        <v>0</v>
      </c>
      <c r="H33" s="28">
        <f>Cty_Ha_Cuong[[#This Row],[ĐƠN GIÁ]]*Cty_Ha_Cuong[[#This Row],[SỐ LƯỢNG]]</f>
        <v>0</v>
      </c>
      <c r="I33" s="28">
        <v>36568000</v>
      </c>
      <c r="J33" s="28">
        <f>J32+Cty_Ha_Cuong[[#This Row],[THÀNH TIỀN]]-Cty_Ha_Cuong[[#This Row],[THANH TOÁN]]</f>
        <v>1472316000</v>
      </c>
      <c r="K33" s="27"/>
    </row>
    <row r="34" spans="1:11" x14ac:dyDescent="0.25">
      <c r="A34" s="25"/>
      <c r="B34" s="30">
        <v>46094</v>
      </c>
      <c r="C34" s="26" t="s">
        <v>21</v>
      </c>
      <c r="D34" s="38" t="s">
        <v>24</v>
      </c>
      <c r="E34" s="26"/>
      <c r="F34" s="28">
        <v>0</v>
      </c>
      <c r="G34" s="28">
        <v>0</v>
      </c>
      <c r="H34" s="28">
        <f>Cty_Ha_Cuong[[#This Row],[ĐƠN GIÁ]]*Cty_Ha_Cuong[[#This Row],[SỐ LƯỢNG]]</f>
        <v>0</v>
      </c>
      <c r="I34" s="28">
        <v>100000000</v>
      </c>
      <c r="J34" s="28">
        <f>J33+Cty_Ha_Cuong[[#This Row],[THÀNH TIỀN]]-Cty_Ha_Cuong[[#This Row],[THANH TOÁN]]</f>
        <v>1372316000</v>
      </c>
      <c r="K34" s="27"/>
    </row>
    <row r="35" spans="1:11" x14ac:dyDescent="0.25">
      <c r="A35" s="25">
        <v>8081</v>
      </c>
      <c r="B35" s="30">
        <v>46095</v>
      </c>
      <c r="C35" s="26" t="s">
        <v>13</v>
      </c>
      <c r="D35" s="38" t="s">
        <v>36</v>
      </c>
      <c r="E35" s="23" t="s">
        <v>923</v>
      </c>
      <c r="F35" s="31">
        <v>481</v>
      </c>
      <c r="G35" s="31">
        <v>59000</v>
      </c>
      <c r="H35" s="31">
        <f>Cty_Ha_Cuong[[#This Row],[ĐƠN GIÁ]]*Cty_Ha_Cuong[[#This Row],[SỐ LƯỢNG]]</f>
        <v>28379000</v>
      </c>
      <c r="I35" s="31"/>
      <c r="J35" s="31">
        <f>J34+Cty_Ha_Cuong[[#This Row],[THÀNH TIỀN]]-Cty_Ha_Cuong[[#This Row],[THANH TOÁN]]</f>
        <v>1400695000</v>
      </c>
      <c r="K35" s="27" t="s">
        <v>128</v>
      </c>
    </row>
    <row r="36" spans="1:11" x14ac:dyDescent="0.25">
      <c r="A36" s="25">
        <v>8081</v>
      </c>
      <c r="B36" s="30">
        <v>46095</v>
      </c>
      <c r="C36" s="26" t="s">
        <v>13</v>
      </c>
      <c r="D36" s="38" t="s">
        <v>17</v>
      </c>
      <c r="E36" s="26" t="s">
        <v>33</v>
      </c>
      <c r="F36" s="28">
        <f>494+490+608+532</f>
        <v>2124</v>
      </c>
      <c r="G36" s="28">
        <v>58500</v>
      </c>
      <c r="H36" s="28">
        <f>Cty_Ha_Cuong[[#This Row],[ĐƠN GIÁ]]*Cty_Ha_Cuong[[#This Row],[SỐ LƯỢNG]]</f>
        <v>124254000</v>
      </c>
      <c r="I36" s="28"/>
      <c r="J36" s="28">
        <f>J35+Cty_Ha_Cuong[[#This Row],[THÀNH TIỀN]]-Cty_Ha_Cuong[[#This Row],[THANH TOÁN]]</f>
        <v>1524949000</v>
      </c>
      <c r="K36" s="27" t="s">
        <v>128</v>
      </c>
    </row>
    <row r="37" spans="1:11" x14ac:dyDescent="0.25">
      <c r="A37" s="25">
        <v>8081</v>
      </c>
      <c r="B37" s="30">
        <v>46095</v>
      </c>
      <c r="C37" s="26" t="s">
        <v>13</v>
      </c>
      <c r="D37" s="38" t="s">
        <v>17</v>
      </c>
      <c r="E37" s="26" t="s">
        <v>46</v>
      </c>
      <c r="F37" s="28">
        <f>902+790+734+728</f>
        <v>3154</v>
      </c>
      <c r="G37" s="28">
        <v>58500</v>
      </c>
      <c r="H37" s="28">
        <f>Cty_Ha_Cuong[[#This Row],[ĐƠN GIÁ]]*Cty_Ha_Cuong[[#This Row],[SỐ LƯỢNG]]</f>
        <v>184509000</v>
      </c>
      <c r="I37" s="28"/>
      <c r="J37" s="28">
        <f>J36+Cty_Ha_Cuong[[#This Row],[THÀNH TIỀN]]-Cty_Ha_Cuong[[#This Row],[THANH TOÁN]]</f>
        <v>1709458000</v>
      </c>
      <c r="K37" s="27" t="s">
        <v>128</v>
      </c>
    </row>
    <row r="38" spans="1:11" x14ac:dyDescent="0.25">
      <c r="A38" s="25">
        <v>8125</v>
      </c>
      <c r="B38" s="30">
        <v>46097</v>
      </c>
      <c r="C38" s="26" t="s">
        <v>13</v>
      </c>
      <c r="D38" s="38" t="s">
        <v>17</v>
      </c>
      <c r="E38" s="26" t="s">
        <v>924</v>
      </c>
      <c r="F38" s="28">
        <v>1590</v>
      </c>
      <c r="G38" s="28">
        <v>58500</v>
      </c>
      <c r="H38" s="28">
        <f>Cty_Ha_Cuong[[#This Row],[ĐƠN GIÁ]]*Cty_Ha_Cuong[[#This Row],[SỐ LƯỢNG]]</f>
        <v>93015000</v>
      </c>
      <c r="I38" s="28"/>
      <c r="J38" s="28">
        <f>J37+Cty_Ha_Cuong[[#This Row],[THÀNH TIỀN]]-Cty_Ha_Cuong[[#This Row],[THANH TOÁN]]</f>
        <v>1802473000</v>
      </c>
      <c r="K38" s="27" t="s">
        <v>128</v>
      </c>
    </row>
    <row r="39" spans="1:11" x14ac:dyDescent="0.25">
      <c r="A39" s="25">
        <v>8125</v>
      </c>
      <c r="B39" s="30">
        <v>46097</v>
      </c>
      <c r="C39" s="26" t="s">
        <v>13</v>
      </c>
      <c r="D39" s="38" t="s">
        <v>17</v>
      </c>
      <c r="E39" s="26" t="s">
        <v>25</v>
      </c>
      <c r="F39" s="28">
        <v>2234</v>
      </c>
      <c r="G39" s="28">
        <v>58500</v>
      </c>
      <c r="H39" s="28">
        <f>Cty_Ha_Cuong[[#This Row],[ĐƠN GIÁ]]*Cty_Ha_Cuong[[#This Row],[SỐ LƯỢNG]]</f>
        <v>130689000</v>
      </c>
      <c r="I39" s="28"/>
      <c r="J39" s="28">
        <f>J38+Cty_Ha_Cuong[[#This Row],[THÀNH TIỀN]]-Cty_Ha_Cuong[[#This Row],[THANH TOÁN]]</f>
        <v>1933162000</v>
      </c>
      <c r="K39" s="27" t="s">
        <v>128</v>
      </c>
    </row>
    <row r="40" spans="1:11" x14ac:dyDescent="0.25">
      <c r="A40" s="25">
        <v>8125</v>
      </c>
      <c r="B40" s="30">
        <v>46097</v>
      </c>
      <c r="C40" s="26" t="s">
        <v>13</v>
      </c>
      <c r="D40" s="38" t="s">
        <v>14</v>
      </c>
      <c r="E40" s="26" t="s">
        <v>220</v>
      </c>
      <c r="F40" s="28">
        <v>610</v>
      </c>
      <c r="G40" s="28">
        <v>43000</v>
      </c>
      <c r="H40" s="28">
        <f>Cty_Ha_Cuong[[#This Row],[ĐƠN GIÁ]]*Cty_Ha_Cuong[[#This Row],[SỐ LƯỢNG]]</f>
        <v>26230000</v>
      </c>
      <c r="I40" s="28"/>
      <c r="J40" s="28">
        <f>J39+Cty_Ha_Cuong[[#This Row],[THÀNH TIỀN]]-Cty_Ha_Cuong[[#This Row],[THANH TOÁN]]</f>
        <v>1959392000</v>
      </c>
      <c r="K40" s="27"/>
    </row>
    <row r="41" spans="1:11" x14ac:dyDescent="0.25">
      <c r="A41" s="25">
        <v>8125</v>
      </c>
      <c r="B41" s="30">
        <v>46097</v>
      </c>
      <c r="C41" s="26" t="s">
        <v>13</v>
      </c>
      <c r="D41" s="38" t="s">
        <v>103</v>
      </c>
      <c r="E41" s="23" t="s">
        <v>925</v>
      </c>
      <c r="F41" s="31">
        <v>4</v>
      </c>
      <c r="G41" s="31">
        <v>38500</v>
      </c>
      <c r="H41" s="31">
        <f>Cty_Ha_Cuong[[#This Row],[ĐƠN GIÁ]]*Cty_Ha_Cuong[[#This Row],[SỐ LƯỢNG]]</f>
        <v>154000</v>
      </c>
      <c r="I41" s="31"/>
      <c r="J41" s="31">
        <f>J40+Cty_Ha_Cuong[[#This Row],[THÀNH TIỀN]]-Cty_Ha_Cuong[[#This Row],[THANH TOÁN]]</f>
        <v>1959546000</v>
      </c>
      <c r="K41" s="27"/>
    </row>
    <row r="42" spans="1:11" x14ac:dyDescent="0.25">
      <c r="A42" s="25"/>
      <c r="B42" s="30">
        <v>46099</v>
      </c>
      <c r="C42" s="26" t="s">
        <v>21</v>
      </c>
      <c r="D42" s="38" t="s">
        <v>22</v>
      </c>
      <c r="E42" s="23" t="s">
        <v>2067</v>
      </c>
      <c r="F42" s="31">
        <v>0</v>
      </c>
      <c r="G42" s="31"/>
      <c r="H42" s="31">
        <f>Cty_Ha_Cuong[[#This Row],[ĐƠN GIÁ]]*Cty_Ha_Cuong[[#This Row],[SỐ LƯỢNG]]</f>
        <v>0</v>
      </c>
      <c r="I42" s="31">
        <v>173360000</v>
      </c>
      <c r="J42" s="31">
        <f>J41+Cty_Ha_Cuong[[#This Row],[THÀNH TIỀN]]-Cty_Ha_Cuong[[#This Row],[THANH TOÁN]]</f>
        <v>1786186000</v>
      </c>
      <c r="K42" s="27"/>
    </row>
    <row r="43" spans="1:11" x14ac:dyDescent="0.25">
      <c r="A43" s="25">
        <v>8323</v>
      </c>
      <c r="B43" s="30">
        <v>46106</v>
      </c>
      <c r="C43" s="26" t="s">
        <v>13</v>
      </c>
      <c r="D43" s="38" t="s">
        <v>17</v>
      </c>
      <c r="E43" s="26" t="s">
        <v>33</v>
      </c>
      <c r="F43" s="28">
        <f>1932+1826</f>
        <v>3758</v>
      </c>
      <c r="G43" s="28">
        <v>59000</v>
      </c>
      <c r="H43" s="28">
        <f>Cty_Ha_Cuong[[#This Row],[ĐƠN GIÁ]]*Cty_Ha_Cuong[[#This Row],[SỐ LƯỢNG]]</f>
        <v>221722000</v>
      </c>
      <c r="I43" s="28"/>
      <c r="J43" s="28">
        <f>J42+Cty_Ha_Cuong[[#This Row],[THÀNH TIỀN]]-Cty_Ha_Cuong[[#This Row],[THANH TOÁN]]</f>
        <v>2007908000</v>
      </c>
      <c r="K43" s="27" t="s">
        <v>231</v>
      </c>
    </row>
    <row r="44" spans="1:11" x14ac:dyDescent="0.25">
      <c r="A44" s="25">
        <v>8323</v>
      </c>
      <c r="B44" s="30">
        <v>46106</v>
      </c>
      <c r="C44" s="26" t="s">
        <v>13</v>
      </c>
      <c r="D44" s="38" t="s">
        <v>17</v>
      </c>
      <c r="E44" s="23" t="s">
        <v>46</v>
      </c>
      <c r="F44" s="31">
        <v>970</v>
      </c>
      <c r="G44" s="31">
        <v>59000</v>
      </c>
      <c r="H44" s="31">
        <f>Cty_Ha_Cuong[[#This Row],[ĐƠN GIÁ]]*Cty_Ha_Cuong[[#This Row],[SỐ LƯỢNG]]</f>
        <v>57230000</v>
      </c>
      <c r="I44" s="31"/>
      <c r="J44" s="31">
        <f>J43+Cty_Ha_Cuong[[#This Row],[THÀNH TIỀN]]-Cty_Ha_Cuong[[#This Row],[THANH TOÁN]]</f>
        <v>2065138000</v>
      </c>
      <c r="K44" s="27" t="s">
        <v>231</v>
      </c>
    </row>
    <row r="45" spans="1:11" x14ac:dyDescent="0.25">
      <c r="A45" s="25">
        <v>8323</v>
      </c>
      <c r="B45" s="30">
        <v>46106</v>
      </c>
      <c r="C45" s="26" t="s">
        <v>13</v>
      </c>
      <c r="D45" s="38" t="s">
        <v>17</v>
      </c>
      <c r="E45" s="23" t="s">
        <v>40</v>
      </c>
      <c r="F45" s="31">
        <v>712</v>
      </c>
      <c r="G45" s="31">
        <v>60000</v>
      </c>
      <c r="H45" s="31">
        <f>Cty_Ha_Cuong[[#This Row],[ĐƠN GIÁ]]*Cty_Ha_Cuong[[#This Row],[SỐ LƯỢNG]]</f>
        <v>42720000</v>
      </c>
      <c r="I45" s="31"/>
      <c r="J45" s="31">
        <f>J44+Cty_Ha_Cuong[[#This Row],[THÀNH TIỀN]]-Cty_Ha_Cuong[[#This Row],[THANH TOÁN]]</f>
        <v>2107858000</v>
      </c>
      <c r="K45" s="27" t="s">
        <v>231</v>
      </c>
    </row>
    <row r="46" spans="1:11" x14ac:dyDescent="0.25">
      <c r="A46" s="25"/>
      <c r="B46" s="30">
        <v>46106</v>
      </c>
      <c r="C46" s="26" t="s">
        <v>21</v>
      </c>
      <c r="D46" s="38" t="s">
        <v>24</v>
      </c>
      <c r="E46" s="26"/>
      <c r="F46" s="28"/>
      <c r="G46" s="28"/>
      <c r="H46" s="28">
        <f>Cty_Ha_Cuong[[#This Row],[ĐƠN GIÁ]]*Cty_Ha_Cuong[[#This Row],[SỐ LƯỢNG]]</f>
        <v>0</v>
      </c>
      <c r="I46" s="28">
        <v>170000000</v>
      </c>
      <c r="J46" s="28">
        <f>J45+Cty_Ha_Cuong[[#This Row],[THÀNH TIỀN]]-Cty_Ha_Cuong[[#This Row],[THANH TOÁN]]</f>
        <v>1937858000</v>
      </c>
      <c r="K46" s="27"/>
    </row>
    <row r="47" spans="1:11" x14ac:dyDescent="0.25">
      <c r="A47" s="22">
        <v>20260340</v>
      </c>
      <c r="B47" s="30">
        <v>46106</v>
      </c>
      <c r="C47" s="26" t="s">
        <v>166</v>
      </c>
      <c r="D47" s="37" t="s">
        <v>720</v>
      </c>
      <c r="E47" s="23" t="s">
        <v>882</v>
      </c>
      <c r="F47" s="31">
        <v>1546</v>
      </c>
      <c r="G47" s="31">
        <v>-58500</v>
      </c>
      <c r="H47" s="31">
        <f>Cty_Ha_Cuong[[#This Row],[ĐƠN GIÁ]]*Cty_Ha_Cuong[[#This Row],[SỐ LƯỢNG]]</f>
        <v>-90441000</v>
      </c>
      <c r="I47" s="31"/>
      <c r="J47" s="31">
        <f>J46+Cty_Ha_Cuong[[#This Row],[THÀNH TIỀN]]-Cty_Ha_Cuong[[#This Row],[THANH TOÁN]]</f>
        <v>1847417000</v>
      </c>
      <c r="K47" s="24"/>
    </row>
    <row r="48" spans="1:11" x14ac:dyDescent="0.25">
      <c r="A48" s="25">
        <v>8384</v>
      </c>
      <c r="B48" s="30">
        <v>46109</v>
      </c>
      <c r="C48" s="26" t="s">
        <v>13</v>
      </c>
      <c r="D48" s="38" t="s">
        <v>17</v>
      </c>
      <c r="E48" s="26" t="s">
        <v>926</v>
      </c>
      <c r="F48" s="28">
        <v>1538</v>
      </c>
      <c r="G48" s="28">
        <v>58500</v>
      </c>
      <c r="H48" s="28">
        <f>Cty_Ha_Cuong[[#This Row],[ĐƠN GIÁ]]*Cty_Ha_Cuong[[#This Row],[SỐ LƯỢNG]]</f>
        <v>89973000</v>
      </c>
      <c r="I48" s="28"/>
      <c r="J48" s="28">
        <f>J47+Cty_Ha_Cuong[[#This Row],[THÀNH TIỀN]]-Cty_Ha_Cuong[[#This Row],[THANH TOÁN]]</f>
        <v>1937390000</v>
      </c>
      <c r="K48" s="27" t="s">
        <v>231</v>
      </c>
    </row>
    <row r="49" spans="1:11" x14ac:dyDescent="0.25">
      <c r="A49" s="25">
        <v>8384</v>
      </c>
      <c r="B49" s="30">
        <v>46109</v>
      </c>
      <c r="C49" s="26" t="s">
        <v>13</v>
      </c>
      <c r="D49" s="38" t="s">
        <v>17</v>
      </c>
      <c r="E49" s="26" t="s">
        <v>251</v>
      </c>
      <c r="F49" s="28">
        <v>263</v>
      </c>
      <c r="G49" s="28">
        <v>63000</v>
      </c>
      <c r="H49" s="28">
        <f>Cty_Ha_Cuong[[#This Row],[ĐƠN GIÁ]]*Cty_Ha_Cuong[[#This Row],[SỐ LƯỢNG]]</f>
        <v>16569000</v>
      </c>
      <c r="I49" s="28"/>
      <c r="J49" s="28">
        <f>J48+Cty_Ha_Cuong[[#This Row],[THÀNH TIỀN]]-Cty_Ha_Cuong[[#This Row],[THANH TOÁN]]</f>
        <v>1953959000</v>
      </c>
      <c r="K49" s="27" t="s">
        <v>231</v>
      </c>
    </row>
    <row r="50" spans="1:11" x14ac:dyDescent="0.25">
      <c r="A50" s="22">
        <v>8384</v>
      </c>
      <c r="B50" s="30">
        <v>46109</v>
      </c>
      <c r="C50" s="26" t="s">
        <v>13</v>
      </c>
      <c r="D50" s="38" t="s">
        <v>43</v>
      </c>
      <c r="E50" s="26" t="s">
        <v>927</v>
      </c>
      <c r="F50" s="28">
        <v>268</v>
      </c>
      <c r="G50" s="28">
        <v>56000</v>
      </c>
      <c r="H50" s="31">
        <f>Cty_Ha_Cuong[[#This Row],[ĐƠN GIÁ]]*Cty_Ha_Cuong[[#This Row],[SỐ LƯỢNG]]</f>
        <v>15008000</v>
      </c>
      <c r="I50" s="31"/>
      <c r="J50" s="31">
        <f>J49+Cty_Ha_Cuong[[#This Row],[THÀNH TIỀN]]-Cty_Ha_Cuong[[#This Row],[THANH TOÁN]]</f>
        <v>1968967000</v>
      </c>
      <c r="K50" s="24" t="s">
        <v>231</v>
      </c>
    </row>
    <row r="51" spans="1:11" x14ac:dyDescent="0.25">
      <c r="A51" s="22"/>
      <c r="B51" s="30">
        <v>46109</v>
      </c>
      <c r="C51" s="26" t="s">
        <v>21</v>
      </c>
      <c r="D51" s="38" t="s">
        <v>22</v>
      </c>
      <c r="E51" s="26" t="s">
        <v>2067</v>
      </c>
      <c r="F51" s="28">
        <v>0</v>
      </c>
      <c r="G51" s="28">
        <v>0</v>
      </c>
      <c r="H51" s="31">
        <f>Cty_Ha_Cuong[[#This Row],[ĐƠN GIÁ]]*Cty_Ha_Cuong[[#This Row],[SỐ LƯỢNG]]</f>
        <v>0</v>
      </c>
      <c r="I51" s="31">
        <v>20000000</v>
      </c>
      <c r="J51" s="31">
        <f>J50+Cty_Ha_Cuong[[#This Row],[THÀNH TIỀN]]-Cty_Ha_Cuong[[#This Row],[THANH TOÁN]]</f>
        <v>1948967000</v>
      </c>
      <c r="K51" s="24"/>
    </row>
    <row r="52" spans="1:11" x14ac:dyDescent="0.25">
      <c r="A52" s="22"/>
      <c r="B52" s="30">
        <v>46109</v>
      </c>
      <c r="C52" s="26" t="s">
        <v>21</v>
      </c>
      <c r="D52" s="38" t="s">
        <v>22</v>
      </c>
      <c r="E52" s="26" t="s">
        <v>2067</v>
      </c>
      <c r="F52" s="28">
        <v>0</v>
      </c>
      <c r="G52" s="28">
        <v>0</v>
      </c>
      <c r="H52" s="31">
        <f>Cty_Ha_Cuong[[#This Row],[ĐƠN GIÁ]]*Cty_Ha_Cuong[[#This Row],[SỐ LƯỢNG]]</f>
        <v>0</v>
      </c>
      <c r="I52" s="31">
        <v>30000000</v>
      </c>
      <c r="J52" s="31">
        <f>J51+Cty_Ha_Cuong[[#This Row],[THÀNH TIỀN]]-Cty_Ha_Cuong[[#This Row],[THANH TOÁN]]</f>
        <v>1918967000</v>
      </c>
      <c r="K52" s="24"/>
    </row>
    <row r="53" spans="1:11" x14ac:dyDescent="0.25">
      <c r="A53" s="22"/>
      <c r="B53" s="29">
        <v>46109</v>
      </c>
      <c r="C53" s="23" t="s">
        <v>21</v>
      </c>
      <c r="D53" s="37" t="s">
        <v>22</v>
      </c>
      <c r="E53" s="23" t="s">
        <v>2067</v>
      </c>
      <c r="F53" s="31">
        <v>0</v>
      </c>
      <c r="G53" s="31">
        <v>0</v>
      </c>
      <c r="H53" s="31">
        <f>Cty_Ha_Cuong[[#This Row],[ĐƠN GIÁ]]*Cty_Ha_Cuong[[#This Row],[SỐ LƯỢNG]]</f>
        <v>0</v>
      </c>
      <c r="I53" s="31">
        <v>24000000</v>
      </c>
      <c r="J53" s="31">
        <f>J52+Cty_Ha_Cuong[[#This Row],[THÀNH TIỀN]]-Cty_Ha_Cuong[[#This Row],[THANH TOÁN]]</f>
        <v>1894967000</v>
      </c>
      <c r="K53" s="24"/>
    </row>
    <row r="54" spans="1:11" x14ac:dyDescent="0.25">
      <c r="A54" s="22"/>
      <c r="B54" s="29">
        <v>46110</v>
      </c>
      <c r="C54" s="23" t="s">
        <v>21</v>
      </c>
      <c r="D54" s="37" t="s">
        <v>22</v>
      </c>
      <c r="E54" s="23" t="s">
        <v>2067</v>
      </c>
      <c r="F54" s="31">
        <v>0</v>
      </c>
      <c r="G54" s="31">
        <v>0</v>
      </c>
      <c r="H54" s="31">
        <f>Cty_Ha_Cuong[[#This Row],[ĐƠN GIÁ]]*Cty_Ha_Cuong[[#This Row],[SỐ LƯỢNG]]</f>
        <v>0</v>
      </c>
      <c r="I54" s="31">
        <v>39025000</v>
      </c>
      <c r="J54" s="31">
        <f>J53+Cty_Ha_Cuong[[#This Row],[THÀNH TIỀN]]-Cty_Ha_Cuong[[#This Row],[THANH TOÁN]]</f>
        <v>1855942000</v>
      </c>
      <c r="K54" s="24"/>
    </row>
    <row r="55" spans="1:11" x14ac:dyDescent="0.25">
      <c r="A55" s="22"/>
      <c r="B55" s="29">
        <v>46115</v>
      </c>
      <c r="C55" s="23" t="s">
        <v>21</v>
      </c>
      <c r="D55" s="37" t="s">
        <v>22</v>
      </c>
      <c r="E55" s="23" t="s">
        <v>2067</v>
      </c>
      <c r="F55" s="31">
        <v>0</v>
      </c>
      <c r="G55" s="31"/>
      <c r="H55" s="31">
        <f>Cty_Ha_Cuong[[#This Row],[ĐƠN GIÁ]]*Cty_Ha_Cuong[[#This Row],[SỐ LƯỢNG]]</f>
        <v>0</v>
      </c>
      <c r="I55" s="31">
        <v>25000000</v>
      </c>
      <c r="J55" s="31">
        <f>J54+Cty_Ha_Cuong[[#This Row],[THÀNH TIỀN]]-Cty_Ha_Cuong[[#This Row],[THANH TOÁN]]</f>
        <v>1830942000</v>
      </c>
      <c r="K55" s="24"/>
    </row>
    <row r="56" spans="1:11" x14ac:dyDescent="0.25">
      <c r="A56" s="22"/>
      <c r="B56" s="29">
        <v>46116</v>
      </c>
      <c r="C56" s="23" t="s">
        <v>21</v>
      </c>
      <c r="D56" s="37" t="s">
        <v>22</v>
      </c>
      <c r="E56" s="23" t="s">
        <v>2067</v>
      </c>
      <c r="F56" s="31">
        <v>0</v>
      </c>
      <c r="G56" s="31"/>
      <c r="H56" s="31">
        <f>Cty_Ha_Cuong[[#This Row],[ĐƠN GIÁ]]*Cty_Ha_Cuong[[#This Row],[SỐ LƯỢNG]]</f>
        <v>0</v>
      </c>
      <c r="I56" s="31">
        <v>25000000</v>
      </c>
      <c r="J56" s="31">
        <f>J55+Cty_Ha_Cuong[[#This Row],[THÀNH TIỀN]]-Cty_Ha_Cuong[[#This Row],[THANH TOÁN]]</f>
        <v>1805942000</v>
      </c>
      <c r="K56" s="24"/>
    </row>
    <row r="57" spans="1:11" x14ac:dyDescent="0.25">
      <c r="A57" s="22"/>
      <c r="B57" s="29">
        <v>46116</v>
      </c>
      <c r="C57" s="23" t="s">
        <v>21</v>
      </c>
      <c r="D57" s="37" t="s">
        <v>22</v>
      </c>
      <c r="E57" s="23" t="s">
        <v>2067</v>
      </c>
      <c r="F57" s="31">
        <v>0</v>
      </c>
      <c r="G57" s="31"/>
      <c r="H57" s="31">
        <f>Cty_Ha_Cuong[[#This Row],[ĐƠN GIÁ]]*Cty_Ha_Cuong[[#This Row],[SỐ LƯỢNG]]</f>
        <v>0</v>
      </c>
      <c r="I57" s="31">
        <v>40000000</v>
      </c>
      <c r="J57" s="31">
        <f>J56+Cty_Ha_Cuong[[#This Row],[THÀNH TIỀN]]-Cty_Ha_Cuong[[#This Row],[THANH TOÁN]]</f>
        <v>1765942000</v>
      </c>
      <c r="K57" s="24"/>
    </row>
    <row r="58" spans="1:11" x14ac:dyDescent="0.25">
      <c r="A58" s="22">
        <v>8587</v>
      </c>
      <c r="B58" s="29">
        <v>46118</v>
      </c>
      <c r="C58" s="23" t="s">
        <v>13</v>
      </c>
      <c r="D58" s="37" t="s">
        <v>17</v>
      </c>
      <c r="E58" s="23" t="s">
        <v>46</v>
      </c>
      <c r="F58" s="31">
        <v>1760</v>
      </c>
      <c r="G58" s="31">
        <v>60000</v>
      </c>
      <c r="H58" s="31">
        <f>Cty_Ha_Cuong[[#This Row],[ĐƠN GIÁ]]*Cty_Ha_Cuong[[#This Row],[SỐ LƯỢNG]]</f>
        <v>105600000</v>
      </c>
      <c r="I58" s="31"/>
      <c r="J58" s="31">
        <f>J57+Cty_Ha_Cuong[[#This Row],[THÀNH TIỀN]]-Cty_Ha_Cuong[[#This Row],[THANH TOÁN]]</f>
        <v>1871542000</v>
      </c>
      <c r="K58" s="24" t="s">
        <v>42</v>
      </c>
    </row>
    <row r="59" spans="1:11" x14ac:dyDescent="0.25">
      <c r="A59" s="22"/>
      <c r="B59" s="29">
        <v>46122</v>
      </c>
      <c r="C59" s="23" t="s">
        <v>21</v>
      </c>
      <c r="D59" s="37" t="s">
        <v>22</v>
      </c>
      <c r="E59" s="23" t="s">
        <v>2067</v>
      </c>
      <c r="F59" s="31">
        <v>0</v>
      </c>
      <c r="G59" s="31"/>
      <c r="H59" s="31">
        <f>Cty_Ha_Cuong[[#This Row],[ĐƠN GIÁ]]*Cty_Ha_Cuong[[#This Row],[SỐ LƯỢNG]]</f>
        <v>0</v>
      </c>
      <c r="I59" s="31">
        <v>20000000</v>
      </c>
      <c r="J59" s="31">
        <f>J58+Cty_Ha_Cuong[[#This Row],[THÀNH TIỀN]]-Cty_Ha_Cuong[[#This Row],[THANH TOÁN]]</f>
        <v>1851542000</v>
      </c>
      <c r="K59" s="24"/>
    </row>
    <row r="60" spans="1:11" x14ac:dyDescent="0.25">
      <c r="A60" s="22">
        <v>8775</v>
      </c>
      <c r="B60" s="29">
        <v>46126</v>
      </c>
      <c r="C60" s="23" t="s">
        <v>13</v>
      </c>
      <c r="D60" s="37" t="s">
        <v>928</v>
      </c>
      <c r="E60" s="23" t="s">
        <v>40</v>
      </c>
      <c r="F60" s="31">
        <v>1032</v>
      </c>
      <c r="G60" s="31">
        <v>45000</v>
      </c>
      <c r="H60" s="31">
        <f>Cty_Ha_Cuong[[#This Row],[ĐƠN GIÁ]]*Cty_Ha_Cuong[[#This Row],[SỐ LƯỢNG]]</f>
        <v>46440000</v>
      </c>
      <c r="I60" s="31"/>
      <c r="J60" s="31">
        <f>J59+Cty_Ha_Cuong[[#This Row],[THÀNH TIỀN]]-Cty_Ha_Cuong[[#This Row],[THANH TOÁN]]</f>
        <v>1897982000</v>
      </c>
      <c r="K60" s="24" t="s">
        <v>42</v>
      </c>
    </row>
    <row r="61" spans="1:11" x14ac:dyDescent="0.25">
      <c r="A61" s="22">
        <v>8837</v>
      </c>
      <c r="B61" s="29">
        <v>46128</v>
      </c>
      <c r="C61" s="23" t="s">
        <v>13</v>
      </c>
      <c r="D61" s="37" t="s">
        <v>14</v>
      </c>
      <c r="E61" s="23" t="s">
        <v>41</v>
      </c>
      <c r="F61" s="31">
        <v>208</v>
      </c>
      <c r="G61" s="31">
        <v>40500</v>
      </c>
      <c r="H61" s="31">
        <f>Cty_Ha_Cuong[[#This Row],[ĐƠN GIÁ]]*Cty_Ha_Cuong[[#This Row],[SỐ LƯỢNG]]</f>
        <v>8424000</v>
      </c>
      <c r="I61" s="31"/>
      <c r="J61" s="31">
        <f>J60+Cty_Ha_Cuong[[#This Row],[THÀNH TIỀN]]-Cty_Ha_Cuong[[#This Row],[THANH TOÁN]]</f>
        <v>1906406000</v>
      </c>
      <c r="K61" s="24" t="s">
        <v>42</v>
      </c>
    </row>
    <row r="62" spans="1:11" x14ac:dyDescent="0.25">
      <c r="A62" s="22">
        <v>8837</v>
      </c>
      <c r="B62" s="29">
        <v>46128</v>
      </c>
      <c r="C62" s="23" t="s">
        <v>13</v>
      </c>
      <c r="D62" s="37" t="s">
        <v>14</v>
      </c>
      <c r="E62" s="23" t="s">
        <v>929</v>
      </c>
      <c r="F62" s="31">
        <v>36</v>
      </c>
      <c r="G62" s="31">
        <v>40500</v>
      </c>
      <c r="H62" s="31">
        <f>Cty_Ha_Cuong[[#This Row],[ĐƠN GIÁ]]*Cty_Ha_Cuong[[#This Row],[SỐ LƯỢNG]]</f>
        <v>1458000</v>
      </c>
      <c r="I62" s="31"/>
      <c r="J62" s="31">
        <f>J61+Cty_Ha_Cuong[[#This Row],[THÀNH TIỀN]]-Cty_Ha_Cuong[[#This Row],[THANH TOÁN]]</f>
        <v>1907864000</v>
      </c>
      <c r="K62" s="24" t="s">
        <v>42</v>
      </c>
    </row>
    <row r="63" spans="1:11" x14ac:dyDescent="0.25">
      <c r="A63" s="22">
        <v>8837</v>
      </c>
      <c r="B63" s="29">
        <v>46128</v>
      </c>
      <c r="C63" s="23" t="s">
        <v>13</v>
      </c>
      <c r="D63" s="37" t="s">
        <v>17</v>
      </c>
      <c r="E63" s="23" t="s">
        <v>41</v>
      </c>
      <c r="F63" s="31">
        <v>186</v>
      </c>
      <c r="G63" s="31">
        <v>63000</v>
      </c>
      <c r="H63" s="31">
        <f>Cty_Ha_Cuong[[#This Row],[ĐƠN GIÁ]]*Cty_Ha_Cuong[[#This Row],[SỐ LƯỢNG]]</f>
        <v>11718000</v>
      </c>
      <c r="I63" s="31"/>
      <c r="J63" s="31">
        <f>J62+Cty_Ha_Cuong[[#This Row],[THÀNH TIỀN]]-Cty_Ha_Cuong[[#This Row],[THANH TOÁN]]</f>
        <v>1919582000</v>
      </c>
      <c r="K63" s="24" t="s">
        <v>42</v>
      </c>
    </row>
    <row r="64" spans="1:11" x14ac:dyDescent="0.25">
      <c r="A64" s="22">
        <v>8837</v>
      </c>
      <c r="B64" s="29">
        <v>46128</v>
      </c>
      <c r="C64" s="23" t="s">
        <v>13</v>
      </c>
      <c r="D64" s="37" t="s">
        <v>43</v>
      </c>
      <c r="E64" s="23" t="s">
        <v>40</v>
      </c>
      <c r="F64" s="31">
        <v>472</v>
      </c>
      <c r="G64" s="31">
        <v>62000</v>
      </c>
      <c r="H64" s="31">
        <f>Cty_Ha_Cuong[[#This Row],[ĐƠN GIÁ]]*Cty_Ha_Cuong[[#This Row],[SỐ LƯỢNG]]</f>
        <v>29264000</v>
      </c>
      <c r="I64" s="31"/>
      <c r="J64" s="31">
        <f>J63+Cty_Ha_Cuong[[#This Row],[THÀNH TIỀN]]-Cty_Ha_Cuong[[#This Row],[THANH TOÁN]]</f>
        <v>1948846000</v>
      </c>
      <c r="K64" s="24" t="s">
        <v>42</v>
      </c>
    </row>
    <row r="65" spans="1:11" x14ac:dyDescent="0.25">
      <c r="A65" s="22">
        <v>8837</v>
      </c>
      <c r="B65" s="29">
        <v>46128</v>
      </c>
      <c r="C65" s="23" t="s">
        <v>13</v>
      </c>
      <c r="D65" s="37" t="s">
        <v>930</v>
      </c>
      <c r="E65" s="23" t="s">
        <v>848</v>
      </c>
      <c r="F65" s="31">
        <v>264</v>
      </c>
      <c r="G65" s="31">
        <v>58000</v>
      </c>
      <c r="H65" s="31">
        <f>Cty_Ha_Cuong[[#This Row],[ĐƠN GIÁ]]*Cty_Ha_Cuong[[#This Row],[SỐ LƯỢNG]]</f>
        <v>15312000</v>
      </c>
      <c r="I65" s="31"/>
      <c r="J65" s="31">
        <f>J64+Cty_Ha_Cuong[[#This Row],[THÀNH TIỀN]]-Cty_Ha_Cuong[[#This Row],[THANH TOÁN]]</f>
        <v>1964158000</v>
      </c>
      <c r="K65" s="24" t="s">
        <v>42</v>
      </c>
    </row>
    <row r="66" spans="1:11" x14ac:dyDescent="0.25">
      <c r="A66" s="22"/>
      <c r="B66" s="29">
        <v>46128</v>
      </c>
      <c r="C66" s="23" t="s">
        <v>21</v>
      </c>
      <c r="D66" s="37" t="s">
        <v>22</v>
      </c>
      <c r="E66" s="23" t="s">
        <v>2067</v>
      </c>
      <c r="F66" s="31">
        <v>0</v>
      </c>
      <c r="G66" s="31"/>
      <c r="H66" s="31">
        <f>Cty_Ha_Cuong[[#This Row],[ĐƠN GIÁ]]*Cty_Ha_Cuong[[#This Row],[SỐ LƯỢNG]]</f>
        <v>0</v>
      </c>
      <c r="I66" s="31">
        <v>150000000</v>
      </c>
      <c r="J66" s="31">
        <f>J65+Cty_Ha_Cuong[[#This Row],[THÀNH TIỀN]]-Cty_Ha_Cuong[[#This Row],[THANH TOÁN]]</f>
        <v>1814158000</v>
      </c>
      <c r="K66" s="24"/>
    </row>
    <row r="67" spans="1:11" x14ac:dyDescent="0.25">
      <c r="A67" s="22"/>
      <c r="B67" s="29">
        <v>46129</v>
      </c>
      <c r="C67" s="23" t="s">
        <v>21</v>
      </c>
      <c r="D67" s="37" t="s">
        <v>22</v>
      </c>
      <c r="E67" s="23" t="s">
        <v>2067</v>
      </c>
      <c r="F67" s="31">
        <v>0</v>
      </c>
      <c r="G67" s="31"/>
      <c r="H67" s="31">
        <f>Cty_Ha_Cuong[[#This Row],[ĐƠN GIÁ]]*Cty_Ha_Cuong[[#This Row],[SỐ LƯỢNG]]</f>
        <v>0</v>
      </c>
      <c r="I67" s="31">
        <v>50000000</v>
      </c>
      <c r="J67" s="31">
        <f>J66+Cty_Ha_Cuong[[#This Row],[THÀNH TIỀN]]-Cty_Ha_Cuong[[#This Row],[THANH TOÁN]]</f>
        <v>1764158000</v>
      </c>
      <c r="K67" s="24"/>
    </row>
    <row r="68" spans="1:11" x14ac:dyDescent="0.25">
      <c r="A68" s="22">
        <v>8886</v>
      </c>
      <c r="B68" s="29">
        <v>46130</v>
      </c>
      <c r="C68" s="23" t="s">
        <v>13</v>
      </c>
      <c r="D68" s="37" t="s">
        <v>17</v>
      </c>
      <c r="E68" s="23" t="s">
        <v>41</v>
      </c>
      <c r="F68" s="31">
        <v>316</v>
      </c>
      <c r="G68" s="31">
        <v>62000</v>
      </c>
      <c r="H68" s="31">
        <f>Cty_Ha_Cuong[[#This Row],[ĐƠN GIÁ]]*Cty_Ha_Cuong[[#This Row],[SỐ LƯỢNG]]</f>
        <v>19592000</v>
      </c>
      <c r="I68" s="31"/>
      <c r="J68" s="31">
        <f>J67+Cty_Ha_Cuong[[#This Row],[THÀNH TIỀN]]-Cty_Ha_Cuong[[#This Row],[THANH TOÁN]]</f>
        <v>1783750000</v>
      </c>
      <c r="K68" s="24" t="s">
        <v>231</v>
      </c>
    </row>
    <row r="69" spans="1:11" x14ac:dyDescent="0.25">
      <c r="A69" s="22"/>
      <c r="B69" s="29">
        <v>46133</v>
      </c>
      <c r="C69" s="23" t="s">
        <v>21</v>
      </c>
      <c r="D69" s="37" t="s">
        <v>22</v>
      </c>
      <c r="E69" s="23" t="s">
        <v>726</v>
      </c>
      <c r="F69" s="31">
        <v>0</v>
      </c>
      <c r="G69" s="31"/>
      <c r="H69" s="31">
        <f>Cty_Ha_Cuong[[#This Row],[ĐƠN GIÁ]]*Cty_Ha_Cuong[[#This Row],[SỐ LƯỢNG]]</f>
        <v>0</v>
      </c>
      <c r="I69" s="31">
        <v>30000000</v>
      </c>
      <c r="J69" s="31">
        <f>J68+Cty_Ha_Cuong[[#This Row],[THÀNH TIỀN]]-Cty_Ha_Cuong[[#This Row],[THANH TOÁN]]</f>
        <v>1753750000</v>
      </c>
      <c r="K69" s="24"/>
    </row>
    <row r="70" spans="1:11" x14ac:dyDescent="0.25">
      <c r="A70" s="22">
        <v>8929</v>
      </c>
      <c r="B70" s="29">
        <v>46133</v>
      </c>
      <c r="C70" s="23" t="s">
        <v>13</v>
      </c>
      <c r="D70" s="37" t="s">
        <v>317</v>
      </c>
      <c r="E70" s="23" t="s">
        <v>228</v>
      </c>
      <c r="F70" s="31">
        <v>730</v>
      </c>
      <c r="G70" s="31">
        <v>61000</v>
      </c>
      <c r="H70" s="31">
        <f>Cty_Ha_Cuong[[#This Row],[ĐƠN GIÁ]]*Cty_Ha_Cuong[[#This Row],[SỐ LƯỢNG]]</f>
        <v>44530000</v>
      </c>
      <c r="I70" s="31"/>
      <c r="J70" s="31">
        <f>J69+Cty_Ha_Cuong[[#This Row],[THÀNH TIỀN]]-Cty_Ha_Cuong[[#This Row],[THANH TOÁN]]</f>
        <v>1798280000</v>
      </c>
      <c r="K70" s="24" t="s">
        <v>42</v>
      </c>
    </row>
    <row r="71" spans="1:11" x14ac:dyDescent="0.25">
      <c r="A71" s="22"/>
      <c r="B71" s="29">
        <v>46134</v>
      </c>
      <c r="C71" s="23" t="s">
        <v>21</v>
      </c>
      <c r="D71" s="37" t="s">
        <v>22</v>
      </c>
      <c r="E71" s="23" t="s">
        <v>726</v>
      </c>
      <c r="F71" s="31">
        <v>0</v>
      </c>
      <c r="G71" s="31"/>
      <c r="H71" s="31">
        <f>Cty_Ha_Cuong[[#This Row],[ĐƠN GIÁ]]*Cty_Ha_Cuong[[#This Row],[SỐ LƯỢNG]]</f>
        <v>0</v>
      </c>
      <c r="I71" s="31">
        <v>62709200</v>
      </c>
      <c r="J71" s="31">
        <f>J70+Cty_Ha_Cuong[[#This Row],[THÀNH TIỀN]]-Cty_Ha_Cuong[[#This Row],[THANH TOÁN]]</f>
        <v>1735570800</v>
      </c>
      <c r="K71" s="24"/>
    </row>
    <row r="72" spans="1:11" x14ac:dyDescent="0.25">
      <c r="A72" s="22"/>
      <c r="B72" s="29">
        <v>46136</v>
      </c>
      <c r="C72" s="23" t="s">
        <v>21</v>
      </c>
      <c r="D72" s="37" t="s">
        <v>24</v>
      </c>
      <c r="E72" s="23"/>
      <c r="F72" s="31">
        <v>0</v>
      </c>
      <c r="G72" s="31"/>
      <c r="H72" s="31">
        <f>Cty_Ha_Cuong[[#This Row],[ĐƠN GIÁ]]*Cty_Ha_Cuong[[#This Row],[SỐ LƯỢNG]]</f>
        <v>0</v>
      </c>
      <c r="I72" s="31">
        <v>49160000</v>
      </c>
      <c r="J72" s="31">
        <f>J71+Cty_Ha_Cuong[[#This Row],[THÀNH TIỀN]]-Cty_Ha_Cuong[[#This Row],[THANH TOÁN]]</f>
        <v>1686410800</v>
      </c>
      <c r="K72" s="24"/>
    </row>
    <row r="73" spans="1:11" x14ac:dyDescent="0.25">
      <c r="A73" s="25"/>
      <c r="B73" s="30">
        <v>46137</v>
      </c>
      <c r="C73" s="26" t="s">
        <v>21</v>
      </c>
      <c r="D73" s="38" t="s">
        <v>24</v>
      </c>
      <c r="E73" s="26"/>
      <c r="F73" s="28">
        <v>0</v>
      </c>
      <c r="G73" s="28"/>
      <c r="H73" s="28">
        <f>Cty_Ha_Cuong[[#This Row],[ĐƠN GIÁ]]*Cty_Ha_Cuong[[#This Row],[SỐ LƯỢNG]]</f>
        <v>0</v>
      </c>
      <c r="I73" s="28">
        <v>50000000</v>
      </c>
      <c r="J73" s="28">
        <f>J72+Cty_Ha_Cuong[[#This Row],[THÀNH TIỀN]]-Cty_Ha_Cuong[[#This Row],[THANH TOÁN]]</f>
        <v>1636410800</v>
      </c>
      <c r="K73" s="27"/>
    </row>
    <row r="74" spans="1:11" x14ac:dyDescent="0.25">
      <c r="A74" s="22"/>
      <c r="B74" s="29">
        <v>46139</v>
      </c>
      <c r="C74" s="23" t="s">
        <v>21</v>
      </c>
      <c r="D74" s="37" t="s">
        <v>24</v>
      </c>
      <c r="E74" s="23"/>
      <c r="F74" s="31">
        <v>0</v>
      </c>
      <c r="G74" s="31"/>
      <c r="H74" s="31">
        <f>Cty_Ha_Cuong[[#This Row],[ĐƠN GIÁ]]*Cty_Ha_Cuong[[#This Row],[SỐ LƯỢNG]]</f>
        <v>0</v>
      </c>
      <c r="I74" s="31">
        <v>30000000</v>
      </c>
      <c r="J74" s="31">
        <f>J73+Cty_Ha_Cuong[[#This Row],[THÀNH TIỀN]]-Cty_Ha_Cuong[[#This Row],[THANH TOÁN]]</f>
        <v>1606410800</v>
      </c>
      <c r="K74" s="24"/>
    </row>
    <row r="75" spans="1:11" x14ac:dyDescent="0.25">
      <c r="A75" s="22">
        <v>9095</v>
      </c>
      <c r="B75" s="29">
        <v>46140</v>
      </c>
      <c r="C75" s="23" t="s">
        <v>13</v>
      </c>
      <c r="D75" s="37" t="s">
        <v>68</v>
      </c>
      <c r="E75" s="23" t="s">
        <v>1873</v>
      </c>
      <c r="F75" s="31">
        <v>242</v>
      </c>
      <c r="G75" s="31">
        <v>40500</v>
      </c>
      <c r="H75" s="31">
        <f>Cty_Ha_Cuong[[#This Row],[ĐƠN GIÁ]]*Cty_Ha_Cuong[[#This Row],[SỐ LƯỢNG]]</f>
        <v>9801000</v>
      </c>
      <c r="I75" s="31"/>
      <c r="J75" s="31">
        <f>J74+Cty_Ha_Cuong[[#This Row],[THÀNH TIỀN]]-Cty_Ha_Cuong[[#This Row],[THANH TOÁN]]</f>
        <v>1616211800</v>
      </c>
      <c r="K75" s="24" t="s">
        <v>42</v>
      </c>
    </row>
    <row r="76" spans="1:11" x14ac:dyDescent="0.25">
      <c r="A76" s="22">
        <v>9095</v>
      </c>
      <c r="B76" s="29">
        <v>46140</v>
      </c>
      <c r="C76" s="23" t="s">
        <v>13</v>
      </c>
      <c r="D76" s="37" t="s">
        <v>68</v>
      </c>
      <c r="E76" s="23" t="s">
        <v>227</v>
      </c>
      <c r="F76" s="31">
        <v>292</v>
      </c>
      <c r="G76" s="31">
        <v>40500</v>
      </c>
      <c r="H76" s="31">
        <f>Cty_Ha_Cuong[[#This Row],[ĐƠN GIÁ]]*Cty_Ha_Cuong[[#This Row],[SỐ LƯỢNG]]</f>
        <v>11826000</v>
      </c>
      <c r="I76" s="31"/>
      <c r="J76" s="31">
        <f>J75+Cty_Ha_Cuong[[#This Row],[THÀNH TIỀN]]-Cty_Ha_Cuong[[#This Row],[THANH TOÁN]]</f>
        <v>1628037800</v>
      </c>
      <c r="K76" s="24" t="s">
        <v>42</v>
      </c>
    </row>
    <row r="77" spans="1:11" x14ac:dyDescent="0.25">
      <c r="A77" s="22">
        <v>9095</v>
      </c>
      <c r="B77" s="29">
        <v>46140</v>
      </c>
      <c r="C77" s="23" t="s">
        <v>13</v>
      </c>
      <c r="D77" s="37" t="s">
        <v>68</v>
      </c>
      <c r="E77" s="23" t="s">
        <v>228</v>
      </c>
      <c r="F77" s="31">
        <v>364</v>
      </c>
      <c r="G77" s="31">
        <v>40500</v>
      </c>
      <c r="H77" s="31">
        <f>Cty_Ha_Cuong[[#This Row],[ĐƠN GIÁ]]*Cty_Ha_Cuong[[#This Row],[SỐ LƯỢNG]]</f>
        <v>14742000</v>
      </c>
      <c r="I77" s="31"/>
      <c r="J77" s="31">
        <f>J76+Cty_Ha_Cuong[[#This Row],[THÀNH TIỀN]]-Cty_Ha_Cuong[[#This Row],[THANH TOÁN]]</f>
        <v>1642779800</v>
      </c>
      <c r="K77" s="24" t="s">
        <v>42</v>
      </c>
    </row>
    <row r="78" spans="1:11" x14ac:dyDescent="0.25">
      <c r="A78" s="22"/>
      <c r="B78" s="29">
        <v>46153</v>
      </c>
      <c r="C78" s="23" t="s">
        <v>21</v>
      </c>
      <c r="D78" s="37" t="s">
        <v>22</v>
      </c>
      <c r="E78" s="23" t="s">
        <v>2067</v>
      </c>
      <c r="F78" s="31">
        <v>0</v>
      </c>
      <c r="G78" s="31"/>
      <c r="H78" s="31">
        <f>Cty_Ha_Cuong[[#This Row],[ĐƠN GIÁ]]*Cty_Ha_Cuong[[#This Row],[SỐ LƯỢNG]]</f>
        <v>0</v>
      </c>
      <c r="I78" s="31">
        <v>40000000</v>
      </c>
      <c r="J78" s="31">
        <f>J77+Cty_Ha_Cuong[[#This Row],[THÀNH TIỀN]]-Cty_Ha_Cuong[[#This Row],[THANH TOÁN]]</f>
        <v>1602779800</v>
      </c>
      <c r="K78" s="24"/>
    </row>
    <row r="79" spans="1:11" x14ac:dyDescent="0.25">
      <c r="A79" s="22"/>
      <c r="B79" s="29">
        <v>46153</v>
      </c>
      <c r="C79" s="23" t="s">
        <v>21</v>
      </c>
      <c r="D79" s="37" t="s">
        <v>22</v>
      </c>
      <c r="E79" s="23" t="s">
        <v>726</v>
      </c>
      <c r="F79" s="31">
        <v>0</v>
      </c>
      <c r="G79" s="31"/>
      <c r="H79" s="31">
        <f>Cty_Ha_Cuong[[#This Row],[ĐƠN GIÁ]]*Cty_Ha_Cuong[[#This Row],[SỐ LƯỢNG]]</f>
        <v>0</v>
      </c>
      <c r="I79" s="31">
        <v>89132000</v>
      </c>
      <c r="J79" s="31">
        <f>J78+Cty_Ha_Cuong[[#This Row],[THÀNH TIỀN]]-Cty_Ha_Cuong[[#This Row],[THANH TOÁN]]</f>
        <v>1513647800</v>
      </c>
      <c r="K79" s="24"/>
    </row>
    <row r="80" spans="1:11" x14ac:dyDescent="0.25">
      <c r="A80" s="25"/>
      <c r="B80" s="30">
        <v>46154</v>
      </c>
      <c r="C80" s="26" t="s">
        <v>21</v>
      </c>
      <c r="D80" s="38" t="s">
        <v>22</v>
      </c>
      <c r="E80" s="26" t="s">
        <v>2067</v>
      </c>
      <c r="F80" s="28">
        <v>0</v>
      </c>
      <c r="G80" s="28"/>
      <c r="H80" s="28">
        <f>Cty_Ha_Cuong[[#This Row],[ĐƠN GIÁ]]*Cty_Ha_Cuong[[#This Row],[SỐ LƯỢNG]]</f>
        <v>0</v>
      </c>
      <c r="I80" s="28">
        <v>170000000</v>
      </c>
      <c r="J80" s="28">
        <f>J79+Cty_Ha_Cuong[[#This Row],[THÀNH TIỀN]]-Cty_Ha_Cuong[[#This Row],[THANH TOÁN]]</f>
        <v>1343647800</v>
      </c>
      <c r="K80" s="27"/>
    </row>
    <row r="81" spans="1:11" x14ac:dyDescent="0.25">
      <c r="A81" s="22"/>
      <c r="B81" s="29">
        <v>46155</v>
      </c>
      <c r="C81" s="23" t="s">
        <v>21</v>
      </c>
      <c r="D81" s="37" t="s">
        <v>22</v>
      </c>
      <c r="E81" s="23" t="s">
        <v>2067</v>
      </c>
      <c r="F81" s="31">
        <v>0</v>
      </c>
      <c r="G81" s="31"/>
      <c r="H81" s="31">
        <f>Cty_Ha_Cuong[[#This Row],[ĐƠN GIÁ]]*Cty_Ha_Cuong[[#This Row],[SỐ LƯỢNG]]</f>
        <v>0</v>
      </c>
      <c r="I81" s="31">
        <v>60000000</v>
      </c>
      <c r="J81" s="31">
        <f>J80+Cty_Ha_Cuong[[#This Row],[THÀNH TIỀN]]-Cty_Ha_Cuong[[#This Row],[THANH TOÁN]]</f>
        <v>1283647800</v>
      </c>
      <c r="K81" s="24"/>
    </row>
    <row r="82" spans="1:11" x14ac:dyDescent="0.25">
      <c r="A82" s="25"/>
      <c r="B82" s="30">
        <v>46162</v>
      </c>
      <c r="C82" s="26" t="s">
        <v>21</v>
      </c>
      <c r="D82" s="38" t="s">
        <v>22</v>
      </c>
      <c r="E82" s="26" t="s">
        <v>726</v>
      </c>
      <c r="F82" s="28">
        <v>0</v>
      </c>
      <c r="G82" s="28"/>
      <c r="H82" s="28">
        <f>Cty_Ha_Cuong[[#This Row],[ĐƠN GIÁ]]*Cty_Ha_Cuong[[#This Row],[SỐ LƯỢNG]]</f>
        <v>0</v>
      </c>
      <c r="I82" s="28">
        <v>13300000</v>
      </c>
      <c r="J82" s="28">
        <f>J81+Cty_Ha_Cuong[[#This Row],[THÀNH TIỀN]]-Cty_Ha_Cuong[[#This Row],[THANH TOÁN]]</f>
        <v>1270347800</v>
      </c>
      <c r="K82" s="27"/>
    </row>
    <row r="83" spans="1:11" x14ac:dyDescent="0.25">
      <c r="A83" s="22"/>
      <c r="B83" s="29">
        <v>46160</v>
      </c>
      <c r="C83" s="23" t="s">
        <v>21</v>
      </c>
      <c r="D83" s="37" t="s">
        <v>2157</v>
      </c>
      <c r="E83" s="23"/>
      <c r="F83" s="31">
        <v>0</v>
      </c>
      <c r="G83" s="31"/>
      <c r="H83" s="31">
        <f>Cty_Ha_Cuong[[#This Row],[ĐƠN GIÁ]]*Cty_Ha_Cuong[[#This Row],[SỐ LƯỢNG]]</f>
        <v>0</v>
      </c>
      <c r="I83" s="31">
        <v>73718000</v>
      </c>
      <c r="J83" s="31">
        <f>J82+Cty_Ha_Cuong[[#This Row],[THÀNH TIỀN]]-Cty_Ha_Cuong[[#This Row],[THANH TOÁN]]</f>
        <v>1196629800</v>
      </c>
      <c r="K83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28477-2AA0-4FF2-869A-2E1E7DC506B9}">
  <sheetPr codeName="Sheet55"/>
  <dimension ref="A5:P25"/>
  <sheetViews>
    <sheetView workbookViewId="0">
      <selection activeCell="B26" sqref="B26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6" ht="25.5" x14ac:dyDescent="0.25">
      <c r="D5" s="33" t="s">
        <v>0</v>
      </c>
      <c r="E5" s="33"/>
      <c r="F5" s="163">
        <v>34668322</v>
      </c>
    </row>
    <row r="6" spans="1:16" ht="22.5" x14ac:dyDescent="0.25">
      <c r="D6" s="34" t="s">
        <v>931</v>
      </c>
      <c r="E6" s="34"/>
      <c r="F6" s="21"/>
    </row>
    <row r="9" spans="1:16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6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Cty_Anh_Thu_Hong_Van[[#This Row],[ĐƠN GIÁ]]*Cty_Anh_Thu_Hong_Van[[#This Row],[SỐ LƯỢNG]]</f>
        <v>0</v>
      </c>
      <c r="I10" s="31"/>
      <c r="J10" s="31">
        <v>0</v>
      </c>
      <c r="K10" s="24"/>
    </row>
    <row r="11" spans="1:16" x14ac:dyDescent="0.25">
      <c r="A11" s="22">
        <v>7849</v>
      </c>
      <c r="B11" s="29">
        <v>46085</v>
      </c>
      <c r="C11" s="23" t="s">
        <v>13</v>
      </c>
      <c r="D11" s="37" t="s">
        <v>54</v>
      </c>
      <c r="E11" s="23" t="s">
        <v>932</v>
      </c>
      <c r="F11" s="31">
        <v>160</v>
      </c>
      <c r="G11" s="31">
        <v>33000</v>
      </c>
      <c r="H11" s="31">
        <f>Cty_Anh_Thu_Hong_Van[[#This Row],[ĐƠN GIÁ]]*Cty_Anh_Thu_Hong_Van[[#This Row],[SỐ LƯỢNG]]</f>
        <v>5280000</v>
      </c>
      <c r="I11" s="31"/>
      <c r="J11" s="31">
        <f>J10+Cty_Anh_Thu_Hong_Van[[#This Row],[THÀNH TIỀN]]-Cty_Anh_Thu_Hong_Van[[#This Row],[THANH TOÁN]]</f>
        <v>5280000</v>
      </c>
      <c r="K11" s="24" t="s">
        <v>933</v>
      </c>
    </row>
    <row r="12" spans="1:16" x14ac:dyDescent="0.25">
      <c r="A12" s="25"/>
      <c r="B12" s="30">
        <v>46085</v>
      </c>
      <c r="C12" s="26" t="s">
        <v>21</v>
      </c>
      <c r="D12" s="38" t="s">
        <v>24</v>
      </c>
      <c r="E12" s="26"/>
      <c r="F12" s="28">
        <v>0</v>
      </c>
      <c r="G12" s="28">
        <v>0</v>
      </c>
      <c r="H12" s="28">
        <f>Cty_Anh_Thu_Hong_Van[[#This Row],[ĐƠN GIÁ]]*Cty_Anh_Thu_Hong_Van[[#This Row],[SỐ LƯỢNG]]</f>
        <v>0</v>
      </c>
      <c r="I12" s="28">
        <v>5280000</v>
      </c>
      <c r="J12" s="28">
        <f>J11+Cty_Anh_Thu_Hong_Van[[#This Row],[THÀNH TIỀN]]-Cty_Anh_Thu_Hong_Van[[#This Row],[THANH TOÁN]]</f>
        <v>0</v>
      </c>
      <c r="K12" s="27"/>
    </row>
    <row r="13" spans="1:16" x14ac:dyDescent="0.25">
      <c r="A13" s="22">
        <v>8718</v>
      </c>
      <c r="B13" s="29">
        <v>46123</v>
      </c>
      <c r="C13" s="23" t="s">
        <v>13</v>
      </c>
      <c r="D13" s="37" t="s">
        <v>54</v>
      </c>
      <c r="E13" s="23" t="s">
        <v>934</v>
      </c>
      <c r="F13" s="31">
        <v>104</v>
      </c>
      <c r="G13" s="31">
        <v>38000</v>
      </c>
      <c r="H13" s="31">
        <f>Cty_Anh_Thu_Hong_Van[[#This Row],[ĐƠN GIÁ]]*Cty_Anh_Thu_Hong_Van[[#This Row],[SỐ LƯỢNG]]</f>
        <v>3952000</v>
      </c>
      <c r="I13" s="31"/>
      <c r="J13" s="31">
        <f>J12+Cty_Anh_Thu_Hong_Van[[#This Row],[THÀNH TIỀN]]-Cty_Anh_Thu_Hong_Van[[#This Row],[THANH TOÁN]]</f>
        <v>3952000</v>
      </c>
      <c r="K13" s="24" t="s">
        <v>42</v>
      </c>
    </row>
    <row r="14" spans="1:16" x14ac:dyDescent="0.25">
      <c r="A14" s="22">
        <v>8935</v>
      </c>
      <c r="B14" s="29">
        <v>46134</v>
      </c>
      <c r="C14" s="23" t="s">
        <v>13</v>
      </c>
      <c r="D14" s="37" t="s">
        <v>1085</v>
      </c>
      <c r="E14" s="23" t="s">
        <v>78</v>
      </c>
      <c r="F14" s="31">
        <v>1291</v>
      </c>
      <c r="G14" s="31">
        <v>37500</v>
      </c>
      <c r="H14" s="31">
        <f>Cty_Anh_Thu_Hong_Van[[#This Row],[ĐƠN GIÁ]]*Cty_Anh_Thu_Hong_Van[[#This Row],[SỐ LƯỢNG]]</f>
        <v>48412500</v>
      </c>
      <c r="I14" s="31"/>
      <c r="J14" s="31">
        <f>J13+Cty_Anh_Thu_Hong_Van[[#This Row],[THÀNH TIỀN]]-Cty_Anh_Thu_Hong_Van[[#This Row],[THANH TOÁN]]</f>
        <v>52364500</v>
      </c>
      <c r="K14" s="24" t="s">
        <v>42</v>
      </c>
      <c r="P14" s="35"/>
    </row>
    <row r="15" spans="1:16" x14ac:dyDescent="0.25">
      <c r="A15" s="22">
        <v>8935</v>
      </c>
      <c r="B15" s="29">
        <v>46134</v>
      </c>
      <c r="C15" s="23" t="s">
        <v>13</v>
      </c>
      <c r="D15" s="37" t="s">
        <v>1085</v>
      </c>
      <c r="E15" s="23" t="s">
        <v>446</v>
      </c>
      <c r="F15" s="31">
        <v>454</v>
      </c>
      <c r="G15" s="31">
        <v>35500</v>
      </c>
      <c r="H15" s="31">
        <f>Cty_Anh_Thu_Hong_Van[[#This Row],[ĐƠN GIÁ]]*Cty_Anh_Thu_Hong_Van[[#This Row],[SỐ LƯỢNG]]</f>
        <v>16117000</v>
      </c>
      <c r="I15" s="31"/>
      <c r="J15" s="31">
        <f>J14+Cty_Anh_Thu_Hong_Van[[#This Row],[THÀNH TIỀN]]-Cty_Anh_Thu_Hong_Van[[#This Row],[THANH TOÁN]]</f>
        <v>68481500</v>
      </c>
      <c r="K15" s="24" t="s">
        <v>42</v>
      </c>
    </row>
    <row r="16" spans="1:16" x14ac:dyDescent="0.25">
      <c r="A16" s="22">
        <v>8935</v>
      </c>
      <c r="B16" s="29">
        <v>46134</v>
      </c>
      <c r="C16" s="23" t="s">
        <v>13</v>
      </c>
      <c r="D16" s="37" t="s">
        <v>26</v>
      </c>
      <c r="E16" s="23" t="s">
        <v>255</v>
      </c>
      <c r="F16" s="31">
        <v>902</v>
      </c>
      <c r="G16" s="31">
        <v>33000</v>
      </c>
      <c r="H16" s="31">
        <f>Cty_Anh_Thu_Hong_Van[[#This Row],[ĐƠN GIÁ]]*Cty_Anh_Thu_Hong_Van[[#This Row],[SỐ LƯỢNG]]</f>
        <v>29766000</v>
      </c>
      <c r="I16" s="31"/>
      <c r="J16" s="31">
        <f>J15+Cty_Anh_Thu_Hong_Van[[#This Row],[THÀNH TIỀN]]-Cty_Anh_Thu_Hong_Van[[#This Row],[THANH TOÁN]]</f>
        <v>98247500</v>
      </c>
      <c r="K16" s="24" t="s">
        <v>42</v>
      </c>
    </row>
    <row r="17" spans="1:11" x14ac:dyDescent="0.25">
      <c r="A17" s="22">
        <v>8935</v>
      </c>
      <c r="B17" s="29">
        <v>46134</v>
      </c>
      <c r="C17" s="23" t="s">
        <v>13</v>
      </c>
      <c r="D17" s="37" t="s">
        <v>26</v>
      </c>
      <c r="E17" s="23" t="s">
        <v>1764</v>
      </c>
      <c r="F17" s="31">
        <v>88</v>
      </c>
      <c r="G17" s="31">
        <v>38000</v>
      </c>
      <c r="H17" s="31">
        <f>Cty_Anh_Thu_Hong_Van[[#This Row],[ĐƠN GIÁ]]*Cty_Anh_Thu_Hong_Van[[#This Row],[SỐ LƯỢNG]]</f>
        <v>3344000</v>
      </c>
      <c r="I17" s="31"/>
      <c r="J17" s="31">
        <f>J16+Cty_Anh_Thu_Hong_Van[[#This Row],[THÀNH TIỀN]]-Cty_Anh_Thu_Hong_Van[[#This Row],[THANH TOÁN]]</f>
        <v>101591500</v>
      </c>
      <c r="K17" s="24" t="s">
        <v>42</v>
      </c>
    </row>
    <row r="18" spans="1:11" x14ac:dyDescent="0.25">
      <c r="A18" s="22"/>
      <c r="B18" s="29">
        <v>46134</v>
      </c>
      <c r="C18" s="23" t="s">
        <v>21</v>
      </c>
      <c r="D18" s="37" t="s">
        <v>22</v>
      </c>
      <c r="E18" s="23" t="s">
        <v>726</v>
      </c>
      <c r="F18" s="31">
        <v>0</v>
      </c>
      <c r="G18" s="31"/>
      <c r="H18" s="31">
        <f>Cty_Anh_Thu_Hong_Van[[#This Row],[ĐƠN GIÁ]]*Cty_Anh_Thu_Hong_Van[[#This Row],[SỐ LƯỢNG]]</f>
        <v>0</v>
      </c>
      <c r="I18" s="31">
        <v>7705000</v>
      </c>
      <c r="J18" s="31">
        <f>J17+Cty_Anh_Thu_Hong_Van[[#This Row],[THÀNH TIỀN]]-Cty_Anh_Thu_Hong_Van[[#This Row],[THANH TOÁN]]</f>
        <v>93886500</v>
      </c>
      <c r="K18" s="24"/>
    </row>
    <row r="19" spans="1:11" x14ac:dyDescent="0.25">
      <c r="A19" s="22"/>
      <c r="B19" s="29">
        <v>46134</v>
      </c>
      <c r="C19" s="23" t="s">
        <v>21</v>
      </c>
      <c r="D19" s="37" t="s">
        <v>22</v>
      </c>
      <c r="E19" s="23" t="s">
        <v>261</v>
      </c>
      <c r="F19" s="31">
        <v>0</v>
      </c>
      <c r="G19" s="31"/>
      <c r="H19" s="31">
        <f>Cty_Anh_Thu_Hong_Van[[#This Row],[ĐƠN GIÁ]]*Cty_Anh_Thu_Hong_Van[[#This Row],[SỐ LƯỢNG]]</f>
        <v>0</v>
      </c>
      <c r="I19" s="31">
        <v>89933678</v>
      </c>
      <c r="J19" s="31">
        <f>J18+Cty_Anh_Thu_Hong_Van[[#This Row],[THÀNH TIỀN]]-Cty_Anh_Thu_Hong_Van[[#This Row],[THANH TOÁN]]</f>
        <v>3952822</v>
      </c>
      <c r="K19" s="24"/>
    </row>
    <row r="20" spans="1:11" x14ac:dyDescent="0.25">
      <c r="A20" s="22"/>
      <c r="B20" s="29">
        <v>46123</v>
      </c>
      <c r="C20" s="23" t="s">
        <v>21</v>
      </c>
      <c r="D20" s="37" t="s">
        <v>22</v>
      </c>
      <c r="E20" s="23" t="s">
        <v>1907</v>
      </c>
      <c r="F20" s="31">
        <v>0</v>
      </c>
      <c r="G20" s="31"/>
      <c r="H20" s="31">
        <f>Cty_Anh_Thu_Hong_Van[[#This Row],[ĐƠN GIÁ]]*Cty_Anh_Thu_Hong_Van[[#This Row],[SỐ LƯỢNG]]</f>
        <v>0</v>
      </c>
      <c r="I20" s="31">
        <v>3952000</v>
      </c>
      <c r="J20" s="31">
        <f>J19+Cty_Anh_Thu_Hong_Van[[#This Row],[THÀNH TIỀN]]-Cty_Anh_Thu_Hong_Van[[#This Row],[THANH TOÁN]]</f>
        <v>822</v>
      </c>
      <c r="K20" s="24"/>
    </row>
    <row r="21" spans="1:11" x14ac:dyDescent="0.25">
      <c r="A21" s="22">
        <v>9381</v>
      </c>
      <c r="B21" s="29">
        <v>46156</v>
      </c>
      <c r="C21" s="23" t="s">
        <v>13</v>
      </c>
      <c r="D21" s="37" t="s">
        <v>54</v>
      </c>
      <c r="E21" s="23" t="s">
        <v>1255</v>
      </c>
      <c r="F21" s="31">
        <v>396</v>
      </c>
      <c r="G21" s="31">
        <v>34000</v>
      </c>
      <c r="H21" s="31">
        <f>Cty_Anh_Thu_Hong_Van[[#This Row],[ĐƠN GIÁ]]*Cty_Anh_Thu_Hong_Van[[#This Row],[SỐ LƯỢNG]]</f>
        <v>13464000</v>
      </c>
      <c r="I21" s="31"/>
      <c r="J21" s="31">
        <f>J20+Cty_Anh_Thu_Hong_Van[[#This Row],[THÀNH TIỀN]]-Cty_Anh_Thu_Hong_Van[[#This Row],[THANH TOÁN]]</f>
        <v>13464822</v>
      </c>
      <c r="K21" s="24" t="s">
        <v>42</v>
      </c>
    </row>
    <row r="22" spans="1:11" x14ac:dyDescent="0.25">
      <c r="A22" s="25"/>
      <c r="B22" s="30">
        <v>46157</v>
      </c>
      <c r="C22" s="26" t="s">
        <v>21</v>
      </c>
      <c r="D22" s="38" t="s">
        <v>24</v>
      </c>
      <c r="E22" s="26"/>
      <c r="F22" s="28">
        <v>0</v>
      </c>
      <c r="G22" s="28"/>
      <c r="H22" s="28">
        <f>Cty_Anh_Thu_Hong_Van[[#This Row],[ĐƠN GIÁ]]*Cty_Anh_Thu_Hong_Van[[#This Row],[SỐ LƯỢNG]]</f>
        <v>0</v>
      </c>
      <c r="I22" s="28">
        <v>13464000</v>
      </c>
      <c r="J22" s="28">
        <f>J21+Cty_Anh_Thu_Hong_Van[[#This Row],[THÀNH TIỀN]]-Cty_Anh_Thu_Hong_Van[[#This Row],[THANH TOÁN]]</f>
        <v>822</v>
      </c>
      <c r="K22" s="27"/>
    </row>
    <row r="23" spans="1:11" x14ac:dyDescent="0.25">
      <c r="A23" s="22">
        <v>9475</v>
      </c>
      <c r="B23" s="29">
        <v>46161</v>
      </c>
      <c r="C23" s="23" t="s">
        <v>13</v>
      </c>
      <c r="D23" s="37" t="s">
        <v>54</v>
      </c>
      <c r="E23" s="23" t="s">
        <v>62</v>
      </c>
      <c r="F23" s="31">
        <v>60</v>
      </c>
      <c r="G23" s="31">
        <v>36000</v>
      </c>
      <c r="H23" s="31">
        <f>Cty_Anh_Thu_Hong_Van[[#This Row],[ĐƠN GIÁ]]*Cty_Anh_Thu_Hong_Van[[#This Row],[SỐ LƯỢNG]]</f>
        <v>2160000</v>
      </c>
      <c r="I23" s="31"/>
      <c r="J23" s="31">
        <f>J22+Cty_Anh_Thu_Hong_Van[[#This Row],[THÀNH TIỀN]]-Cty_Anh_Thu_Hong_Van[[#This Row],[THANH TOÁN]]</f>
        <v>2160822</v>
      </c>
      <c r="K23" s="24"/>
    </row>
    <row r="24" spans="1:11" x14ac:dyDescent="0.25">
      <c r="A24" s="22">
        <v>9475</v>
      </c>
      <c r="B24" s="29">
        <v>46161</v>
      </c>
      <c r="C24" s="23" t="s">
        <v>13</v>
      </c>
      <c r="D24" s="37" t="s">
        <v>1085</v>
      </c>
      <c r="E24" s="23" t="s">
        <v>446</v>
      </c>
      <c r="F24" s="31">
        <v>985</v>
      </c>
      <c r="G24" s="31">
        <v>35500</v>
      </c>
      <c r="H24" s="31">
        <f>Cty_Anh_Thu_Hong_Van[[#This Row],[ĐƠN GIÁ]]*Cty_Anh_Thu_Hong_Van[[#This Row],[SỐ LƯỢNG]]</f>
        <v>34967500</v>
      </c>
      <c r="I24" s="31"/>
      <c r="J24" s="31">
        <f>J23+Cty_Anh_Thu_Hong_Van[[#This Row],[THÀNH TIỀN]]-Cty_Anh_Thu_Hong_Van[[#This Row],[THANH TOÁN]]</f>
        <v>37128322</v>
      </c>
      <c r="K24" s="24"/>
    </row>
    <row r="25" spans="1:11" x14ac:dyDescent="0.25">
      <c r="A25" s="22"/>
      <c r="B25" s="29">
        <v>46153</v>
      </c>
      <c r="C25" s="23" t="s">
        <v>21</v>
      </c>
      <c r="D25" s="37" t="s">
        <v>22</v>
      </c>
      <c r="E25" s="23" t="s">
        <v>2158</v>
      </c>
      <c r="F25" s="31">
        <v>0</v>
      </c>
      <c r="G25" s="31"/>
      <c r="H25" s="31">
        <f>Cty_Anh_Thu_Hong_Van[[#This Row],[ĐƠN GIÁ]]*Cty_Anh_Thu_Hong_Van[[#This Row],[SỐ LƯỢNG]]</f>
        <v>0</v>
      </c>
      <c r="I25" s="31">
        <v>2460000</v>
      </c>
      <c r="J25" s="31">
        <f>J24+Cty_Anh_Thu_Hong_Van[[#This Row],[THÀNH TIỀN]]-Cty_Anh_Thu_Hong_Van[[#This Row],[THANH TOÁN]]</f>
        <v>34668322</v>
      </c>
      <c r="K25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5FCA2-320C-44FC-8FF7-18E578AC28FC}">
  <sheetPr codeName="Sheet56"/>
  <dimension ref="A5:K22"/>
  <sheetViews>
    <sheetView workbookViewId="0">
      <selection activeCell="B18" sqref="B18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42251715</v>
      </c>
    </row>
    <row r="6" spans="1:11" ht="22.5" x14ac:dyDescent="0.25">
      <c r="D6" s="34" t="s">
        <v>935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E_Thuan_Ngoc_Diep[[#This Row],[ĐƠN GIÁ]]*E_Thuan_Ngoc_Diep[[#This Row],[SỐ LƯỢNG]]</f>
        <v>0</v>
      </c>
      <c r="I10" s="31"/>
      <c r="J10" s="31">
        <v>0</v>
      </c>
      <c r="K10" s="24"/>
    </row>
    <row r="11" spans="1:11" x14ac:dyDescent="0.25">
      <c r="A11" s="22">
        <v>7853</v>
      </c>
      <c r="B11" s="29">
        <v>46086</v>
      </c>
      <c r="C11" s="23" t="s">
        <v>13</v>
      </c>
      <c r="D11" s="37" t="s">
        <v>103</v>
      </c>
      <c r="E11" s="23" t="s">
        <v>836</v>
      </c>
      <c r="F11" s="31">
        <v>1226</v>
      </c>
      <c r="G11" s="31">
        <v>36000</v>
      </c>
      <c r="H11" s="31">
        <f>E_Thuan_Ngoc_Diep[[#This Row],[ĐƠN GIÁ]]*E_Thuan_Ngoc_Diep[[#This Row],[SỐ LƯỢNG]]</f>
        <v>44136000</v>
      </c>
      <c r="I11" s="31"/>
      <c r="J11" s="31">
        <f>J10+E_Thuan_Ngoc_Diep[[#This Row],[THÀNH TIỀN]]-E_Thuan_Ngoc_Diep[[#This Row],[THANH TOÁN]]</f>
        <v>44136000</v>
      </c>
      <c r="K11" s="24"/>
    </row>
    <row r="12" spans="1:11" x14ac:dyDescent="0.25">
      <c r="A12" s="22">
        <v>8079</v>
      </c>
      <c r="B12" s="29">
        <v>46095</v>
      </c>
      <c r="C12" s="23" t="s">
        <v>13</v>
      </c>
      <c r="D12" s="37" t="s">
        <v>68</v>
      </c>
      <c r="E12" s="23" t="s">
        <v>936</v>
      </c>
      <c r="F12" s="31">
        <v>520</v>
      </c>
      <c r="G12" s="31">
        <v>43000</v>
      </c>
      <c r="H12" s="31">
        <f>E_Thuan_Ngoc_Diep[[#This Row],[ĐƠN GIÁ]]*E_Thuan_Ngoc_Diep[[#This Row],[SỐ LƯỢNG]]</f>
        <v>22360000</v>
      </c>
      <c r="I12" s="31"/>
      <c r="J12" s="31">
        <f>J11+E_Thuan_Ngoc_Diep[[#This Row],[THÀNH TIỀN]]-E_Thuan_Ngoc_Diep[[#This Row],[THANH TOÁN]]</f>
        <v>66496000</v>
      </c>
      <c r="K12" s="24"/>
    </row>
    <row r="13" spans="1:11" x14ac:dyDescent="0.25">
      <c r="A13" s="22">
        <v>8515</v>
      </c>
      <c r="B13" s="29">
        <v>46114</v>
      </c>
      <c r="C13" s="23" t="s">
        <v>13</v>
      </c>
      <c r="D13" s="37" t="s">
        <v>26</v>
      </c>
      <c r="E13" s="23" t="s">
        <v>937</v>
      </c>
      <c r="F13" s="31">
        <v>1532</v>
      </c>
      <c r="G13" s="31">
        <v>31500</v>
      </c>
      <c r="H13" s="31">
        <f>E_Thuan_Ngoc_Diep[[#This Row],[ĐƠN GIÁ]]*E_Thuan_Ngoc_Diep[[#This Row],[SỐ LƯỢNG]]</f>
        <v>48258000</v>
      </c>
      <c r="I13" s="31"/>
      <c r="J13" s="31">
        <f>J12+E_Thuan_Ngoc_Diep[[#This Row],[THÀNH TIỀN]]-E_Thuan_Ngoc_Diep[[#This Row],[THANH TOÁN]]</f>
        <v>114754000</v>
      </c>
      <c r="K13" s="24"/>
    </row>
    <row r="14" spans="1:11" x14ac:dyDescent="0.25">
      <c r="A14" s="22">
        <v>8516</v>
      </c>
      <c r="B14" s="29">
        <v>46114</v>
      </c>
      <c r="C14" s="23" t="s">
        <v>13</v>
      </c>
      <c r="D14" s="37" t="s">
        <v>103</v>
      </c>
      <c r="E14" s="23" t="s">
        <v>852</v>
      </c>
      <c r="F14" s="31">
        <v>16</v>
      </c>
      <c r="G14" s="31">
        <v>38000</v>
      </c>
      <c r="H14" s="31">
        <f>E_Thuan_Ngoc_Diep[[#This Row],[ĐƠN GIÁ]]*E_Thuan_Ngoc_Diep[[#This Row],[SỐ LƯỢNG]]</f>
        <v>608000</v>
      </c>
      <c r="I14" s="31"/>
      <c r="J14" s="31">
        <f>J13+E_Thuan_Ngoc_Diep[[#This Row],[THÀNH TIỀN]]-E_Thuan_Ngoc_Diep[[#This Row],[THANH TOÁN]]</f>
        <v>115362000</v>
      </c>
      <c r="K14" s="24"/>
    </row>
    <row r="15" spans="1:11" x14ac:dyDescent="0.25">
      <c r="A15" s="22"/>
      <c r="B15" s="29">
        <v>46115</v>
      </c>
      <c r="C15" s="23" t="s">
        <v>21</v>
      </c>
      <c r="D15" s="37" t="s">
        <v>22</v>
      </c>
      <c r="E15" s="23" t="s">
        <v>147</v>
      </c>
      <c r="F15" s="31">
        <v>0</v>
      </c>
      <c r="G15" s="31"/>
      <c r="H15" s="31">
        <f>E_Thuan_Ngoc_Diep[[#This Row],[ĐƠN GIÁ]]*E_Thuan_Ngoc_Diep[[#This Row],[SỐ LƯỢNG]]</f>
        <v>0</v>
      </c>
      <c r="I15" s="31">
        <v>66496934</v>
      </c>
      <c r="J15" s="31">
        <f>J14+E_Thuan_Ngoc_Diep[[#This Row],[THÀNH TIỀN]]-E_Thuan_Ngoc_Diep[[#This Row],[THANH TOÁN]]</f>
        <v>48865066</v>
      </c>
      <c r="K15" s="24"/>
    </row>
    <row r="16" spans="1:11" x14ac:dyDescent="0.25">
      <c r="A16" s="22">
        <v>8772</v>
      </c>
      <c r="B16" s="29">
        <v>46126</v>
      </c>
      <c r="C16" s="23" t="s">
        <v>13</v>
      </c>
      <c r="D16" s="37" t="s">
        <v>77</v>
      </c>
      <c r="E16" s="23" t="s">
        <v>797</v>
      </c>
      <c r="F16" s="31">
        <v>4044</v>
      </c>
      <c r="G16" s="31">
        <v>31500</v>
      </c>
      <c r="H16" s="31">
        <f>E_Thuan_Ngoc_Diep[[#This Row],[ĐƠN GIÁ]]*E_Thuan_Ngoc_Diep[[#This Row],[SỐ LƯỢNG]]</f>
        <v>127386000</v>
      </c>
      <c r="I16" s="31"/>
      <c r="J16" s="31">
        <f>J15+E_Thuan_Ngoc_Diep[[#This Row],[THÀNH TIỀN]]-E_Thuan_Ngoc_Diep[[#This Row],[THANH TOÁN]]</f>
        <v>176251066</v>
      </c>
      <c r="K16" s="24"/>
    </row>
    <row r="17" spans="1:11" x14ac:dyDescent="0.25">
      <c r="A17" s="22">
        <v>8801</v>
      </c>
      <c r="B17" s="29">
        <v>46127</v>
      </c>
      <c r="C17" s="23" t="s">
        <v>13</v>
      </c>
      <c r="D17" s="37" t="s">
        <v>26</v>
      </c>
      <c r="E17" s="23" t="s">
        <v>938</v>
      </c>
      <c r="F17" s="31">
        <v>1946</v>
      </c>
      <c r="G17" s="31">
        <v>32500</v>
      </c>
      <c r="H17" s="31">
        <f>E_Thuan_Ngoc_Diep[[#This Row],[ĐƠN GIÁ]]*E_Thuan_Ngoc_Diep[[#This Row],[SỐ LƯỢNG]]</f>
        <v>63245000</v>
      </c>
      <c r="I17" s="31"/>
      <c r="J17" s="31">
        <f>J16+E_Thuan_Ngoc_Diep[[#This Row],[THÀNH TIỀN]]-E_Thuan_Ngoc_Diep[[#This Row],[THANH TOÁN]]</f>
        <v>239496066</v>
      </c>
      <c r="K17" s="24"/>
    </row>
    <row r="18" spans="1:11" x14ac:dyDescent="0.25">
      <c r="A18" s="151">
        <v>9156</v>
      </c>
      <c r="B18" s="152">
        <v>46146</v>
      </c>
      <c r="C18" s="55" t="s">
        <v>13</v>
      </c>
      <c r="D18" s="149" t="s">
        <v>26</v>
      </c>
      <c r="E18" s="55" t="s">
        <v>797</v>
      </c>
      <c r="F18" s="57">
        <v>936</v>
      </c>
      <c r="G18" s="57"/>
      <c r="H18" s="57">
        <f>E_Thuan_Ngoc_Diep[[#This Row],[ĐƠN GIÁ]]*E_Thuan_Ngoc_Diep[[#This Row],[SỐ LƯỢNG]]</f>
        <v>0</v>
      </c>
      <c r="I18" s="57"/>
      <c r="J18" s="57">
        <f>J17+E_Thuan_Ngoc_Diep[[#This Row],[THÀNH TIỀN]]-E_Thuan_Ngoc_Diep[[#This Row],[THANH TOÁN]]</f>
        <v>239496066</v>
      </c>
      <c r="K18" s="58"/>
    </row>
    <row r="19" spans="1:11" x14ac:dyDescent="0.25">
      <c r="A19" s="151">
        <v>9156</v>
      </c>
      <c r="B19" s="152">
        <v>46146</v>
      </c>
      <c r="C19" s="55" t="s">
        <v>13</v>
      </c>
      <c r="D19" s="149" t="s">
        <v>26</v>
      </c>
      <c r="E19" s="55" t="s">
        <v>1926</v>
      </c>
      <c r="F19" s="57">
        <v>1172</v>
      </c>
      <c r="G19" s="57"/>
      <c r="H19" s="57">
        <f>E_Thuan_Ngoc_Diep[[#This Row],[ĐƠN GIÁ]]*E_Thuan_Ngoc_Diep[[#This Row],[SỐ LƯỢNG]]</f>
        <v>0</v>
      </c>
      <c r="I19" s="57"/>
      <c r="J19" s="57">
        <f>J18+E_Thuan_Ngoc_Diep[[#This Row],[THÀNH TIỀN]]-E_Thuan_Ngoc_Diep[[#This Row],[THANH TOÁN]]</f>
        <v>239496066</v>
      </c>
      <c r="K19" s="58"/>
    </row>
    <row r="20" spans="1:11" x14ac:dyDescent="0.25">
      <c r="A20" s="22"/>
      <c r="B20" s="29">
        <v>46154</v>
      </c>
      <c r="C20" s="23" t="s">
        <v>21</v>
      </c>
      <c r="D20" s="37" t="s">
        <v>22</v>
      </c>
      <c r="E20" s="23" t="s">
        <v>147</v>
      </c>
      <c r="F20" s="31">
        <v>0</v>
      </c>
      <c r="G20" s="31"/>
      <c r="H20" s="31">
        <f>E_Thuan_Ngoc_Diep[[#This Row],[ĐƠN GIÁ]]*E_Thuan_Ngoc_Diep[[#This Row],[SỐ LƯỢNG]]</f>
        <v>0</v>
      </c>
      <c r="I20" s="31">
        <v>239500351</v>
      </c>
      <c r="J20" s="31">
        <f>J19+E_Thuan_Ngoc_Diep[[#This Row],[THÀNH TIỀN]]-E_Thuan_Ngoc_Diep[[#This Row],[THANH TOÁN]]</f>
        <v>-4285</v>
      </c>
      <c r="K20" s="24"/>
    </row>
    <row r="21" spans="1:11" x14ac:dyDescent="0.25">
      <c r="A21" s="22">
        <v>9378</v>
      </c>
      <c r="B21" s="29">
        <v>46156</v>
      </c>
      <c r="C21" s="23" t="s">
        <v>13</v>
      </c>
      <c r="D21" s="37" t="s">
        <v>858</v>
      </c>
      <c r="E21" s="23" t="s">
        <v>2108</v>
      </c>
      <c r="F21" s="31">
        <v>514</v>
      </c>
      <c r="G21" s="31">
        <v>45000</v>
      </c>
      <c r="H21" s="31">
        <f>E_Thuan_Ngoc_Diep[[#This Row],[ĐƠN GIÁ]]*E_Thuan_Ngoc_Diep[[#This Row],[SỐ LƯỢNG]]</f>
        <v>23130000</v>
      </c>
      <c r="I21" s="31"/>
      <c r="J21" s="31">
        <f>J20+E_Thuan_Ngoc_Diep[[#This Row],[THÀNH TIỀN]]-E_Thuan_Ngoc_Diep[[#This Row],[THANH TOÁN]]</f>
        <v>23125715</v>
      </c>
      <c r="K21" s="24"/>
    </row>
    <row r="22" spans="1:11" x14ac:dyDescent="0.25">
      <c r="A22" s="22">
        <v>9654</v>
      </c>
      <c r="B22" s="29">
        <v>46169</v>
      </c>
      <c r="C22" s="23" t="s">
        <v>13</v>
      </c>
      <c r="D22" s="37" t="s">
        <v>17</v>
      </c>
      <c r="E22" s="23" t="s">
        <v>41</v>
      </c>
      <c r="F22" s="31">
        <v>292</v>
      </c>
      <c r="G22" s="31">
        <v>65500</v>
      </c>
      <c r="H22" s="31">
        <f>E_Thuan_Ngoc_Diep[[#This Row],[ĐƠN GIÁ]]*E_Thuan_Ngoc_Diep[[#This Row],[SỐ LƯỢNG]]</f>
        <v>19126000</v>
      </c>
      <c r="I22" s="31"/>
      <c r="J22" s="31">
        <f>J21+E_Thuan_Ngoc_Diep[[#This Row],[THÀNH TIỀN]]-E_Thuan_Ngoc_Diep[[#This Row],[THANH TOÁN]]</f>
        <v>42251715</v>
      </c>
      <c r="K22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4866CA-0249-497A-BB7C-AEDBDB3E2FAC}">
  <sheetPr codeName="Sheet57"/>
  <dimension ref="A5:K38"/>
  <sheetViews>
    <sheetView topLeftCell="A10" workbookViewId="0">
      <selection activeCell="A38" sqref="A38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599994000</v>
      </c>
    </row>
    <row r="6" spans="1:11" ht="22.5" x14ac:dyDescent="0.25">
      <c r="D6" s="34" t="s">
        <v>939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Cty_Minh_Vu[[#This Row],[ĐƠN GIÁ]]*Cty_Minh_Vu[[#This Row],[SỐ LƯỢNG]]</f>
        <v>0</v>
      </c>
      <c r="I10" s="31"/>
      <c r="J10" s="31">
        <v>246697000</v>
      </c>
      <c r="K10" s="24"/>
    </row>
    <row r="11" spans="1:11" x14ac:dyDescent="0.25">
      <c r="A11" s="22">
        <v>7855</v>
      </c>
      <c r="B11" s="29">
        <v>46086</v>
      </c>
      <c r="C11" s="23" t="s">
        <v>13</v>
      </c>
      <c r="D11" s="37" t="s">
        <v>940</v>
      </c>
      <c r="E11" s="23" t="s">
        <v>941</v>
      </c>
      <c r="F11" s="31">
        <v>2410</v>
      </c>
      <c r="G11" s="31">
        <v>31000</v>
      </c>
      <c r="H11" s="31">
        <f>Cty_Minh_Vu[[#This Row],[ĐƠN GIÁ]]*Cty_Minh_Vu[[#This Row],[SỐ LƯỢNG]]</f>
        <v>74710000</v>
      </c>
      <c r="I11" s="31"/>
      <c r="J11" s="31">
        <f>J10+Cty_Minh_Vu[[#This Row],[THÀNH TIỀN]]-Cty_Minh_Vu[[#This Row],[THANH TOÁN]]</f>
        <v>321407000</v>
      </c>
      <c r="K11" s="24"/>
    </row>
    <row r="12" spans="1:11" x14ac:dyDescent="0.25">
      <c r="A12" s="22"/>
      <c r="B12" s="29">
        <v>46086</v>
      </c>
      <c r="C12" s="23" t="s">
        <v>21</v>
      </c>
      <c r="D12" s="37" t="s">
        <v>22</v>
      </c>
      <c r="E12" s="23" t="s">
        <v>2258</v>
      </c>
      <c r="F12" s="31">
        <v>0</v>
      </c>
      <c r="G12" s="31">
        <v>0</v>
      </c>
      <c r="H12" s="31">
        <f>Cty_Minh_Vu[[#This Row],[ĐƠN GIÁ]]*Cty_Minh_Vu[[#This Row],[SỐ LƯỢNG]]</f>
        <v>0</v>
      </c>
      <c r="I12" s="31">
        <v>80000000</v>
      </c>
      <c r="J12" s="31">
        <f>J11+Cty_Minh_Vu[[#This Row],[THÀNH TIỀN]]-Cty_Minh_Vu[[#This Row],[THANH TOÁN]]</f>
        <v>241407000</v>
      </c>
      <c r="K12" s="24"/>
    </row>
    <row r="13" spans="1:11" x14ac:dyDescent="0.25">
      <c r="A13" s="25">
        <v>8052</v>
      </c>
      <c r="B13" s="30">
        <v>46094</v>
      </c>
      <c r="C13" s="26" t="s">
        <v>13</v>
      </c>
      <c r="D13" s="38" t="s">
        <v>301</v>
      </c>
      <c r="E13" s="26" t="s">
        <v>942</v>
      </c>
      <c r="F13" s="28">
        <f>1140+864+864+758+800+748+796+730+776+710+750+832+866+20</f>
        <v>10654</v>
      </c>
      <c r="G13" s="28">
        <v>24000</v>
      </c>
      <c r="H13" s="28">
        <f>Cty_Minh_Vu[[#This Row],[ĐƠN GIÁ]]*Cty_Minh_Vu[[#This Row],[SỐ LƯỢNG]]</f>
        <v>255696000</v>
      </c>
      <c r="I13" s="28"/>
      <c r="J13" s="28">
        <f>J12+Cty_Minh_Vu[[#This Row],[THÀNH TIỀN]]-Cty_Minh_Vu[[#This Row],[THANH TOÁN]]</f>
        <v>497103000</v>
      </c>
      <c r="K13" s="27"/>
    </row>
    <row r="14" spans="1:11" x14ac:dyDescent="0.25">
      <c r="A14" s="25">
        <v>8055</v>
      </c>
      <c r="B14" s="30">
        <v>46094</v>
      </c>
      <c r="C14" s="26" t="s">
        <v>13</v>
      </c>
      <c r="D14" s="38" t="s">
        <v>301</v>
      </c>
      <c r="E14" s="23" t="s">
        <v>942</v>
      </c>
      <c r="F14" s="31">
        <v>5670</v>
      </c>
      <c r="G14" s="28">
        <v>24000</v>
      </c>
      <c r="H14" s="31">
        <f>Cty_Minh_Vu[[#This Row],[ĐƠN GIÁ]]*Cty_Minh_Vu[[#This Row],[SỐ LƯỢNG]]</f>
        <v>136080000</v>
      </c>
      <c r="I14" s="31"/>
      <c r="J14" s="31">
        <f>J13+Cty_Minh_Vu[[#This Row],[THÀNH TIỀN]]-Cty_Minh_Vu[[#This Row],[THANH TOÁN]]</f>
        <v>633183000</v>
      </c>
      <c r="K14" s="24"/>
    </row>
    <row r="15" spans="1:11" x14ac:dyDescent="0.25">
      <c r="A15" s="25">
        <v>8055</v>
      </c>
      <c r="B15" s="30">
        <v>46094</v>
      </c>
      <c r="C15" s="26" t="s">
        <v>13</v>
      </c>
      <c r="D15" s="38" t="s">
        <v>301</v>
      </c>
      <c r="E15" s="26" t="s">
        <v>942</v>
      </c>
      <c r="F15" s="28">
        <v>1878</v>
      </c>
      <c r="G15" s="28">
        <v>24000</v>
      </c>
      <c r="H15" s="28">
        <f>Cty_Minh_Vu[[#This Row],[ĐƠN GIÁ]]*Cty_Minh_Vu[[#This Row],[SỐ LƯỢNG]]</f>
        <v>45072000</v>
      </c>
      <c r="I15" s="28"/>
      <c r="J15" s="28">
        <f>J14+Cty_Minh_Vu[[#This Row],[THÀNH TIỀN]]-Cty_Minh_Vu[[#This Row],[THANH TOÁN]]</f>
        <v>678255000</v>
      </c>
      <c r="K15" s="27"/>
    </row>
    <row r="16" spans="1:11" x14ac:dyDescent="0.25">
      <c r="A16" s="25">
        <v>8062</v>
      </c>
      <c r="B16" s="30">
        <v>46094</v>
      </c>
      <c r="C16" s="26" t="s">
        <v>13</v>
      </c>
      <c r="D16" s="38" t="s">
        <v>301</v>
      </c>
      <c r="E16" s="26" t="s">
        <v>941</v>
      </c>
      <c r="F16" s="28">
        <v>894</v>
      </c>
      <c r="G16" s="28">
        <v>31000</v>
      </c>
      <c r="H16" s="28">
        <f>Cty_Minh_Vu[[#This Row],[ĐƠN GIÁ]]*Cty_Minh_Vu[[#This Row],[SỐ LƯỢNG]]</f>
        <v>27714000</v>
      </c>
      <c r="I16" s="28"/>
      <c r="J16" s="28">
        <f>J15+Cty_Minh_Vu[[#This Row],[THÀNH TIỀN]]-Cty_Minh_Vu[[#This Row],[THANH TOÁN]]</f>
        <v>705969000</v>
      </c>
      <c r="K16" s="27"/>
    </row>
    <row r="17" spans="1:11" x14ac:dyDescent="0.25">
      <c r="A17" s="25"/>
      <c r="B17" s="30">
        <v>46097</v>
      </c>
      <c r="C17" s="26" t="s">
        <v>21</v>
      </c>
      <c r="D17" s="38" t="s">
        <v>22</v>
      </c>
      <c r="E17" s="26" t="s">
        <v>2258</v>
      </c>
      <c r="F17" s="28">
        <v>0</v>
      </c>
      <c r="G17" s="28">
        <v>0</v>
      </c>
      <c r="H17" s="28">
        <f>Cty_Minh_Vu[[#This Row],[ĐƠN GIÁ]]*Cty_Minh_Vu[[#This Row],[SỐ LƯỢNG]]</f>
        <v>0</v>
      </c>
      <c r="I17" s="28">
        <f>60000000+60000000+50000000</f>
        <v>170000000</v>
      </c>
      <c r="J17" s="28">
        <f>J16+Cty_Minh_Vu[[#This Row],[THÀNH TIỀN]]-Cty_Minh_Vu[[#This Row],[THANH TOÁN]]</f>
        <v>535969000</v>
      </c>
      <c r="K17" s="27"/>
    </row>
    <row r="18" spans="1:11" x14ac:dyDescent="0.25">
      <c r="A18" s="25">
        <v>8271</v>
      </c>
      <c r="B18" s="30">
        <v>46101</v>
      </c>
      <c r="C18" s="26" t="s">
        <v>13</v>
      </c>
      <c r="D18" s="38" t="s">
        <v>301</v>
      </c>
      <c r="E18" s="26" t="s">
        <v>943</v>
      </c>
      <c r="F18" s="28">
        <v>22823</v>
      </c>
      <c r="G18" s="28">
        <v>24000</v>
      </c>
      <c r="H18" s="28">
        <f>Cty_Minh_Vu[[#This Row],[ĐƠN GIÁ]]*Cty_Minh_Vu[[#This Row],[SỐ LƯỢNG]]</f>
        <v>547752000</v>
      </c>
      <c r="I18" s="28"/>
      <c r="J18" s="28">
        <f>J17+Cty_Minh_Vu[[#This Row],[THÀNH TIỀN]]-Cty_Minh_Vu[[#This Row],[THANH TOÁN]]</f>
        <v>1083721000</v>
      </c>
      <c r="K18" s="27"/>
    </row>
    <row r="19" spans="1:11" x14ac:dyDescent="0.25">
      <c r="A19" s="25">
        <v>8422</v>
      </c>
      <c r="B19" s="30">
        <v>46111</v>
      </c>
      <c r="C19" s="26" t="s">
        <v>13</v>
      </c>
      <c r="D19" s="38" t="s">
        <v>301</v>
      </c>
      <c r="E19" s="26" t="s">
        <v>941</v>
      </c>
      <c r="F19" s="28">
        <v>1943</v>
      </c>
      <c r="G19" s="28">
        <v>29000</v>
      </c>
      <c r="H19" s="28">
        <f>Cty_Minh_Vu[[#This Row],[ĐƠN GIÁ]]*Cty_Minh_Vu[[#This Row],[SỐ LƯỢNG]]</f>
        <v>56347000</v>
      </c>
      <c r="I19" s="28"/>
      <c r="J19" s="28">
        <f>J18+Cty_Minh_Vu[[#This Row],[THÀNH TIỀN]]-Cty_Minh_Vu[[#This Row],[THANH TOÁN]]</f>
        <v>1140068000</v>
      </c>
      <c r="K19" s="27"/>
    </row>
    <row r="20" spans="1:11" x14ac:dyDescent="0.25">
      <c r="A20" s="22"/>
      <c r="B20" s="29">
        <v>46111</v>
      </c>
      <c r="C20" s="23" t="s">
        <v>21</v>
      </c>
      <c r="D20" s="37" t="s">
        <v>24</v>
      </c>
      <c r="E20" s="23"/>
      <c r="F20" s="31">
        <v>0</v>
      </c>
      <c r="G20" s="31"/>
      <c r="H20" s="31">
        <f>Cty_Minh_Vu[[#This Row],[ĐƠN GIÁ]]*Cty_Minh_Vu[[#This Row],[SỐ LƯỢNG]]</f>
        <v>0</v>
      </c>
      <c r="I20" s="31">
        <v>150000000</v>
      </c>
      <c r="J20" s="31">
        <f>J19+Cty_Minh_Vu[[#This Row],[THÀNH TIỀN]]-Cty_Minh_Vu[[#This Row],[THANH TOÁN]]</f>
        <v>990068000</v>
      </c>
      <c r="K20" s="24"/>
    </row>
    <row r="21" spans="1:11" x14ac:dyDescent="0.25">
      <c r="A21" s="22">
        <v>8537</v>
      </c>
      <c r="B21" s="29">
        <v>46115</v>
      </c>
      <c r="C21" s="23" t="s">
        <v>13</v>
      </c>
      <c r="D21" s="37" t="s">
        <v>753</v>
      </c>
      <c r="E21" s="23" t="s">
        <v>941</v>
      </c>
      <c r="F21" s="31">
        <v>3219</v>
      </c>
      <c r="G21" s="31">
        <v>29000</v>
      </c>
      <c r="H21" s="31">
        <f>Cty_Minh_Vu[[#This Row],[ĐƠN GIÁ]]*Cty_Minh_Vu[[#This Row],[SỐ LƯỢNG]]</f>
        <v>93351000</v>
      </c>
      <c r="I21" s="31"/>
      <c r="J21" s="31">
        <f>J20+Cty_Minh_Vu[[#This Row],[THÀNH TIỀN]]-Cty_Minh_Vu[[#This Row],[THANH TOÁN]]</f>
        <v>1083419000</v>
      </c>
      <c r="K21" s="24"/>
    </row>
    <row r="22" spans="1:11" x14ac:dyDescent="0.25">
      <c r="A22" s="22"/>
      <c r="B22" s="29">
        <v>46115</v>
      </c>
      <c r="C22" s="23" t="s">
        <v>21</v>
      </c>
      <c r="D22" s="37" t="s">
        <v>24</v>
      </c>
      <c r="E22" s="23"/>
      <c r="F22" s="31">
        <v>0</v>
      </c>
      <c r="G22" s="31"/>
      <c r="H22" s="31">
        <f>Cty_Minh_Vu[[#This Row],[ĐƠN GIÁ]]*Cty_Minh_Vu[[#This Row],[SỐ LƯỢNG]]</f>
        <v>0</v>
      </c>
      <c r="I22" s="31">
        <v>100000000</v>
      </c>
      <c r="J22" s="31">
        <f>J21+Cty_Minh_Vu[[#This Row],[THÀNH TIỀN]]-Cty_Minh_Vu[[#This Row],[THANH TOÁN]]</f>
        <v>983419000</v>
      </c>
      <c r="K22" s="24"/>
    </row>
    <row r="23" spans="1:11" x14ac:dyDescent="0.25">
      <c r="A23" s="22">
        <v>8652</v>
      </c>
      <c r="B23" s="29">
        <v>46121</v>
      </c>
      <c r="C23" s="23" t="s">
        <v>13</v>
      </c>
      <c r="D23" s="37" t="s">
        <v>301</v>
      </c>
      <c r="E23" s="23" t="s">
        <v>944</v>
      </c>
      <c r="F23" s="31">
        <v>4070</v>
      </c>
      <c r="G23" s="31">
        <v>24000</v>
      </c>
      <c r="H23" s="31">
        <f>Cty_Minh_Vu[[#This Row],[ĐƠN GIÁ]]*Cty_Minh_Vu[[#This Row],[SỐ LƯỢNG]]</f>
        <v>97680000</v>
      </c>
      <c r="I23" s="31"/>
      <c r="J23" s="31">
        <f>J22+Cty_Minh_Vu[[#This Row],[THÀNH TIỀN]]-Cty_Minh_Vu[[#This Row],[THANH TOÁN]]</f>
        <v>1081099000</v>
      </c>
      <c r="K23" s="24"/>
    </row>
    <row r="24" spans="1:11" x14ac:dyDescent="0.25">
      <c r="A24" s="22"/>
      <c r="B24" s="29">
        <v>46123</v>
      </c>
      <c r="C24" s="23" t="s">
        <v>21</v>
      </c>
      <c r="D24" s="37" t="s">
        <v>24</v>
      </c>
      <c r="E24" s="23"/>
      <c r="F24" s="31">
        <v>0</v>
      </c>
      <c r="G24" s="31"/>
      <c r="H24" s="31">
        <f>Cty_Minh_Vu[[#This Row],[ĐƠN GIÁ]]*Cty_Minh_Vu[[#This Row],[SỐ LƯỢNG]]</f>
        <v>0</v>
      </c>
      <c r="I24" s="31">
        <v>120000000</v>
      </c>
      <c r="J24" s="31">
        <f>J23+Cty_Minh_Vu[[#This Row],[THÀNH TIỀN]]-Cty_Minh_Vu[[#This Row],[THANH TOÁN]]</f>
        <v>961099000</v>
      </c>
      <c r="K24" s="24"/>
    </row>
    <row r="25" spans="1:11" x14ac:dyDescent="0.25">
      <c r="A25" s="22">
        <v>8845</v>
      </c>
      <c r="B25" s="29">
        <v>46129</v>
      </c>
      <c r="C25" s="23" t="s">
        <v>13</v>
      </c>
      <c r="D25" s="37" t="s">
        <v>301</v>
      </c>
      <c r="E25" s="23" t="s">
        <v>81</v>
      </c>
      <c r="F25" s="31">
        <v>4840</v>
      </c>
      <c r="G25" s="31">
        <v>24000</v>
      </c>
      <c r="H25" s="31">
        <f>Cty_Minh_Vu[[#This Row],[ĐƠN GIÁ]]*Cty_Minh_Vu[[#This Row],[SỐ LƯỢNG]]</f>
        <v>116160000</v>
      </c>
      <c r="I25" s="31"/>
      <c r="J25" s="31">
        <f>J24+Cty_Minh_Vu[[#This Row],[THÀNH TIỀN]]-Cty_Minh_Vu[[#This Row],[THANH TOÁN]]</f>
        <v>1077259000</v>
      </c>
      <c r="K25" s="24"/>
    </row>
    <row r="26" spans="1:11" x14ac:dyDescent="0.25">
      <c r="A26" s="25"/>
      <c r="B26" s="30">
        <v>46129</v>
      </c>
      <c r="C26" s="26" t="s">
        <v>21</v>
      </c>
      <c r="D26" s="38" t="s">
        <v>22</v>
      </c>
      <c r="E26" s="26" t="s">
        <v>147</v>
      </c>
      <c r="F26" s="28">
        <v>0</v>
      </c>
      <c r="G26" s="28"/>
      <c r="H26" s="28">
        <f>Cty_Minh_Vu[[#This Row],[ĐƠN GIÁ]]*Cty_Minh_Vu[[#This Row],[SỐ LƯỢNG]]</f>
        <v>0</v>
      </c>
      <c r="I26" s="28">
        <v>40205000</v>
      </c>
      <c r="J26" s="28">
        <f>J25+Cty_Minh_Vu[[#This Row],[THÀNH TIỀN]]-Cty_Minh_Vu[[#This Row],[THANH TOÁN]]</f>
        <v>1037054000</v>
      </c>
      <c r="K26" s="27"/>
    </row>
    <row r="27" spans="1:11" x14ac:dyDescent="0.25">
      <c r="A27" s="22"/>
      <c r="B27" s="29">
        <v>46129</v>
      </c>
      <c r="C27" s="23" t="s">
        <v>21</v>
      </c>
      <c r="D27" s="37" t="s">
        <v>24</v>
      </c>
      <c r="E27" s="23"/>
      <c r="F27" s="31">
        <v>0</v>
      </c>
      <c r="G27" s="31"/>
      <c r="H27" s="31">
        <f>Cty_Minh_Vu[[#This Row],[ĐƠN GIÁ]]*Cty_Minh_Vu[[#This Row],[SỐ LƯỢNG]]</f>
        <v>0</v>
      </c>
      <c r="I27" s="31">
        <v>160000000</v>
      </c>
      <c r="J27" s="31">
        <f>J26+Cty_Minh_Vu[[#This Row],[THÀNH TIỀN]]-Cty_Minh_Vu[[#This Row],[THANH TOÁN]]</f>
        <v>877054000</v>
      </c>
      <c r="K27" s="24"/>
    </row>
    <row r="28" spans="1:11" x14ac:dyDescent="0.25">
      <c r="A28" s="22">
        <v>8898</v>
      </c>
      <c r="B28" s="29">
        <v>46132</v>
      </c>
      <c r="C28" s="23" t="s">
        <v>13</v>
      </c>
      <c r="D28" s="37" t="s">
        <v>301</v>
      </c>
      <c r="E28" s="23" t="s">
        <v>1738</v>
      </c>
      <c r="F28" s="31">
        <v>19100</v>
      </c>
      <c r="G28" s="31">
        <v>24000</v>
      </c>
      <c r="H28" s="31">
        <f>Cty_Minh_Vu[[#This Row],[ĐƠN GIÁ]]*Cty_Minh_Vu[[#This Row],[SỐ LƯỢNG]]</f>
        <v>458400000</v>
      </c>
      <c r="I28" s="31"/>
      <c r="J28" s="31">
        <f>J27+Cty_Minh_Vu[[#This Row],[THÀNH TIỀN]]-Cty_Minh_Vu[[#This Row],[THANH TOÁN]]</f>
        <v>1335454000</v>
      </c>
      <c r="K28" s="24"/>
    </row>
    <row r="29" spans="1:11" x14ac:dyDescent="0.25">
      <c r="A29" s="22"/>
      <c r="B29" s="29">
        <v>46134</v>
      </c>
      <c r="C29" s="23" t="s">
        <v>21</v>
      </c>
      <c r="D29" s="37" t="s">
        <v>22</v>
      </c>
      <c r="E29" s="23" t="s">
        <v>727</v>
      </c>
      <c r="F29" s="31">
        <v>0</v>
      </c>
      <c r="G29" s="31"/>
      <c r="H29" s="31">
        <f>Cty_Minh_Vu[[#This Row],[ĐƠN GIÁ]]*Cty_Minh_Vu[[#This Row],[SỐ LƯỢNG]]</f>
        <v>0</v>
      </c>
      <c r="I29" s="31">
        <v>80000000</v>
      </c>
      <c r="J29" s="31">
        <f>J28+Cty_Minh_Vu[[#This Row],[THÀNH TIỀN]]-Cty_Minh_Vu[[#This Row],[THANH TOÁN]]</f>
        <v>1255454000</v>
      </c>
      <c r="K29" s="24"/>
    </row>
    <row r="30" spans="1:11" x14ac:dyDescent="0.25">
      <c r="A30" s="22"/>
      <c r="B30" s="29">
        <v>46134</v>
      </c>
      <c r="C30" s="23" t="s">
        <v>21</v>
      </c>
      <c r="D30" s="37" t="s">
        <v>24</v>
      </c>
      <c r="E30" s="23"/>
      <c r="F30" s="31">
        <v>0</v>
      </c>
      <c r="G30" s="31"/>
      <c r="H30" s="31">
        <f>Cty_Minh_Vu[[#This Row],[ĐƠN GIÁ]]*Cty_Minh_Vu[[#This Row],[SỐ LƯỢNG]]</f>
        <v>0</v>
      </c>
      <c r="I30" s="31">
        <v>95000000</v>
      </c>
      <c r="J30" s="31">
        <f>J29+Cty_Minh_Vu[[#This Row],[THÀNH TIỀN]]-Cty_Minh_Vu[[#This Row],[THANH TOÁN]]</f>
        <v>1160454000</v>
      </c>
      <c r="K30" s="24"/>
    </row>
    <row r="31" spans="1:11" x14ac:dyDescent="0.25">
      <c r="A31" s="22"/>
      <c r="B31" s="29">
        <v>46141</v>
      </c>
      <c r="C31" s="23" t="s">
        <v>21</v>
      </c>
      <c r="D31" s="37" t="s">
        <v>24</v>
      </c>
      <c r="E31" s="23"/>
      <c r="F31" s="31">
        <v>0</v>
      </c>
      <c r="G31" s="31"/>
      <c r="H31" s="31">
        <f>Cty_Minh_Vu[[#This Row],[ĐƠN GIÁ]]*Cty_Minh_Vu[[#This Row],[SỐ LƯỢNG]]</f>
        <v>0</v>
      </c>
      <c r="I31" s="31">
        <v>190000000</v>
      </c>
      <c r="J31" s="31">
        <f>J30+Cty_Minh_Vu[[#This Row],[THÀNH TIỀN]]-Cty_Minh_Vu[[#This Row],[THANH TOÁN]]</f>
        <v>970454000</v>
      </c>
      <c r="K31" s="24"/>
    </row>
    <row r="32" spans="1:11" x14ac:dyDescent="0.25">
      <c r="A32" s="22"/>
      <c r="B32" s="29">
        <v>46147</v>
      </c>
      <c r="C32" s="23" t="s">
        <v>21</v>
      </c>
      <c r="D32" s="37" t="s">
        <v>24</v>
      </c>
      <c r="E32" s="23"/>
      <c r="F32" s="31">
        <v>0</v>
      </c>
      <c r="G32" s="31"/>
      <c r="H32" s="31">
        <f>Cty_Minh_Vu[[#This Row],[ĐƠN GIÁ]]*Cty_Minh_Vu[[#This Row],[SỐ LƯỢNG]]</f>
        <v>0</v>
      </c>
      <c r="I32" s="31">
        <v>110000000</v>
      </c>
      <c r="J32" s="31">
        <f>J31+Cty_Minh_Vu[[#This Row],[THÀNH TIỀN]]-Cty_Minh_Vu[[#This Row],[THANH TOÁN]]</f>
        <v>860454000</v>
      </c>
      <c r="K32" s="24"/>
    </row>
    <row r="33" spans="1:11" x14ac:dyDescent="0.25">
      <c r="A33" s="22"/>
      <c r="B33" s="29">
        <v>46158</v>
      </c>
      <c r="C33" s="23" t="s">
        <v>21</v>
      </c>
      <c r="D33" s="37" t="s">
        <v>22</v>
      </c>
      <c r="E33" s="23" t="s">
        <v>727</v>
      </c>
      <c r="F33" s="31">
        <v>0</v>
      </c>
      <c r="G33" s="31"/>
      <c r="H33" s="31">
        <f>Cty_Minh_Vu[[#This Row],[ĐƠN GIÁ]]*Cty_Minh_Vu[[#This Row],[SỐ LƯỢNG]]</f>
        <v>0</v>
      </c>
      <c r="I33" s="31">
        <v>103000000</v>
      </c>
      <c r="J33" s="31">
        <f>J32+Cty_Minh_Vu[[#This Row],[THÀNH TIỀN]]-Cty_Minh_Vu[[#This Row],[THANH TOÁN]]</f>
        <v>757454000</v>
      </c>
      <c r="K33" s="24"/>
    </row>
    <row r="34" spans="1:11" x14ac:dyDescent="0.25">
      <c r="A34" s="22">
        <v>9587</v>
      </c>
      <c r="B34" s="29">
        <v>46165</v>
      </c>
      <c r="C34" s="23" t="s">
        <v>13</v>
      </c>
      <c r="D34" s="37" t="s">
        <v>301</v>
      </c>
      <c r="E34" s="23" t="s">
        <v>941</v>
      </c>
      <c r="F34" s="31">
        <v>2768</v>
      </c>
      <c r="G34" s="31">
        <v>29000</v>
      </c>
      <c r="H34" s="31">
        <f>Cty_Minh_Vu[[#This Row],[ĐƠN GIÁ]]*Cty_Minh_Vu[[#This Row],[SỐ LƯỢNG]]</f>
        <v>80272000</v>
      </c>
      <c r="I34" s="31"/>
      <c r="J34" s="31">
        <f>J33+Cty_Minh_Vu[[#This Row],[THÀNH TIỀN]]-Cty_Minh_Vu[[#This Row],[THANH TOÁN]]</f>
        <v>837726000</v>
      </c>
      <c r="K34" s="24"/>
    </row>
    <row r="35" spans="1:11" x14ac:dyDescent="0.25">
      <c r="A35" s="22">
        <v>9591</v>
      </c>
      <c r="B35" s="29">
        <v>46167</v>
      </c>
      <c r="C35" s="23" t="s">
        <v>13</v>
      </c>
      <c r="D35" s="37" t="s">
        <v>301</v>
      </c>
      <c r="E35" s="23" t="s">
        <v>941</v>
      </c>
      <c r="F35" s="31">
        <v>2092</v>
      </c>
      <c r="G35" s="31">
        <v>29000</v>
      </c>
      <c r="H35" s="31">
        <f>Cty_Minh_Vu[[#This Row],[ĐƠN GIÁ]]*Cty_Minh_Vu[[#This Row],[SỐ LƯỢNG]]</f>
        <v>60668000</v>
      </c>
      <c r="I35" s="31"/>
      <c r="J35" s="31">
        <f>J34+Cty_Minh_Vu[[#This Row],[THÀNH TIỀN]]-Cty_Minh_Vu[[#This Row],[THANH TOÁN]]</f>
        <v>898394000</v>
      </c>
      <c r="K35" s="24"/>
    </row>
    <row r="36" spans="1:11" x14ac:dyDescent="0.25">
      <c r="A36" s="22"/>
      <c r="B36" s="29">
        <v>46160</v>
      </c>
      <c r="C36" s="23" t="s">
        <v>21</v>
      </c>
      <c r="D36" s="37" t="s">
        <v>2157</v>
      </c>
      <c r="E36" s="23"/>
      <c r="F36" s="31">
        <v>0</v>
      </c>
      <c r="G36" s="31"/>
      <c r="H36" s="31">
        <f>Cty_Minh_Vu[[#This Row],[ĐƠN GIÁ]]*Cty_Minh_Vu[[#This Row],[SỐ LƯỢNG]]</f>
        <v>0</v>
      </c>
      <c r="I36" s="31">
        <v>197000000</v>
      </c>
      <c r="J36" s="31">
        <f>J35+Cty_Minh_Vu[[#This Row],[THÀNH TIỀN]]-Cty_Minh_Vu[[#This Row],[THANH TOÁN]]</f>
        <v>701394000</v>
      </c>
      <c r="K36" s="24"/>
    </row>
    <row r="37" spans="1:11" x14ac:dyDescent="0.25">
      <c r="A37" s="22"/>
      <c r="B37" s="29">
        <v>46167</v>
      </c>
      <c r="C37" s="23" t="s">
        <v>21</v>
      </c>
      <c r="D37" s="37" t="s">
        <v>2157</v>
      </c>
      <c r="E37" s="23"/>
      <c r="F37" s="31">
        <v>0</v>
      </c>
      <c r="G37" s="31"/>
      <c r="H37" s="31">
        <f>Cty_Minh_Vu[[#This Row],[ĐƠN GIÁ]]*Cty_Minh_Vu[[#This Row],[SỐ LƯỢNG]]</f>
        <v>0</v>
      </c>
      <c r="I37" s="31">
        <v>200000000</v>
      </c>
      <c r="J37" s="31">
        <f>J36+Cty_Minh_Vu[[#This Row],[THÀNH TIỀN]]-Cty_Minh_Vu[[#This Row],[THANH TOÁN]]</f>
        <v>501394000</v>
      </c>
      <c r="K37" s="24"/>
    </row>
    <row r="38" spans="1:11" x14ac:dyDescent="0.25">
      <c r="A38" s="22">
        <v>9663</v>
      </c>
      <c r="B38" s="29">
        <v>46170</v>
      </c>
      <c r="C38" s="23" t="s">
        <v>13</v>
      </c>
      <c r="D38" s="37" t="s">
        <v>301</v>
      </c>
      <c r="E38" s="23" t="s">
        <v>941</v>
      </c>
      <c r="F38" s="31">
        <v>3400</v>
      </c>
      <c r="G38" s="31">
        <v>29000</v>
      </c>
      <c r="H38" s="31">
        <f>Cty_Minh_Vu[[#This Row],[ĐƠN GIÁ]]*Cty_Minh_Vu[[#This Row],[SỐ LƯỢNG]]</f>
        <v>98600000</v>
      </c>
      <c r="I38" s="31"/>
      <c r="J38" s="31">
        <f>J37+Cty_Minh_Vu[[#This Row],[THÀNH TIỀN]]-Cty_Minh_Vu[[#This Row],[THANH TOÁN]]</f>
        <v>599994000</v>
      </c>
      <c r="K38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C50A47-8CA3-4966-97A2-AD08BB175315}">
  <sheetPr codeName="Sheet59"/>
  <dimension ref="A5:K64"/>
  <sheetViews>
    <sheetView topLeftCell="A22" workbookViewId="0">
      <selection activeCell="E55" sqref="E55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1909696600</v>
      </c>
    </row>
    <row r="6" spans="1:11" ht="22.5" x14ac:dyDescent="0.25">
      <c r="D6" s="34" t="s">
        <v>945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Cty_CP_An_Phat_TT[[#This Row],[ĐƠN GIÁ]]*Cty_CP_An_Phat_TT[[#This Row],[SỐ LƯỢNG]]</f>
        <v>0</v>
      </c>
      <c r="I10" s="31"/>
      <c r="J10" s="31">
        <v>1301454600</v>
      </c>
      <c r="K10" s="24"/>
    </row>
    <row r="11" spans="1:11" x14ac:dyDescent="0.25">
      <c r="A11" s="22">
        <v>7856</v>
      </c>
      <c r="B11" s="29">
        <v>46086</v>
      </c>
      <c r="C11" s="23" t="s">
        <v>13</v>
      </c>
      <c r="D11" s="37" t="s">
        <v>135</v>
      </c>
      <c r="E11" s="23" t="s">
        <v>134</v>
      </c>
      <c r="F11" s="31">
        <v>496</v>
      </c>
      <c r="G11" s="31">
        <v>38000</v>
      </c>
      <c r="H11" s="31">
        <f>Cty_CP_An_Phat_TT[[#This Row],[ĐƠN GIÁ]]*Cty_CP_An_Phat_TT[[#This Row],[SỐ LƯỢNG]]</f>
        <v>18848000</v>
      </c>
      <c r="I11" s="31"/>
      <c r="J11" s="31">
        <f>J10+Cty_CP_An_Phat_TT[[#This Row],[THÀNH TIỀN]]-Cty_CP_An_Phat_TT[[#This Row],[THANH TOÁN]]</f>
        <v>1320302600</v>
      </c>
      <c r="K11" s="24"/>
    </row>
    <row r="12" spans="1:11" x14ac:dyDescent="0.25">
      <c r="A12" s="22"/>
      <c r="B12" s="29">
        <v>46094</v>
      </c>
      <c r="C12" s="23" t="s">
        <v>21</v>
      </c>
      <c r="D12" s="37" t="s">
        <v>22</v>
      </c>
      <c r="E12" s="23" t="s">
        <v>147</v>
      </c>
      <c r="F12" s="31">
        <v>0</v>
      </c>
      <c r="G12" s="31">
        <v>0</v>
      </c>
      <c r="H12" s="31">
        <f>Cty_CP_An_Phat_TT[[#This Row],[ĐƠN GIÁ]]*Cty_CP_An_Phat_TT[[#This Row],[SỐ LƯỢNG]]</f>
        <v>0</v>
      </c>
      <c r="I12" s="31">
        <v>100000000</v>
      </c>
      <c r="J12" s="31">
        <f>J11+Cty_CP_An_Phat_TT[[#This Row],[THÀNH TIỀN]]-Cty_CP_An_Phat_TT[[#This Row],[THANH TOÁN]]</f>
        <v>1220302600</v>
      </c>
      <c r="K12" s="24"/>
    </row>
    <row r="13" spans="1:11" x14ac:dyDescent="0.25">
      <c r="A13" s="22">
        <v>8157</v>
      </c>
      <c r="B13" s="29">
        <v>46098</v>
      </c>
      <c r="C13" s="23" t="s">
        <v>13</v>
      </c>
      <c r="D13" s="37" t="s">
        <v>169</v>
      </c>
      <c r="E13" s="23" t="s">
        <v>62</v>
      </c>
      <c r="F13" s="31">
        <v>528</v>
      </c>
      <c r="G13" s="31">
        <v>41000</v>
      </c>
      <c r="H13" s="31">
        <f>Cty_CP_An_Phat_TT[[#This Row],[ĐƠN GIÁ]]*Cty_CP_An_Phat_TT[[#This Row],[SỐ LƯỢNG]]</f>
        <v>21648000</v>
      </c>
      <c r="I13" s="31"/>
      <c r="J13" s="31">
        <f>J12+Cty_CP_An_Phat_TT[[#This Row],[THÀNH TIỀN]]-Cty_CP_An_Phat_TT[[#This Row],[THANH TOÁN]]</f>
        <v>1241950600</v>
      </c>
      <c r="K13" s="24"/>
    </row>
    <row r="14" spans="1:11" x14ac:dyDescent="0.25">
      <c r="A14" s="22">
        <v>8157</v>
      </c>
      <c r="B14" s="29">
        <v>46098</v>
      </c>
      <c r="C14" s="23" t="s">
        <v>13</v>
      </c>
      <c r="D14" s="37" t="s">
        <v>169</v>
      </c>
      <c r="E14" s="23" t="s">
        <v>41</v>
      </c>
      <c r="F14" s="31">
        <v>534</v>
      </c>
      <c r="G14" s="31">
        <v>40000</v>
      </c>
      <c r="H14" s="31">
        <f>Cty_CP_An_Phat_TT[[#This Row],[ĐƠN GIÁ]]*Cty_CP_An_Phat_TT[[#This Row],[SỐ LƯỢNG]]</f>
        <v>21360000</v>
      </c>
      <c r="I14" s="31"/>
      <c r="J14" s="31">
        <f>J13+Cty_CP_An_Phat_TT[[#This Row],[THÀNH TIỀN]]-Cty_CP_An_Phat_TT[[#This Row],[THANH TOÁN]]</f>
        <v>1263310600</v>
      </c>
      <c r="K14" s="24"/>
    </row>
    <row r="15" spans="1:11" x14ac:dyDescent="0.25">
      <c r="A15" s="25">
        <v>8157</v>
      </c>
      <c r="B15" s="30">
        <v>46098</v>
      </c>
      <c r="C15" s="26" t="s">
        <v>13</v>
      </c>
      <c r="D15" s="38" t="s">
        <v>169</v>
      </c>
      <c r="E15" s="26" t="s">
        <v>136</v>
      </c>
      <c r="F15" s="28">
        <v>538</v>
      </c>
      <c r="G15" s="28">
        <v>39500</v>
      </c>
      <c r="H15" s="28">
        <f>Cty_CP_An_Phat_TT[[#This Row],[ĐƠN GIÁ]]*Cty_CP_An_Phat_TT[[#This Row],[SỐ LƯỢNG]]</f>
        <v>21251000</v>
      </c>
      <c r="I15" s="28"/>
      <c r="J15" s="28">
        <f>J14+Cty_CP_An_Phat_TT[[#This Row],[THÀNH TIỀN]]-Cty_CP_An_Phat_TT[[#This Row],[THANH TOÁN]]</f>
        <v>1284561600</v>
      </c>
      <c r="K15" s="27"/>
    </row>
    <row r="16" spans="1:11" x14ac:dyDescent="0.25">
      <c r="A16" s="25"/>
      <c r="B16" s="30">
        <v>46102</v>
      </c>
      <c r="C16" s="26" t="s">
        <v>21</v>
      </c>
      <c r="D16" s="38" t="s">
        <v>22</v>
      </c>
      <c r="E16" s="26" t="s">
        <v>147</v>
      </c>
      <c r="F16" s="28">
        <v>0</v>
      </c>
      <c r="G16" s="28">
        <v>0</v>
      </c>
      <c r="H16" s="28">
        <f>Cty_CP_An_Phat_TT[[#This Row],[ĐƠN GIÁ]]*Cty_CP_An_Phat_TT[[#This Row],[SỐ LƯỢNG]]</f>
        <v>0</v>
      </c>
      <c r="I16" s="28">
        <v>100000000</v>
      </c>
      <c r="J16" s="28">
        <f>J15+Cty_CP_An_Phat_TT[[#This Row],[THÀNH TIỀN]]-Cty_CP_An_Phat_TT[[#This Row],[THANH TOÁN]]</f>
        <v>1184561600</v>
      </c>
      <c r="K16" s="27"/>
    </row>
    <row r="17" spans="1:11" x14ac:dyDescent="0.25">
      <c r="A17" s="25">
        <v>8235</v>
      </c>
      <c r="B17" s="30">
        <v>46105</v>
      </c>
      <c r="C17" s="26" t="s">
        <v>13</v>
      </c>
      <c r="D17" s="38" t="s">
        <v>252</v>
      </c>
      <c r="E17" s="26" t="s">
        <v>41</v>
      </c>
      <c r="F17" s="28">
        <v>592</v>
      </c>
      <c r="G17" s="28">
        <v>40000</v>
      </c>
      <c r="H17" s="28">
        <f>Cty_CP_An_Phat_TT[[#This Row],[ĐƠN GIÁ]]*Cty_CP_An_Phat_TT[[#This Row],[SỐ LƯỢNG]]</f>
        <v>23680000</v>
      </c>
      <c r="I17" s="28"/>
      <c r="J17" s="28">
        <f>J16+Cty_CP_An_Phat_TT[[#This Row],[THÀNH TIỀN]]-Cty_CP_An_Phat_TT[[#This Row],[THANH TOÁN]]</f>
        <v>1208241600</v>
      </c>
      <c r="K17" s="27"/>
    </row>
    <row r="18" spans="1:11" x14ac:dyDescent="0.25">
      <c r="A18" s="25">
        <v>8235</v>
      </c>
      <c r="B18" s="30">
        <v>46105</v>
      </c>
      <c r="C18" s="26" t="s">
        <v>13</v>
      </c>
      <c r="D18" s="38" t="s">
        <v>252</v>
      </c>
      <c r="E18" s="26" t="s">
        <v>62</v>
      </c>
      <c r="F18" s="28">
        <v>598</v>
      </c>
      <c r="G18" s="28">
        <v>41000</v>
      </c>
      <c r="H18" s="28">
        <f>Cty_CP_An_Phat_TT[[#This Row],[ĐƠN GIÁ]]*Cty_CP_An_Phat_TT[[#This Row],[SỐ LƯỢNG]]</f>
        <v>24518000</v>
      </c>
      <c r="I18" s="28"/>
      <c r="J18" s="28">
        <f>J17+Cty_CP_An_Phat_TT[[#This Row],[THÀNH TIỀN]]-Cty_CP_An_Phat_TT[[#This Row],[THANH TOÁN]]</f>
        <v>1232759600</v>
      </c>
      <c r="K18" s="27"/>
    </row>
    <row r="19" spans="1:11" x14ac:dyDescent="0.25">
      <c r="A19" s="25"/>
      <c r="B19" s="30">
        <v>46111</v>
      </c>
      <c r="C19" s="26" t="s">
        <v>21</v>
      </c>
      <c r="D19" s="38" t="s">
        <v>22</v>
      </c>
      <c r="E19" s="26" t="s">
        <v>147</v>
      </c>
      <c r="F19" s="28">
        <v>0</v>
      </c>
      <c r="G19" s="28">
        <v>0</v>
      </c>
      <c r="H19" s="28">
        <f>Cty_CP_An_Phat_TT[[#This Row],[ĐƠN GIÁ]]*Cty_CP_An_Phat_TT[[#This Row],[SỐ LƯỢNG]]</f>
        <v>0</v>
      </c>
      <c r="I19" s="28">
        <v>100000000</v>
      </c>
      <c r="J19" s="28">
        <f>J18+Cty_CP_An_Phat_TT[[#This Row],[THÀNH TIỀN]]-Cty_CP_An_Phat_TT[[#This Row],[THANH TOÁN]]</f>
        <v>1132759600</v>
      </c>
      <c r="K19" s="27"/>
    </row>
    <row r="20" spans="1:11" x14ac:dyDescent="0.25">
      <c r="A20" s="22"/>
      <c r="B20" s="29">
        <v>46122</v>
      </c>
      <c r="C20" s="23" t="s">
        <v>21</v>
      </c>
      <c r="D20" s="37" t="s">
        <v>22</v>
      </c>
      <c r="E20" s="23" t="s">
        <v>147</v>
      </c>
      <c r="F20" s="31">
        <v>0</v>
      </c>
      <c r="G20" s="31"/>
      <c r="H20" s="31">
        <f>Cty_CP_An_Phat_TT[[#This Row],[ĐƠN GIÁ]]*Cty_CP_An_Phat_TT[[#This Row],[SỐ LƯỢNG]]</f>
        <v>0</v>
      </c>
      <c r="I20" s="31">
        <v>100000000</v>
      </c>
      <c r="J20" s="31">
        <f>J19+Cty_CP_An_Phat_TT[[#This Row],[THÀNH TIỀN]]-Cty_CP_An_Phat_TT[[#This Row],[THANH TOÁN]]</f>
        <v>1032759600</v>
      </c>
      <c r="K20" s="24"/>
    </row>
    <row r="21" spans="1:11" x14ac:dyDescent="0.25">
      <c r="A21" s="22">
        <v>8829</v>
      </c>
      <c r="B21" s="29">
        <v>46128</v>
      </c>
      <c r="C21" s="23" t="s">
        <v>13</v>
      </c>
      <c r="D21" s="37" t="s">
        <v>135</v>
      </c>
      <c r="E21" s="23" t="s">
        <v>134</v>
      </c>
      <c r="F21" s="31">
        <v>538</v>
      </c>
      <c r="G21" s="31">
        <v>39000</v>
      </c>
      <c r="H21" s="31">
        <f>Cty_CP_An_Phat_TT[[#This Row],[ĐƠN GIÁ]]*Cty_CP_An_Phat_TT[[#This Row],[SỐ LƯỢNG]]</f>
        <v>20982000</v>
      </c>
      <c r="I21" s="31"/>
      <c r="J21" s="31">
        <f>J20+Cty_CP_An_Phat_TT[[#This Row],[THÀNH TIỀN]]-Cty_CP_An_Phat_TT[[#This Row],[THANH TOÁN]]</f>
        <v>1053741600</v>
      </c>
      <c r="K21" s="24"/>
    </row>
    <row r="22" spans="1:11" x14ac:dyDescent="0.25">
      <c r="A22" s="22">
        <v>8829</v>
      </c>
      <c r="B22" s="29">
        <v>46128</v>
      </c>
      <c r="C22" s="23" t="s">
        <v>13</v>
      </c>
      <c r="D22" s="37" t="s">
        <v>109</v>
      </c>
      <c r="E22" s="23" t="s">
        <v>946</v>
      </c>
      <c r="F22" s="31">
        <v>292</v>
      </c>
      <c r="G22" s="31">
        <v>61000</v>
      </c>
      <c r="H22" s="31">
        <f>Cty_CP_An_Phat_TT[[#This Row],[ĐƠN GIÁ]]*Cty_CP_An_Phat_TT[[#This Row],[SỐ LƯỢNG]]</f>
        <v>17812000</v>
      </c>
      <c r="I22" s="31"/>
      <c r="J22" s="31">
        <f>J21+Cty_CP_An_Phat_TT[[#This Row],[THÀNH TIỀN]]-Cty_CP_An_Phat_TT[[#This Row],[THANH TOÁN]]</f>
        <v>1071553600</v>
      </c>
      <c r="K22" s="24"/>
    </row>
    <row r="23" spans="1:11" x14ac:dyDescent="0.25">
      <c r="A23" s="22">
        <v>8829</v>
      </c>
      <c r="B23" s="29">
        <v>46128</v>
      </c>
      <c r="C23" s="23" t="s">
        <v>13</v>
      </c>
      <c r="D23" s="37" t="s">
        <v>109</v>
      </c>
      <c r="E23" s="23" t="s">
        <v>947</v>
      </c>
      <c r="F23" s="31">
        <v>428</v>
      </c>
      <c r="G23" s="31">
        <v>61000</v>
      </c>
      <c r="H23" s="31">
        <f>Cty_CP_An_Phat_TT[[#This Row],[ĐƠN GIÁ]]*Cty_CP_An_Phat_TT[[#This Row],[SỐ LƯỢNG]]</f>
        <v>26108000</v>
      </c>
      <c r="I23" s="31"/>
      <c r="J23" s="31">
        <f>J22+Cty_CP_An_Phat_TT[[#This Row],[THÀNH TIỀN]]-Cty_CP_An_Phat_TT[[#This Row],[THANH TOÁN]]</f>
        <v>1097661600</v>
      </c>
      <c r="K23" s="24"/>
    </row>
    <row r="24" spans="1:11" x14ac:dyDescent="0.25">
      <c r="A24" s="22"/>
      <c r="B24" s="29">
        <v>46132</v>
      </c>
      <c r="C24" s="23" t="s">
        <v>21</v>
      </c>
      <c r="D24" s="37" t="s">
        <v>22</v>
      </c>
      <c r="E24" s="23" t="s">
        <v>147</v>
      </c>
      <c r="F24" s="31">
        <v>0</v>
      </c>
      <c r="G24" s="31"/>
      <c r="H24" s="31">
        <f>Cty_CP_An_Phat_TT[[#This Row],[ĐƠN GIÁ]]*Cty_CP_An_Phat_TT[[#This Row],[SỐ LƯỢNG]]</f>
        <v>0</v>
      </c>
      <c r="I24" s="31">
        <v>100000000</v>
      </c>
      <c r="J24" s="31">
        <f>J23+Cty_CP_An_Phat_TT[[#This Row],[THÀNH TIỀN]]-Cty_CP_An_Phat_TT[[#This Row],[THANH TOÁN]]</f>
        <v>997661600</v>
      </c>
      <c r="K24" s="24"/>
    </row>
    <row r="25" spans="1:11" x14ac:dyDescent="0.25">
      <c r="A25" s="22">
        <v>8913</v>
      </c>
      <c r="B25" s="29">
        <v>46133</v>
      </c>
      <c r="C25" s="23" t="s">
        <v>13</v>
      </c>
      <c r="D25" s="37" t="s">
        <v>265</v>
      </c>
      <c r="E25" s="23" t="s">
        <v>62</v>
      </c>
      <c r="F25" s="31">
        <v>1040</v>
      </c>
      <c r="G25" s="31">
        <v>68000</v>
      </c>
      <c r="H25" s="31">
        <f>Cty_CP_An_Phat_TT[[#This Row],[ĐƠN GIÁ]]*Cty_CP_An_Phat_TT[[#This Row],[SỐ LƯỢNG]]</f>
        <v>70720000</v>
      </c>
      <c r="I25" s="31"/>
      <c r="J25" s="31">
        <f>J24+Cty_CP_An_Phat_TT[[#This Row],[THÀNH TIỀN]]-Cty_CP_An_Phat_TT[[#This Row],[THANH TOÁN]]</f>
        <v>1068381600</v>
      </c>
      <c r="K25" s="24"/>
    </row>
    <row r="26" spans="1:11" x14ac:dyDescent="0.25">
      <c r="A26" s="22">
        <v>8913</v>
      </c>
      <c r="B26" s="29">
        <v>46133</v>
      </c>
      <c r="C26" s="23" t="s">
        <v>13</v>
      </c>
      <c r="D26" s="37" t="s">
        <v>278</v>
      </c>
      <c r="E26" s="23" t="s">
        <v>136</v>
      </c>
      <c r="F26" s="31">
        <v>808</v>
      </c>
      <c r="G26" s="31">
        <v>69000</v>
      </c>
      <c r="H26" s="31">
        <f>Cty_CP_An_Phat_TT[[#This Row],[ĐƠN GIÁ]]*Cty_CP_An_Phat_TT[[#This Row],[SỐ LƯỢNG]]</f>
        <v>55752000</v>
      </c>
      <c r="I26" s="31"/>
      <c r="J26" s="31">
        <f>J25+Cty_CP_An_Phat_TT[[#This Row],[THÀNH TIỀN]]-Cty_CP_An_Phat_TT[[#This Row],[THANH TOÁN]]</f>
        <v>1124133600</v>
      </c>
      <c r="K26" s="24"/>
    </row>
    <row r="27" spans="1:11" x14ac:dyDescent="0.25">
      <c r="A27" s="22">
        <v>9048</v>
      </c>
      <c r="B27" s="29">
        <v>46139</v>
      </c>
      <c r="C27" s="23" t="s">
        <v>13</v>
      </c>
      <c r="D27" s="37" t="s">
        <v>173</v>
      </c>
      <c r="E27" s="23" t="s">
        <v>117</v>
      </c>
      <c r="F27" s="31">
        <v>314</v>
      </c>
      <c r="G27" s="31">
        <v>76000</v>
      </c>
      <c r="H27" s="31">
        <f>Cty_CP_An_Phat_TT[[#This Row],[ĐƠN GIÁ]]*Cty_CP_An_Phat_TT[[#This Row],[SỐ LƯỢNG]]</f>
        <v>23864000</v>
      </c>
      <c r="I27" s="31"/>
      <c r="J27" s="31">
        <f>J26+Cty_CP_An_Phat_TT[[#This Row],[THÀNH TIỀN]]-Cty_CP_An_Phat_TT[[#This Row],[THANH TOÁN]]</f>
        <v>1147997600</v>
      </c>
      <c r="K27" s="24"/>
    </row>
    <row r="28" spans="1:11" x14ac:dyDescent="0.25">
      <c r="A28" s="22"/>
      <c r="B28" s="29">
        <v>46140</v>
      </c>
      <c r="C28" s="23" t="s">
        <v>21</v>
      </c>
      <c r="D28" s="37" t="s">
        <v>22</v>
      </c>
      <c r="E28" s="23" t="s">
        <v>147</v>
      </c>
      <c r="F28" s="31">
        <v>0</v>
      </c>
      <c r="G28" s="31"/>
      <c r="H28" s="31">
        <f>Cty_CP_An_Phat_TT[[#This Row],[ĐƠN GIÁ]]*Cty_CP_An_Phat_TT[[#This Row],[SỐ LƯỢNG]]</f>
        <v>0</v>
      </c>
      <c r="I28" s="31">
        <v>100000000</v>
      </c>
      <c r="J28" s="31">
        <f>J27+Cty_CP_An_Phat_TT[[#This Row],[THÀNH TIỀN]]-Cty_CP_An_Phat_TT[[#This Row],[THANH TOÁN]]</f>
        <v>1047997600</v>
      </c>
      <c r="K28" s="24"/>
    </row>
    <row r="29" spans="1:11" x14ac:dyDescent="0.25">
      <c r="A29" s="22">
        <v>9103</v>
      </c>
      <c r="B29" s="29">
        <v>46141</v>
      </c>
      <c r="C29" s="23" t="s">
        <v>13</v>
      </c>
      <c r="D29" s="37" t="s">
        <v>50</v>
      </c>
      <c r="E29" s="23" t="s">
        <v>116</v>
      </c>
      <c r="F29" s="31">
        <v>296</v>
      </c>
      <c r="G29" s="31">
        <v>65000</v>
      </c>
      <c r="H29" s="31">
        <f>Cty_CP_An_Phat_TT[[#This Row],[ĐƠN GIÁ]]*Cty_CP_An_Phat_TT[[#This Row],[SỐ LƯỢNG]]</f>
        <v>19240000</v>
      </c>
      <c r="I29" s="31"/>
      <c r="J29" s="31">
        <f>J28+Cty_CP_An_Phat_TT[[#This Row],[THÀNH TIỀN]]-Cty_CP_An_Phat_TT[[#This Row],[THANH TOÁN]]</f>
        <v>1067237600</v>
      </c>
      <c r="K29" s="24"/>
    </row>
    <row r="30" spans="1:11" x14ac:dyDescent="0.25">
      <c r="A30" s="22">
        <v>9126</v>
      </c>
      <c r="B30" s="29">
        <v>46141</v>
      </c>
      <c r="C30" s="23" t="s">
        <v>13</v>
      </c>
      <c r="D30" s="37" t="s">
        <v>265</v>
      </c>
      <c r="E30" s="23" t="s">
        <v>62</v>
      </c>
      <c r="F30" s="31">
        <v>524</v>
      </c>
      <c r="G30" s="31">
        <v>69500</v>
      </c>
      <c r="H30" s="31">
        <f>Cty_CP_An_Phat_TT[[#This Row],[ĐƠN GIÁ]]*Cty_CP_An_Phat_TT[[#This Row],[SỐ LƯỢNG]]</f>
        <v>36418000</v>
      </c>
      <c r="I30" s="31"/>
      <c r="J30" s="31">
        <f>J29+Cty_CP_An_Phat_TT[[#This Row],[THÀNH TIỀN]]-Cty_CP_An_Phat_TT[[#This Row],[THANH TOÁN]]</f>
        <v>1103655600</v>
      </c>
      <c r="K30" s="24"/>
    </row>
    <row r="31" spans="1:11" x14ac:dyDescent="0.25">
      <c r="A31" s="22">
        <v>9126</v>
      </c>
      <c r="B31" s="29">
        <v>46141</v>
      </c>
      <c r="C31" s="23" t="s">
        <v>13</v>
      </c>
      <c r="D31" s="37" t="s">
        <v>278</v>
      </c>
      <c r="E31" s="23" t="s">
        <v>62</v>
      </c>
      <c r="F31" s="31">
        <v>666</v>
      </c>
      <c r="G31" s="31">
        <v>71000</v>
      </c>
      <c r="H31" s="31">
        <f>Cty_CP_An_Phat_TT[[#This Row],[ĐƠN GIÁ]]*Cty_CP_An_Phat_TT[[#This Row],[SỐ LƯỢNG]]</f>
        <v>47286000</v>
      </c>
      <c r="I31" s="31"/>
      <c r="J31" s="31">
        <f>J30+Cty_CP_An_Phat_TT[[#This Row],[THÀNH TIỀN]]-Cty_CP_An_Phat_TT[[#This Row],[THANH TOÁN]]</f>
        <v>1150941600</v>
      </c>
      <c r="K31" s="24"/>
    </row>
    <row r="32" spans="1:11" x14ac:dyDescent="0.25">
      <c r="A32" s="22">
        <v>9228</v>
      </c>
      <c r="B32" s="29">
        <v>46149</v>
      </c>
      <c r="C32" s="23" t="s">
        <v>13</v>
      </c>
      <c r="D32" s="37" t="s">
        <v>169</v>
      </c>
      <c r="E32" s="23" t="s">
        <v>62</v>
      </c>
      <c r="F32" s="31">
        <v>1070</v>
      </c>
      <c r="G32" s="31">
        <v>40500</v>
      </c>
      <c r="H32" s="31">
        <f>Cty_CP_An_Phat_TT[[#This Row],[ĐƠN GIÁ]]*Cty_CP_An_Phat_TT[[#This Row],[SỐ LƯỢNG]]</f>
        <v>43335000</v>
      </c>
      <c r="I32" s="31"/>
      <c r="J32" s="31">
        <f>J31+Cty_CP_An_Phat_TT[[#This Row],[THÀNH TIỀN]]-Cty_CP_An_Phat_TT[[#This Row],[THANH TOÁN]]</f>
        <v>1194276600</v>
      </c>
      <c r="K32" s="24"/>
    </row>
    <row r="33" spans="1:11" x14ac:dyDescent="0.25">
      <c r="A33" s="22">
        <v>9228</v>
      </c>
      <c r="B33" s="29">
        <v>46149</v>
      </c>
      <c r="C33" s="23" t="s">
        <v>13</v>
      </c>
      <c r="D33" s="37" t="s">
        <v>265</v>
      </c>
      <c r="E33" s="23" t="s">
        <v>136</v>
      </c>
      <c r="F33" s="31">
        <v>760</v>
      </c>
      <c r="G33" s="31">
        <v>69000</v>
      </c>
      <c r="H33" s="31">
        <f>Cty_CP_An_Phat_TT[[#This Row],[ĐƠN GIÁ]]*Cty_CP_An_Phat_TT[[#This Row],[SỐ LƯỢNG]]</f>
        <v>52440000</v>
      </c>
      <c r="I33" s="31"/>
      <c r="J33" s="31">
        <f>J32+Cty_CP_An_Phat_TT[[#This Row],[THÀNH TIỀN]]-Cty_CP_An_Phat_TT[[#This Row],[THANH TOÁN]]</f>
        <v>1246716600</v>
      </c>
      <c r="K33" s="24"/>
    </row>
    <row r="34" spans="1:11" x14ac:dyDescent="0.25">
      <c r="A34" s="25">
        <v>9228</v>
      </c>
      <c r="B34" s="30">
        <v>46149</v>
      </c>
      <c r="C34" s="1" t="s">
        <v>13</v>
      </c>
      <c r="D34" s="38" t="s">
        <v>50</v>
      </c>
      <c r="E34" s="26" t="s">
        <v>1127</v>
      </c>
      <c r="F34" s="28">
        <v>432</v>
      </c>
      <c r="G34" s="28">
        <v>65000</v>
      </c>
      <c r="H34" s="28">
        <f>Cty_CP_An_Phat_TT[[#This Row],[ĐƠN GIÁ]]*Cty_CP_An_Phat_TT[[#This Row],[SỐ LƯỢNG]]</f>
        <v>28080000</v>
      </c>
      <c r="I34" s="28"/>
      <c r="J34" s="28">
        <f>J33+Cty_CP_An_Phat_TT[[#This Row],[THÀNH TIỀN]]-Cty_CP_An_Phat_TT[[#This Row],[THANH TOÁN]]</f>
        <v>1274796600</v>
      </c>
      <c r="K34" s="27"/>
    </row>
    <row r="35" spans="1:11" x14ac:dyDescent="0.25">
      <c r="A35" s="22">
        <v>9331</v>
      </c>
      <c r="B35" s="29">
        <v>46154</v>
      </c>
      <c r="C35" s="23" t="s">
        <v>13</v>
      </c>
      <c r="D35" s="37" t="s">
        <v>265</v>
      </c>
      <c r="E35" s="23" t="s">
        <v>62</v>
      </c>
      <c r="F35" s="31">
        <v>658</v>
      </c>
      <c r="G35" s="31">
        <v>70500</v>
      </c>
      <c r="H35" s="31">
        <f>Cty_CP_An_Phat_TT[[#This Row],[ĐƠN GIÁ]]*Cty_CP_An_Phat_TT[[#This Row],[SỐ LƯỢNG]]</f>
        <v>46389000</v>
      </c>
      <c r="I35" s="31"/>
      <c r="J35" s="31">
        <f>J34+Cty_CP_An_Phat_TT[[#This Row],[THÀNH TIỀN]]-Cty_CP_An_Phat_TT[[#This Row],[THANH TOÁN]]</f>
        <v>1321185600</v>
      </c>
      <c r="K35" s="24"/>
    </row>
    <row r="36" spans="1:11" x14ac:dyDescent="0.25">
      <c r="A36" s="22">
        <v>9331</v>
      </c>
      <c r="B36" s="29">
        <v>46154</v>
      </c>
      <c r="C36" s="23" t="s">
        <v>13</v>
      </c>
      <c r="D36" s="37" t="s">
        <v>17</v>
      </c>
      <c r="E36" s="23" t="s">
        <v>146</v>
      </c>
      <c r="F36" s="31">
        <v>807</v>
      </c>
      <c r="G36" s="31">
        <v>63000</v>
      </c>
      <c r="H36" s="31">
        <f>Cty_CP_An_Phat_TT[[#This Row],[ĐƠN GIÁ]]*Cty_CP_An_Phat_TT[[#This Row],[SỐ LƯỢNG]]</f>
        <v>50841000</v>
      </c>
      <c r="I36" s="31"/>
      <c r="J36" s="31">
        <f>J35+Cty_CP_An_Phat_TT[[#This Row],[THÀNH TIỀN]]-Cty_CP_An_Phat_TT[[#This Row],[THANH TOÁN]]</f>
        <v>1372026600</v>
      </c>
      <c r="K36" s="24"/>
    </row>
    <row r="37" spans="1:11" x14ac:dyDescent="0.25">
      <c r="A37" s="22"/>
      <c r="B37" s="29">
        <v>46153</v>
      </c>
      <c r="C37" s="23" t="s">
        <v>21</v>
      </c>
      <c r="D37" s="37" t="s">
        <v>22</v>
      </c>
      <c r="E37" s="23" t="s">
        <v>147</v>
      </c>
      <c r="F37" s="31">
        <v>0</v>
      </c>
      <c r="G37" s="31"/>
      <c r="H37" s="31">
        <f>Cty_CP_An_Phat_TT[[#This Row],[ĐƠN GIÁ]]*Cty_CP_An_Phat_TT[[#This Row],[SỐ LƯỢNG]]</f>
        <v>0</v>
      </c>
      <c r="I37" s="31">
        <v>150000000</v>
      </c>
      <c r="J37" s="31">
        <f>J36+Cty_CP_An_Phat_TT[[#This Row],[THÀNH TIỀN]]-Cty_CP_An_Phat_TT[[#This Row],[THANH TOÁN]]</f>
        <v>1222026600</v>
      </c>
      <c r="K37" s="24"/>
    </row>
    <row r="38" spans="1:11" x14ac:dyDescent="0.25">
      <c r="A38" s="22"/>
      <c r="B38" s="29">
        <v>46157</v>
      </c>
      <c r="C38" s="23" t="s">
        <v>21</v>
      </c>
      <c r="D38" s="37" t="s">
        <v>22</v>
      </c>
      <c r="E38" s="23" t="s">
        <v>147</v>
      </c>
      <c r="F38" s="31">
        <v>0</v>
      </c>
      <c r="G38" s="31"/>
      <c r="H38" s="31">
        <f>Cty_CP_An_Phat_TT[[#This Row],[ĐƠN GIÁ]]*Cty_CP_An_Phat_TT[[#This Row],[SỐ LƯỢNG]]</f>
        <v>0</v>
      </c>
      <c r="I38" s="31">
        <v>100000000</v>
      </c>
      <c r="J38" s="31">
        <f>J37+Cty_CP_An_Phat_TT[[#This Row],[THÀNH TIỀN]]-Cty_CP_An_Phat_TT[[#This Row],[THANH TOÁN]]</f>
        <v>1122026600</v>
      </c>
      <c r="K38" s="24"/>
    </row>
    <row r="39" spans="1:11" x14ac:dyDescent="0.25">
      <c r="A39" s="22">
        <v>9351</v>
      </c>
      <c r="B39" s="29">
        <v>46155</v>
      </c>
      <c r="C39" s="23" t="s">
        <v>13</v>
      </c>
      <c r="D39" s="37" t="s">
        <v>265</v>
      </c>
      <c r="E39" s="23" t="s">
        <v>136</v>
      </c>
      <c r="F39" s="31">
        <v>740</v>
      </c>
      <c r="G39" s="31">
        <v>69000</v>
      </c>
      <c r="H39" s="31">
        <f>Cty_CP_An_Phat_TT[[#This Row],[ĐƠN GIÁ]]*Cty_CP_An_Phat_TT[[#This Row],[SỐ LƯỢNG]]</f>
        <v>51060000</v>
      </c>
      <c r="I39" s="31"/>
      <c r="J39" s="31">
        <f>J38+Cty_CP_An_Phat_TT[[#This Row],[THÀNH TIỀN]]-Cty_CP_An_Phat_TT[[#This Row],[THANH TOÁN]]</f>
        <v>1173086600</v>
      </c>
      <c r="K39" s="24"/>
    </row>
    <row r="40" spans="1:11" x14ac:dyDescent="0.25">
      <c r="A40" s="22">
        <v>9351</v>
      </c>
      <c r="B40" s="29">
        <v>46155</v>
      </c>
      <c r="C40" s="23" t="s">
        <v>13</v>
      </c>
      <c r="D40" s="37" t="s">
        <v>265</v>
      </c>
      <c r="E40" s="23" t="s">
        <v>146</v>
      </c>
      <c r="F40" s="31">
        <v>992</v>
      </c>
      <c r="G40" s="31">
        <v>68000</v>
      </c>
      <c r="H40" s="31">
        <f>Cty_CP_An_Phat_TT[[#This Row],[ĐƠN GIÁ]]*Cty_CP_An_Phat_TT[[#This Row],[SỐ LƯỢNG]]</f>
        <v>67456000</v>
      </c>
      <c r="I40" s="31"/>
      <c r="J40" s="31">
        <f>J39+Cty_CP_An_Phat_TT[[#This Row],[THÀNH TIỀN]]-Cty_CP_An_Phat_TT[[#This Row],[THANH TOÁN]]</f>
        <v>1240542600</v>
      </c>
      <c r="K40" s="24"/>
    </row>
    <row r="41" spans="1:11" x14ac:dyDescent="0.25">
      <c r="A41" s="22">
        <v>9417</v>
      </c>
      <c r="B41" s="29">
        <v>46157</v>
      </c>
      <c r="C41" s="23" t="s">
        <v>13</v>
      </c>
      <c r="D41" s="37" t="s">
        <v>265</v>
      </c>
      <c r="E41" s="23" t="s">
        <v>62</v>
      </c>
      <c r="F41" s="31">
        <v>396</v>
      </c>
      <c r="G41" s="31">
        <v>70500</v>
      </c>
      <c r="H41" s="31">
        <f>Cty_CP_An_Phat_TT[[#This Row],[ĐƠN GIÁ]]*Cty_CP_An_Phat_TT[[#This Row],[SỐ LƯỢNG]]</f>
        <v>27918000</v>
      </c>
      <c r="I41" s="31"/>
      <c r="J41" s="31">
        <f>J40+Cty_CP_An_Phat_TT[[#This Row],[THÀNH TIỀN]]-Cty_CP_An_Phat_TT[[#This Row],[THANH TOÁN]]</f>
        <v>1268460600</v>
      </c>
      <c r="K41" s="24"/>
    </row>
    <row r="42" spans="1:11" x14ac:dyDescent="0.25">
      <c r="A42" s="22">
        <v>9417</v>
      </c>
      <c r="B42" s="29">
        <v>46157</v>
      </c>
      <c r="C42" s="23" t="s">
        <v>13</v>
      </c>
      <c r="D42" s="37" t="s">
        <v>169</v>
      </c>
      <c r="E42" s="23" t="s">
        <v>62</v>
      </c>
      <c r="F42" s="31">
        <v>1442</v>
      </c>
      <c r="G42" s="31">
        <v>40500</v>
      </c>
      <c r="H42" s="31">
        <f>Cty_CP_An_Phat_TT[[#This Row],[ĐƠN GIÁ]]*Cty_CP_An_Phat_TT[[#This Row],[SỐ LƯỢNG]]</f>
        <v>58401000</v>
      </c>
      <c r="I42" s="31"/>
      <c r="J42" s="31">
        <f>J41+Cty_CP_An_Phat_TT[[#This Row],[THÀNH TIỀN]]-Cty_CP_An_Phat_TT[[#This Row],[THANH TOÁN]]</f>
        <v>1326861600</v>
      </c>
      <c r="K42" s="24"/>
    </row>
    <row r="43" spans="1:11" x14ac:dyDescent="0.25">
      <c r="A43" s="22">
        <v>9417</v>
      </c>
      <c r="B43" s="29">
        <v>46157</v>
      </c>
      <c r="C43" s="23" t="s">
        <v>13</v>
      </c>
      <c r="D43" s="37" t="s">
        <v>50</v>
      </c>
      <c r="E43" s="23" t="s">
        <v>2131</v>
      </c>
      <c r="F43" s="31">
        <v>96</v>
      </c>
      <c r="G43" s="31">
        <v>65000</v>
      </c>
      <c r="H43" s="31">
        <f>Cty_CP_An_Phat_TT[[#This Row],[ĐƠN GIÁ]]*Cty_CP_An_Phat_TT[[#This Row],[SỐ LƯỢNG]]</f>
        <v>6240000</v>
      </c>
      <c r="I43" s="31"/>
      <c r="J43" s="31">
        <f>J42+Cty_CP_An_Phat_TT[[#This Row],[THÀNH TIỀN]]-Cty_CP_An_Phat_TT[[#This Row],[THANH TOÁN]]</f>
        <v>1333101600</v>
      </c>
      <c r="K43" s="24" t="s">
        <v>2163</v>
      </c>
    </row>
    <row r="44" spans="1:11" x14ac:dyDescent="0.25">
      <c r="A44" s="22">
        <v>9498</v>
      </c>
      <c r="B44" s="29">
        <v>46161</v>
      </c>
      <c r="C44" s="23" t="s">
        <v>13</v>
      </c>
      <c r="D44" s="37" t="s">
        <v>54</v>
      </c>
      <c r="E44" s="23" t="s">
        <v>221</v>
      </c>
      <c r="F44" s="31">
        <v>694</v>
      </c>
      <c r="G44" s="31">
        <v>37500</v>
      </c>
      <c r="H44" s="31">
        <f>Cty_CP_An_Phat_TT[[#This Row],[ĐƠN GIÁ]]*Cty_CP_An_Phat_TT[[#This Row],[SỐ LƯỢNG]]</f>
        <v>26025000</v>
      </c>
      <c r="I44" s="31"/>
      <c r="J44" s="31">
        <f>J43+Cty_CP_An_Phat_TT[[#This Row],[THÀNH TIỀN]]-Cty_CP_An_Phat_TT[[#This Row],[THANH TOÁN]]</f>
        <v>1359126600</v>
      </c>
      <c r="K44" s="24"/>
    </row>
    <row r="45" spans="1:11" x14ac:dyDescent="0.25">
      <c r="A45" s="22">
        <v>9498</v>
      </c>
      <c r="B45" s="29">
        <v>46161</v>
      </c>
      <c r="C45" s="23" t="s">
        <v>13</v>
      </c>
      <c r="D45" s="37" t="s">
        <v>50</v>
      </c>
      <c r="E45" s="23" t="s">
        <v>221</v>
      </c>
      <c r="F45" s="31">
        <v>102</v>
      </c>
      <c r="G45" s="31">
        <v>67000</v>
      </c>
      <c r="H45" s="31">
        <f>Cty_CP_An_Phat_TT[[#This Row],[ĐƠN GIÁ]]*Cty_CP_An_Phat_TT[[#This Row],[SỐ LƯỢNG]]</f>
        <v>6834000</v>
      </c>
      <c r="I45" s="31"/>
      <c r="J45" s="31">
        <f>J44+Cty_CP_An_Phat_TT[[#This Row],[THÀNH TIỀN]]-Cty_CP_An_Phat_TT[[#This Row],[THANH TOÁN]]</f>
        <v>1365960600</v>
      </c>
      <c r="K45" s="24"/>
    </row>
    <row r="46" spans="1:11" x14ac:dyDescent="0.25">
      <c r="A46" s="22">
        <v>9498</v>
      </c>
      <c r="B46" s="29">
        <v>46161</v>
      </c>
      <c r="C46" s="23" t="s">
        <v>13</v>
      </c>
      <c r="D46" s="37" t="s">
        <v>50</v>
      </c>
      <c r="E46" s="23" t="s">
        <v>117</v>
      </c>
      <c r="F46" s="31">
        <v>180</v>
      </c>
      <c r="G46" s="31">
        <v>66000</v>
      </c>
      <c r="H46" s="31">
        <f>Cty_CP_An_Phat_TT[[#This Row],[ĐƠN GIÁ]]*Cty_CP_An_Phat_TT[[#This Row],[SỐ LƯỢNG]]</f>
        <v>11880000</v>
      </c>
      <c r="I46" s="31"/>
      <c r="J46" s="31">
        <f>J45+Cty_CP_An_Phat_TT[[#This Row],[THÀNH TIỀN]]-Cty_CP_An_Phat_TT[[#This Row],[THANH TOÁN]]</f>
        <v>1377840600</v>
      </c>
      <c r="K46" s="24"/>
    </row>
    <row r="47" spans="1:11" x14ac:dyDescent="0.25">
      <c r="A47" s="22">
        <v>9498</v>
      </c>
      <c r="B47" s="29">
        <v>46161</v>
      </c>
      <c r="C47" s="23" t="s">
        <v>13</v>
      </c>
      <c r="D47" s="37" t="s">
        <v>1842</v>
      </c>
      <c r="E47" s="23" t="s">
        <v>1127</v>
      </c>
      <c r="F47" s="31">
        <v>116</v>
      </c>
      <c r="G47" s="31">
        <v>76000</v>
      </c>
      <c r="H47" s="31">
        <f>Cty_CP_An_Phat_TT[[#This Row],[ĐƠN GIÁ]]*Cty_CP_An_Phat_TT[[#This Row],[SỐ LƯỢNG]]</f>
        <v>8816000</v>
      </c>
      <c r="I47" s="31"/>
      <c r="J47" s="31">
        <f>J46+Cty_CP_An_Phat_TT[[#This Row],[THÀNH TIỀN]]-Cty_CP_An_Phat_TT[[#This Row],[THANH TOÁN]]</f>
        <v>1386656600</v>
      </c>
      <c r="K47" s="24"/>
    </row>
    <row r="48" spans="1:11" x14ac:dyDescent="0.25">
      <c r="A48" s="22">
        <v>9498</v>
      </c>
      <c r="B48" s="29">
        <v>46161</v>
      </c>
      <c r="C48" s="23" t="s">
        <v>13</v>
      </c>
      <c r="D48" s="37" t="s">
        <v>252</v>
      </c>
      <c r="E48" s="23" t="s">
        <v>136</v>
      </c>
      <c r="F48" s="31">
        <v>1060</v>
      </c>
      <c r="G48" s="31">
        <v>39500</v>
      </c>
      <c r="H48" s="31">
        <f>Cty_CP_An_Phat_TT[[#This Row],[ĐƠN GIÁ]]*Cty_CP_An_Phat_TT[[#This Row],[SỐ LƯỢNG]]</f>
        <v>41870000</v>
      </c>
      <c r="I48" s="31"/>
      <c r="J48" s="31">
        <f>J47+Cty_CP_An_Phat_TT[[#This Row],[THÀNH TIỀN]]-Cty_CP_An_Phat_TT[[#This Row],[THANH TOÁN]]</f>
        <v>1428526600</v>
      </c>
      <c r="K48" s="24"/>
    </row>
    <row r="49" spans="1:11" x14ac:dyDescent="0.25">
      <c r="A49" s="22">
        <v>9499</v>
      </c>
      <c r="B49" s="29">
        <v>46161</v>
      </c>
      <c r="C49" s="23" t="s">
        <v>13</v>
      </c>
      <c r="D49" s="37" t="s">
        <v>109</v>
      </c>
      <c r="E49" s="23" t="s">
        <v>678</v>
      </c>
      <c r="F49" s="31">
        <v>216</v>
      </c>
      <c r="G49" s="31">
        <v>65000</v>
      </c>
      <c r="H49" s="31">
        <f>Cty_CP_An_Phat_TT[[#This Row],[ĐƠN GIÁ]]*Cty_CP_An_Phat_TT[[#This Row],[SỐ LƯỢNG]]</f>
        <v>14040000</v>
      </c>
      <c r="I49" s="31"/>
      <c r="J49" s="31">
        <f>J48+Cty_CP_An_Phat_TT[[#This Row],[THÀNH TIỀN]]-Cty_CP_An_Phat_TT[[#This Row],[THANH TOÁN]]</f>
        <v>1442566600</v>
      </c>
      <c r="K49" s="24"/>
    </row>
    <row r="50" spans="1:11" x14ac:dyDescent="0.25">
      <c r="A50" s="22">
        <v>9499</v>
      </c>
      <c r="B50" s="29">
        <v>46161</v>
      </c>
      <c r="C50" s="23" t="s">
        <v>13</v>
      </c>
      <c r="D50" s="37" t="s">
        <v>50</v>
      </c>
      <c r="E50" s="23" t="s">
        <v>2227</v>
      </c>
      <c r="F50" s="31">
        <v>108</v>
      </c>
      <c r="G50" s="31">
        <v>66000</v>
      </c>
      <c r="H50" s="31">
        <f>Cty_CP_An_Phat_TT[[#This Row],[ĐƠN GIÁ]]*Cty_CP_An_Phat_TT[[#This Row],[SỐ LƯỢNG]]</f>
        <v>7128000</v>
      </c>
      <c r="I50" s="31"/>
      <c r="J50" s="31">
        <f>J49+Cty_CP_An_Phat_TT[[#This Row],[THÀNH TIỀN]]-Cty_CP_An_Phat_TT[[#This Row],[THANH TOÁN]]</f>
        <v>1449694600</v>
      </c>
      <c r="K50" s="24"/>
    </row>
    <row r="51" spans="1:11" x14ac:dyDescent="0.25">
      <c r="A51" s="22">
        <v>9539</v>
      </c>
      <c r="B51" s="29">
        <v>46163</v>
      </c>
      <c r="C51" s="23" t="s">
        <v>13</v>
      </c>
      <c r="D51" s="37" t="s">
        <v>265</v>
      </c>
      <c r="E51" s="23" t="s">
        <v>41</v>
      </c>
      <c r="F51" s="31">
        <v>698</v>
      </c>
      <c r="G51" s="31">
        <v>69500</v>
      </c>
      <c r="H51" s="31">
        <f>Cty_CP_An_Phat_TT[[#This Row],[ĐƠN GIÁ]]*Cty_CP_An_Phat_TT[[#This Row],[SỐ LƯỢNG]]</f>
        <v>48511000</v>
      </c>
      <c r="I51" s="31"/>
      <c r="J51" s="31">
        <f>J50+Cty_CP_An_Phat_TT[[#This Row],[THÀNH TIỀN]]-Cty_CP_An_Phat_TT[[#This Row],[THANH TOÁN]]</f>
        <v>1498205600</v>
      </c>
      <c r="K51" s="24"/>
    </row>
    <row r="52" spans="1:11" x14ac:dyDescent="0.25">
      <c r="A52" s="22"/>
      <c r="B52" s="29">
        <v>46164</v>
      </c>
      <c r="C52" s="23" t="s">
        <v>21</v>
      </c>
      <c r="D52" s="37" t="s">
        <v>22</v>
      </c>
      <c r="E52" s="23" t="s">
        <v>147</v>
      </c>
      <c r="F52" s="31">
        <v>0</v>
      </c>
      <c r="G52" s="31"/>
      <c r="H52" s="31">
        <f>Cty_CP_An_Phat_TT[[#This Row],[ĐƠN GIÁ]]*Cty_CP_An_Phat_TT[[#This Row],[SỐ LƯỢNG]]</f>
        <v>0</v>
      </c>
      <c r="I52" s="31">
        <v>120000000</v>
      </c>
      <c r="J52" s="31">
        <f>J51+Cty_CP_An_Phat_TT[[#This Row],[THÀNH TIỀN]]-Cty_CP_An_Phat_TT[[#This Row],[THANH TOÁN]]</f>
        <v>1378205600</v>
      </c>
      <c r="K52" s="24"/>
    </row>
    <row r="53" spans="1:11" x14ac:dyDescent="0.25">
      <c r="A53" s="22">
        <v>9586</v>
      </c>
      <c r="B53" s="29">
        <v>46165</v>
      </c>
      <c r="C53" s="23" t="s">
        <v>13</v>
      </c>
      <c r="D53" s="37" t="s">
        <v>442</v>
      </c>
      <c r="E53" s="23" t="s">
        <v>2318</v>
      </c>
      <c r="F53" s="31">
        <v>750</v>
      </c>
      <c r="G53" s="31">
        <v>65000</v>
      </c>
      <c r="H53" s="31">
        <f>Cty_CP_An_Phat_TT[[#This Row],[ĐƠN GIÁ]]*Cty_CP_An_Phat_TT[[#This Row],[SỐ LƯỢNG]]</f>
        <v>48750000</v>
      </c>
      <c r="I53" s="31"/>
      <c r="J53" s="31">
        <f>J52+Cty_CP_An_Phat_TT[[#This Row],[THÀNH TIỀN]]-Cty_CP_An_Phat_TT[[#This Row],[THANH TOÁN]]</f>
        <v>1426955600</v>
      </c>
      <c r="K53" s="24"/>
    </row>
    <row r="54" spans="1:11" x14ac:dyDescent="0.25">
      <c r="A54" s="22">
        <v>9586</v>
      </c>
      <c r="B54" s="29">
        <v>46165</v>
      </c>
      <c r="C54" s="23" t="s">
        <v>13</v>
      </c>
      <c r="D54" s="37" t="s">
        <v>265</v>
      </c>
      <c r="E54" s="23" t="s">
        <v>136</v>
      </c>
      <c r="F54" s="31">
        <v>662</v>
      </c>
      <c r="G54" s="31">
        <v>69000</v>
      </c>
      <c r="H54" s="31">
        <f>Cty_CP_An_Phat_TT[[#This Row],[ĐƠN GIÁ]]*Cty_CP_An_Phat_TT[[#This Row],[SỐ LƯỢNG]]</f>
        <v>45678000</v>
      </c>
      <c r="I54" s="31"/>
      <c r="J54" s="31">
        <f>J53+Cty_CP_An_Phat_TT[[#This Row],[THÀNH TIỀN]]-Cty_CP_An_Phat_TT[[#This Row],[THANH TOÁN]]</f>
        <v>1472633600</v>
      </c>
      <c r="K54" s="24"/>
    </row>
    <row r="55" spans="1:11" x14ac:dyDescent="0.25">
      <c r="A55" s="22">
        <v>9661</v>
      </c>
      <c r="B55" s="29">
        <v>46169</v>
      </c>
      <c r="C55" s="23" t="s">
        <v>13</v>
      </c>
      <c r="D55" s="37" t="s">
        <v>270</v>
      </c>
      <c r="E55" s="23" t="s">
        <v>62</v>
      </c>
      <c r="F55" s="31">
        <v>1350</v>
      </c>
      <c r="G55" s="31">
        <v>70500</v>
      </c>
      <c r="H55" s="31">
        <f>Cty_CP_An_Phat_TT[[#This Row],[ĐƠN GIÁ]]*Cty_CP_An_Phat_TT[[#This Row],[SỐ LƯỢNG]]</f>
        <v>95175000</v>
      </c>
      <c r="I55" s="31"/>
      <c r="J55" s="31">
        <f>J54+Cty_CP_An_Phat_TT[[#This Row],[THÀNH TIỀN]]-Cty_CP_An_Phat_TT[[#This Row],[THANH TOÁN]]</f>
        <v>1567808600</v>
      </c>
      <c r="K55" s="24"/>
    </row>
    <row r="56" spans="1:11" x14ac:dyDescent="0.25">
      <c r="A56" s="22">
        <v>9661</v>
      </c>
      <c r="B56" s="29">
        <v>46169</v>
      </c>
      <c r="C56" s="23" t="s">
        <v>13</v>
      </c>
      <c r="D56" s="37" t="s">
        <v>169</v>
      </c>
      <c r="E56" s="23" t="s">
        <v>41</v>
      </c>
      <c r="F56" s="31">
        <v>680</v>
      </c>
      <c r="G56" s="31">
        <v>39500</v>
      </c>
      <c r="H56" s="31">
        <f>Cty_CP_An_Phat_TT[[#This Row],[ĐƠN GIÁ]]*Cty_CP_An_Phat_TT[[#This Row],[SỐ LƯỢNG]]</f>
        <v>26860000</v>
      </c>
      <c r="I56" s="31"/>
      <c r="J56" s="31">
        <f>J55+Cty_CP_An_Phat_TT[[#This Row],[THÀNH TIỀN]]-Cty_CP_An_Phat_TT[[#This Row],[THANH TOÁN]]</f>
        <v>1594668600</v>
      </c>
      <c r="K56" s="24"/>
    </row>
    <row r="57" spans="1:11" x14ac:dyDescent="0.25">
      <c r="A57" s="22">
        <v>9661</v>
      </c>
      <c r="B57" s="29">
        <v>46169</v>
      </c>
      <c r="C57" s="23" t="s">
        <v>13</v>
      </c>
      <c r="D57" s="37" t="s">
        <v>135</v>
      </c>
      <c r="E57" s="23" t="s">
        <v>134</v>
      </c>
      <c r="F57" s="31">
        <v>766</v>
      </c>
      <c r="G57" s="31">
        <v>38000</v>
      </c>
      <c r="H57" s="31">
        <f>Cty_CP_An_Phat_TT[[#This Row],[ĐƠN GIÁ]]*Cty_CP_An_Phat_TT[[#This Row],[SỐ LƯỢNG]]</f>
        <v>29108000</v>
      </c>
      <c r="I57" s="31"/>
      <c r="J57" s="31">
        <f>J56+Cty_CP_An_Phat_TT[[#This Row],[THÀNH TIỀN]]-Cty_CP_An_Phat_TT[[#This Row],[THANH TOÁN]]</f>
        <v>1623776600</v>
      </c>
      <c r="K57" s="24"/>
    </row>
    <row r="58" spans="1:11" x14ac:dyDescent="0.25">
      <c r="A58" s="22">
        <v>9682</v>
      </c>
      <c r="B58" s="29">
        <v>46171</v>
      </c>
      <c r="C58" s="23" t="s">
        <v>13</v>
      </c>
      <c r="D58" s="37" t="s">
        <v>265</v>
      </c>
      <c r="E58" s="23" t="s">
        <v>146</v>
      </c>
      <c r="F58" s="31">
        <v>978</v>
      </c>
      <c r="G58" s="31">
        <v>68000</v>
      </c>
      <c r="H58" s="31">
        <f>Cty_CP_An_Phat_TT[[#This Row],[ĐƠN GIÁ]]*Cty_CP_An_Phat_TT[[#This Row],[SỐ LƯỢNG]]</f>
        <v>66504000</v>
      </c>
      <c r="I58" s="31"/>
      <c r="J58" s="31">
        <f>J57+Cty_CP_An_Phat_TT[[#This Row],[THÀNH TIỀN]]-Cty_CP_An_Phat_TT[[#This Row],[THANH TOÁN]]</f>
        <v>1690280600</v>
      </c>
      <c r="K58" s="24"/>
    </row>
    <row r="59" spans="1:11" x14ac:dyDescent="0.25">
      <c r="A59" s="22">
        <v>9722</v>
      </c>
      <c r="B59" s="29">
        <v>46172</v>
      </c>
      <c r="C59" s="23" t="s">
        <v>13</v>
      </c>
      <c r="D59" s="37" t="s">
        <v>265</v>
      </c>
      <c r="E59" s="23" t="s">
        <v>136</v>
      </c>
      <c r="F59" s="31">
        <v>1344</v>
      </c>
      <c r="G59" s="31">
        <v>69000</v>
      </c>
      <c r="H59" s="31">
        <f>Cty_CP_An_Phat_TT[[#This Row],[ĐƠN GIÁ]]*Cty_CP_An_Phat_TT[[#This Row],[SỐ LƯỢNG]]</f>
        <v>92736000</v>
      </c>
      <c r="I59" s="31"/>
      <c r="J59" s="31">
        <f>J58+Cty_CP_An_Phat_TT[[#This Row],[THÀNH TIỀN]]-Cty_CP_An_Phat_TT[[#This Row],[THANH TOÁN]]</f>
        <v>1783016600</v>
      </c>
      <c r="K59" s="24"/>
    </row>
    <row r="60" spans="1:11" x14ac:dyDescent="0.25">
      <c r="A60" s="22">
        <v>9722</v>
      </c>
      <c r="B60" s="29">
        <v>46172</v>
      </c>
      <c r="C60" s="23" t="s">
        <v>13</v>
      </c>
      <c r="D60" s="37" t="s">
        <v>278</v>
      </c>
      <c r="E60" s="23" t="s">
        <v>136</v>
      </c>
      <c r="F60" s="31">
        <v>1060</v>
      </c>
      <c r="G60" s="31">
        <v>68000</v>
      </c>
      <c r="H60" s="31">
        <f>Cty_CP_An_Phat_TT[[#This Row],[ĐƠN GIÁ]]*Cty_CP_An_Phat_TT[[#This Row],[SỐ LƯỢNG]]</f>
        <v>72080000</v>
      </c>
      <c r="I60" s="31"/>
      <c r="J60" s="31">
        <f>J59+Cty_CP_An_Phat_TT[[#This Row],[THÀNH TIỀN]]-Cty_CP_An_Phat_TT[[#This Row],[THANH TOÁN]]</f>
        <v>1855096600</v>
      </c>
      <c r="K60" s="24"/>
    </row>
    <row r="61" spans="1:11" x14ac:dyDescent="0.25">
      <c r="A61" s="22">
        <v>9722</v>
      </c>
      <c r="B61" s="29">
        <v>46172</v>
      </c>
      <c r="C61" s="23" t="s">
        <v>13</v>
      </c>
      <c r="D61" s="37" t="s">
        <v>278</v>
      </c>
      <c r="E61" s="23" t="s">
        <v>62</v>
      </c>
      <c r="F61" s="31">
        <v>780</v>
      </c>
      <c r="G61" s="31">
        <v>70000</v>
      </c>
      <c r="H61" s="31">
        <f>Cty_CP_An_Phat_TT[[#This Row],[ĐƠN GIÁ]]*Cty_CP_An_Phat_TT[[#This Row],[SỐ LƯỢNG]]</f>
        <v>54600000</v>
      </c>
      <c r="I61" s="31"/>
      <c r="J61" s="31">
        <f>J60+Cty_CP_An_Phat_TT[[#This Row],[THÀNH TIỀN]]-Cty_CP_An_Phat_TT[[#This Row],[THANH TOÁN]]</f>
        <v>1909696600</v>
      </c>
      <c r="K61" s="24"/>
    </row>
    <row r="62" spans="1:11" x14ac:dyDescent="0.25">
      <c r="A62" s="22"/>
      <c r="B62" s="29">
        <v>46174</v>
      </c>
      <c r="C62" s="23" t="s">
        <v>21</v>
      </c>
      <c r="D62" s="37" t="s">
        <v>22</v>
      </c>
      <c r="E62" s="23" t="s">
        <v>147</v>
      </c>
      <c r="F62" s="31">
        <v>0</v>
      </c>
      <c r="G62" s="31"/>
      <c r="H62" s="31">
        <f>Cty_CP_An_Phat_TT[[#This Row],[ĐƠN GIÁ]]*Cty_CP_An_Phat_TT[[#This Row],[SỐ LƯỢNG]]</f>
        <v>0</v>
      </c>
      <c r="I62" s="31">
        <v>200000000</v>
      </c>
      <c r="J62" s="31">
        <f>J61+Cty_CP_An_Phat_TT[[#This Row],[THÀNH TIỀN]]-Cty_CP_An_Phat_TT[[#This Row],[THANH TOÁN]]</f>
        <v>1709696600</v>
      </c>
      <c r="K62" s="24"/>
    </row>
    <row r="63" spans="1:11" x14ac:dyDescent="0.25">
      <c r="A63" s="22"/>
      <c r="B63" s="29">
        <v>46178</v>
      </c>
      <c r="C63" s="23" t="s">
        <v>21</v>
      </c>
      <c r="D63" s="37" t="s">
        <v>22</v>
      </c>
      <c r="E63" s="23" t="s">
        <v>147</v>
      </c>
      <c r="F63" s="31">
        <v>0</v>
      </c>
      <c r="G63" s="31"/>
      <c r="H63" s="31">
        <f>Cty_CP_An_Phat_TT[[#This Row],[ĐƠN GIÁ]]*Cty_CP_An_Phat_TT[[#This Row],[SỐ LƯỢNG]]</f>
        <v>0</v>
      </c>
      <c r="I63" s="31">
        <v>200000000</v>
      </c>
      <c r="J63" s="31">
        <f>J62+Cty_CP_An_Phat_TT[[#This Row],[THÀNH TIỀN]]-Cty_CP_An_Phat_TT[[#This Row],[THANH TOÁN]]</f>
        <v>1509696600</v>
      </c>
      <c r="K63" s="24"/>
    </row>
    <row r="64" spans="1:11" x14ac:dyDescent="0.25">
      <c r="B64" s="147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9DCA2D-FD43-4B3B-BA56-FC448A792296}">
  <sheetPr codeName="Sheet61"/>
  <dimension ref="A5:K33"/>
  <sheetViews>
    <sheetView topLeftCell="A4" workbookViewId="0">
      <selection activeCell="J21" sqref="J21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384193000</v>
      </c>
    </row>
    <row r="6" spans="1:11" ht="22.5" x14ac:dyDescent="0.25">
      <c r="D6" s="34" t="s">
        <v>948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A_Tung_Cty_Xuan_Thanh[[#This Row],[ĐƠN GIÁ]]*A_Tung_Cty_Xuan_Thanh[[#This Row],[SỐ LƯỢNG]]</f>
        <v>0</v>
      </c>
      <c r="I10" s="31"/>
      <c r="J10" s="31">
        <v>409330000</v>
      </c>
      <c r="K10" s="24"/>
    </row>
    <row r="11" spans="1:11" x14ac:dyDescent="0.25">
      <c r="A11" s="22">
        <v>7858</v>
      </c>
      <c r="B11" s="29">
        <v>46086</v>
      </c>
      <c r="C11" s="23" t="s">
        <v>13</v>
      </c>
      <c r="D11" s="37" t="s">
        <v>949</v>
      </c>
      <c r="E11" s="23" t="s">
        <v>796</v>
      </c>
      <c r="F11" s="31">
        <v>1654</v>
      </c>
      <c r="G11" s="31">
        <v>29000</v>
      </c>
      <c r="H11" s="31">
        <f>A_Tung_Cty_Xuan_Thanh[[#This Row],[ĐƠN GIÁ]]*A_Tung_Cty_Xuan_Thanh[[#This Row],[SỐ LƯỢNG]]</f>
        <v>47966000</v>
      </c>
      <c r="I11" s="31"/>
      <c r="J11" s="31">
        <f>J10+A_Tung_Cty_Xuan_Thanh[[#This Row],[THÀNH TIỀN]]-A_Tung_Cty_Xuan_Thanh[[#This Row],[THANH TOÁN]]</f>
        <v>457296000</v>
      </c>
      <c r="K11" s="24"/>
    </row>
    <row r="12" spans="1:11" x14ac:dyDescent="0.25">
      <c r="A12" s="22">
        <v>8198</v>
      </c>
      <c r="B12" s="29">
        <v>46101</v>
      </c>
      <c r="C12" s="23" t="s">
        <v>13</v>
      </c>
      <c r="D12" s="37" t="s">
        <v>26</v>
      </c>
      <c r="E12" s="23" t="s">
        <v>802</v>
      </c>
      <c r="F12" s="31">
        <v>1368</v>
      </c>
      <c r="G12" s="31">
        <v>32000</v>
      </c>
      <c r="H12" s="31">
        <f>A_Tung_Cty_Xuan_Thanh[[#This Row],[ĐƠN GIÁ]]*A_Tung_Cty_Xuan_Thanh[[#This Row],[SỐ LƯỢNG]]</f>
        <v>43776000</v>
      </c>
      <c r="I12" s="31"/>
      <c r="J12" s="31">
        <f>J11+A_Tung_Cty_Xuan_Thanh[[#This Row],[THÀNH TIỀN]]-A_Tung_Cty_Xuan_Thanh[[#This Row],[THANH TOÁN]]</f>
        <v>501072000</v>
      </c>
      <c r="K12" s="24"/>
    </row>
    <row r="13" spans="1:11" x14ac:dyDescent="0.25">
      <c r="A13" s="25">
        <v>8385</v>
      </c>
      <c r="B13" s="30">
        <v>46109</v>
      </c>
      <c r="C13" s="26" t="s">
        <v>13</v>
      </c>
      <c r="D13" s="38" t="s">
        <v>43</v>
      </c>
      <c r="E13" s="26" t="s">
        <v>148</v>
      </c>
      <c r="F13" s="28">
        <v>451</v>
      </c>
      <c r="G13" s="28">
        <v>57000</v>
      </c>
      <c r="H13" s="28">
        <f>A_Tung_Cty_Xuan_Thanh[[#This Row],[ĐƠN GIÁ]]*A_Tung_Cty_Xuan_Thanh[[#This Row],[SỐ LƯỢNG]]</f>
        <v>25707000</v>
      </c>
      <c r="I13" s="28"/>
      <c r="J13" s="28">
        <f>J12+A_Tung_Cty_Xuan_Thanh[[#This Row],[THÀNH TIỀN]]-A_Tung_Cty_Xuan_Thanh[[#This Row],[THANH TOÁN]]</f>
        <v>526779000</v>
      </c>
      <c r="K13" s="27"/>
    </row>
    <row r="14" spans="1:11" x14ac:dyDescent="0.25">
      <c r="A14" s="25"/>
      <c r="B14" s="30">
        <v>46087</v>
      </c>
      <c r="C14" s="26" t="s">
        <v>21</v>
      </c>
      <c r="D14" s="38" t="s">
        <v>22</v>
      </c>
      <c r="E14" s="26" t="s">
        <v>147</v>
      </c>
      <c r="F14" s="28">
        <v>0</v>
      </c>
      <c r="G14" s="28">
        <v>0</v>
      </c>
      <c r="H14" s="28">
        <f>A_Tung_Cty_Xuan_Thanh[[#This Row],[ĐƠN GIÁ]]*A_Tung_Cty_Xuan_Thanh[[#This Row],[SỐ LƯỢNG]]</f>
        <v>0</v>
      </c>
      <c r="I14" s="28">
        <v>30000000</v>
      </c>
      <c r="J14" s="28">
        <f>J13+A_Tung_Cty_Xuan_Thanh[[#This Row],[THÀNH TIỀN]]-A_Tung_Cty_Xuan_Thanh[[#This Row],[THANH TOÁN]]</f>
        <v>496779000</v>
      </c>
      <c r="K14" s="27"/>
    </row>
    <row r="15" spans="1:11" x14ac:dyDescent="0.25">
      <c r="A15" s="25"/>
      <c r="B15" s="30">
        <v>46094</v>
      </c>
      <c r="C15" s="26" t="s">
        <v>21</v>
      </c>
      <c r="D15" s="38" t="s">
        <v>22</v>
      </c>
      <c r="E15" s="26" t="s">
        <v>147</v>
      </c>
      <c r="F15" s="28">
        <v>0</v>
      </c>
      <c r="G15" s="28">
        <v>0</v>
      </c>
      <c r="H15" s="28">
        <f>A_Tung_Cty_Xuan_Thanh[[#This Row],[ĐƠN GIÁ]]*A_Tung_Cty_Xuan_Thanh[[#This Row],[SỐ LƯỢNG]]</f>
        <v>0</v>
      </c>
      <c r="I15" s="28">
        <v>30000000</v>
      </c>
      <c r="J15" s="28">
        <f>J14+A_Tung_Cty_Xuan_Thanh[[#This Row],[THÀNH TIỀN]]-A_Tung_Cty_Xuan_Thanh[[#This Row],[THANH TOÁN]]</f>
        <v>466779000</v>
      </c>
      <c r="K15" s="27"/>
    </row>
    <row r="16" spans="1:11" x14ac:dyDescent="0.25">
      <c r="A16" s="25"/>
      <c r="B16" s="30">
        <v>46101</v>
      </c>
      <c r="C16" s="26" t="s">
        <v>21</v>
      </c>
      <c r="D16" s="38" t="s">
        <v>22</v>
      </c>
      <c r="E16" s="26" t="s">
        <v>147</v>
      </c>
      <c r="F16" s="28">
        <v>0</v>
      </c>
      <c r="G16" s="28">
        <v>0</v>
      </c>
      <c r="H16" s="28">
        <f>A_Tung_Cty_Xuan_Thanh[[#This Row],[ĐƠN GIÁ]]*A_Tung_Cty_Xuan_Thanh[[#This Row],[SỐ LƯỢNG]]</f>
        <v>0</v>
      </c>
      <c r="I16" s="28">
        <v>30000000</v>
      </c>
      <c r="J16" s="28">
        <f>J15+A_Tung_Cty_Xuan_Thanh[[#This Row],[THÀNH TIỀN]]-A_Tung_Cty_Xuan_Thanh[[#This Row],[THANH TOÁN]]</f>
        <v>436779000</v>
      </c>
      <c r="K16" s="27"/>
    </row>
    <row r="17" spans="1:11" x14ac:dyDescent="0.25">
      <c r="A17" s="25"/>
      <c r="B17" s="30">
        <v>46108</v>
      </c>
      <c r="C17" s="26" t="s">
        <v>21</v>
      </c>
      <c r="D17" s="38" t="s">
        <v>22</v>
      </c>
      <c r="E17" s="26" t="s">
        <v>147</v>
      </c>
      <c r="F17" s="28">
        <v>0</v>
      </c>
      <c r="G17" s="28">
        <v>0</v>
      </c>
      <c r="H17" s="28">
        <f>A_Tung_Cty_Xuan_Thanh[[#This Row],[ĐƠN GIÁ]]*A_Tung_Cty_Xuan_Thanh[[#This Row],[SỐ LƯỢNG]]</f>
        <v>0</v>
      </c>
      <c r="I17" s="28">
        <v>30000000</v>
      </c>
      <c r="J17" s="28">
        <f>J16+A_Tung_Cty_Xuan_Thanh[[#This Row],[THÀNH TIỀN]]-A_Tung_Cty_Xuan_Thanh[[#This Row],[THANH TOÁN]]</f>
        <v>406779000</v>
      </c>
      <c r="K17" s="27"/>
    </row>
    <row r="18" spans="1:11" x14ac:dyDescent="0.25">
      <c r="A18" s="22">
        <v>8457</v>
      </c>
      <c r="B18" s="29">
        <v>46113</v>
      </c>
      <c r="C18" s="23" t="s">
        <v>13</v>
      </c>
      <c r="D18" s="37" t="s">
        <v>43</v>
      </c>
      <c r="E18" s="23" t="s">
        <v>40</v>
      </c>
      <c r="F18" s="31">
        <v>532</v>
      </c>
      <c r="G18" s="31">
        <v>64000</v>
      </c>
      <c r="H18" s="31">
        <f>A_Tung_Cty_Xuan_Thanh[[#This Row],[ĐƠN GIÁ]]*A_Tung_Cty_Xuan_Thanh[[#This Row],[SỐ LƯỢNG]]</f>
        <v>34048000</v>
      </c>
      <c r="I18" s="31"/>
      <c r="J18" s="31">
        <f>J17+A_Tung_Cty_Xuan_Thanh[[#This Row],[THÀNH TIỀN]]-A_Tung_Cty_Xuan_Thanh[[#This Row],[THANH TOÁN]]</f>
        <v>440827000</v>
      </c>
      <c r="K18" s="24"/>
    </row>
    <row r="19" spans="1:11" x14ac:dyDescent="0.25">
      <c r="A19" s="22">
        <v>8457</v>
      </c>
      <c r="B19" s="29">
        <v>46113</v>
      </c>
      <c r="C19" s="23" t="s">
        <v>13</v>
      </c>
      <c r="D19" s="37" t="s">
        <v>43</v>
      </c>
      <c r="E19" s="23" t="s">
        <v>230</v>
      </c>
      <c r="F19" s="31">
        <v>756</v>
      </c>
      <c r="G19" s="31">
        <v>66500</v>
      </c>
      <c r="H19" s="31">
        <f>A_Tung_Cty_Xuan_Thanh[[#This Row],[ĐƠN GIÁ]]*A_Tung_Cty_Xuan_Thanh[[#This Row],[SỐ LƯỢNG]]</f>
        <v>50274000</v>
      </c>
      <c r="I19" s="31"/>
      <c r="J19" s="31">
        <f>J18+A_Tung_Cty_Xuan_Thanh[[#This Row],[THÀNH TIỀN]]-A_Tung_Cty_Xuan_Thanh[[#This Row],[THANH TOÁN]]</f>
        <v>491101000</v>
      </c>
      <c r="K19" s="24"/>
    </row>
    <row r="20" spans="1:11" x14ac:dyDescent="0.25">
      <c r="A20" s="22"/>
      <c r="B20" s="29">
        <v>46115</v>
      </c>
      <c r="C20" s="23" t="s">
        <v>21</v>
      </c>
      <c r="D20" s="37" t="s">
        <v>22</v>
      </c>
      <c r="E20" s="23" t="s">
        <v>147</v>
      </c>
      <c r="F20" s="31">
        <v>0</v>
      </c>
      <c r="G20" s="31"/>
      <c r="H20" s="31">
        <f>A_Tung_Cty_Xuan_Thanh[[#This Row],[ĐƠN GIÁ]]*A_Tung_Cty_Xuan_Thanh[[#This Row],[SỐ LƯỢNG]]</f>
        <v>0</v>
      </c>
      <c r="I20" s="31">
        <v>40000000</v>
      </c>
      <c r="J20" s="31">
        <f>J19+A_Tung_Cty_Xuan_Thanh[[#This Row],[THÀNH TIỀN]]-A_Tung_Cty_Xuan_Thanh[[#This Row],[THANH TOÁN]]</f>
        <v>451101000</v>
      </c>
      <c r="K20" s="24"/>
    </row>
    <row r="21" spans="1:11" x14ac:dyDescent="0.25">
      <c r="A21" s="22"/>
      <c r="B21" s="29">
        <v>46122</v>
      </c>
      <c r="C21" s="23" t="s">
        <v>21</v>
      </c>
      <c r="D21" s="37" t="s">
        <v>22</v>
      </c>
      <c r="E21" s="23" t="s">
        <v>147</v>
      </c>
      <c r="F21" s="31">
        <v>0</v>
      </c>
      <c r="G21" s="31"/>
      <c r="H21" s="31">
        <f>A_Tung_Cty_Xuan_Thanh[[#This Row],[ĐƠN GIÁ]]*A_Tung_Cty_Xuan_Thanh[[#This Row],[SỐ LƯỢNG]]</f>
        <v>0</v>
      </c>
      <c r="I21" s="31">
        <v>40000000</v>
      </c>
      <c r="J21" s="31">
        <f>J20+A_Tung_Cty_Xuan_Thanh[[#This Row],[THÀNH TIỀN]]-A_Tung_Cty_Xuan_Thanh[[#This Row],[THANH TOÁN]]</f>
        <v>411101000</v>
      </c>
      <c r="K21" s="24"/>
    </row>
    <row r="22" spans="1:11" x14ac:dyDescent="0.25">
      <c r="A22" s="22"/>
      <c r="B22" s="29">
        <v>46128</v>
      </c>
      <c r="C22" s="23" t="s">
        <v>21</v>
      </c>
      <c r="D22" s="37" t="s">
        <v>22</v>
      </c>
      <c r="E22" s="23" t="s">
        <v>147</v>
      </c>
      <c r="F22" s="31">
        <v>0</v>
      </c>
      <c r="G22" s="31"/>
      <c r="H22" s="31">
        <f>A_Tung_Cty_Xuan_Thanh[[#This Row],[ĐƠN GIÁ]]*A_Tung_Cty_Xuan_Thanh[[#This Row],[SỐ LƯỢNG]]</f>
        <v>0</v>
      </c>
      <c r="I22" s="31">
        <v>40000000</v>
      </c>
      <c r="J22" s="31">
        <f>J21+A_Tung_Cty_Xuan_Thanh[[#This Row],[THÀNH TIỀN]]-A_Tung_Cty_Xuan_Thanh[[#This Row],[THANH TOÁN]]</f>
        <v>371101000</v>
      </c>
      <c r="K22" s="24"/>
    </row>
    <row r="23" spans="1:11" x14ac:dyDescent="0.25">
      <c r="A23" s="22"/>
      <c r="B23" s="29">
        <v>46136</v>
      </c>
      <c r="C23" s="23" t="s">
        <v>21</v>
      </c>
      <c r="D23" s="37" t="s">
        <v>22</v>
      </c>
      <c r="E23" s="23" t="s">
        <v>147</v>
      </c>
      <c r="F23" s="31">
        <v>0</v>
      </c>
      <c r="G23" s="31"/>
      <c r="H23" s="31">
        <f>A_Tung_Cty_Xuan_Thanh[[#This Row],[ĐƠN GIÁ]]*A_Tung_Cty_Xuan_Thanh[[#This Row],[SỐ LƯỢNG]]</f>
        <v>0</v>
      </c>
      <c r="I23" s="31">
        <v>40000000</v>
      </c>
      <c r="J23" s="31">
        <f>J22+A_Tung_Cty_Xuan_Thanh[[#This Row],[THÀNH TIỀN]]-A_Tung_Cty_Xuan_Thanh[[#This Row],[THANH TOÁN]]</f>
        <v>331101000</v>
      </c>
      <c r="K23" s="24"/>
    </row>
    <row r="24" spans="1:11" x14ac:dyDescent="0.25">
      <c r="A24" s="22">
        <v>9049</v>
      </c>
      <c r="B24" s="29">
        <v>46139</v>
      </c>
      <c r="C24" s="23" t="s">
        <v>13</v>
      </c>
      <c r="D24" s="37" t="s">
        <v>27</v>
      </c>
      <c r="E24" s="23" t="s">
        <v>1818</v>
      </c>
      <c r="F24" s="31">
        <v>856</v>
      </c>
      <c r="G24" s="31">
        <v>61000</v>
      </c>
      <c r="H24" s="31">
        <f>A_Tung_Cty_Xuan_Thanh[[#This Row],[ĐƠN GIÁ]]*A_Tung_Cty_Xuan_Thanh[[#This Row],[SỐ LƯỢNG]]</f>
        <v>52216000</v>
      </c>
      <c r="I24" s="31"/>
      <c r="J24" s="31">
        <f>J23+A_Tung_Cty_Xuan_Thanh[[#This Row],[THÀNH TIỀN]]-A_Tung_Cty_Xuan_Thanh[[#This Row],[THANH TOÁN]]</f>
        <v>383317000</v>
      </c>
      <c r="K24" s="24"/>
    </row>
    <row r="25" spans="1:11" x14ac:dyDescent="0.25">
      <c r="A25" s="22">
        <v>9049</v>
      </c>
      <c r="B25" s="29">
        <v>46139</v>
      </c>
      <c r="C25" s="23" t="s">
        <v>13</v>
      </c>
      <c r="D25" s="37" t="s">
        <v>27</v>
      </c>
      <c r="E25" s="23" t="s">
        <v>990</v>
      </c>
      <c r="F25" s="31">
        <v>718</v>
      </c>
      <c r="G25" s="31">
        <v>61000</v>
      </c>
      <c r="H25" s="31">
        <f>A_Tung_Cty_Xuan_Thanh[[#This Row],[ĐƠN GIÁ]]*A_Tung_Cty_Xuan_Thanh[[#This Row],[SỐ LƯỢNG]]</f>
        <v>43798000</v>
      </c>
      <c r="I25" s="31"/>
      <c r="J25" s="31">
        <f>J24+A_Tung_Cty_Xuan_Thanh[[#This Row],[THÀNH TIỀN]]-A_Tung_Cty_Xuan_Thanh[[#This Row],[THANH TOÁN]]</f>
        <v>427115000</v>
      </c>
      <c r="K25" s="24"/>
    </row>
    <row r="26" spans="1:11" x14ac:dyDescent="0.25">
      <c r="A26" s="22">
        <v>9070</v>
      </c>
      <c r="B26" s="29">
        <v>46140</v>
      </c>
      <c r="C26" s="23" t="s">
        <v>13</v>
      </c>
      <c r="D26" s="37" t="s">
        <v>77</v>
      </c>
      <c r="E26" s="23" t="s">
        <v>796</v>
      </c>
      <c r="F26" s="31">
        <v>1922</v>
      </c>
      <c r="G26" s="31">
        <v>30000</v>
      </c>
      <c r="H26" s="31">
        <f>A_Tung_Cty_Xuan_Thanh[[#This Row],[ĐƠN GIÁ]]*A_Tung_Cty_Xuan_Thanh[[#This Row],[SỐ LƯỢNG]]</f>
        <v>57660000</v>
      </c>
      <c r="I26" s="31"/>
      <c r="J26" s="31">
        <f>J25+A_Tung_Cty_Xuan_Thanh[[#This Row],[THÀNH TIỀN]]-A_Tung_Cty_Xuan_Thanh[[#This Row],[THANH TOÁN]]</f>
        <v>484775000</v>
      </c>
      <c r="K26" s="24"/>
    </row>
    <row r="27" spans="1:11" x14ac:dyDescent="0.25">
      <c r="A27" s="22">
        <v>9191</v>
      </c>
      <c r="B27" s="29">
        <v>46148</v>
      </c>
      <c r="C27" s="23" t="s">
        <v>13</v>
      </c>
      <c r="D27" s="37" t="s">
        <v>50</v>
      </c>
      <c r="E27" s="23" t="s">
        <v>1949</v>
      </c>
      <c r="F27" s="31">
        <v>946</v>
      </c>
      <c r="G27" s="31">
        <v>61000</v>
      </c>
      <c r="H27" s="31">
        <f>A_Tung_Cty_Xuan_Thanh[[#This Row],[ĐƠN GIÁ]]*A_Tung_Cty_Xuan_Thanh[[#This Row],[SỐ LƯỢNG]]</f>
        <v>57706000</v>
      </c>
      <c r="I27" s="31"/>
      <c r="J27" s="31">
        <f>J26+A_Tung_Cty_Xuan_Thanh[[#This Row],[THÀNH TIỀN]]-A_Tung_Cty_Xuan_Thanh[[#This Row],[THANH TOÁN]]</f>
        <v>542481000</v>
      </c>
      <c r="K27" s="24"/>
    </row>
    <row r="28" spans="1:11" x14ac:dyDescent="0.25">
      <c r="A28" s="22">
        <v>9191</v>
      </c>
      <c r="B28" s="29">
        <v>46148</v>
      </c>
      <c r="C28" s="23" t="s">
        <v>13</v>
      </c>
      <c r="D28" s="37" t="s">
        <v>43</v>
      </c>
      <c r="E28" s="23" t="s">
        <v>148</v>
      </c>
      <c r="F28" s="31">
        <v>192</v>
      </c>
      <c r="G28" s="31">
        <v>61000</v>
      </c>
      <c r="H28" s="31">
        <f>A_Tung_Cty_Xuan_Thanh[[#This Row],[ĐƠN GIÁ]]*A_Tung_Cty_Xuan_Thanh[[#This Row],[SỐ LƯỢNG]]</f>
        <v>11712000</v>
      </c>
      <c r="I28" s="31"/>
      <c r="J28" s="31">
        <f>J27+A_Tung_Cty_Xuan_Thanh[[#This Row],[THÀNH TIỀN]]-A_Tung_Cty_Xuan_Thanh[[#This Row],[THANH TOÁN]]</f>
        <v>554193000</v>
      </c>
      <c r="K28" s="24"/>
    </row>
    <row r="29" spans="1:11" x14ac:dyDescent="0.25">
      <c r="A29" s="22"/>
      <c r="B29" s="29">
        <v>46149</v>
      </c>
      <c r="C29" s="23" t="s">
        <v>21</v>
      </c>
      <c r="D29" s="37" t="s">
        <v>22</v>
      </c>
      <c r="E29" s="23" t="s">
        <v>147</v>
      </c>
      <c r="F29" s="31">
        <v>0</v>
      </c>
      <c r="G29" s="31"/>
      <c r="H29" s="31">
        <f>A_Tung_Cty_Xuan_Thanh[[#This Row],[ĐƠN GIÁ]]*A_Tung_Cty_Xuan_Thanh[[#This Row],[SỐ LƯỢNG]]</f>
        <v>0</v>
      </c>
      <c r="I29" s="31">
        <v>50000000</v>
      </c>
      <c r="J29" s="31">
        <f>J28+A_Tung_Cty_Xuan_Thanh[[#This Row],[THÀNH TIỀN]]-A_Tung_Cty_Xuan_Thanh[[#This Row],[THANH TOÁN]]</f>
        <v>504193000</v>
      </c>
      <c r="K29" s="24"/>
    </row>
    <row r="30" spans="1:11" x14ac:dyDescent="0.25">
      <c r="A30" s="22"/>
      <c r="B30" s="29">
        <v>46156</v>
      </c>
      <c r="C30" s="23" t="s">
        <v>21</v>
      </c>
      <c r="D30" s="37" t="s">
        <v>22</v>
      </c>
      <c r="E30" s="23" t="s">
        <v>147</v>
      </c>
      <c r="F30" s="31">
        <v>0</v>
      </c>
      <c r="G30" s="31"/>
      <c r="H30" s="31">
        <f>A_Tung_Cty_Xuan_Thanh[[#This Row],[ĐƠN GIÁ]]*A_Tung_Cty_Xuan_Thanh[[#This Row],[SỐ LƯỢNG]]</f>
        <v>0</v>
      </c>
      <c r="I30" s="31">
        <v>40000000</v>
      </c>
      <c r="J30" s="31">
        <f>J29+A_Tung_Cty_Xuan_Thanh[[#This Row],[THÀNH TIỀN]]-A_Tung_Cty_Xuan_Thanh[[#This Row],[THANH TOÁN]]</f>
        <v>464193000</v>
      </c>
      <c r="K30" s="24"/>
    </row>
    <row r="31" spans="1:11" x14ac:dyDescent="0.25">
      <c r="A31" s="22"/>
      <c r="B31" s="29">
        <v>46164</v>
      </c>
      <c r="C31" s="23" t="s">
        <v>21</v>
      </c>
      <c r="D31" s="37" t="s">
        <v>22</v>
      </c>
      <c r="E31" s="23" t="s">
        <v>147</v>
      </c>
      <c r="F31" s="31">
        <v>0</v>
      </c>
      <c r="G31" s="31"/>
      <c r="H31" s="31">
        <f>A_Tung_Cty_Xuan_Thanh[[#This Row],[ĐƠN GIÁ]]*A_Tung_Cty_Xuan_Thanh[[#This Row],[SỐ LƯỢNG]]</f>
        <v>0</v>
      </c>
      <c r="I31" s="31">
        <v>40000000</v>
      </c>
      <c r="J31" s="31">
        <f>J30+A_Tung_Cty_Xuan_Thanh[[#This Row],[THÀNH TIỀN]]-A_Tung_Cty_Xuan_Thanh[[#This Row],[THANH TOÁN]]</f>
        <v>424193000</v>
      </c>
      <c r="K31" s="24"/>
    </row>
    <row r="32" spans="1:11" x14ac:dyDescent="0.25">
      <c r="A32" s="22"/>
      <c r="B32" s="29">
        <v>46171</v>
      </c>
      <c r="C32" s="23" t="s">
        <v>21</v>
      </c>
      <c r="D32" s="37" t="s">
        <v>22</v>
      </c>
      <c r="E32" s="23" t="s">
        <v>147</v>
      </c>
      <c r="F32" s="31">
        <v>0</v>
      </c>
      <c r="G32" s="31"/>
      <c r="H32" s="31">
        <f>A_Tung_Cty_Xuan_Thanh[[#This Row],[ĐƠN GIÁ]]*A_Tung_Cty_Xuan_Thanh[[#This Row],[SỐ LƯỢNG]]</f>
        <v>0</v>
      </c>
      <c r="I32" s="31">
        <v>40000000</v>
      </c>
      <c r="J32" s="31">
        <f>J31+A_Tung_Cty_Xuan_Thanh[[#This Row],[THÀNH TIỀN]]-A_Tung_Cty_Xuan_Thanh[[#This Row],[THANH TOÁN]]</f>
        <v>384193000</v>
      </c>
      <c r="K32" s="24"/>
    </row>
    <row r="33" spans="1:11" x14ac:dyDescent="0.25">
      <c r="A33" s="22"/>
      <c r="B33" s="29">
        <v>46178</v>
      </c>
      <c r="C33" s="23" t="s">
        <v>21</v>
      </c>
      <c r="D33" s="37" t="s">
        <v>22</v>
      </c>
      <c r="E33" s="23" t="s">
        <v>147</v>
      </c>
      <c r="F33" s="31">
        <v>0</v>
      </c>
      <c r="G33" s="31"/>
      <c r="H33" s="31">
        <f>A_Tung_Cty_Xuan_Thanh[[#This Row],[ĐƠN GIÁ]]*A_Tung_Cty_Xuan_Thanh[[#This Row],[SỐ LƯỢNG]]</f>
        <v>0</v>
      </c>
      <c r="I33" s="31">
        <v>40000000</v>
      </c>
      <c r="J33" s="31">
        <f>J32+A_Tung_Cty_Xuan_Thanh[[#This Row],[THÀNH TIỀN]]-A_Tung_Cty_Xuan_Thanh[[#This Row],[THANH TOÁN]]</f>
        <v>344193000</v>
      </c>
      <c r="K33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A7333-5E13-4E6A-9CFD-291FB67F776B}">
  <sheetPr codeName="Sheet64"/>
  <dimension ref="A5:O34"/>
  <sheetViews>
    <sheetView topLeftCell="A10" workbookViewId="0">
      <selection activeCell="G39" sqref="G39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5" ht="25.5" x14ac:dyDescent="0.25">
      <c r="D5" s="33" t="s">
        <v>0</v>
      </c>
      <c r="E5" s="33"/>
      <c r="F5" s="163">
        <v>127000</v>
      </c>
    </row>
    <row r="6" spans="1:15" ht="22.5" x14ac:dyDescent="0.25">
      <c r="D6" s="34" t="s">
        <v>950</v>
      </c>
      <c r="E6" s="34"/>
      <c r="F6" s="21"/>
    </row>
    <row r="9" spans="1:15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5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A_Bay_ND[[#This Row],[ĐƠN GIÁ]]*A_Bay_ND[[#This Row],[SỐ LƯỢNG]]</f>
        <v>0</v>
      </c>
      <c r="I10" s="31"/>
      <c r="J10" s="31">
        <v>0</v>
      </c>
      <c r="K10" s="24"/>
    </row>
    <row r="11" spans="1:15" x14ac:dyDescent="0.25">
      <c r="A11" s="22">
        <v>7860</v>
      </c>
      <c r="B11" s="29">
        <v>46086</v>
      </c>
      <c r="C11" s="23" t="s">
        <v>13</v>
      </c>
      <c r="D11" s="37" t="s">
        <v>17</v>
      </c>
      <c r="E11" s="23" t="s">
        <v>951</v>
      </c>
      <c r="F11" s="31">
        <f>601+501</f>
        <v>1102</v>
      </c>
      <c r="G11" s="31">
        <v>57000</v>
      </c>
      <c r="H11" s="31">
        <f>A_Bay_ND[[#This Row],[ĐƠN GIÁ]]*A_Bay_ND[[#This Row],[SỐ LƯỢNG]]</f>
        <v>62814000</v>
      </c>
      <c r="I11" s="31"/>
      <c r="J11" s="31">
        <f>J10+A_Bay_ND[[#This Row],[THÀNH TIỀN]]-A_Bay_ND[[#This Row],[THANH TOÁN]]</f>
        <v>62814000</v>
      </c>
      <c r="K11" s="24" t="s">
        <v>128</v>
      </c>
    </row>
    <row r="12" spans="1:15" x14ac:dyDescent="0.25">
      <c r="A12" s="22">
        <v>7860</v>
      </c>
      <c r="B12" s="29">
        <v>46086</v>
      </c>
      <c r="C12" s="23" t="s">
        <v>13</v>
      </c>
      <c r="D12" s="37" t="s">
        <v>17</v>
      </c>
      <c r="E12" s="23" t="s">
        <v>416</v>
      </c>
      <c r="F12" s="31">
        <v>861</v>
      </c>
      <c r="G12" s="31">
        <v>56000</v>
      </c>
      <c r="H12" s="31">
        <f>A_Bay_ND[[#This Row],[ĐƠN GIÁ]]*A_Bay_ND[[#This Row],[SỐ LƯỢNG]]</f>
        <v>48216000</v>
      </c>
      <c r="I12" s="31"/>
      <c r="J12" s="31">
        <f>J11+A_Bay_ND[[#This Row],[THÀNH TIỀN]]-A_Bay_ND[[#This Row],[THANH TOÁN]]</f>
        <v>111030000</v>
      </c>
      <c r="K12" s="24"/>
    </row>
    <row r="13" spans="1:15" x14ac:dyDescent="0.25">
      <c r="A13" s="22">
        <v>7860</v>
      </c>
      <c r="B13" s="29">
        <v>46086</v>
      </c>
      <c r="C13" s="23" t="s">
        <v>13</v>
      </c>
      <c r="D13" s="37" t="s">
        <v>17</v>
      </c>
      <c r="E13" s="23" t="s">
        <v>41</v>
      </c>
      <c r="F13" s="31">
        <v>230</v>
      </c>
      <c r="G13" s="31">
        <v>56000</v>
      </c>
      <c r="H13" s="31">
        <f>A_Bay_ND[[#This Row],[ĐƠN GIÁ]]*A_Bay_ND[[#This Row],[SỐ LƯỢNG]]</f>
        <v>12880000</v>
      </c>
      <c r="I13" s="31"/>
      <c r="J13" s="31">
        <f>J12+A_Bay_ND[[#This Row],[THÀNH TIỀN]]-A_Bay_ND[[#This Row],[THANH TOÁN]]</f>
        <v>123910000</v>
      </c>
      <c r="K13" s="24"/>
    </row>
    <row r="14" spans="1:15" x14ac:dyDescent="0.25">
      <c r="A14" s="25"/>
      <c r="B14" s="30">
        <v>46086</v>
      </c>
      <c r="C14" s="26" t="s">
        <v>21</v>
      </c>
      <c r="D14" s="38" t="s">
        <v>24</v>
      </c>
      <c r="E14" s="26"/>
      <c r="F14" s="28">
        <v>0</v>
      </c>
      <c r="G14" s="28">
        <v>0</v>
      </c>
      <c r="H14" s="28">
        <f>A_Bay_ND[[#This Row],[ĐƠN GIÁ]]*A_Bay_ND[[#This Row],[SỐ LƯỢNG]]</f>
        <v>0</v>
      </c>
      <c r="I14" s="28">
        <v>123900000</v>
      </c>
      <c r="J14" s="28">
        <f>J13+A_Bay_ND[[#This Row],[THÀNH TIỀN]]-A_Bay_ND[[#This Row],[THANH TOÁN]]</f>
        <v>10000</v>
      </c>
      <c r="K14" s="27"/>
    </row>
    <row r="15" spans="1:15" x14ac:dyDescent="0.25">
      <c r="A15" s="25">
        <v>8123</v>
      </c>
      <c r="B15" s="30">
        <v>46097</v>
      </c>
      <c r="C15" s="26" t="s">
        <v>13</v>
      </c>
      <c r="D15" s="38" t="s">
        <v>17</v>
      </c>
      <c r="E15" s="26" t="s">
        <v>952</v>
      </c>
      <c r="F15" s="28">
        <v>1244</v>
      </c>
      <c r="G15" s="28">
        <v>58500</v>
      </c>
      <c r="H15" s="28">
        <f>A_Bay_ND[[#This Row],[ĐƠN GIÁ]]*A_Bay_ND[[#This Row],[SỐ LƯỢNG]]</f>
        <v>72774000</v>
      </c>
      <c r="I15" s="28"/>
      <c r="J15" s="28">
        <f>J14+A_Bay_ND[[#This Row],[THÀNH TIỀN]]-A_Bay_ND[[#This Row],[THANH TOÁN]]</f>
        <v>72784000</v>
      </c>
      <c r="K15" s="27" t="s">
        <v>128</v>
      </c>
      <c r="O15" s="35"/>
    </row>
    <row r="16" spans="1:15" x14ac:dyDescent="0.25">
      <c r="A16" s="25">
        <v>8123</v>
      </c>
      <c r="B16" s="30">
        <v>46098</v>
      </c>
      <c r="C16" s="26" t="s">
        <v>21</v>
      </c>
      <c r="D16" s="38" t="s">
        <v>24</v>
      </c>
      <c r="E16" s="26"/>
      <c r="F16" s="28"/>
      <c r="G16" s="28"/>
      <c r="H16" s="28">
        <f>A_Bay_ND[[#This Row],[ĐƠN GIÁ]]*A_Bay_ND[[#This Row],[SỐ LƯỢNG]]</f>
        <v>0</v>
      </c>
      <c r="I16" s="28">
        <v>72775000</v>
      </c>
      <c r="J16" s="28">
        <f>J15+A_Bay_ND[[#This Row],[THÀNH TIỀN]]-A_Bay_ND[[#This Row],[THANH TOÁN]]</f>
        <v>9000</v>
      </c>
      <c r="K16" s="27"/>
    </row>
    <row r="17" spans="1:11" x14ac:dyDescent="0.25">
      <c r="A17" s="22">
        <v>8469</v>
      </c>
      <c r="B17" s="29">
        <v>46113</v>
      </c>
      <c r="C17" s="23" t="s">
        <v>13</v>
      </c>
      <c r="D17" s="37" t="s">
        <v>17</v>
      </c>
      <c r="E17" s="23" t="s">
        <v>953</v>
      </c>
      <c r="F17" s="31">
        <v>1282</v>
      </c>
      <c r="G17" s="31">
        <v>60000</v>
      </c>
      <c r="H17" s="31">
        <f>A_Bay_ND[[#This Row],[ĐƠN GIÁ]]*A_Bay_ND[[#This Row],[SỐ LƯỢNG]]</f>
        <v>76920000</v>
      </c>
      <c r="I17" s="31"/>
      <c r="J17" s="31">
        <f>J16+A_Bay_ND[[#This Row],[THÀNH TIỀN]]-A_Bay_ND[[#This Row],[THANH TOÁN]]</f>
        <v>76929000</v>
      </c>
      <c r="K17" s="24"/>
    </row>
    <row r="18" spans="1:11" x14ac:dyDescent="0.25">
      <c r="A18" s="22">
        <v>8469</v>
      </c>
      <c r="B18" s="29">
        <v>46113</v>
      </c>
      <c r="C18" s="23" t="s">
        <v>13</v>
      </c>
      <c r="D18" s="37" t="s">
        <v>17</v>
      </c>
      <c r="E18" s="23" t="s">
        <v>33</v>
      </c>
      <c r="F18" s="31">
        <v>1284</v>
      </c>
      <c r="G18" s="31">
        <v>59500</v>
      </c>
      <c r="H18" s="31">
        <f>A_Bay_ND[[#This Row],[ĐƠN GIÁ]]*A_Bay_ND[[#This Row],[SỐ LƯỢNG]]</f>
        <v>76398000</v>
      </c>
      <c r="I18" s="31"/>
      <c r="J18" s="31">
        <f>J17+A_Bay_ND[[#This Row],[THÀNH TIỀN]]-A_Bay_ND[[#This Row],[THANH TOÁN]]</f>
        <v>153327000</v>
      </c>
      <c r="K18" s="24"/>
    </row>
    <row r="19" spans="1:11" x14ac:dyDescent="0.25">
      <c r="A19" s="22">
        <v>8469</v>
      </c>
      <c r="B19" s="29">
        <v>46113</v>
      </c>
      <c r="C19" s="23" t="s">
        <v>13</v>
      </c>
      <c r="D19" s="37" t="s">
        <v>17</v>
      </c>
      <c r="E19" s="23" t="s">
        <v>46</v>
      </c>
      <c r="F19" s="31">
        <v>608</v>
      </c>
      <c r="G19" s="31">
        <v>59500</v>
      </c>
      <c r="H19" s="31">
        <f>A_Bay_ND[[#This Row],[ĐƠN GIÁ]]*A_Bay_ND[[#This Row],[SỐ LƯỢNG]]</f>
        <v>36176000</v>
      </c>
      <c r="I19" s="31"/>
      <c r="J19" s="31">
        <f>J18+A_Bay_ND[[#This Row],[THÀNH TIỀN]]-A_Bay_ND[[#This Row],[THANH TOÁN]]</f>
        <v>189503000</v>
      </c>
      <c r="K19" s="24"/>
    </row>
    <row r="20" spans="1:11" x14ac:dyDescent="0.25">
      <c r="A20" s="22"/>
      <c r="B20" s="29">
        <v>46113</v>
      </c>
      <c r="C20" s="23" t="s">
        <v>21</v>
      </c>
      <c r="D20" s="37" t="s">
        <v>24</v>
      </c>
      <c r="E20" s="23"/>
      <c r="F20" s="31">
        <v>0</v>
      </c>
      <c r="G20" s="31"/>
      <c r="H20" s="31">
        <f>A_Bay_ND[[#This Row],[ĐƠN GIÁ]]*A_Bay_ND[[#This Row],[SỐ LƯỢNG]]</f>
        <v>0</v>
      </c>
      <c r="I20" s="31">
        <v>80000000</v>
      </c>
      <c r="J20" s="31">
        <f>J19+A_Bay_ND[[#This Row],[THÀNH TIỀN]]-A_Bay_ND[[#This Row],[THANH TOÁN]]</f>
        <v>109503000</v>
      </c>
      <c r="K20" s="24"/>
    </row>
    <row r="21" spans="1:11" x14ac:dyDescent="0.25">
      <c r="A21" s="151"/>
      <c r="B21" s="152">
        <v>46114</v>
      </c>
      <c r="C21" s="55" t="s">
        <v>21</v>
      </c>
      <c r="D21" s="149" t="s">
        <v>22</v>
      </c>
      <c r="E21" s="55" t="s">
        <v>726</v>
      </c>
      <c r="F21" s="57">
        <v>0</v>
      </c>
      <c r="G21" s="57"/>
      <c r="H21" s="57">
        <f>A_Bay_ND[[#This Row],[ĐƠN GIÁ]]*A_Bay_ND[[#This Row],[SỐ LƯỢNG]]</f>
        <v>0</v>
      </c>
      <c r="I21" s="57">
        <v>109490000</v>
      </c>
      <c r="J21" s="57">
        <f>J20+A_Bay_ND[[#This Row],[THÀNH TIỀN]]-A_Bay_ND[[#This Row],[THANH TOÁN]]</f>
        <v>13000</v>
      </c>
      <c r="K21" s="58"/>
    </row>
    <row r="22" spans="1:11" x14ac:dyDescent="0.25">
      <c r="A22" s="22">
        <v>8889</v>
      </c>
      <c r="B22" s="29">
        <v>46130</v>
      </c>
      <c r="C22" s="23" t="s">
        <v>13</v>
      </c>
      <c r="D22" s="37" t="s">
        <v>17</v>
      </c>
      <c r="E22" s="23" t="s">
        <v>953</v>
      </c>
      <c r="F22" s="31">
        <v>1064</v>
      </c>
      <c r="G22" s="31">
        <v>60000</v>
      </c>
      <c r="H22" s="31">
        <f>A_Bay_ND[[#This Row],[ĐƠN GIÁ]]*A_Bay_ND[[#This Row],[SỐ LƯỢNG]]</f>
        <v>63840000</v>
      </c>
      <c r="I22" s="31"/>
      <c r="J22" s="31">
        <f>J21+A_Bay_ND[[#This Row],[THÀNH TIỀN]]-A_Bay_ND[[#This Row],[THANH TOÁN]]</f>
        <v>63853000</v>
      </c>
      <c r="K22" s="24" t="s">
        <v>231</v>
      </c>
    </row>
    <row r="23" spans="1:11" x14ac:dyDescent="0.25">
      <c r="A23" s="22"/>
      <c r="B23" s="29">
        <v>46130</v>
      </c>
      <c r="C23" s="23" t="s">
        <v>21</v>
      </c>
      <c r="D23" s="37" t="s">
        <v>22</v>
      </c>
      <c r="E23" s="23" t="s">
        <v>726</v>
      </c>
      <c r="F23" s="31">
        <v>0</v>
      </c>
      <c r="G23" s="31"/>
      <c r="H23" s="31">
        <f>A_Bay_ND[[#This Row],[ĐƠN GIÁ]]*A_Bay_ND[[#This Row],[SỐ LƯỢNG]]</f>
        <v>0</v>
      </c>
      <c r="I23" s="31">
        <v>43840000</v>
      </c>
      <c r="J23" s="31">
        <f>J22+A_Bay_ND[[#This Row],[THÀNH TIỀN]]-A_Bay_ND[[#This Row],[THANH TOÁN]]</f>
        <v>20013000</v>
      </c>
      <c r="K23" s="24"/>
    </row>
    <row r="24" spans="1:11" x14ac:dyDescent="0.25">
      <c r="A24" s="22"/>
      <c r="B24" s="29">
        <v>46130</v>
      </c>
      <c r="C24" s="23" t="s">
        <v>21</v>
      </c>
      <c r="D24" s="37" t="s">
        <v>24</v>
      </c>
      <c r="E24" s="23"/>
      <c r="F24" s="31">
        <v>0</v>
      </c>
      <c r="G24" s="31"/>
      <c r="H24" s="31">
        <f>A_Bay_ND[[#This Row],[ĐƠN GIÁ]]*A_Bay_ND[[#This Row],[SỐ LƯỢNG]]</f>
        <v>0</v>
      </c>
      <c r="I24" s="31">
        <v>20000000</v>
      </c>
      <c r="J24" s="31">
        <f>J23+A_Bay_ND[[#This Row],[THÀNH TIỀN]]-A_Bay_ND[[#This Row],[THANH TOÁN]]</f>
        <v>13000</v>
      </c>
      <c r="K24" s="24"/>
    </row>
    <row r="25" spans="1:11" x14ac:dyDescent="0.25">
      <c r="A25" s="22">
        <v>9030</v>
      </c>
      <c r="B25" s="29">
        <v>46137</v>
      </c>
      <c r="C25" s="23" t="s">
        <v>13</v>
      </c>
      <c r="D25" s="37" t="s">
        <v>17</v>
      </c>
      <c r="E25" s="23" t="s">
        <v>33</v>
      </c>
      <c r="F25" s="31">
        <v>1148</v>
      </c>
      <c r="G25" s="31">
        <v>61000</v>
      </c>
      <c r="H25" s="31">
        <f>A_Bay_ND[[#This Row],[ĐƠN GIÁ]]*A_Bay_ND[[#This Row],[SỐ LƯỢNG]]</f>
        <v>70028000</v>
      </c>
      <c r="I25" s="31"/>
      <c r="J25" s="31">
        <f>J24+A_Bay_ND[[#This Row],[THÀNH TIỀN]]-A_Bay_ND[[#This Row],[THANH TOÁN]]</f>
        <v>70041000</v>
      </c>
      <c r="K25" s="24" t="s">
        <v>42</v>
      </c>
    </row>
    <row r="26" spans="1:11" x14ac:dyDescent="0.25">
      <c r="A26" s="22"/>
      <c r="B26" s="29">
        <v>46138</v>
      </c>
      <c r="C26" s="23" t="s">
        <v>21</v>
      </c>
      <c r="D26" s="37" t="s">
        <v>22</v>
      </c>
      <c r="E26" s="23" t="s">
        <v>727</v>
      </c>
      <c r="F26" s="31">
        <v>0</v>
      </c>
      <c r="G26" s="31"/>
      <c r="H26" s="31">
        <f>A_Bay_ND[[#This Row],[ĐƠN GIÁ]]*A_Bay_ND[[#This Row],[SỐ LƯỢNG]]</f>
        <v>0</v>
      </c>
      <c r="I26" s="31">
        <v>70000000</v>
      </c>
      <c r="J26" s="31">
        <f>J25+A_Bay_ND[[#This Row],[THÀNH TIỀN]]-A_Bay_ND[[#This Row],[THANH TOÁN]]</f>
        <v>41000</v>
      </c>
      <c r="K26" s="24"/>
    </row>
    <row r="27" spans="1:11" x14ac:dyDescent="0.25">
      <c r="A27" s="22">
        <v>9120</v>
      </c>
      <c r="B27" s="29">
        <v>46141</v>
      </c>
      <c r="C27" s="23" t="s">
        <v>13</v>
      </c>
      <c r="D27" s="37" t="s">
        <v>17</v>
      </c>
      <c r="E27" s="23" t="s">
        <v>78</v>
      </c>
      <c r="F27" s="31">
        <v>668</v>
      </c>
      <c r="G27" s="31">
        <v>59000</v>
      </c>
      <c r="H27" s="31">
        <f>A_Bay_ND[[#This Row],[ĐƠN GIÁ]]*A_Bay_ND[[#This Row],[SỐ LƯỢNG]]</f>
        <v>39412000</v>
      </c>
      <c r="I27" s="31"/>
      <c r="J27" s="31">
        <f>J26+A_Bay_ND[[#This Row],[THÀNH TIỀN]]-A_Bay_ND[[#This Row],[THANH TOÁN]]</f>
        <v>39453000</v>
      </c>
      <c r="K27" s="24"/>
    </row>
    <row r="28" spans="1:11" x14ac:dyDescent="0.25">
      <c r="A28" s="22">
        <v>9314</v>
      </c>
      <c r="B28" s="29">
        <v>46153</v>
      </c>
      <c r="C28" s="23" t="s">
        <v>13</v>
      </c>
      <c r="D28" s="37" t="s">
        <v>17</v>
      </c>
      <c r="E28" s="23" t="s">
        <v>953</v>
      </c>
      <c r="F28" s="31">
        <v>1263</v>
      </c>
      <c r="G28" s="31">
        <v>60000</v>
      </c>
      <c r="H28" s="31">
        <f>A_Bay_ND[[#This Row],[ĐƠN GIÁ]]*A_Bay_ND[[#This Row],[SỐ LƯỢNG]]</f>
        <v>75780000</v>
      </c>
      <c r="I28" s="31"/>
      <c r="J28" s="31">
        <f>J27+A_Bay_ND[[#This Row],[THÀNH TIỀN]]-A_Bay_ND[[#This Row],[THANH TOÁN]]</f>
        <v>115233000</v>
      </c>
      <c r="K28" s="24"/>
    </row>
    <row r="29" spans="1:11" x14ac:dyDescent="0.25">
      <c r="A29" s="22">
        <v>9314</v>
      </c>
      <c r="B29" s="29">
        <v>46153</v>
      </c>
      <c r="C29" s="23" t="s">
        <v>166</v>
      </c>
      <c r="D29" s="37" t="s">
        <v>17</v>
      </c>
      <c r="E29" s="23" t="s">
        <v>78</v>
      </c>
      <c r="F29" s="31">
        <v>148</v>
      </c>
      <c r="G29" s="31">
        <v>-59000</v>
      </c>
      <c r="H29" s="31">
        <f>A_Bay_ND[[#This Row],[ĐƠN GIÁ]]*A_Bay_ND[[#This Row],[SỐ LƯỢNG]]</f>
        <v>-8732000</v>
      </c>
      <c r="I29" s="31"/>
      <c r="J29" s="31">
        <f>J28+A_Bay_ND[[#This Row],[THÀNH TIỀN]]-A_Bay_ND[[#This Row],[THANH TOÁN]]</f>
        <v>106501000</v>
      </c>
      <c r="K29" s="24"/>
    </row>
    <row r="30" spans="1:11" x14ac:dyDescent="0.25">
      <c r="A30" s="22"/>
      <c r="B30" s="29">
        <v>46153</v>
      </c>
      <c r="C30" s="23" t="s">
        <v>21</v>
      </c>
      <c r="D30" s="37" t="s">
        <v>24</v>
      </c>
      <c r="E30" s="23"/>
      <c r="F30" s="31">
        <v>0</v>
      </c>
      <c r="G30" s="31"/>
      <c r="H30" s="31">
        <f>A_Bay_ND[[#This Row],[ĐƠN GIÁ]]*A_Bay_ND[[#This Row],[SỐ LƯỢNG]]</f>
        <v>0</v>
      </c>
      <c r="I30" s="31">
        <v>75780000</v>
      </c>
      <c r="J30" s="31">
        <f>J29+A_Bay_ND[[#This Row],[THÀNH TIỀN]]-A_Bay_ND[[#This Row],[THANH TOÁN]]</f>
        <v>30721000</v>
      </c>
      <c r="K30" s="24"/>
    </row>
    <row r="31" spans="1:11" x14ac:dyDescent="0.25">
      <c r="A31" s="22"/>
      <c r="B31" s="29">
        <v>46153</v>
      </c>
      <c r="C31" s="23" t="s">
        <v>21</v>
      </c>
      <c r="D31" s="37" t="s">
        <v>22</v>
      </c>
      <c r="E31" s="23" t="s">
        <v>47</v>
      </c>
      <c r="F31" s="31">
        <v>0</v>
      </c>
      <c r="G31" s="31"/>
      <c r="H31" s="31">
        <f>A_Bay_ND[[#This Row],[ĐƠN GIÁ]]*A_Bay_ND[[#This Row],[SỐ LƯỢNG]]</f>
        <v>0</v>
      </c>
      <c r="I31" s="31">
        <v>30600000</v>
      </c>
      <c r="J31" s="31">
        <f>J30+A_Bay_ND[[#This Row],[THÀNH TIỀN]]-A_Bay_ND[[#This Row],[THANH TOÁN]]</f>
        <v>121000</v>
      </c>
      <c r="K31" s="24"/>
    </row>
    <row r="32" spans="1:11" x14ac:dyDescent="0.25">
      <c r="A32" s="22">
        <v>9398</v>
      </c>
      <c r="B32" s="29">
        <v>46157</v>
      </c>
      <c r="C32" s="23" t="s">
        <v>13</v>
      </c>
      <c r="D32" s="37" t="s">
        <v>17</v>
      </c>
      <c r="E32" s="23" t="s">
        <v>2121</v>
      </c>
      <c r="F32" s="31">
        <v>167</v>
      </c>
      <c r="G32" s="31">
        <v>62000</v>
      </c>
      <c r="H32" s="31">
        <f>A_Bay_ND[[#This Row],[ĐƠN GIÁ]]*A_Bay_ND[[#This Row],[SỐ LƯỢNG]]</f>
        <v>10354000</v>
      </c>
      <c r="I32" s="31"/>
      <c r="J32" s="31">
        <f>J31+A_Bay_ND[[#This Row],[THÀNH TIỀN]]-A_Bay_ND[[#This Row],[THANH TOÁN]]</f>
        <v>10475000</v>
      </c>
      <c r="K32" s="24"/>
    </row>
    <row r="33" spans="1:11" x14ac:dyDescent="0.25">
      <c r="A33" s="25">
        <v>9398</v>
      </c>
      <c r="B33" s="30">
        <v>46157</v>
      </c>
      <c r="C33" s="26" t="s">
        <v>13</v>
      </c>
      <c r="D33" s="38" t="s">
        <v>17</v>
      </c>
      <c r="E33" s="26" t="s">
        <v>953</v>
      </c>
      <c r="F33" s="28">
        <v>1124</v>
      </c>
      <c r="G33" s="28">
        <v>60500</v>
      </c>
      <c r="H33" s="28">
        <f>A_Bay_ND[[#This Row],[ĐƠN GIÁ]]*A_Bay_ND[[#This Row],[SỐ LƯỢNG]]</f>
        <v>68002000</v>
      </c>
      <c r="I33" s="28"/>
      <c r="J33" s="28">
        <f>J32+A_Bay_ND[[#This Row],[THÀNH TIỀN]]-A_Bay_ND[[#This Row],[THANH TOÁN]]</f>
        <v>78477000</v>
      </c>
      <c r="K33" s="27"/>
    </row>
    <row r="34" spans="1:11" x14ac:dyDescent="0.25">
      <c r="A34" s="25"/>
      <c r="B34" s="30">
        <v>46157</v>
      </c>
      <c r="C34" s="26" t="s">
        <v>21</v>
      </c>
      <c r="D34" s="38" t="s">
        <v>24</v>
      </c>
      <c r="E34" s="26"/>
      <c r="F34" s="28">
        <v>0</v>
      </c>
      <c r="G34" s="28"/>
      <c r="H34" s="28">
        <f>A_Bay_ND[[#This Row],[ĐƠN GIÁ]]*A_Bay_ND[[#This Row],[SỐ LƯỢNG]]</f>
        <v>0</v>
      </c>
      <c r="I34" s="28">
        <v>78350000</v>
      </c>
      <c r="J34" s="28">
        <f>J33+A_Bay_ND[[#This Row],[THÀNH TIỀN]]-A_Bay_ND[[#This Row],[THANH TOÁN]]</f>
        <v>127000</v>
      </c>
      <c r="K34" s="27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48F6B4-E4CF-40CB-8EA2-F83379F3CEC6}">
  <sheetPr codeName="Sheet66"/>
  <dimension ref="A5:K77"/>
  <sheetViews>
    <sheetView topLeftCell="A23" workbookViewId="0">
      <selection activeCell="I40" sqref="I40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243139100</v>
      </c>
    </row>
    <row r="6" spans="1:11" ht="22.5" x14ac:dyDescent="0.25">
      <c r="D6" s="34" t="s">
        <v>954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A_Dong_ND[[#This Row],[ĐƠN GIÁ]]*A_Dong_ND[[#This Row],[SỐ LƯỢNG]]</f>
        <v>0</v>
      </c>
      <c r="I10" s="31"/>
      <c r="J10" s="31">
        <v>1482250</v>
      </c>
      <c r="K10" s="24"/>
    </row>
    <row r="11" spans="1:11" x14ac:dyDescent="0.25">
      <c r="A11" s="22">
        <v>7860</v>
      </c>
      <c r="B11" s="29">
        <v>46086</v>
      </c>
      <c r="C11" s="23" t="s">
        <v>13</v>
      </c>
      <c r="D11" s="37" t="s">
        <v>17</v>
      </c>
      <c r="E11" s="23" t="s">
        <v>33</v>
      </c>
      <c r="F11" s="31">
        <v>502</v>
      </c>
      <c r="G11" s="31">
        <v>57000</v>
      </c>
      <c r="H11" s="31">
        <f>A_Dong_ND[[#This Row],[ĐƠN GIÁ]]*A_Dong_ND[[#This Row],[SỐ LƯỢNG]]</f>
        <v>28614000</v>
      </c>
      <c r="I11" s="31"/>
      <c r="J11" s="31">
        <f>J10+A_Dong_ND[[#This Row],[THÀNH TIỀN]]-A_Dong_ND[[#This Row],[THANH TOÁN]]</f>
        <v>30096250</v>
      </c>
      <c r="K11" s="24" t="s">
        <v>128</v>
      </c>
    </row>
    <row r="12" spans="1:11" x14ac:dyDescent="0.25">
      <c r="A12" s="22">
        <v>7860</v>
      </c>
      <c r="B12" s="29">
        <v>46086</v>
      </c>
      <c r="C12" s="23" t="s">
        <v>13</v>
      </c>
      <c r="D12" s="37" t="s">
        <v>17</v>
      </c>
      <c r="E12" s="23" t="s">
        <v>127</v>
      </c>
      <c r="F12" s="31">
        <v>480</v>
      </c>
      <c r="G12" s="31">
        <v>57000</v>
      </c>
      <c r="H12" s="31">
        <f>A_Dong_ND[[#This Row],[ĐƠN GIÁ]]*A_Dong_ND[[#This Row],[SỐ LƯỢNG]]</f>
        <v>27360000</v>
      </c>
      <c r="I12" s="31"/>
      <c r="J12" s="31">
        <f>J11+A_Dong_ND[[#This Row],[THÀNH TIỀN]]-A_Dong_ND[[#This Row],[THANH TOÁN]]</f>
        <v>57456250</v>
      </c>
      <c r="K12" s="24" t="s">
        <v>128</v>
      </c>
    </row>
    <row r="13" spans="1:11" x14ac:dyDescent="0.25">
      <c r="A13" s="22">
        <v>7860</v>
      </c>
      <c r="B13" s="29">
        <v>46086</v>
      </c>
      <c r="C13" s="23" t="s">
        <v>13</v>
      </c>
      <c r="D13" s="37" t="s">
        <v>17</v>
      </c>
      <c r="E13" s="23" t="s">
        <v>873</v>
      </c>
      <c r="F13" s="31">
        <f>792+326+-6</f>
        <v>1112</v>
      </c>
      <c r="G13" s="31">
        <v>57000</v>
      </c>
      <c r="H13" s="31">
        <f>A_Dong_ND[[#This Row],[ĐƠN GIÁ]]*A_Dong_ND[[#This Row],[SỐ LƯỢNG]]</f>
        <v>63384000</v>
      </c>
      <c r="I13" s="31"/>
      <c r="J13" s="31">
        <f>J12+A_Dong_ND[[#This Row],[THÀNH TIỀN]]-A_Dong_ND[[#This Row],[THANH TOÁN]]</f>
        <v>120840250</v>
      </c>
      <c r="K13" s="24" t="s">
        <v>128</v>
      </c>
    </row>
    <row r="14" spans="1:11" x14ac:dyDescent="0.25">
      <c r="A14" s="25">
        <v>7885</v>
      </c>
      <c r="B14" s="30">
        <v>46087</v>
      </c>
      <c r="C14" s="26" t="s">
        <v>13</v>
      </c>
      <c r="D14" s="38" t="s">
        <v>26</v>
      </c>
      <c r="E14" s="26" t="s">
        <v>40</v>
      </c>
      <c r="F14" s="28">
        <v>198</v>
      </c>
      <c r="G14" s="28">
        <v>34000</v>
      </c>
      <c r="H14" s="28">
        <f>A_Dong_ND[[#This Row],[ĐƠN GIÁ]]*A_Dong_ND[[#This Row],[SỐ LƯỢNG]]</f>
        <v>6732000</v>
      </c>
      <c r="I14" s="28"/>
      <c r="J14" s="31">
        <f>J13+A_Dong_ND[[#This Row],[THÀNH TIỀN]]-A_Dong_ND[[#This Row],[THANH TOÁN]]</f>
        <v>127572250</v>
      </c>
      <c r="K14" s="27"/>
    </row>
    <row r="15" spans="1:11" x14ac:dyDescent="0.25">
      <c r="A15" s="25">
        <v>7885</v>
      </c>
      <c r="B15" s="30">
        <v>46087</v>
      </c>
      <c r="C15" s="26" t="s">
        <v>13</v>
      </c>
      <c r="D15" s="38" t="s">
        <v>43</v>
      </c>
      <c r="E15" s="26" t="s">
        <v>62</v>
      </c>
      <c r="F15" s="28">
        <v>556</v>
      </c>
      <c r="G15" s="28">
        <v>55000</v>
      </c>
      <c r="H15" s="28">
        <f>A_Dong_ND[[#This Row],[ĐƠN GIÁ]]*A_Dong_ND[[#This Row],[SỐ LƯỢNG]]</f>
        <v>30580000</v>
      </c>
      <c r="I15" s="28"/>
      <c r="J15" s="31">
        <f>J14+A_Dong_ND[[#This Row],[THÀNH TIỀN]]-A_Dong_ND[[#This Row],[THANH TOÁN]]</f>
        <v>158152250</v>
      </c>
      <c r="K15" s="27"/>
    </row>
    <row r="16" spans="1:11" x14ac:dyDescent="0.25">
      <c r="A16" s="25">
        <v>7885</v>
      </c>
      <c r="B16" s="30">
        <v>46087</v>
      </c>
      <c r="C16" s="26" t="s">
        <v>13</v>
      </c>
      <c r="D16" s="38" t="s">
        <v>43</v>
      </c>
      <c r="E16" s="26" t="s">
        <v>955</v>
      </c>
      <c r="F16" s="28">
        <v>1171</v>
      </c>
      <c r="G16" s="28">
        <v>52000</v>
      </c>
      <c r="H16" s="28">
        <f>A_Dong_ND[[#This Row],[ĐƠN GIÁ]]*A_Dong_ND[[#This Row],[SỐ LƯỢNG]]</f>
        <v>60892000</v>
      </c>
      <c r="I16" s="28"/>
      <c r="J16" s="31">
        <f>J15+A_Dong_ND[[#This Row],[THÀNH TIỀN]]-A_Dong_ND[[#This Row],[THANH TOÁN]]</f>
        <v>219044250</v>
      </c>
      <c r="K16" s="27"/>
    </row>
    <row r="17" spans="1:11" x14ac:dyDescent="0.25">
      <c r="A17" s="25">
        <v>7885</v>
      </c>
      <c r="B17" s="30">
        <v>46087</v>
      </c>
      <c r="C17" s="26" t="s">
        <v>21</v>
      </c>
      <c r="D17" s="38" t="s">
        <v>24</v>
      </c>
      <c r="E17" s="26"/>
      <c r="F17" s="28"/>
      <c r="G17" s="28"/>
      <c r="H17" s="28">
        <f>A_Dong_ND[[#This Row],[ĐƠN GIÁ]]*A_Dong_ND[[#This Row],[SỐ LƯỢNG]]</f>
        <v>0</v>
      </c>
      <c r="I17" s="28">
        <v>70000000</v>
      </c>
      <c r="J17" s="31">
        <f>J16+A_Dong_ND[[#This Row],[THÀNH TIỀN]]-A_Dong_ND[[#This Row],[THANH TOÁN]]</f>
        <v>149044250</v>
      </c>
      <c r="K17" s="27"/>
    </row>
    <row r="18" spans="1:11" x14ac:dyDescent="0.25">
      <c r="A18" s="25"/>
      <c r="B18" s="30">
        <v>46087</v>
      </c>
      <c r="C18" s="26" t="s">
        <v>21</v>
      </c>
      <c r="D18" s="38" t="s">
        <v>22</v>
      </c>
      <c r="E18" s="26" t="s">
        <v>718</v>
      </c>
      <c r="F18" s="28">
        <v>0</v>
      </c>
      <c r="G18" s="28">
        <v>0</v>
      </c>
      <c r="H18" s="28">
        <f>A_Dong_ND[[#This Row],[ĐƠN GIÁ]]*A_Dong_ND[[#This Row],[SỐ LƯỢNG]]</f>
        <v>0</v>
      </c>
      <c r="I18" s="28">
        <v>28200000</v>
      </c>
      <c r="J18" s="28">
        <f>J17+A_Dong_ND[[#This Row],[THÀNH TIỀN]]-A_Dong_ND[[#This Row],[THANH TOÁN]]</f>
        <v>120844250</v>
      </c>
      <c r="K18" s="27"/>
    </row>
    <row r="19" spans="1:11" x14ac:dyDescent="0.25">
      <c r="A19" s="25"/>
      <c r="B19" s="30">
        <v>46087</v>
      </c>
      <c r="C19" s="26" t="s">
        <v>21</v>
      </c>
      <c r="D19" s="38" t="s">
        <v>22</v>
      </c>
      <c r="E19" s="26" t="s">
        <v>23</v>
      </c>
      <c r="F19" s="28">
        <v>0</v>
      </c>
      <c r="G19" s="28">
        <v>0</v>
      </c>
      <c r="H19" s="28">
        <f>A_Dong_ND[[#This Row],[ĐƠN GIÁ]]*A_Dong_ND[[#This Row],[SỐ LƯỢNG]]</f>
        <v>0</v>
      </c>
      <c r="I19" s="28">
        <v>118858000</v>
      </c>
      <c r="J19" s="28">
        <f>J18+A_Dong_ND[[#This Row],[THÀNH TIỀN]]-A_Dong_ND[[#This Row],[THANH TOÁN]]</f>
        <v>1986250</v>
      </c>
      <c r="K19" s="27"/>
    </row>
    <row r="20" spans="1:11" x14ac:dyDescent="0.25">
      <c r="A20" s="25">
        <v>7845</v>
      </c>
      <c r="B20" s="30">
        <v>46090</v>
      </c>
      <c r="C20" s="26" t="s">
        <v>13</v>
      </c>
      <c r="D20" s="38" t="s">
        <v>26</v>
      </c>
      <c r="E20" s="23" t="s">
        <v>258</v>
      </c>
      <c r="F20" s="31">
        <f>1450+1135</f>
        <v>2585</v>
      </c>
      <c r="G20" s="31">
        <v>32000</v>
      </c>
      <c r="H20" s="31">
        <f>A_Dong_ND[[#This Row],[ĐƠN GIÁ]]*A_Dong_ND[[#This Row],[SỐ LƯỢNG]]</f>
        <v>82720000</v>
      </c>
      <c r="I20" s="31"/>
      <c r="J20" s="31">
        <f>J19+A_Dong_ND[[#This Row],[THÀNH TIỀN]]-A_Dong_ND[[#This Row],[THANH TOÁN]]</f>
        <v>84706250</v>
      </c>
      <c r="K20" s="24"/>
    </row>
    <row r="21" spans="1:11" x14ac:dyDescent="0.25">
      <c r="A21" s="25"/>
      <c r="B21" s="30">
        <v>46090</v>
      </c>
      <c r="C21" s="26" t="s">
        <v>21</v>
      </c>
      <c r="D21" s="38" t="s">
        <v>22</v>
      </c>
      <c r="E21" s="26" t="s">
        <v>718</v>
      </c>
      <c r="F21" s="28">
        <v>0</v>
      </c>
      <c r="G21" s="28">
        <v>0</v>
      </c>
      <c r="H21" s="28">
        <f>A_Dong_ND[[#This Row],[ĐƠN GIÁ]]*A_Dong_ND[[#This Row],[SỐ LƯỢNG]]</f>
        <v>0</v>
      </c>
      <c r="I21" s="28">
        <v>82720000</v>
      </c>
      <c r="J21" s="28">
        <f>J20+A_Dong_ND[[#This Row],[THÀNH TIỀN]]-A_Dong_ND[[#This Row],[THANH TOÁN]]</f>
        <v>1986250</v>
      </c>
      <c r="K21" s="27"/>
    </row>
    <row r="22" spans="1:11" x14ac:dyDescent="0.25">
      <c r="A22" s="25">
        <v>7998</v>
      </c>
      <c r="B22" s="30">
        <v>46092</v>
      </c>
      <c r="C22" s="26" t="s">
        <v>13</v>
      </c>
      <c r="D22" s="38" t="s">
        <v>17</v>
      </c>
      <c r="E22" s="26" t="s">
        <v>163</v>
      </c>
      <c r="F22" s="28">
        <v>641</v>
      </c>
      <c r="G22" s="28">
        <v>58500</v>
      </c>
      <c r="H22" s="28">
        <f>A_Dong_ND[[#This Row],[ĐƠN GIÁ]]*A_Dong_ND[[#This Row],[SỐ LƯỢNG]]</f>
        <v>37498500</v>
      </c>
      <c r="I22" s="28"/>
      <c r="J22" s="28">
        <f>J21+A_Dong_ND[[#This Row],[THÀNH TIỀN]]-A_Dong_ND[[#This Row],[THANH TOÁN]]</f>
        <v>39484750</v>
      </c>
      <c r="K22" s="27" t="s">
        <v>128</v>
      </c>
    </row>
    <row r="23" spans="1:11" x14ac:dyDescent="0.25">
      <c r="A23" s="25">
        <v>7998</v>
      </c>
      <c r="B23" s="30">
        <v>46092</v>
      </c>
      <c r="C23" s="26" t="s">
        <v>13</v>
      </c>
      <c r="D23" s="38" t="s">
        <v>17</v>
      </c>
      <c r="E23" s="23" t="s">
        <v>127</v>
      </c>
      <c r="F23" s="31">
        <f>442+444+444</f>
        <v>1330</v>
      </c>
      <c r="G23" s="31">
        <v>58500</v>
      </c>
      <c r="H23" s="31">
        <f>A_Dong_ND[[#This Row],[ĐƠN GIÁ]]*A_Dong_ND[[#This Row],[SỐ LƯỢNG]]</f>
        <v>77805000</v>
      </c>
      <c r="I23" s="31"/>
      <c r="J23" s="31">
        <f>J22+A_Dong_ND[[#This Row],[THÀNH TIỀN]]-A_Dong_ND[[#This Row],[THANH TOÁN]]</f>
        <v>117289750</v>
      </c>
      <c r="K23" s="24"/>
    </row>
    <row r="24" spans="1:11" x14ac:dyDescent="0.25">
      <c r="A24" s="25">
        <v>7998</v>
      </c>
      <c r="B24" s="30">
        <v>46092</v>
      </c>
      <c r="C24" s="26" t="s">
        <v>21</v>
      </c>
      <c r="D24" s="38" t="s">
        <v>24</v>
      </c>
      <c r="E24" s="23"/>
      <c r="F24" s="31"/>
      <c r="G24" s="31"/>
      <c r="H24" s="31">
        <f>A_Dong_ND[[#This Row],[ĐƠN GIÁ]]*A_Dong_ND[[#This Row],[SỐ LƯỢNG]]</f>
        <v>0</v>
      </c>
      <c r="I24" s="31">
        <v>15300000</v>
      </c>
      <c r="J24" s="31">
        <f>J23+A_Dong_ND[[#This Row],[THÀNH TIỀN]]-A_Dong_ND[[#This Row],[THANH TOÁN]]</f>
        <v>101989750</v>
      </c>
      <c r="K24" s="24"/>
    </row>
    <row r="25" spans="1:11" x14ac:dyDescent="0.25">
      <c r="A25" s="25"/>
      <c r="B25" s="30">
        <v>46092</v>
      </c>
      <c r="C25" s="26" t="s">
        <v>21</v>
      </c>
      <c r="D25" s="38" t="s">
        <v>22</v>
      </c>
      <c r="E25" s="26" t="s">
        <v>718</v>
      </c>
      <c r="F25" s="28">
        <v>0</v>
      </c>
      <c r="G25" s="28">
        <v>0</v>
      </c>
      <c r="H25" s="28">
        <f>A_Dong_ND[[#This Row],[ĐƠN GIÁ]]*A_Dong_ND[[#This Row],[SỐ LƯỢNG]]</f>
        <v>0</v>
      </c>
      <c r="I25" s="28">
        <v>100000000</v>
      </c>
      <c r="J25" s="28">
        <f>J24+A_Dong_ND[[#This Row],[THÀNH TIỀN]]-A_Dong_ND[[#This Row],[THANH TOÁN]]</f>
        <v>1989750</v>
      </c>
      <c r="K25" s="27"/>
    </row>
    <row r="26" spans="1:11" x14ac:dyDescent="0.25">
      <c r="A26" s="25">
        <v>8041</v>
      </c>
      <c r="B26" s="30">
        <v>46093</v>
      </c>
      <c r="C26" s="26" t="s">
        <v>13</v>
      </c>
      <c r="D26" s="38" t="s">
        <v>17</v>
      </c>
      <c r="E26" s="26" t="s">
        <v>873</v>
      </c>
      <c r="F26" s="28">
        <f>912+866</f>
        <v>1778</v>
      </c>
      <c r="G26" s="28">
        <v>58500</v>
      </c>
      <c r="H26" s="28">
        <f>A_Dong_ND[[#This Row],[ĐƠN GIÁ]]*A_Dong_ND[[#This Row],[SỐ LƯỢNG]]</f>
        <v>104013000</v>
      </c>
      <c r="I26" s="28"/>
      <c r="J26" s="28">
        <f>J25+A_Dong_ND[[#This Row],[THÀNH TIỀN]]-A_Dong_ND[[#This Row],[THANH TOÁN]]</f>
        <v>106002750</v>
      </c>
      <c r="K26" s="27" t="s">
        <v>128</v>
      </c>
    </row>
    <row r="27" spans="1:11" x14ac:dyDescent="0.25">
      <c r="A27" s="25">
        <v>8041</v>
      </c>
      <c r="B27" s="30">
        <v>46093</v>
      </c>
      <c r="C27" s="26" t="s">
        <v>13</v>
      </c>
      <c r="D27" s="38" t="s">
        <v>17</v>
      </c>
      <c r="E27" s="26" t="s">
        <v>25</v>
      </c>
      <c r="F27" s="28">
        <v>480</v>
      </c>
      <c r="G27" s="28">
        <v>58500</v>
      </c>
      <c r="H27" s="28">
        <f>A_Dong_ND[[#This Row],[ĐƠN GIÁ]]*A_Dong_ND[[#This Row],[SỐ LƯỢNG]]</f>
        <v>28080000</v>
      </c>
      <c r="I27" s="28"/>
      <c r="J27" s="28">
        <f>J26+A_Dong_ND[[#This Row],[THÀNH TIỀN]]-A_Dong_ND[[#This Row],[THANH TOÁN]]</f>
        <v>134082750</v>
      </c>
      <c r="K27" s="27"/>
    </row>
    <row r="28" spans="1:11" x14ac:dyDescent="0.25">
      <c r="A28" s="25">
        <v>8041</v>
      </c>
      <c r="B28" s="30">
        <v>46093</v>
      </c>
      <c r="C28" s="26" t="s">
        <v>13</v>
      </c>
      <c r="D28" s="38" t="s">
        <v>17</v>
      </c>
      <c r="E28" s="23" t="s">
        <v>956</v>
      </c>
      <c r="F28" s="31">
        <v>1886</v>
      </c>
      <c r="G28" s="31">
        <v>58500</v>
      </c>
      <c r="H28" s="31">
        <f>A_Dong_ND[[#This Row],[ĐƠN GIÁ]]*A_Dong_ND[[#This Row],[SỐ LƯỢNG]]</f>
        <v>110331000</v>
      </c>
      <c r="I28" s="31"/>
      <c r="J28" s="31">
        <f>J27+A_Dong_ND[[#This Row],[THÀNH TIỀN]]-A_Dong_ND[[#This Row],[THANH TOÁN]]</f>
        <v>244413750</v>
      </c>
      <c r="K28" s="24"/>
    </row>
    <row r="29" spans="1:11" x14ac:dyDescent="0.25">
      <c r="A29" s="25">
        <v>8041</v>
      </c>
      <c r="B29" s="30">
        <v>46093</v>
      </c>
      <c r="C29" s="26" t="s">
        <v>21</v>
      </c>
      <c r="D29" s="38" t="s">
        <v>24</v>
      </c>
      <c r="E29" s="23"/>
      <c r="F29" s="31"/>
      <c r="G29" s="31"/>
      <c r="H29" s="31">
        <f>A_Dong_ND[[#This Row],[ĐƠN GIÁ]]*A_Dong_ND[[#This Row],[SỐ LƯỢNG]]</f>
        <v>0</v>
      </c>
      <c r="I29" s="31">
        <v>120000000</v>
      </c>
      <c r="J29" s="31">
        <f>J28+A_Dong_ND[[#This Row],[THÀNH TIỀN]]-A_Dong_ND[[#This Row],[THANH TOÁN]]</f>
        <v>124413750</v>
      </c>
      <c r="K29" s="24"/>
    </row>
    <row r="30" spans="1:11" x14ac:dyDescent="0.25">
      <c r="A30" s="25"/>
      <c r="B30" s="30">
        <v>46093</v>
      </c>
      <c r="C30" s="26" t="s">
        <v>21</v>
      </c>
      <c r="D30" s="38" t="s">
        <v>22</v>
      </c>
      <c r="E30" s="26" t="s">
        <v>718</v>
      </c>
      <c r="F30" s="28">
        <v>0</v>
      </c>
      <c r="G30" s="28">
        <v>0</v>
      </c>
      <c r="H30" s="28">
        <f>A_Dong_ND[[#This Row],[ĐƠN GIÁ]]*A_Dong_ND[[#This Row],[SỐ LƯỢNG]]</f>
        <v>0</v>
      </c>
      <c r="I30" s="28">
        <v>18411000</v>
      </c>
      <c r="J30" s="28">
        <f>J29+A_Dong_ND[[#This Row],[THÀNH TIỀN]]-A_Dong_ND[[#This Row],[THANH TOÁN]]</f>
        <v>106002750</v>
      </c>
      <c r="K30" s="27"/>
    </row>
    <row r="31" spans="1:11" x14ac:dyDescent="0.25">
      <c r="A31" s="25"/>
      <c r="B31" s="29">
        <v>46093</v>
      </c>
      <c r="C31" s="23" t="s">
        <v>21</v>
      </c>
      <c r="D31" s="37" t="s">
        <v>22</v>
      </c>
      <c r="E31" s="23" t="s">
        <v>718</v>
      </c>
      <c r="F31" s="31">
        <v>0</v>
      </c>
      <c r="G31" s="31">
        <v>0</v>
      </c>
      <c r="H31" s="31">
        <f>A_Dong_ND[[#This Row],[ĐƠN GIÁ]]*A_Dong_ND[[#This Row],[SỐ LƯỢNG]]</f>
        <v>0</v>
      </c>
      <c r="I31" s="31">
        <v>104013000</v>
      </c>
      <c r="J31" s="31">
        <f>J30+A_Dong_ND[[#This Row],[THÀNH TIỀN]]-A_Dong_ND[[#This Row],[THANH TOÁN]]</f>
        <v>1989750</v>
      </c>
      <c r="K31" s="24"/>
    </row>
    <row r="32" spans="1:11" x14ac:dyDescent="0.25">
      <c r="A32" s="25">
        <v>8099</v>
      </c>
      <c r="B32" s="30">
        <v>46095</v>
      </c>
      <c r="C32" s="26" t="s">
        <v>13</v>
      </c>
      <c r="D32" s="38" t="s">
        <v>54</v>
      </c>
      <c r="E32" s="26" t="s">
        <v>185</v>
      </c>
      <c r="F32" s="28">
        <v>930</v>
      </c>
      <c r="G32" s="28">
        <v>34000</v>
      </c>
      <c r="H32" s="28">
        <f>A_Dong_ND[[#This Row],[ĐƠN GIÁ]]*A_Dong_ND[[#This Row],[SỐ LƯỢNG]]</f>
        <v>31620000</v>
      </c>
      <c r="I32" s="28"/>
      <c r="J32" s="28">
        <f>J31+A_Dong_ND[[#This Row],[THÀNH TIỀN]]-A_Dong_ND[[#This Row],[THANH TOÁN]]</f>
        <v>33609750</v>
      </c>
      <c r="K32" s="27" t="s">
        <v>128</v>
      </c>
    </row>
    <row r="33" spans="1:11" x14ac:dyDescent="0.25">
      <c r="A33" s="25"/>
      <c r="B33" s="30">
        <v>46095</v>
      </c>
      <c r="C33" s="26" t="s">
        <v>21</v>
      </c>
      <c r="D33" s="38" t="s">
        <v>22</v>
      </c>
      <c r="E33" s="26" t="s">
        <v>718</v>
      </c>
      <c r="F33" s="28">
        <v>0</v>
      </c>
      <c r="G33" s="28">
        <v>0</v>
      </c>
      <c r="H33" s="28">
        <f>A_Dong_ND[[#This Row],[ĐƠN GIÁ]]*A_Dong_ND[[#This Row],[SỐ LƯỢNG]]</f>
        <v>0</v>
      </c>
      <c r="I33" s="28">
        <v>31620000</v>
      </c>
      <c r="J33" s="28">
        <f>J32+A_Dong_ND[[#This Row],[THÀNH TIỀN]]-A_Dong_ND[[#This Row],[THANH TOÁN]]</f>
        <v>1989750</v>
      </c>
      <c r="K33" s="27"/>
    </row>
    <row r="34" spans="1:11" x14ac:dyDescent="0.25">
      <c r="A34" s="25">
        <v>8146</v>
      </c>
      <c r="B34" s="30">
        <v>46098</v>
      </c>
      <c r="C34" s="26" t="s">
        <v>13</v>
      </c>
      <c r="D34" s="38" t="s">
        <v>103</v>
      </c>
      <c r="E34" s="26" t="s">
        <v>117</v>
      </c>
      <c r="F34" s="28">
        <v>290</v>
      </c>
      <c r="G34" s="28">
        <v>38000</v>
      </c>
      <c r="H34" s="28">
        <f>A_Dong_ND[[#This Row],[ĐƠN GIÁ]]*A_Dong_ND[[#This Row],[SỐ LƯỢNG]]</f>
        <v>11020000</v>
      </c>
      <c r="I34" s="28"/>
      <c r="J34" s="28">
        <f>J33+A_Dong_ND[[#This Row],[THÀNH TIỀN]]-A_Dong_ND[[#This Row],[THANH TOÁN]]</f>
        <v>13009750</v>
      </c>
      <c r="K34" s="27"/>
    </row>
    <row r="35" spans="1:11" x14ac:dyDescent="0.25">
      <c r="A35" s="25">
        <v>8146</v>
      </c>
      <c r="B35" s="30">
        <v>46098</v>
      </c>
      <c r="C35" s="26" t="s">
        <v>13</v>
      </c>
      <c r="D35" s="38" t="s">
        <v>68</v>
      </c>
      <c r="E35" s="23" t="s">
        <v>146</v>
      </c>
      <c r="F35" s="31">
        <v>424</v>
      </c>
      <c r="G35" s="31">
        <v>40000</v>
      </c>
      <c r="H35" s="31">
        <f>A_Dong_ND[[#This Row],[ĐƠN GIÁ]]*A_Dong_ND[[#This Row],[SỐ LƯỢNG]]</f>
        <v>16960000</v>
      </c>
      <c r="I35" s="31"/>
      <c r="J35" s="31">
        <f>J34+A_Dong_ND[[#This Row],[THÀNH TIỀN]]-A_Dong_ND[[#This Row],[THANH TOÁN]]</f>
        <v>29969750</v>
      </c>
      <c r="K35" s="27"/>
    </row>
    <row r="36" spans="1:11" x14ac:dyDescent="0.25">
      <c r="A36" s="25">
        <v>8146</v>
      </c>
      <c r="B36" s="30">
        <v>46098</v>
      </c>
      <c r="C36" s="26" t="s">
        <v>13</v>
      </c>
      <c r="D36" s="38" t="s">
        <v>43</v>
      </c>
      <c r="E36" s="23" t="s">
        <v>110</v>
      </c>
      <c r="F36" s="31">
        <v>320</v>
      </c>
      <c r="G36" s="31">
        <v>55000</v>
      </c>
      <c r="H36" s="31">
        <f>A_Dong_ND[[#This Row],[ĐƠN GIÁ]]*A_Dong_ND[[#This Row],[SỐ LƯỢNG]]</f>
        <v>17600000</v>
      </c>
      <c r="I36" s="31"/>
      <c r="J36" s="31">
        <f>J35+A_Dong_ND[[#This Row],[THÀNH TIỀN]]-A_Dong_ND[[#This Row],[THANH TOÁN]]</f>
        <v>47569750</v>
      </c>
      <c r="K36" s="27"/>
    </row>
    <row r="37" spans="1:11" x14ac:dyDescent="0.25">
      <c r="A37" s="25">
        <v>8146</v>
      </c>
      <c r="B37" s="30">
        <v>46098</v>
      </c>
      <c r="C37" s="23" t="s">
        <v>13</v>
      </c>
      <c r="D37" s="37" t="s">
        <v>17</v>
      </c>
      <c r="E37" s="23" t="s">
        <v>46</v>
      </c>
      <c r="F37" s="31">
        <v>916</v>
      </c>
      <c r="G37" s="31">
        <v>58500</v>
      </c>
      <c r="H37" s="31">
        <f>A_Dong_ND[[#This Row],[ĐƠN GIÁ]]*A_Dong_ND[[#This Row],[SỐ LƯỢNG]]</f>
        <v>53586000</v>
      </c>
      <c r="I37" s="31"/>
      <c r="J37" s="31">
        <f>J36+A_Dong_ND[[#This Row],[THÀNH TIỀN]]-A_Dong_ND[[#This Row],[THANH TOÁN]]</f>
        <v>101155750</v>
      </c>
      <c r="K37" s="24"/>
    </row>
    <row r="38" spans="1:11" x14ac:dyDescent="0.25">
      <c r="A38" s="25">
        <v>8146</v>
      </c>
      <c r="B38" s="30">
        <v>46098</v>
      </c>
      <c r="C38" s="26" t="s">
        <v>21</v>
      </c>
      <c r="D38" s="38" t="s">
        <v>22</v>
      </c>
      <c r="E38" s="26" t="s">
        <v>718</v>
      </c>
      <c r="F38" s="28"/>
      <c r="G38" s="28"/>
      <c r="H38" s="28">
        <f>A_Dong_ND[[#This Row],[ĐƠN GIÁ]]*A_Dong_ND[[#This Row],[SỐ LƯỢNG]]</f>
        <v>0</v>
      </c>
      <c r="I38" s="28">
        <v>99166000</v>
      </c>
      <c r="J38" s="28">
        <f>J37+A_Dong_ND[[#This Row],[THÀNH TIỀN]]-A_Dong_ND[[#This Row],[THANH TOÁN]]</f>
        <v>1989750</v>
      </c>
      <c r="K38" s="27"/>
    </row>
    <row r="39" spans="1:11" x14ac:dyDescent="0.25">
      <c r="A39" s="25">
        <v>8201</v>
      </c>
      <c r="B39" s="30">
        <v>46102</v>
      </c>
      <c r="C39" s="26" t="s">
        <v>13</v>
      </c>
      <c r="D39" s="38" t="s">
        <v>17</v>
      </c>
      <c r="E39" s="26" t="s">
        <v>873</v>
      </c>
      <c r="F39" s="28">
        <v>1718</v>
      </c>
      <c r="G39" s="28">
        <v>59000</v>
      </c>
      <c r="H39" s="28">
        <f>A_Dong_ND[[#This Row],[ĐƠN GIÁ]]*A_Dong_ND[[#This Row],[SỐ LƯỢNG]]</f>
        <v>101362000</v>
      </c>
      <c r="I39" s="28"/>
      <c r="J39" s="28">
        <f>J38+A_Dong_ND[[#This Row],[THÀNH TIỀN]]-A_Dong_ND[[#This Row],[THANH TOÁN]]</f>
        <v>103351750</v>
      </c>
      <c r="K39" s="27" t="s">
        <v>128</v>
      </c>
    </row>
    <row r="40" spans="1:11" x14ac:dyDescent="0.25">
      <c r="A40" s="25"/>
      <c r="B40" s="30">
        <v>46102</v>
      </c>
      <c r="C40" s="26" t="s">
        <v>21</v>
      </c>
      <c r="D40" s="38" t="s">
        <v>22</v>
      </c>
      <c r="E40" s="23" t="s">
        <v>718</v>
      </c>
      <c r="F40" s="31">
        <v>1</v>
      </c>
      <c r="G40" s="31">
        <v>-1989750</v>
      </c>
      <c r="H40" s="31">
        <f>A_Dong_ND[[#This Row],[ĐƠN GIÁ]]*A_Dong_ND[[#This Row],[SỐ LƯỢNG]]</f>
        <v>-1989750</v>
      </c>
      <c r="I40" s="31">
        <v>101362000</v>
      </c>
      <c r="J40" s="31">
        <f>J39+A_Dong_ND[[#This Row],[THÀNH TIỀN]]-A_Dong_ND[[#This Row],[THANH TOÁN]]</f>
        <v>0</v>
      </c>
      <c r="K40" s="27"/>
    </row>
    <row r="41" spans="1:11" x14ac:dyDescent="0.25">
      <c r="A41" s="25">
        <v>8221</v>
      </c>
      <c r="B41" s="30">
        <v>46104</v>
      </c>
      <c r="C41" s="26" t="s">
        <v>13</v>
      </c>
      <c r="D41" s="38" t="s">
        <v>195</v>
      </c>
      <c r="E41" s="23" t="s">
        <v>957</v>
      </c>
      <c r="F41" s="31">
        <v>376</v>
      </c>
      <c r="G41" s="31">
        <v>26000</v>
      </c>
      <c r="H41" s="31">
        <f>A_Dong_ND[[#This Row],[ĐƠN GIÁ]]*A_Dong_ND[[#This Row],[SỐ LƯỢNG]]</f>
        <v>9776000</v>
      </c>
      <c r="I41" s="31"/>
      <c r="J41" s="31">
        <f>J40+A_Dong_ND[[#This Row],[THÀNH TIỀN]]-A_Dong_ND[[#This Row],[THANH TOÁN]]</f>
        <v>9776000</v>
      </c>
      <c r="K41" s="27" t="s">
        <v>128</v>
      </c>
    </row>
    <row r="42" spans="1:11" x14ac:dyDescent="0.25">
      <c r="A42" s="25">
        <v>8221</v>
      </c>
      <c r="B42" s="30">
        <v>46104</v>
      </c>
      <c r="C42" s="26" t="s">
        <v>13</v>
      </c>
      <c r="D42" s="38" t="s">
        <v>17</v>
      </c>
      <c r="E42" s="26" t="s">
        <v>25</v>
      </c>
      <c r="F42" s="28">
        <v>316</v>
      </c>
      <c r="G42" s="28">
        <v>59000</v>
      </c>
      <c r="H42" s="28">
        <f>A_Dong_ND[[#This Row],[ĐƠN GIÁ]]*A_Dong_ND[[#This Row],[SỐ LƯỢNG]]</f>
        <v>18644000</v>
      </c>
      <c r="I42" s="28"/>
      <c r="J42" s="28">
        <f>J41+A_Dong_ND[[#This Row],[THÀNH TIỀN]]-A_Dong_ND[[#This Row],[THANH TOÁN]]</f>
        <v>28420000</v>
      </c>
      <c r="K42" s="27" t="s">
        <v>128</v>
      </c>
    </row>
    <row r="43" spans="1:11" x14ac:dyDescent="0.25">
      <c r="A43" s="25">
        <v>8221</v>
      </c>
      <c r="B43" s="30">
        <v>46104</v>
      </c>
      <c r="C43" s="26" t="s">
        <v>13</v>
      </c>
      <c r="D43" s="38" t="s">
        <v>17</v>
      </c>
      <c r="E43" s="23" t="s">
        <v>33</v>
      </c>
      <c r="F43" s="31">
        <v>522</v>
      </c>
      <c r="G43" s="31">
        <v>59000</v>
      </c>
      <c r="H43" s="31">
        <f>A_Dong_ND[[#This Row],[ĐƠN GIÁ]]*A_Dong_ND[[#This Row],[SỐ LƯỢNG]]</f>
        <v>30798000</v>
      </c>
      <c r="I43" s="31"/>
      <c r="J43" s="31">
        <f>J42+A_Dong_ND[[#This Row],[THÀNH TIỀN]]-A_Dong_ND[[#This Row],[THANH TOÁN]]</f>
        <v>59218000</v>
      </c>
      <c r="K43" s="24" t="s">
        <v>128</v>
      </c>
    </row>
    <row r="44" spans="1:11" x14ac:dyDescent="0.25">
      <c r="A44" s="25">
        <v>8221</v>
      </c>
      <c r="B44" s="30">
        <v>46104</v>
      </c>
      <c r="C44" s="26" t="s">
        <v>13</v>
      </c>
      <c r="D44" s="38" t="s">
        <v>17</v>
      </c>
      <c r="E44" s="23" t="s">
        <v>640</v>
      </c>
      <c r="F44" s="31">
        <v>522</v>
      </c>
      <c r="G44" s="31">
        <v>59000</v>
      </c>
      <c r="H44" s="31">
        <f>A_Dong_ND[[#This Row],[ĐƠN GIÁ]]*A_Dong_ND[[#This Row],[SỐ LƯỢNG]]</f>
        <v>30798000</v>
      </c>
      <c r="I44" s="31"/>
      <c r="J44" s="31">
        <f>J43+A_Dong_ND[[#This Row],[THÀNH TIỀN]]-A_Dong_ND[[#This Row],[THANH TOÁN]]</f>
        <v>90016000</v>
      </c>
      <c r="K44" s="24" t="s">
        <v>128</v>
      </c>
    </row>
    <row r="45" spans="1:11" x14ac:dyDescent="0.25">
      <c r="A45" s="25">
        <v>8221</v>
      </c>
      <c r="B45" s="30">
        <v>46104</v>
      </c>
      <c r="C45" s="26" t="s">
        <v>21</v>
      </c>
      <c r="D45" s="38" t="s">
        <v>24</v>
      </c>
      <c r="E45" s="26"/>
      <c r="F45" s="28">
        <v>-1</v>
      </c>
      <c r="G45" s="28"/>
      <c r="H45" s="28">
        <f>A_Dong_ND[[#This Row],[ĐƠN GIÁ]]*A_Dong_ND[[#This Row],[SỐ LƯỢNG]]</f>
        <v>0</v>
      </c>
      <c r="I45" s="28">
        <v>28000000</v>
      </c>
      <c r="J45" s="28">
        <f>J44+A_Dong_ND[[#This Row],[THÀNH TIỀN]]-A_Dong_ND[[#This Row],[THANH TOÁN]]</f>
        <v>62016000</v>
      </c>
      <c r="K45" s="27"/>
    </row>
    <row r="46" spans="1:11" x14ac:dyDescent="0.25">
      <c r="A46" s="25">
        <v>8350</v>
      </c>
      <c r="B46" s="30">
        <v>46107</v>
      </c>
      <c r="C46" s="26" t="s">
        <v>13</v>
      </c>
      <c r="D46" s="38" t="s">
        <v>50</v>
      </c>
      <c r="E46" s="26" t="s">
        <v>71</v>
      </c>
      <c r="F46" s="28">
        <v>678</v>
      </c>
      <c r="G46" s="28">
        <v>55000</v>
      </c>
      <c r="H46" s="28">
        <f>A_Dong_ND[[#This Row],[ĐƠN GIÁ]]*A_Dong_ND[[#This Row],[SỐ LƯỢNG]]</f>
        <v>37290000</v>
      </c>
      <c r="I46" s="28"/>
      <c r="J46" s="28">
        <f>J45+A_Dong_ND[[#This Row],[THÀNH TIỀN]]-A_Dong_ND[[#This Row],[THANH TOÁN]]</f>
        <v>99306000</v>
      </c>
      <c r="K46" s="27"/>
    </row>
    <row r="47" spans="1:11" x14ac:dyDescent="0.25">
      <c r="A47" s="25">
        <v>8350</v>
      </c>
      <c r="B47" s="30">
        <v>46107</v>
      </c>
      <c r="C47" s="26" t="s">
        <v>13</v>
      </c>
      <c r="D47" s="38" t="s">
        <v>50</v>
      </c>
      <c r="E47" s="26" t="s">
        <v>958</v>
      </c>
      <c r="F47" s="28">
        <v>182</v>
      </c>
      <c r="G47" s="28">
        <v>60000</v>
      </c>
      <c r="H47" s="28">
        <f>A_Dong_ND[[#This Row],[ĐƠN GIÁ]]*A_Dong_ND[[#This Row],[SỐ LƯỢNG]]</f>
        <v>10920000</v>
      </c>
      <c r="I47" s="28"/>
      <c r="J47" s="28">
        <f>J46+A_Dong_ND[[#This Row],[THÀNH TIỀN]]-A_Dong_ND[[#This Row],[THANH TOÁN]]</f>
        <v>110226000</v>
      </c>
      <c r="K47" s="27"/>
    </row>
    <row r="48" spans="1:11" x14ac:dyDescent="0.25">
      <c r="A48" s="25"/>
      <c r="B48" s="30">
        <v>46107</v>
      </c>
      <c r="C48" s="26" t="s">
        <v>21</v>
      </c>
      <c r="D48" s="38" t="s">
        <v>22</v>
      </c>
      <c r="E48" s="26" t="s">
        <v>727</v>
      </c>
      <c r="F48" s="28">
        <v>0</v>
      </c>
      <c r="G48" s="28"/>
      <c r="H48" s="28">
        <f>A_Dong_ND[[#This Row],[ĐƠN GIÁ]]*A_Dong_ND[[#This Row],[SỐ LƯỢNG]]</f>
        <v>0</v>
      </c>
      <c r="I48" s="28">
        <v>110226000</v>
      </c>
      <c r="J48" s="28">
        <f>J47+A_Dong_ND[[#This Row],[THÀNH TIỀN]]-A_Dong_ND[[#This Row],[THANH TOÁN]]</f>
        <v>0</v>
      </c>
      <c r="K48" s="27"/>
    </row>
    <row r="49" spans="1:11" x14ac:dyDescent="0.25">
      <c r="A49" s="25">
        <v>8376</v>
      </c>
      <c r="B49" s="30">
        <v>46108</v>
      </c>
      <c r="C49" s="26" t="s">
        <v>13</v>
      </c>
      <c r="D49" s="38" t="s">
        <v>17</v>
      </c>
      <c r="E49" s="26" t="s">
        <v>959</v>
      </c>
      <c r="F49" s="28">
        <v>1326</v>
      </c>
      <c r="G49" s="28">
        <v>60000</v>
      </c>
      <c r="H49" s="28">
        <f>A_Dong_ND[[#This Row],[ĐƠN GIÁ]]*A_Dong_ND[[#This Row],[SỐ LƯỢNG]]</f>
        <v>79560000</v>
      </c>
      <c r="I49" s="28"/>
      <c r="J49" s="28">
        <f>J48+A_Dong_ND[[#This Row],[THÀNH TIỀN]]-A_Dong_ND[[#This Row],[THANH TOÁN]]</f>
        <v>79560000</v>
      </c>
      <c r="K49" s="27" t="s">
        <v>128</v>
      </c>
    </row>
    <row r="50" spans="1:11" x14ac:dyDescent="0.25">
      <c r="A50" s="25">
        <v>8376</v>
      </c>
      <c r="B50" s="30">
        <v>46108</v>
      </c>
      <c r="C50" s="26" t="s">
        <v>13</v>
      </c>
      <c r="D50" s="38" t="s">
        <v>17</v>
      </c>
      <c r="E50" s="26" t="s">
        <v>960</v>
      </c>
      <c r="F50" s="28">
        <v>174</v>
      </c>
      <c r="G50" s="28">
        <v>60000</v>
      </c>
      <c r="H50" s="28">
        <f>A_Dong_ND[[#This Row],[ĐƠN GIÁ]]*A_Dong_ND[[#This Row],[SỐ LƯỢNG]]</f>
        <v>10440000</v>
      </c>
      <c r="I50" s="28"/>
      <c r="J50" s="28">
        <f>J49+A_Dong_ND[[#This Row],[THÀNH TIỀN]]-A_Dong_ND[[#This Row],[THANH TOÁN]]</f>
        <v>90000000</v>
      </c>
      <c r="K50" s="27" t="s">
        <v>128</v>
      </c>
    </row>
    <row r="51" spans="1:11" x14ac:dyDescent="0.25">
      <c r="A51" s="25">
        <v>8376</v>
      </c>
      <c r="B51" s="30">
        <v>46108</v>
      </c>
      <c r="C51" s="26" t="s">
        <v>13</v>
      </c>
      <c r="D51" s="38" t="s">
        <v>17</v>
      </c>
      <c r="E51" s="26" t="s">
        <v>127</v>
      </c>
      <c r="F51" s="28">
        <v>900</v>
      </c>
      <c r="G51" s="28">
        <v>59000</v>
      </c>
      <c r="H51" s="28">
        <f>A_Dong_ND[[#This Row],[ĐƠN GIÁ]]*A_Dong_ND[[#This Row],[SỐ LƯỢNG]]</f>
        <v>53100000</v>
      </c>
      <c r="I51" s="28"/>
      <c r="J51" s="28">
        <f>J50+A_Dong_ND[[#This Row],[THÀNH TIỀN]]-A_Dong_ND[[#This Row],[THANH TOÁN]]</f>
        <v>143100000</v>
      </c>
      <c r="K51" s="27" t="s">
        <v>128</v>
      </c>
    </row>
    <row r="52" spans="1:11" x14ac:dyDescent="0.25">
      <c r="A52" s="25"/>
      <c r="B52" s="30">
        <v>46108</v>
      </c>
      <c r="C52" s="26" t="s">
        <v>21</v>
      </c>
      <c r="D52" s="38" t="s">
        <v>22</v>
      </c>
      <c r="E52" s="26" t="s">
        <v>718</v>
      </c>
      <c r="F52" s="28">
        <v>0</v>
      </c>
      <c r="G52" s="28">
        <v>0</v>
      </c>
      <c r="H52" s="28">
        <f>A_Dong_ND[[#This Row],[ĐƠN GIÁ]]*A_Dong_ND[[#This Row],[SỐ LƯỢNG]]</f>
        <v>0</v>
      </c>
      <c r="I52" s="28">
        <v>125000000</v>
      </c>
      <c r="J52" s="28">
        <f>J51+A_Dong_ND[[#This Row],[THÀNH TIỀN]]-A_Dong_ND[[#This Row],[THANH TOÁN]]</f>
        <v>18100000</v>
      </c>
      <c r="K52" s="27"/>
    </row>
    <row r="53" spans="1:11" x14ac:dyDescent="0.25">
      <c r="A53" s="25">
        <v>8442</v>
      </c>
      <c r="B53" s="30">
        <v>46112</v>
      </c>
      <c r="C53" s="26" t="s">
        <v>13</v>
      </c>
      <c r="D53" s="38" t="s">
        <v>26</v>
      </c>
      <c r="E53" s="26" t="s">
        <v>127</v>
      </c>
      <c r="F53" s="28">
        <v>954</v>
      </c>
      <c r="G53" s="28">
        <v>33000</v>
      </c>
      <c r="H53" s="28">
        <f>A_Dong_ND[[#This Row],[ĐƠN GIÁ]]*A_Dong_ND[[#This Row],[SỐ LƯỢNG]]</f>
        <v>31482000</v>
      </c>
      <c r="I53" s="28"/>
      <c r="J53" s="28">
        <f>J52+A_Dong_ND[[#This Row],[THÀNH TIỀN]]-A_Dong_ND[[#This Row],[THANH TOÁN]]</f>
        <v>49582000</v>
      </c>
      <c r="K53" s="27"/>
    </row>
    <row r="54" spans="1:11" x14ac:dyDescent="0.25">
      <c r="A54" s="25">
        <v>8442</v>
      </c>
      <c r="B54" s="30">
        <v>46112</v>
      </c>
      <c r="C54" s="26" t="s">
        <v>13</v>
      </c>
      <c r="D54" s="38" t="s">
        <v>26</v>
      </c>
      <c r="E54" s="26" t="s">
        <v>46</v>
      </c>
      <c r="F54" s="28">
        <v>650</v>
      </c>
      <c r="G54" s="28">
        <v>33000</v>
      </c>
      <c r="H54" s="28">
        <f>A_Dong_ND[[#This Row],[ĐƠN GIÁ]]*A_Dong_ND[[#This Row],[SỐ LƯỢNG]]</f>
        <v>21450000</v>
      </c>
      <c r="I54" s="28"/>
      <c r="J54" s="28">
        <f>J53+A_Dong_ND[[#This Row],[THÀNH TIỀN]]-A_Dong_ND[[#This Row],[THANH TOÁN]]</f>
        <v>71032000</v>
      </c>
      <c r="K54" s="27"/>
    </row>
    <row r="55" spans="1:11" x14ac:dyDescent="0.25">
      <c r="A55" s="25">
        <v>8442</v>
      </c>
      <c r="B55" s="30">
        <v>46112</v>
      </c>
      <c r="C55" s="26" t="s">
        <v>13</v>
      </c>
      <c r="D55" s="38" t="s">
        <v>17</v>
      </c>
      <c r="E55" s="26" t="s">
        <v>25</v>
      </c>
      <c r="F55" s="28">
        <v>1024</v>
      </c>
      <c r="G55" s="28">
        <v>59000</v>
      </c>
      <c r="H55" s="28">
        <f>A_Dong_ND[[#This Row],[ĐƠN GIÁ]]*A_Dong_ND[[#This Row],[SỐ LƯỢNG]]</f>
        <v>60416000</v>
      </c>
      <c r="I55" s="28"/>
      <c r="J55" s="28">
        <f>J54+A_Dong_ND[[#This Row],[THÀNH TIỀN]]-A_Dong_ND[[#This Row],[THANH TOÁN]]</f>
        <v>131448000</v>
      </c>
      <c r="K55" s="27"/>
    </row>
    <row r="56" spans="1:11" x14ac:dyDescent="0.25">
      <c r="A56" s="22"/>
      <c r="B56" s="29">
        <v>46112</v>
      </c>
      <c r="C56" s="23" t="s">
        <v>21</v>
      </c>
      <c r="D56" s="37" t="s">
        <v>24</v>
      </c>
      <c r="E56" s="23"/>
      <c r="F56" s="31">
        <v>0</v>
      </c>
      <c r="G56" s="31">
        <v>0</v>
      </c>
      <c r="H56" s="31">
        <f>A_Dong_ND[[#This Row],[ĐƠN GIÁ]]*A_Dong_ND[[#This Row],[SỐ LƯỢNG]]</f>
        <v>0</v>
      </c>
      <c r="I56" s="31">
        <v>50000000</v>
      </c>
      <c r="J56" s="31">
        <f>J55+A_Dong_ND[[#This Row],[THÀNH TIỀN]]-A_Dong_ND[[#This Row],[THANH TOÁN]]</f>
        <v>81448000</v>
      </c>
      <c r="K56" s="24"/>
    </row>
    <row r="57" spans="1:11" x14ac:dyDescent="0.25">
      <c r="A57" s="22">
        <v>8708</v>
      </c>
      <c r="B57" s="29">
        <v>46123</v>
      </c>
      <c r="C57" s="23" t="s">
        <v>13</v>
      </c>
      <c r="D57" s="37" t="s">
        <v>50</v>
      </c>
      <c r="E57" s="23" t="s">
        <v>73</v>
      </c>
      <c r="F57" s="31">
        <v>774</v>
      </c>
      <c r="G57" s="31">
        <v>56500</v>
      </c>
      <c r="H57" s="31">
        <f>A_Dong_ND[[#This Row],[ĐƠN GIÁ]]*A_Dong_ND[[#This Row],[SỐ LƯỢNG]]</f>
        <v>43731000</v>
      </c>
      <c r="I57" s="31"/>
      <c r="J57" s="31">
        <f>J56+A_Dong_ND[[#This Row],[THÀNH TIỀN]]-A_Dong_ND[[#This Row],[THANH TOÁN]]</f>
        <v>125179000</v>
      </c>
      <c r="K57" s="24"/>
    </row>
    <row r="58" spans="1:11" x14ac:dyDescent="0.25">
      <c r="A58" s="22">
        <v>8708</v>
      </c>
      <c r="B58" s="29">
        <v>46123</v>
      </c>
      <c r="C58" s="23" t="s">
        <v>13</v>
      </c>
      <c r="D58" s="37" t="s">
        <v>17</v>
      </c>
      <c r="E58" s="23" t="s">
        <v>33</v>
      </c>
      <c r="F58" s="31">
        <v>1192</v>
      </c>
      <c r="G58" s="31">
        <v>60000</v>
      </c>
      <c r="H58" s="31">
        <f>A_Dong_ND[[#This Row],[ĐƠN GIÁ]]*A_Dong_ND[[#This Row],[SỐ LƯỢNG]]</f>
        <v>71520000</v>
      </c>
      <c r="I58" s="31"/>
      <c r="J58" s="31">
        <f>J57+A_Dong_ND[[#This Row],[THÀNH TIỀN]]-A_Dong_ND[[#This Row],[THANH TOÁN]]</f>
        <v>196699000</v>
      </c>
      <c r="K58" s="24"/>
    </row>
    <row r="59" spans="1:11" x14ac:dyDescent="0.25">
      <c r="A59" s="22"/>
      <c r="B59" s="29">
        <v>46125</v>
      </c>
      <c r="C59" s="23" t="s">
        <v>21</v>
      </c>
      <c r="D59" s="37" t="s">
        <v>24</v>
      </c>
      <c r="E59" s="68"/>
      <c r="F59" s="31">
        <v>0</v>
      </c>
      <c r="G59" s="31"/>
      <c r="H59" s="31">
        <f>A_Dong_ND[[#This Row],[ĐƠN GIÁ]]*A_Dong_ND[[#This Row],[SỐ LƯỢNG]]</f>
        <v>0</v>
      </c>
      <c r="I59" s="31">
        <v>81448000</v>
      </c>
      <c r="J59" s="31">
        <f>J58+A_Dong_ND[[#This Row],[THÀNH TIỀN]]-A_Dong_ND[[#This Row],[THANH TOÁN]]</f>
        <v>115251000</v>
      </c>
      <c r="K59" s="24"/>
    </row>
    <row r="60" spans="1:11" x14ac:dyDescent="0.25">
      <c r="A60" s="22">
        <v>8833</v>
      </c>
      <c r="B60" s="29">
        <v>46128</v>
      </c>
      <c r="C60" s="23" t="s">
        <v>13</v>
      </c>
      <c r="D60" s="37" t="s">
        <v>14</v>
      </c>
      <c r="E60" s="23" t="s">
        <v>134</v>
      </c>
      <c r="F60" s="31">
        <v>625</v>
      </c>
      <c r="G60" s="31">
        <v>40500</v>
      </c>
      <c r="H60" s="31">
        <f>A_Dong_ND[[#This Row],[ĐƠN GIÁ]]*A_Dong_ND[[#This Row],[SỐ LƯỢNG]]</f>
        <v>25312500</v>
      </c>
      <c r="I60" s="31"/>
      <c r="J60" s="31">
        <f>J59+A_Dong_ND[[#This Row],[THÀNH TIỀN]]-A_Dong_ND[[#This Row],[THANH TOÁN]]</f>
        <v>140563500</v>
      </c>
      <c r="K60" s="24"/>
    </row>
    <row r="61" spans="1:11" ht="31.5" x14ac:dyDescent="0.25">
      <c r="A61" s="22">
        <v>8833</v>
      </c>
      <c r="B61" s="29">
        <v>46128</v>
      </c>
      <c r="C61" s="23" t="s">
        <v>13</v>
      </c>
      <c r="D61" s="37" t="s">
        <v>17</v>
      </c>
      <c r="E61" s="68" t="s">
        <v>961</v>
      </c>
      <c r="F61" s="31">
        <v>1182</v>
      </c>
      <c r="G61" s="31">
        <v>61500</v>
      </c>
      <c r="H61" s="31">
        <f>A_Dong_ND[[#This Row],[ĐƠN GIÁ]]*A_Dong_ND[[#This Row],[SỐ LƯỢNG]]</f>
        <v>72693000</v>
      </c>
      <c r="I61" s="31"/>
      <c r="J61" s="31">
        <f>J60+A_Dong_ND[[#This Row],[THÀNH TIỀN]]-A_Dong_ND[[#This Row],[THANH TOÁN]]</f>
        <v>213256500</v>
      </c>
      <c r="K61" s="24"/>
    </row>
    <row r="62" spans="1:11" x14ac:dyDescent="0.25">
      <c r="A62" s="22"/>
      <c r="B62" s="29">
        <v>46128</v>
      </c>
      <c r="C62" s="23" t="s">
        <v>21</v>
      </c>
      <c r="D62" s="37" t="s">
        <v>22</v>
      </c>
      <c r="E62" s="68" t="s">
        <v>1907</v>
      </c>
      <c r="F62" s="31">
        <v>0</v>
      </c>
      <c r="G62" s="31"/>
      <c r="H62" s="31">
        <f>A_Dong_ND[[#This Row],[ĐƠN GIÁ]]*A_Dong_ND[[#This Row],[SỐ LƯỢNG]]</f>
        <v>0</v>
      </c>
      <c r="I62" s="31">
        <v>55000000</v>
      </c>
      <c r="J62" s="31">
        <f>J61+A_Dong_ND[[#This Row],[THÀNH TIỀN]]-A_Dong_ND[[#This Row],[THANH TOÁN]]</f>
        <v>158256500</v>
      </c>
      <c r="K62" s="24"/>
    </row>
    <row r="63" spans="1:11" x14ac:dyDescent="0.25">
      <c r="A63" s="22"/>
      <c r="B63" s="29">
        <v>46128</v>
      </c>
      <c r="C63" s="23" t="s">
        <v>21</v>
      </c>
      <c r="D63" s="37" t="s">
        <v>24</v>
      </c>
      <c r="E63" s="68"/>
      <c r="F63" s="31">
        <v>0</v>
      </c>
      <c r="G63" s="31"/>
      <c r="H63" s="31">
        <f>A_Dong_ND[[#This Row],[ĐƠN GIÁ]]*A_Dong_ND[[#This Row],[SỐ LƯỢNG]]</f>
        <v>0</v>
      </c>
      <c r="I63" s="31">
        <v>75000000</v>
      </c>
      <c r="J63" s="31">
        <f>J62+A_Dong_ND[[#This Row],[THÀNH TIỀN]]-A_Dong_ND[[#This Row],[THANH TOÁN]]</f>
        <v>83256500</v>
      </c>
      <c r="K63" s="24"/>
    </row>
    <row r="64" spans="1:11" x14ac:dyDescent="0.25">
      <c r="A64" s="22">
        <v>8890</v>
      </c>
      <c r="B64" s="29">
        <v>46130</v>
      </c>
      <c r="C64" s="23" t="s">
        <v>13</v>
      </c>
      <c r="D64" s="37" t="s">
        <v>17</v>
      </c>
      <c r="E64" s="68" t="s">
        <v>38</v>
      </c>
      <c r="F64" s="31">
        <v>1330</v>
      </c>
      <c r="G64" s="31">
        <v>60000</v>
      </c>
      <c r="H64" s="31">
        <f>A_Dong_ND[[#This Row],[ĐƠN GIÁ]]*A_Dong_ND[[#This Row],[SỐ LƯỢNG]]</f>
        <v>79800000</v>
      </c>
      <c r="I64" s="31"/>
      <c r="J64" s="31">
        <f>J63+A_Dong_ND[[#This Row],[THÀNH TIỀN]]-A_Dong_ND[[#This Row],[THANH TOÁN]]</f>
        <v>163056500</v>
      </c>
      <c r="K64" s="24" t="s">
        <v>231</v>
      </c>
    </row>
    <row r="65" spans="1:11" x14ac:dyDescent="0.25">
      <c r="A65" s="22"/>
      <c r="B65" s="29">
        <v>46130</v>
      </c>
      <c r="C65" s="23" t="s">
        <v>21</v>
      </c>
      <c r="D65" s="37" t="s">
        <v>22</v>
      </c>
      <c r="E65" s="68" t="s">
        <v>726</v>
      </c>
      <c r="F65" s="31">
        <v>0</v>
      </c>
      <c r="G65" s="31"/>
      <c r="H65" s="31">
        <f>A_Dong_ND[[#This Row],[ĐƠN GIÁ]]*A_Dong_ND[[#This Row],[SỐ LƯỢNG]]</f>
        <v>0</v>
      </c>
      <c r="I65" s="31">
        <v>70000000</v>
      </c>
      <c r="J65" s="31">
        <f>J64+A_Dong_ND[[#This Row],[THÀNH TIỀN]]-A_Dong_ND[[#This Row],[THANH TOÁN]]</f>
        <v>93056500</v>
      </c>
      <c r="K65" s="24"/>
    </row>
    <row r="66" spans="1:11" x14ac:dyDescent="0.25">
      <c r="A66" s="22"/>
      <c r="B66" s="29">
        <v>46130</v>
      </c>
      <c r="C66" s="23" t="s">
        <v>21</v>
      </c>
      <c r="D66" s="37" t="s">
        <v>24</v>
      </c>
      <c r="E66" s="68"/>
      <c r="F66" s="31">
        <v>0</v>
      </c>
      <c r="G66" s="31"/>
      <c r="H66" s="31">
        <f>A_Dong_ND[[#This Row],[ĐƠN GIÁ]]*A_Dong_ND[[#This Row],[SỐ LƯỢNG]]</f>
        <v>0</v>
      </c>
      <c r="I66" s="31">
        <v>30000000</v>
      </c>
      <c r="J66" s="31">
        <f>J65+A_Dong_ND[[#This Row],[THÀNH TIỀN]]-A_Dong_ND[[#This Row],[THANH TOÁN]]</f>
        <v>63056500</v>
      </c>
      <c r="K66" s="24"/>
    </row>
    <row r="67" spans="1:11" x14ac:dyDescent="0.25">
      <c r="A67" s="22">
        <v>8926</v>
      </c>
      <c r="B67" s="29">
        <v>46133</v>
      </c>
      <c r="C67" s="23" t="s">
        <v>13</v>
      </c>
      <c r="D67" s="37" t="s">
        <v>14</v>
      </c>
      <c r="E67" s="68" t="s">
        <v>146</v>
      </c>
      <c r="F67" s="31">
        <v>394</v>
      </c>
      <c r="G67" s="31">
        <v>40500</v>
      </c>
      <c r="H67" s="31">
        <f>A_Dong_ND[[#This Row],[ĐƠN GIÁ]]*A_Dong_ND[[#This Row],[SỐ LƯỢNG]]</f>
        <v>15957000</v>
      </c>
      <c r="I67" s="31"/>
      <c r="J67" s="31">
        <f>J66+A_Dong_ND[[#This Row],[THÀNH TIỀN]]-A_Dong_ND[[#This Row],[THANH TOÁN]]</f>
        <v>79013500</v>
      </c>
      <c r="K67" s="24"/>
    </row>
    <row r="68" spans="1:11" x14ac:dyDescent="0.25">
      <c r="A68" s="22">
        <v>8926</v>
      </c>
      <c r="B68" s="29">
        <v>46133</v>
      </c>
      <c r="C68" s="23" t="s">
        <v>13</v>
      </c>
      <c r="D68" s="37" t="s">
        <v>317</v>
      </c>
      <c r="E68" s="68" t="s">
        <v>887</v>
      </c>
      <c r="F68" s="31">
        <v>222</v>
      </c>
      <c r="G68" s="31">
        <v>58000</v>
      </c>
      <c r="H68" s="31">
        <f>A_Dong_ND[[#This Row],[ĐƠN GIÁ]]*A_Dong_ND[[#This Row],[SỐ LƯỢNG]]</f>
        <v>12876000</v>
      </c>
      <c r="I68" s="31"/>
      <c r="J68" s="31">
        <f>J67+A_Dong_ND[[#This Row],[THÀNH TIỀN]]-A_Dong_ND[[#This Row],[THANH TOÁN]]</f>
        <v>91889500</v>
      </c>
      <c r="K68" s="24"/>
    </row>
    <row r="69" spans="1:11" x14ac:dyDescent="0.25">
      <c r="A69" s="22"/>
      <c r="B69" s="29">
        <v>46151</v>
      </c>
      <c r="C69" s="23" t="s">
        <v>21</v>
      </c>
      <c r="D69" s="37" t="s">
        <v>24</v>
      </c>
      <c r="E69" s="68"/>
      <c r="F69" s="31">
        <v>0</v>
      </c>
      <c r="G69" s="31"/>
      <c r="H69" s="31">
        <f>A_Dong_ND[[#This Row],[ĐƠN GIÁ]]*A_Dong_ND[[#This Row],[SỐ LƯỢNG]]</f>
        <v>0</v>
      </c>
      <c r="I69" s="31">
        <v>107700000</v>
      </c>
      <c r="J69" s="31">
        <f>J68+A_Dong_ND[[#This Row],[THÀNH TIỀN]]-A_Dong_ND[[#This Row],[THANH TOÁN]]</f>
        <v>-15810500</v>
      </c>
      <c r="K69" s="24"/>
    </row>
    <row r="70" spans="1:11" x14ac:dyDescent="0.25">
      <c r="A70" s="22">
        <v>9420</v>
      </c>
      <c r="B70" s="29">
        <v>46159</v>
      </c>
      <c r="C70" s="23" t="s">
        <v>13</v>
      </c>
      <c r="D70" s="37" t="s">
        <v>17</v>
      </c>
      <c r="E70" s="68" t="s">
        <v>38</v>
      </c>
      <c r="F70" s="31">
        <v>2362</v>
      </c>
      <c r="G70" s="31">
        <v>62000</v>
      </c>
      <c r="H70" s="31">
        <f>A_Dong_ND[[#This Row],[ĐƠN GIÁ]]*A_Dong_ND[[#This Row],[SỐ LƯỢNG]]</f>
        <v>146444000</v>
      </c>
      <c r="I70" s="31"/>
      <c r="J70" s="31">
        <f>J69+A_Dong_ND[[#This Row],[THÀNH TIỀN]]-A_Dong_ND[[#This Row],[THANH TOÁN]]</f>
        <v>130633500</v>
      </c>
      <c r="K70" s="24"/>
    </row>
    <row r="71" spans="1:11" x14ac:dyDescent="0.25">
      <c r="A71" s="25">
        <v>9420</v>
      </c>
      <c r="B71" s="30">
        <v>46159</v>
      </c>
      <c r="C71" s="26" t="s">
        <v>13</v>
      </c>
      <c r="D71" s="38" t="s">
        <v>17</v>
      </c>
      <c r="E71" s="67" t="s">
        <v>46</v>
      </c>
      <c r="F71" s="28">
        <v>498</v>
      </c>
      <c r="G71" s="28">
        <v>62000</v>
      </c>
      <c r="H71" s="28">
        <f>A_Dong_ND[[#This Row],[ĐƠN GIÁ]]*A_Dong_ND[[#This Row],[SỐ LƯỢNG]]</f>
        <v>30876000</v>
      </c>
      <c r="I71" s="28"/>
      <c r="J71" s="28">
        <f>J70+A_Dong_ND[[#This Row],[THÀNH TIỀN]]-A_Dong_ND[[#This Row],[THANH TOÁN]]</f>
        <v>161509500</v>
      </c>
      <c r="K71" s="27"/>
    </row>
    <row r="72" spans="1:11" x14ac:dyDescent="0.25">
      <c r="A72" s="22"/>
      <c r="B72" s="29">
        <v>46157</v>
      </c>
      <c r="C72" s="23" t="s">
        <v>21</v>
      </c>
      <c r="D72" s="37" t="s">
        <v>22</v>
      </c>
      <c r="E72" s="68" t="s">
        <v>2158</v>
      </c>
      <c r="F72" s="31">
        <v>0</v>
      </c>
      <c r="G72" s="31"/>
      <c r="H72" s="31">
        <f>A_Dong_ND[[#This Row],[ĐƠN GIÁ]]*A_Dong_ND[[#This Row],[SỐ LƯỢNG]]</f>
        <v>0</v>
      </c>
      <c r="I72" s="31">
        <v>100000000</v>
      </c>
      <c r="J72" s="31">
        <f>J71+A_Dong_ND[[#This Row],[THÀNH TIỀN]]-A_Dong_ND[[#This Row],[THANH TOÁN]]</f>
        <v>61509500</v>
      </c>
      <c r="K72" s="24"/>
    </row>
    <row r="73" spans="1:11" x14ac:dyDescent="0.25">
      <c r="A73" s="22"/>
      <c r="B73" s="29">
        <v>46158</v>
      </c>
      <c r="C73" s="23" t="s">
        <v>21</v>
      </c>
      <c r="D73" s="37" t="s">
        <v>2157</v>
      </c>
      <c r="E73" s="68"/>
      <c r="F73" s="31">
        <v>0</v>
      </c>
      <c r="G73" s="31"/>
      <c r="H73" s="31">
        <f>A_Dong_ND[[#This Row],[ĐƠN GIÁ]]*A_Dong_ND[[#This Row],[SỐ LƯỢNG]]</f>
        <v>0</v>
      </c>
      <c r="I73" s="31">
        <v>50000000</v>
      </c>
      <c r="J73" s="31">
        <f>J72+A_Dong_ND[[#This Row],[THÀNH TIỀN]]-A_Dong_ND[[#This Row],[THANH TOÁN]]</f>
        <v>11509500</v>
      </c>
      <c r="K73" s="24"/>
    </row>
    <row r="74" spans="1:11" x14ac:dyDescent="0.25">
      <c r="A74" s="22">
        <v>9658</v>
      </c>
      <c r="B74" s="29">
        <v>46169</v>
      </c>
      <c r="C74" s="23" t="s">
        <v>13</v>
      </c>
      <c r="D74" s="37" t="s">
        <v>17</v>
      </c>
      <c r="E74" s="68" t="s">
        <v>446</v>
      </c>
      <c r="F74" s="31">
        <v>532</v>
      </c>
      <c r="G74" s="31">
        <v>61000</v>
      </c>
      <c r="H74" s="31">
        <f>A_Dong_ND[[#This Row],[ĐƠN GIÁ]]*A_Dong_ND[[#This Row],[SỐ LƯỢNG]]</f>
        <v>32452000</v>
      </c>
      <c r="I74" s="31"/>
      <c r="J74" s="31">
        <f>J73+A_Dong_ND[[#This Row],[THÀNH TIỀN]]-A_Dong_ND[[#This Row],[THANH TOÁN]]</f>
        <v>43961500</v>
      </c>
      <c r="K74" s="24" t="s">
        <v>42</v>
      </c>
    </row>
    <row r="75" spans="1:11" x14ac:dyDescent="0.25">
      <c r="A75" s="22">
        <v>9658</v>
      </c>
      <c r="B75" s="29">
        <v>46169</v>
      </c>
      <c r="C75" s="23" t="s">
        <v>13</v>
      </c>
      <c r="D75" s="37" t="s">
        <v>17</v>
      </c>
      <c r="E75" s="68" t="s">
        <v>2490</v>
      </c>
      <c r="F75" s="31">
        <v>1184</v>
      </c>
      <c r="G75" s="31">
        <v>61600</v>
      </c>
      <c r="H75" s="31">
        <f>A_Dong_ND[[#This Row],[ĐƠN GIÁ]]*A_Dong_ND[[#This Row],[SỐ LƯỢNG]]</f>
        <v>72934400</v>
      </c>
      <c r="I75" s="31"/>
      <c r="J75" s="31">
        <f>J74+A_Dong_ND[[#This Row],[THÀNH TIỀN]]-A_Dong_ND[[#This Row],[THANH TOÁN]]</f>
        <v>116895900</v>
      </c>
      <c r="K75" s="24" t="s">
        <v>2491</v>
      </c>
    </row>
    <row r="76" spans="1:11" x14ac:dyDescent="0.25">
      <c r="A76" s="22">
        <v>9658</v>
      </c>
      <c r="B76" s="29">
        <v>46169</v>
      </c>
      <c r="C76" s="23" t="s">
        <v>13</v>
      </c>
      <c r="D76" s="37" t="s">
        <v>17</v>
      </c>
      <c r="E76" s="68" t="s">
        <v>33</v>
      </c>
      <c r="F76" s="31">
        <v>1140</v>
      </c>
      <c r="G76" s="31">
        <v>62000</v>
      </c>
      <c r="H76" s="31">
        <f>A_Dong_ND[[#This Row],[ĐƠN GIÁ]]*A_Dong_ND[[#This Row],[SỐ LƯỢNG]]</f>
        <v>70680000</v>
      </c>
      <c r="I76" s="31"/>
      <c r="J76" s="31">
        <f>J75+A_Dong_ND[[#This Row],[THÀNH TIỀN]]-A_Dong_ND[[#This Row],[THANH TOÁN]]</f>
        <v>187575900</v>
      </c>
      <c r="K76" s="24"/>
    </row>
    <row r="77" spans="1:11" x14ac:dyDescent="0.25">
      <c r="A77" s="22">
        <v>9687</v>
      </c>
      <c r="B77" s="29">
        <v>46171</v>
      </c>
      <c r="C77" s="23" t="s">
        <v>13</v>
      </c>
      <c r="D77" s="37" t="s">
        <v>2362</v>
      </c>
      <c r="E77" s="68" t="s">
        <v>2512</v>
      </c>
      <c r="F77" s="31">
        <v>902</v>
      </c>
      <c r="G77" s="31">
        <v>61600</v>
      </c>
      <c r="H77" s="31">
        <f>A_Dong_ND[[#This Row],[ĐƠN GIÁ]]*A_Dong_ND[[#This Row],[SỐ LƯỢNG]]</f>
        <v>55563200</v>
      </c>
      <c r="I77" s="31"/>
      <c r="J77" s="31">
        <f>J76+A_Dong_ND[[#This Row],[THÀNH TIỀN]]-A_Dong_ND[[#This Row],[THANH TOÁN]]</f>
        <v>243139100</v>
      </c>
      <c r="K77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21F582-4E5E-4497-9C3E-A639FFACCAB0}">
  <sheetPr codeName="Sheet37"/>
  <dimension ref="A5:K36"/>
  <sheetViews>
    <sheetView topLeftCell="A8" workbookViewId="0">
      <selection activeCell="G18" sqref="G18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690373330</v>
      </c>
    </row>
    <row r="6" spans="1:11" ht="22.5" x14ac:dyDescent="0.25">
      <c r="D6" s="34" t="s">
        <v>962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Cty_Quang_Nga_Phu_Ly[[#This Row],[ĐƠN GIÁ]]*Cty_Quang_Nga_Phu_Ly[[#This Row],[SỐ LƯỢNG]]</f>
        <v>0</v>
      </c>
      <c r="I10" s="31"/>
      <c r="J10" s="31">
        <v>262682500</v>
      </c>
      <c r="K10" s="24"/>
    </row>
    <row r="11" spans="1:11" x14ac:dyDescent="0.25">
      <c r="A11" s="22">
        <v>7861</v>
      </c>
      <c r="B11" s="29">
        <v>46086</v>
      </c>
      <c r="C11" s="23" t="s">
        <v>13</v>
      </c>
      <c r="D11" s="37" t="s">
        <v>50</v>
      </c>
      <c r="E11" s="23" t="s">
        <v>963</v>
      </c>
      <c r="F11" s="31">
        <v>1653</v>
      </c>
      <c r="G11" s="31">
        <v>56500</v>
      </c>
      <c r="H11" s="31">
        <f>Cty_Quang_Nga_Phu_Ly[[#This Row],[ĐƠN GIÁ]]*Cty_Quang_Nga_Phu_Ly[[#This Row],[SỐ LƯỢNG]]</f>
        <v>93394500</v>
      </c>
      <c r="I11" s="31"/>
      <c r="J11" s="31">
        <f>J10+Cty_Quang_Nga_Phu_Ly[[#This Row],[THÀNH TIỀN]]-Cty_Quang_Nga_Phu_Ly[[#This Row],[THANH TOÁN]]</f>
        <v>356077000</v>
      </c>
      <c r="K11" s="24"/>
    </row>
    <row r="12" spans="1:11" x14ac:dyDescent="0.25">
      <c r="A12" s="25"/>
      <c r="B12" s="30">
        <v>46102</v>
      </c>
      <c r="C12" s="26" t="s">
        <v>21</v>
      </c>
      <c r="D12" s="38" t="s">
        <v>22</v>
      </c>
      <c r="E12" s="26" t="s">
        <v>261</v>
      </c>
      <c r="F12" s="28">
        <v>0</v>
      </c>
      <c r="G12" s="28">
        <v>0</v>
      </c>
      <c r="H12" s="28">
        <f>Cty_Quang_Nga_Phu_Ly[[#This Row],[ĐƠN GIÁ]]*Cty_Quang_Nga_Phu_Ly[[#This Row],[SỐ LƯỢNG]]</f>
        <v>0</v>
      </c>
      <c r="I12" s="28">
        <v>356075000</v>
      </c>
      <c r="J12" s="28">
        <f>J11+Cty_Quang_Nga_Phu_Ly[[#This Row],[THÀNH TIỀN]]-Cty_Quang_Nga_Phu_Ly[[#This Row],[THANH TOÁN]]</f>
        <v>2000</v>
      </c>
      <c r="K12" s="27"/>
    </row>
    <row r="13" spans="1:11" x14ac:dyDescent="0.25">
      <c r="A13" s="22">
        <v>8599</v>
      </c>
      <c r="B13" s="29">
        <v>46119</v>
      </c>
      <c r="C13" s="23" t="s">
        <v>13</v>
      </c>
      <c r="D13" s="37" t="s">
        <v>854</v>
      </c>
      <c r="E13" s="23" t="s">
        <v>117</v>
      </c>
      <c r="F13" s="31">
        <v>8755</v>
      </c>
      <c r="G13" s="31">
        <v>41200</v>
      </c>
      <c r="H13" s="31">
        <f>Cty_Quang_Nga_Phu_Ly[[#This Row],[ĐƠN GIÁ]]*Cty_Quang_Nga_Phu_Ly[[#This Row],[SỐ LƯỢNG]]</f>
        <v>360706000</v>
      </c>
      <c r="I13" s="31"/>
      <c r="J13" s="31">
        <f>J12+Cty_Quang_Nga_Phu_Ly[[#This Row],[THÀNH TIỀN]]-Cty_Quang_Nga_Phu_Ly[[#This Row],[THANH TOÁN]]</f>
        <v>360708000</v>
      </c>
      <c r="K13" s="24"/>
    </row>
    <row r="14" spans="1:11" x14ac:dyDescent="0.25">
      <c r="A14" s="22"/>
      <c r="B14" s="29">
        <v>46126</v>
      </c>
      <c r="C14" s="23" t="s">
        <v>21</v>
      </c>
      <c r="D14" s="37" t="s">
        <v>22</v>
      </c>
      <c r="E14" s="23" t="s">
        <v>83</v>
      </c>
      <c r="F14" s="31">
        <v>0</v>
      </c>
      <c r="G14" s="31"/>
      <c r="H14" s="31">
        <f>Cty_Quang_Nga_Phu_Ly[[#This Row],[ĐƠN GIÁ]]*Cty_Quang_Nga_Phu_Ly[[#This Row],[SỐ LƯỢNG]]</f>
        <v>0</v>
      </c>
      <c r="I14" s="31">
        <v>360703570</v>
      </c>
      <c r="J14" s="31">
        <f>J13+Cty_Quang_Nga_Phu_Ly[[#This Row],[THÀNH TIỀN]]-Cty_Quang_Nga_Phu_Ly[[#This Row],[THANH TOÁN]]</f>
        <v>4430</v>
      </c>
      <c r="K14" s="24"/>
    </row>
    <row r="15" spans="1:11" x14ac:dyDescent="0.25">
      <c r="A15" s="22">
        <v>8803</v>
      </c>
      <c r="B15" s="29">
        <v>46127</v>
      </c>
      <c r="C15" s="23" t="s">
        <v>13</v>
      </c>
      <c r="D15" s="37" t="s">
        <v>43</v>
      </c>
      <c r="E15" s="23" t="s">
        <v>204</v>
      </c>
      <c r="F15" s="31">
        <v>251</v>
      </c>
      <c r="G15" s="31">
        <v>55000</v>
      </c>
      <c r="H15" s="31">
        <f>Cty_Quang_Nga_Phu_Ly[[#This Row],[ĐƠN GIÁ]]*Cty_Quang_Nga_Phu_Ly[[#This Row],[SỐ LƯỢNG]]</f>
        <v>13805000</v>
      </c>
      <c r="I15" s="31"/>
      <c r="J15" s="31">
        <f>J14+Cty_Quang_Nga_Phu_Ly[[#This Row],[THÀNH TIỀN]]-Cty_Quang_Nga_Phu_Ly[[#This Row],[THANH TOÁN]]</f>
        <v>13809430</v>
      </c>
      <c r="K15" s="24"/>
    </row>
    <row r="16" spans="1:11" x14ac:dyDescent="0.25">
      <c r="A16" s="22">
        <v>8803</v>
      </c>
      <c r="B16" s="29">
        <v>46127</v>
      </c>
      <c r="C16" s="23" t="s">
        <v>13</v>
      </c>
      <c r="D16" s="37" t="s">
        <v>43</v>
      </c>
      <c r="E16" s="23" t="s">
        <v>203</v>
      </c>
      <c r="F16" s="31">
        <v>1070</v>
      </c>
      <c r="G16" s="31">
        <v>55000</v>
      </c>
      <c r="H16" s="31">
        <f>Cty_Quang_Nga_Phu_Ly[[#This Row],[ĐƠN GIÁ]]*Cty_Quang_Nga_Phu_Ly[[#This Row],[SỐ LƯỢNG]]</f>
        <v>58850000</v>
      </c>
      <c r="I16" s="31"/>
      <c r="J16" s="31">
        <f>J15+Cty_Quang_Nga_Phu_Ly[[#This Row],[THÀNH TIỀN]]-Cty_Quang_Nga_Phu_Ly[[#This Row],[THANH TOÁN]]</f>
        <v>72659430</v>
      </c>
      <c r="K16" s="24"/>
    </row>
    <row r="17" spans="1:11" x14ac:dyDescent="0.25">
      <c r="A17" s="22">
        <v>8803</v>
      </c>
      <c r="B17" s="29">
        <v>46127</v>
      </c>
      <c r="C17" s="23" t="s">
        <v>13</v>
      </c>
      <c r="D17" s="37" t="s">
        <v>43</v>
      </c>
      <c r="E17" s="23" t="s">
        <v>248</v>
      </c>
      <c r="F17" s="31">
        <v>1734</v>
      </c>
      <c r="G17" s="31">
        <v>55000</v>
      </c>
      <c r="H17" s="31">
        <f>Cty_Quang_Nga_Phu_Ly[[#This Row],[ĐƠN GIÁ]]*Cty_Quang_Nga_Phu_Ly[[#This Row],[SỐ LƯỢNG]]</f>
        <v>95370000</v>
      </c>
      <c r="I17" s="31"/>
      <c r="J17" s="31">
        <f>J16+Cty_Quang_Nga_Phu_Ly[[#This Row],[THÀNH TIỀN]]-Cty_Quang_Nga_Phu_Ly[[#This Row],[THANH TOÁN]]</f>
        <v>168029430</v>
      </c>
      <c r="K17" s="24"/>
    </row>
    <row r="18" spans="1:11" x14ac:dyDescent="0.25">
      <c r="A18" s="22">
        <v>8803</v>
      </c>
      <c r="B18" s="29">
        <v>46127</v>
      </c>
      <c r="C18" s="23" t="s">
        <v>13</v>
      </c>
      <c r="D18" s="37" t="s">
        <v>43</v>
      </c>
      <c r="E18" s="23" t="s">
        <v>154</v>
      </c>
      <c r="F18" s="31">
        <v>2036</v>
      </c>
      <c r="G18" s="31">
        <v>55000</v>
      </c>
      <c r="H18" s="31">
        <f>Cty_Quang_Nga_Phu_Ly[[#This Row],[ĐƠN GIÁ]]*Cty_Quang_Nga_Phu_Ly[[#This Row],[SỐ LƯỢNG]]</f>
        <v>111980000</v>
      </c>
      <c r="I18" s="31"/>
      <c r="J18" s="31">
        <f>J17+Cty_Quang_Nga_Phu_Ly[[#This Row],[THÀNH TIỀN]]-Cty_Quang_Nga_Phu_Ly[[#This Row],[THANH TOÁN]]</f>
        <v>280009430</v>
      </c>
      <c r="K18" s="24"/>
    </row>
    <row r="19" spans="1:11" x14ac:dyDescent="0.25">
      <c r="A19" s="22">
        <v>8803</v>
      </c>
      <c r="B19" s="29">
        <v>46127</v>
      </c>
      <c r="C19" s="23" t="s">
        <v>13</v>
      </c>
      <c r="D19" s="37" t="s">
        <v>43</v>
      </c>
      <c r="E19" s="23" t="s">
        <v>140</v>
      </c>
      <c r="F19" s="31">
        <v>706</v>
      </c>
      <c r="G19" s="31">
        <v>55000</v>
      </c>
      <c r="H19" s="31">
        <f>Cty_Quang_Nga_Phu_Ly[[#This Row],[ĐƠN GIÁ]]*Cty_Quang_Nga_Phu_Ly[[#This Row],[SỐ LƯỢNG]]</f>
        <v>38830000</v>
      </c>
      <c r="I19" s="31"/>
      <c r="J19" s="31">
        <f>J18+Cty_Quang_Nga_Phu_Ly[[#This Row],[THÀNH TIỀN]]-Cty_Quang_Nga_Phu_Ly[[#This Row],[THANH TOÁN]]</f>
        <v>318839430</v>
      </c>
      <c r="K19" s="24"/>
    </row>
    <row r="20" spans="1:11" x14ac:dyDescent="0.25">
      <c r="A20" s="22">
        <v>8872</v>
      </c>
      <c r="B20" s="29">
        <v>46130</v>
      </c>
      <c r="C20" s="23" t="s">
        <v>13</v>
      </c>
      <c r="D20" s="37" t="s">
        <v>14</v>
      </c>
      <c r="E20" s="23" t="s">
        <v>41</v>
      </c>
      <c r="F20" s="31">
        <v>1568</v>
      </c>
      <c r="G20" s="31">
        <v>41500</v>
      </c>
      <c r="H20" s="31">
        <f>Cty_Quang_Nga_Phu_Ly[[#This Row],[ĐƠN GIÁ]]*Cty_Quang_Nga_Phu_Ly[[#This Row],[SỐ LƯỢNG]]</f>
        <v>65072000</v>
      </c>
      <c r="I20" s="31"/>
      <c r="J20" s="31">
        <f>J19+Cty_Quang_Nga_Phu_Ly[[#This Row],[THÀNH TIỀN]]-Cty_Quang_Nga_Phu_Ly[[#This Row],[THANH TOÁN]]</f>
        <v>383911430</v>
      </c>
      <c r="K20" s="24"/>
    </row>
    <row r="21" spans="1:11" x14ac:dyDescent="0.25">
      <c r="A21" s="22">
        <v>9089</v>
      </c>
      <c r="B21" s="29">
        <v>46140</v>
      </c>
      <c r="C21" s="23" t="s">
        <v>13</v>
      </c>
      <c r="D21" s="37" t="s">
        <v>50</v>
      </c>
      <c r="E21" s="23" t="s">
        <v>848</v>
      </c>
      <c r="F21" s="31">
        <v>1693</v>
      </c>
      <c r="G21" s="31">
        <v>55000</v>
      </c>
      <c r="H21" s="31">
        <f>Cty_Quang_Nga_Phu_Ly[[#This Row],[ĐƠN GIÁ]]*Cty_Quang_Nga_Phu_Ly[[#This Row],[SỐ LƯỢNG]]</f>
        <v>93115000</v>
      </c>
      <c r="I21" s="31"/>
      <c r="J21" s="31">
        <f>J20+Cty_Quang_Nga_Phu_Ly[[#This Row],[THÀNH TIỀN]]-Cty_Quang_Nga_Phu_Ly[[#This Row],[THANH TOÁN]]</f>
        <v>477026430</v>
      </c>
      <c r="K21" s="24"/>
    </row>
    <row r="22" spans="1:11" x14ac:dyDescent="0.25">
      <c r="A22" s="22">
        <v>9089</v>
      </c>
      <c r="B22" s="29">
        <v>46140</v>
      </c>
      <c r="C22" s="23" t="s">
        <v>13</v>
      </c>
      <c r="D22" s="37" t="s">
        <v>50</v>
      </c>
      <c r="E22" s="23" t="s">
        <v>1869</v>
      </c>
      <c r="F22" s="31">
        <v>308</v>
      </c>
      <c r="G22" s="31">
        <v>55000</v>
      </c>
      <c r="H22" s="31">
        <f>Cty_Quang_Nga_Phu_Ly[[#This Row],[ĐƠN GIÁ]]*Cty_Quang_Nga_Phu_Ly[[#This Row],[SỐ LƯỢNG]]</f>
        <v>16940000</v>
      </c>
      <c r="I22" s="31"/>
      <c r="J22" s="31">
        <f>J21+Cty_Quang_Nga_Phu_Ly[[#This Row],[THÀNH TIỀN]]-Cty_Quang_Nga_Phu_Ly[[#This Row],[THANH TOÁN]]</f>
        <v>493966430</v>
      </c>
      <c r="K22" s="24"/>
    </row>
    <row r="23" spans="1:11" x14ac:dyDescent="0.25">
      <c r="A23" s="22">
        <v>9089</v>
      </c>
      <c r="B23" s="29">
        <v>46140</v>
      </c>
      <c r="C23" s="23" t="s">
        <v>13</v>
      </c>
      <c r="D23" s="37" t="s">
        <v>50</v>
      </c>
      <c r="E23" s="23" t="s">
        <v>148</v>
      </c>
      <c r="F23" s="31">
        <v>866</v>
      </c>
      <c r="G23" s="31">
        <v>55000</v>
      </c>
      <c r="H23" s="31">
        <f>Cty_Quang_Nga_Phu_Ly[[#This Row],[ĐƠN GIÁ]]*Cty_Quang_Nga_Phu_Ly[[#This Row],[SỐ LƯỢNG]]</f>
        <v>47630000</v>
      </c>
      <c r="I23" s="31"/>
      <c r="J23" s="31">
        <f>J22+Cty_Quang_Nga_Phu_Ly[[#This Row],[THÀNH TIỀN]]-Cty_Quang_Nga_Phu_Ly[[#This Row],[THANH TOÁN]]</f>
        <v>541596430</v>
      </c>
      <c r="K23" s="24"/>
    </row>
    <row r="24" spans="1:11" x14ac:dyDescent="0.25">
      <c r="A24" s="22"/>
      <c r="B24" s="29">
        <v>46150</v>
      </c>
      <c r="C24" s="23" t="s">
        <v>21</v>
      </c>
      <c r="D24" s="37" t="s">
        <v>22</v>
      </c>
      <c r="E24" s="23" t="s">
        <v>261</v>
      </c>
      <c r="F24" s="31">
        <v>0</v>
      </c>
      <c r="G24" s="31"/>
      <c r="H24" s="31">
        <f>Cty_Quang_Nga_Phu_Ly[[#This Row],[ĐƠN GIÁ]]*Cty_Quang_Nga_Phu_Ly[[#This Row],[SỐ LƯỢNG]]</f>
        <v>0</v>
      </c>
      <c r="I24" s="31">
        <v>383906600</v>
      </c>
      <c r="J24" s="31">
        <f>J23+Cty_Quang_Nga_Phu_Ly[[#This Row],[THÀNH TIỀN]]-Cty_Quang_Nga_Phu_Ly[[#This Row],[THANH TOÁN]]</f>
        <v>157689830</v>
      </c>
      <c r="K24" s="24"/>
    </row>
    <row r="25" spans="1:11" x14ac:dyDescent="0.25">
      <c r="A25" s="22">
        <v>9372</v>
      </c>
      <c r="B25" s="29">
        <v>46156</v>
      </c>
      <c r="C25" s="23" t="s">
        <v>13</v>
      </c>
      <c r="D25" s="37" t="s">
        <v>43</v>
      </c>
      <c r="E25" s="23" t="s">
        <v>146</v>
      </c>
      <c r="F25" s="31">
        <v>340</v>
      </c>
      <c r="G25" s="31">
        <v>57000</v>
      </c>
      <c r="H25" s="31">
        <f>Cty_Quang_Nga_Phu_Ly[[#This Row],[ĐƠN GIÁ]]*Cty_Quang_Nga_Phu_Ly[[#This Row],[SỐ LƯỢNG]]</f>
        <v>19380000</v>
      </c>
      <c r="I25" s="31"/>
      <c r="J25" s="31">
        <f>J24+Cty_Quang_Nga_Phu_Ly[[#This Row],[THÀNH TIỀN]]-Cty_Quang_Nga_Phu_Ly[[#This Row],[THANH TOÁN]]</f>
        <v>177069830</v>
      </c>
      <c r="K25" s="24"/>
    </row>
    <row r="26" spans="1:11" x14ac:dyDescent="0.25">
      <c r="A26" s="22">
        <v>9372</v>
      </c>
      <c r="B26" s="29">
        <v>46156</v>
      </c>
      <c r="C26" s="23" t="s">
        <v>13</v>
      </c>
      <c r="D26" s="37" t="s">
        <v>43</v>
      </c>
      <c r="E26" s="23" t="s">
        <v>44</v>
      </c>
      <c r="F26" s="31">
        <v>2010</v>
      </c>
      <c r="G26" s="31">
        <v>57000</v>
      </c>
      <c r="H26" s="31">
        <f>Cty_Quang_Nga_Phu_Ly[[#This Row],[ĐƠN GIÁ]]*Cty_Quang_Nga_Phu_Ly[[#This Row],[SỐ LƯỢNG]]</f>
        <v>114570000</v>
      </c>
      <c r="I26" s="31"/>
      <c r="J26" s="31">
        <f>J25+Cty_Quang_Nga_Phu_Ly[[#This Row],[THÀNH TIỀN]]-Cty_Quang_Nga_Phu_Ly[[#This Row],[THANH TOÁN]]</f>
        <v>291639830</v>
      </c>
      <c r="K26" s="24"/>
    </row>
    <row r="27" spans="1:11" x14ac:dyDescent="0.25">
      <c r="A27" s="22">
        <v>9372</v>
      </c>
      <c r="B27" s="29">
        <v>46156</v>
      </c>
      <c r="C27" s="23" t="s">
        <v>13</v>
      </c>
      <c r="D27" s="37" t="s">
        <v>43</v>
      </c>
      <c r="E27" s="23" t="s">
        <v>251</v>
      </c>
      <c r="F27" s="31">
        <v>578</v>
      </c>
      <c r="G27" s="31">
        <v>62000</v>
      </c>
      <c r="H27" s="31">
        <f>Cty_Quang_Nga_Phu_Ly[[#This Row],[ĐƠN GIÁ]]*Cty_Quang_Nga_Phu_Ly[[#This Row],[SỐ LƯỢNG]]</f>
        <v>35836000</v>
      </c>
      <c r="I27" s="31"/>
      <c r="J27" s="31">
        <f>J26+Cty_Quang_Nga_Phu_Ly[[#This Row],[THÀNH TIỀN]]-Cty_Quang_Nga_Phu_Ly[[#This Row],[THANH TOÁN]]</f>
        <v>327475830</v>
      </c>
      <c r="K27" s="24"/>
    </row>
    <row r="28" spans="1:11" x14ac:dyDescent="0.25">
      <c r="A28" s="22">
        <v>9372</v>
      </c>
      <c r="B28" s="29">
        <v>46156</v>
      </c>
      <c r="C28" s="23" t="s">
        <v>13</v>
      </c>
      <c r="D28" s="37" t="s">
        <v>43</v>
      </c>
      <c r="E28" s="23" t="s">
        <v>62</v>
      </c>
      <c r="F28" s="31">
        <v>738</v>
      </c>
      <c r="G28" s="31">
        <v>63000</v>
      </c>
      <c r="H28" s="31">
        <f>Cty_Quang_Nga_Phu_Ly[[#This Row],[ĐƠN GIÁ]]*Cty_Quang_Nga_Phu_Ly[[#This Row],[SỐ LƯỢNG]]</f>
        <v>46494000</v>
      </c>
      <c r="I28" s="31"/>
      <c r="J28" s="31">
        <f>J27+Cty_Quang_Nga_Phu_Ly[[#This Row],[THÀNH TIỀN]]-Cty_Quang_Nga_Phu_Ly[[#This Row],[THANH TOÁN]]</f>
        <v>373969830</v>
      </c>
      <c r="K28" s="24" t="s">
        <v>2097</v>
      </c>
    </row>
    <row r="29" spans="1:11" x14ac:dyDescent="0.25">
      <c r="A29" s="22">
        <v>9372</v>
      </c>
      <c r="B29" s="29">
        <v>46156</v>
      </c>
      <c r="C29" s="23" t="s">
        <v>13</v>
      </c>
      <c r="D29" s="37" t="s">
        <v>17</v>
      </c>
      <c r="E29" s="23" t="s">
        <v>41</v>
      </c>
      <c r="F29" s="31">
        <v>904</v>
      </c>
      <c r="G29" s="31">
        <v>62000</v>
      </c>
      <c r="H29" s="31">
        <f>Cty_Quang_Nga_Phu_Ly[[#This Row],[ĐƠN GIÁ]]*Cty_Quang_Nga_Phu_Ly[[#This Row],[SỐ LƯỢNG]]</f>
        <v>56048000</v>
      </c>
      <c r="I29" s="31"/>
      <c r="J29" s="31">
        <f>J28+Cty_Quang_Nga_Phu_Ly[[#This Row],[THÀNH TIỀN]]-Cty_Quang_Nga_Phu_Ly[[#This Row],[THANH TOÁN]]</f>
        <v>430017830</v>
      </c>
      <c r="K29" s="24"/>
    </row>
    <row r="30" spans="1:11" x14ac:dyDescent="0.25">
      <c r="A30" s="22">
        <v>9372</v>
      </c>
      <c r="B30" s="29">
        <v>46156</v>
      </c>
      <c r="C30" s="23" t="s">
        <v>13</v>
      </c>
      <c r="D30" s="37" t="s">
        <v>43</v>
      </c>
      <c r="E30" s="23" t="s">
        <v>136</v>
      </c>
      <c r="F30" s="31">
        <v>1361</v>
      </c>
      <c r="G30" s="31">
        <v>61500</v>
      </c>
      <c r="H30" s="31">
        <f>Cty_Quang_Nga_Phu_Ly[[#This Row],[ĐƠN GIÁ]]*Cty_Quang_Nga_Phu_Ly[[#This Row],[SỐ LƯỢNG]]</f>
        <v>83701500</v>
      </c>
      <c r="I30" s="31"/>
      <c r="J30" s="31">
        <f>J29+Cty_Quang_Nga_Phu_Ly[[#This Row],[THÀNH TIỀN]]-Cty_Quang_Nga_Phu_Ly[[#This Row],[THANH TOÁN]]</f>
        <v>513719330</v>
      </c>
      <c r="K30" s="24"/>
    </row>
    <row r="31" spans="1:11" x14ac:dyDescent="0.25">
      <c r="A31" s="22">
        <v>9400</v>
      </c>
      <c r="B31" s="29">
        <v>46157</v>
      </c>
      <c r="C31" s="23" t="s">
        <v>13</v>
      </c>
      <c r="D31" s="37" t="s">
        <v>14</v>
      </c>
      <c r="E31" s="23" t="s">
        <v>62</v>
      </c>
      <c r="F31" s="31">
        <v>1632</v>
      </c>
      <c r="G31" s="31">
        <v>42500</v>
      </c>
      <c r="H31" s="31">
        <f>Cty_Quang_Nga_Phu_Ly[[#This Row],[ĐƠN GIÁ]]*Cty_Quang_Nga_Phu_Ly[[#This Row],[SỐ LƯỢNG]]</f>
        <v>69360000</v>
      </c>
      <c r="I31" s="31"/>
      <c r="J31" s="31">
        <f>J30+Cty_Quang_Nga_Phu_Ly[[#This Row],[THÀNH TIỀN]]-Cty_Quang_Nga_Phu_Ly[[#This Row],[THANH TOÁN]]</f>
        <v>583079330</v>
      </c>
      <c r="K31" s="24"/>
    </row>
    <row r="32" spans="1:11" x14ac:dyDescent="0.25">
      <c r="A32" s="22">
        <v>9449</v>
      </c>
      <c r="B32" s="29">
        <v>46160</v>
      </c>
      <c r="C32" s="23" t="s">
        <v>13</v>
      </c>
      <c r="D32" s="37" t="s">
        <v>43</v>
      </c>
      <c r="E32" s="23" t="s">
        <v>1106</v>
      </c>
      <c r="F32" s="31">
        <v>1406</v>
      </c>
      <c r="G32" s="31">
        <v>57000</v>
      </c>
      <c r="H32" s="31">
        <f>Cty_Quang_Nga_Phu_Ly[[#This Row],[ĐƠN GIÁ]]*Cty_Quang_Nga_Phu_Ly[[#This Row],[SỐ LƯỢNG]]</f>
        <v>80142000</v>
      </c>
      <c r="I32" s="31"/>
      <c r="J32" s="31">
        <f>J31+Cty_Quang_Nga_Phu_Ly[[#This Row],[THÀNH TIỀN]]-Cty_Quang_Nga_Phu_Ly[[#This Row],[THANH TOÁN]]</f>
        <v>663221330</v>
      </c>
      <c r="K32" s="24" t="s">
        <v>186</v>
      </c>
    </row>
    <row r="33" spans="1:11" x14ac:dyDescent="0.25">
      <c r="A33" s="22"/>
      <c r="B33" s="29">
        <v>46163</v>
      </c>
      <c r="C33" s="23" t="s">
        <v>21</v>
      </c>
      <c r="D33" s="37" t="s">
        <v>22</v>
      </c>
      <c r="E33" s="23" t="s">
        <v>261</v>
      </c>
      <c r="F33" s="31">
        <v>0</v>
      </c>
      <c r="G33" s="31"/>
      <c r="H33" s="31">
        <f>Cty_Quang_Nga_Phu_Ly[[#This Row],[ĐƠN GIÁ]]*Cty_Quang_Nga_Phu_Ly[[#This Row],[SỐ LƯỢNG]]</f>
        <v>0</v>
      </c>
      <c r="I33" s="31">
        <v>157685000</v>
      </c>
      <c r="J33" s="31">
        <f>J32+Cty_Quang_Nga_Phu_Ly[[#This Row],[THÀNH TIỀN]]-Cty_Quang_Nga_Phu_Ly[[#This Row],[THANH TOÁN]]</f>
        <v>505536330</v>
      </c>
      <c r="K33" s="24"/>
    </row>
    <row r="34" spans="1:11" x14ac:dyDescent="0.25">
      <c r="A34" s="22">
        <v>9611</v>
      </c>
      <c r="B34" s="29">
        <v>46168</v>
      </c>
      <c r="C34" s="23" t="s">
        <v>13</v>
      </c>
      <c r="D34" s="37" t="s">
        <v>169</v>
      </c>
      <c r="E34" s="23" t="s">
        <v>148</v>
      </c>
      <c r="F34" s="31">
        <v>1550</v>
      </c>
      <c r="G34" s="31">
        <v>40500</v>
      </c>
      <c r="H34" s="31">
        <f>Cty_Quang_Nga_Phu_Ly[[#This Row],[ĐƠN GIÁ]]*Cty_Quang_Nga_Phu_Ly[[#This Row],[SỐ LƯỢNG]]</f>
        <v>62775000</v>
      </c>
      <c r="I34" s="31"/>
      <c r="J34" s="31">
        <f>J33+Cty_Quang_Nga_Phu_Ly[[#This Row],[THÀNH TIỀN]]-Cty_Quang_Nga_Phu_Ly[[#This Row],[THANH TOÁN]]</f>
        <v>568311330</v>
      </c>
      <c r="K34" s="24"/>
    </row>
    <row r="35" spans="1:11" x14ac:dyDescent="0.25">
      <c r="A35" s="22">
        <v>9627</v>
      </c>
      <c r="B35" s="29">
        <v>46168</v>
      </c>
      <c r="C35" s="23" t="s">
        <v>49</v>
      </c>
      <c r="D35" s="37" t="s">
        <v>1263</v>
      </c>
      <c r="E35" s="23" t="s">
        <v>2473</v>
      </c>
      <c r="F35" s="31">
        <v>686</v>
      </c>
      <c r="G35" s="31">
        <v>66500</v>
      </c>
      <c r="H35" s="31">
        <f>Cty_Quang_Nga_Phu_Ly[[#This Row],[ĐƠN GIÁ]]*Cty_Quang_Nga_Phu_Ly[[#This Row],[SỐ LƯỢNG]]</f>
        <v>45619000</v>
      </c>
      <c r="I35" s="31"/>
      <c r="J35" s="31">
        <f>J34+Cty_Quang_Nga_Phu_Ly[[#This Row],[THÀNH TIỀN]]-Cty_Quang_Nga_Phu_Ly[[#This Row],[THANH TOÁN]]</f>
        <v>613930330</v>
      </c>
      <c r="K35" s="24"/>
    </row>
    <row r="36" spans="1:11" x14ac:dyDescent="0.25">
      <c r="A36" s="22">
        <v>9702</v>
      </c>
      <c r="B36" s="29">
        <v>46171</v>
      </c>
      <c r="C36" s="23" t="s">
        <v>13</v>
      </c>
      <c r="D36" s="37" t="s">
        <v>14</v>
      </c>
      <c r="E36" s="23" t="s">
        <v>146</v>
      </c>
      <c r="F36" s="31">
        <v>1842</v>
      </c>
      <c r="G36" s="31">
        <v>41500</v>
      </c>
      <c r="H36" s="31">
        <f>Cty_Quang_Nga_Phu_Ly[[#This Row],[ĐƠN GIÁ]]*Cty_Quang_Nga_Phu_Ly[[#This Row],[SỐ LƯỢNG]]</f>
        <v>76443000</v>
      </c>
      <c r="I36" s="31"/>
      <c r="J36" s="31">
        <f>J35+Cty_Quang_Nga_Phu_Ly[[#This Row],[THÀNH TIỀN]]-Cty_Quang_Nga_Phu_Ly[[#This Row],[THANH TOÁN]]</f>
        <v>690373330</v>
      </c>
      <c r="K36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BB618-FBFE-43FC-AA62-52509E13B450}">
  <sheetPr codeName="Sheet39"/>
  <dimension ref="A5:K45"/>
  <sheetViews>
    <sheetView topLeftCell="A8" workbookViewId="0">
      <selection activeCell="A20" sqref="A20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345134350</v>
      </c>
    </row>
    <row r="6" spans="1:11" ht="22.5" x14ac:dyDescent="0.25">
      <c r="D6" s="34" t="s">
        <v>964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A_Nguyen_Cty_Gia_Anh[[#This Row],[ĐƠN GIÁ]]*A_Nguyen_Cty_Gia_Anh[[#This Row],[SỐ LƯỢNG]]</f>
        <v>0</v>
      </c>
      <c r="I10" s="31"/>
      <c r="J10" s="31">
        <v>4032000</v>
      </c>
      <c r="K10" s="24"/>
    </row>
    <row r="11" spans="1:11" x14ac:dyDescent="0.25">
      <c r="A11" s="22">
        <v>7863</v>
      </c>
      <c r="B11" s="29">
        <v>46086</v>
      </c>
      <c r="C11" s="23" t="s">
        <v>13</v>
      </c>
      <c r="D11" s="37" t="s">
        <v>703</v>
      </c>
      <c r="E11" s="23" t="s">
        <v>965</v>
      </c>
      <c r="F11" s="31">
        <v>90</v>
      </c>
      <c r="G11" s="31">
        <v>35000</v>
      </c>
      <c r="H11" s="31">
        <f>A_Nguyen_Cty_Gia_Anh[[#This Row],[ĐƠN GIÁ]]*A_Nguyen_Cty_Gia_Anh[[#This Row],[SỐ LƯỢNG]]</f>
        <v>3150000</v>
      </c>
      <c r="I11" s="31"/>
      <c r="J11" s="31">
        <f>J10+A_Nguyen_Cty_Gia_Anh[[#This Row],[THÀNH TIỀN]]-A_Nguyen_Cty_Gia_Anh[[#This Row],[THANH TOÁN]]</f>
        <v>7182000</v>
      </c>
      <c r="K11" s="24"/>
    </row>
    <row r="12" spans="1:11" x14ac:dyDescent="0.25">
      <c r="A12" s="22">
        <v>7863</v>
      </c>
      <c r="B12" s="29">
        <v>46086</v>
      </c>
      <c r="C12" s="23" t="s">
        <v>13</v>
      </c>
      <c r="D12" s="37" t="s">
        <v>169</v>
      </c>
      <c r="E12" s="23" t="s">
        <v>41</v>
      </c>
      <c r="F12" s="31">
        <v>80</v>
      </c>
      <c r="G12" s="31">
        <v>40000</v>
      </c>
      <c r="H12" s="31">
        <f>A_Nguyen_Cty_Gia_Anh[[#This Row],[ĐƠN GIÁ]]*A_Nguyen_Cty_Gia_Anh[[#This Row],[SỐ LƯỢNG]]</f>
        <v>3200000</v>
      </c>
      <c r="I12" s="31"/>
      <c r="J12" s="31">
        <f>J11+A_Nguyen_Cty_Gia_Anh[[#This Row],[THÀNH TIỀN]]-A_Nguyen_Cty_Gia_Anh[[#This Row],[THANH TOÁN]]</f>
        <v>10382000</v>
      </c>
      <c r="K12" s="24"/>
    </row>
    <row r="13" spans="1:11" x14ac:dyDescent="0.25">
      <c r="A13" s="25">
        <v>8044</v>
      </c>
      <c r="B13" s="30">
        <v>46093</v>
      </c>
      <c r="C13" s="26" t="s">
        <v>13</v>
      </c>
      <c r="D13" s="38" t="s">
        <v>43</v>
      </c>
      <c r="E13" s="26" t="s">
        <v>371</v>
      </c>
      <c r="F13" s="28">
        <v>602</v>
      </c>
      <c r="G13" s="28">
        <v>58000</v>
      </c>
      <c r="H13" s="28">
        <f>A_Nguyen_Cty_Gia_Anh[[#This Row],[ĐƠN GIÁ]]*A_Nguyen_Cty_Gia_Anh[[#This Row],[SỐ LƯỢNG]]</f>
        <v>34916000</v>
      </c>
      <c r="I13" s="28"/>
      <c r="J13" s="28">
        <f>J12+A_Nguyen_Cty_Gia_Anh[[#This Row],[THÀNH TIỀN]]-A_Nguyen_Cty_Gia_Anh[[#This Row],[THANH TOÁN]]</f>
        <v>45298000</v>
      </c>
      <c r="K13" s="27"/>
    </row>
    <row r="14" spans="1:11" x14ac:dyDescent="0.25">
      <c r="A14" s="25">
        <v>8313</v>
      </c>
      <c r="B14" s="30">
        <v>46106</v>
      </c>
      <c r="C14" s="26" t="s">
        <v>13</v>
      </c>
      <c r="D14" s="38" t="s">
        <v>26</v>
      </c>
      <c r="E14" s="26" t="s">
        <v>40</v>
      </c>
      <c r="F14" s="28">
        <v>98</v>
      </c>
      <c r="G14" s="28">
        <v>36500</v>
      </c>
      <c r="H14" s="28">
        <f>A_Nguyen_Cty_Gia_Anh[[#This Row],[ĐƠN GIÁ]]*A_Nguyen_Cty_Gia_Anh[[#This Row],[SỐ LƯỢNG]]</f>
        <v>3577000</v>
      </c>
      <c r="I14" s="28"/>
      <c r="J14" s="28">
        <f>J13+A_Nguyen_Cty_Gia_Anh[[#This Row],[THÀNH TIỀN]]-A_Nguyen_Cty_Gia_Anh[[#This Row],[THANH TOÁN]]</f>
        <v>48875000</v>
      </c>
      <c r="K14" s="27"/>
    </row>
    <row r="15" spans="1:11" x14ac:dyDescent="0.25">
      <c r="A15" s="22">
        <v>8481</v>
      </c>
      <c r="B15" s="29">
        <v>46113</v>
      </c>
      <c r="C15" s="23" t="s">
        <v>13</v>
      </c>
      <c r="D15" s="37" t="s">
        <v>68</v>
      </c>
      <c r="E15" s="23" t="s">
        <v>146</v>
      </c>
      <c r="F15" s="31">
        <v>568</v>
      </c>
      <c r="G15" s="31">
        <v>42000</v>
      </c>
      <c r="H15" s="31">
        <f>A_Nguyen_Cty_Gia_Anh[[#This Row],[ĐƠN GIÁ]]*A_Nguyen_Cty_Gia_Anh[[#This Row],[SỐ LƯỢNG]]</f>
        <v>23856000</v>
      </c>
      <c r="I15" s="31"/>
      <c r="J15" s="31">
        <f>J14+A_Nguyen_Cty_Gia_Anh[[#This Row],[THÀNH TIỀN]]-A_Nguyen_Cty_Gia_Anh[[#This Row],[THANH TOÁN]]</f>
        <v>72731000</v>
      </c>
      <c r="K15" s="24"/>
    </row>
    <row r="16" spans="1:11" x14ac:dyDescent="0.25">
      <c r="A16" s="22">
        <v>8481</v>
      </c>
      <c r="B16" s="29">
        <v>46113</v>
      </c>
      <c r="C16" s="23" t="s">
        <v>13</v>
      </c>
      <c r="D16" s="37" t="s">
        <v>317</v>
      </c>
      <c r="E16" s="23" t="s">
        <v>146</v>
      </c>
      <c r="F16" s="31">
        <v>280</v>
      </c>
      <c r="G16" s="31">
        <v>62000</v>
      </c>
      <c r="H16" s="31">
        <f>A_Nguyen_Cty_Gia_Anh[[#This Row],[ĐƠN GIÁ]]*A_Nguyen_Cty_Gia_Anh[[#This Row],[SỐ LƯỢNG]]</f>
        <v>17360000</v>
      </c>
      <c r="I16" s="31"/>
      <c r="J16" s="31">
        <f>J15+A_Nguyen_Cty_Gia_Anh[[#This Row],[THÀNH TIỀN]]-A_Nguyen_Cty_Gia_Anh[[#This Row],[THANH TOÁN]]</f>
        <v>90091000</v>
      </c>
      <c r="K16" s="24"/>
    </row>
    <row r="17" spans="1:11" x14ac:dyDescent="0.25">
      <c r="A17" s="22">
        <v>8814</v>
      </c>
      <c r="B17" s="29">
        <v>46128</v>
      </c>
      <c r="C17" s="23" t="s">
        <v>13</v>
      </c>
      <c r="D17" s="37" t="s">
        <v>107</v>
      </c>
      <c r="E17" s="23" t="s">
        <v>966</v>
      </c>
      <c r="F17" s="31">
        <v>66</v>
      </c>
      <c r="G17" s="31">
        <v>60000</v>
      </c>
      <c r="H17" s="31">
        <f>A_Nguyen_Cty_Gia_Anh[[#This Row],[ĐƠN GIÁ]]*A_Nguyen_Cty_Gia_Anh[[#This Row],[SỐ LƯỢNG]]</f>
        <v>3960000</v>
      </c>
      <c r="I17" s="31"/>
      <c r="J17" s="31">
        <f>J16+A_Nguyen_Cty_Gia_Anh[[#This Row],[THÀNH TIỀN]]-A_Nguyen_Cty_Gia_Anh[[#This Row],[THANH TOÁN]]</f>
        <v>94051000</v>
      </c>
      <c r="K17" s="24"/>
    </row>
    <row r="18" spans="1:11" x14ac:dyDescent="0.25">
      <c r="A18" s="22">
        <v>8984</v>
      </c>
      <c r="B18" s="29">
        <v>46136</v>
      </c>
      <c r="C18" s="23" t="s">
        <v>13</v>
      </c>
      <c r="D18" s="37" t="s">
        <v>252</v>
      </c>
      <c r="E18" s="23" t="s">
        <v>146</v>
      </c>
      <c r="F18" s="31">
        <v>156</v>
      </c>
      <c r="G18" s="31">
        <v>39000</v>
      </c>
      <c r="H18" s="31">
        <f>A_Nguyen_Cty_Gia_Anh[[#This Row],[ĐƠN GIÁ]]*A_Nguyen_Cty_Gia_Anh[[#This Row],[SỐ LƯỢNG]]</f>
        <v>6084000</v>
      </c>
      <c r="I18" s="31"/>
      <c r="J18" s="31">
        <f>J17+A_Nguyen_Cty_Gia_Anh[[#This Row],[THÀNH TIỀN]]-A_Nguyen_Cty_Gia_Anh[[#This Row],[THANH TOÁN]]</f>
        <v>100135000</v>
      </c>
      <c r="K18" s="24"/>
    </row>
    <row r="19" spans="1:11" x14ac:dyDescent="0.25">
      <c r="A19" s="22"/>
      <c r="B19" s="29">
        <v>46136</v>
      </c>
      <c r="C19" s="23" t="s">
        <v>21</v>
      </c>
      <c r="D19" s="37" t="s">
        <v>22</v>
      </c>
      <c r="E19" s="23" t="s">
        <v>261</v>
      </c>
      <c r="F19" s="31">
        <v>0</v>
      </c>
      <c r="G19" s="31"/>
      <c r="H19" s="31">
        <f>A_Nguyen_Cty_Gia_Anh[[#This Row],[ĐƠN GIÁ]]*A_Nguyen_Cty_Gia_Anh[[#This Row],[SỐ LƯỢNG]]</f>
        <v>0</v>
      </c>
      <c r="I19" s="31">
        <v>94056050</v>
      </c>
      <c r="J19" s="31">
        <f>J18+A_Nguyen_Cty_Gia_Anh[[#This Row],[THÀNH TIỀN]]-A_Nguyen_Cty_Gia_Anh[[#This Row],[THANH TOÁN]]</f>
        <v>6078950</v>
      </c>
      <c r="K19" s="24"/>
    </row>
    <row r="20" spans="1:11" x14ac:dyDescent="0.25">
      <c r="A20" s="22">
        <v>9063</v>
      </c>
      <c r="B20" s="29">
        <v>46139</v>
      </c>
      <c r="C20" s="23" t="s">
        <v>13</v>
      </c>
      <c r="D20" s="37" t="s">
        <v>169</v>
      </c>
      <c r="E20" s="23" t="s">
        <v>62</v>
      </c>
      <c r="F20" s="31">
        <v>206</v>
      </c>
      <c r="G20" s="31">
        <v>40500</v>
      </c>
      <c r="H20" s="31">
        <f>A_Nguyen_Cty_Gia_Anh[[#This Row],[ĐƠN GIÁ]]*A_Nguyen_Cty_Gia_Anh[[#This Row],[SỐ LƯỢNG]]</f>
        <v>8343000</v>
      </c>
      <c r="I20" s="31"/>
      <c r="J20" s="31">
        <f>J19+A_Nguyen_Cty_Gia_Anh[[#This Row],[THÀNH TIỀN]]-A_Nguyen_Cty_Gia_Anh[[#This Row],[THANH TOÁN]]</f>
        <v>14421950</v>
      </c>
      <c r="K20" s="24"/>
    </row>
    <row r="21" spans="1:11" x14ac:dyDescent="0.25">
      <c r="A21" s="22">
        <v>9063</v>
      </c>
      <c r="B21" s="29">
        <v>46139</v>
      </c>
      <c r="C21" s="23" t="s">
        <v>13</v>
      </c>
      <c r="D21" s="37" t="s">
        <v>169</v>
      </c>
      <c r="E21" s="23" t="s">
        <v>146</v>
      </c>
      <c r="F21" s="31">
        <v>162</v>
      </c>
      <c r="G21" s="31">
        <v>39000</v>
      </c>
      <c r="H21" s="31">
        <f>A_Nguyen_Cty_Gia_Anh[[#This Row],[ĐƠN GIÁ]]*A_Nguyen_Cty_Gia_Anh[[#This Row],[SỐ LƯỢNG]]</f>
        <v>6318000</v>
      </c>
      <c r="I21" s="31"/>
      <c r="J21" s="31">
        <f>J20+A_Nguyen_Cty_Gia_Anh[[#This Row],[THÀNH TIỀN]]-A_Nguyen_Cty_Gia_Anh[[#This Row],[THANH TOÁN]]</f>
        <v>20739950</v>
      </c>
      <c r="K21" s="24"/>
    </row>
    <row r="22" spans="1:11" x14ac:dyDescent="0.25">
      <c r="A22" s="22">
        <v>9064</v>
      </c>
      <c r="B22" s="29">
        <v>46139</v>
      </c>
      <c r="C22" s="23" t="s">
        <v>13</v>
      </c>
      <c r="D22" s="37" t="s">
        <v>26</v>
      </c>
      <c r="E22" s="23" t="s">
        <v>40</v>
      </c>
      <c r="F22" s="31">
        <v>30</v>
      </c>
      <c r="G22" s="31">
        <v>37000</v>
      </c>
      <c r="H22" s="31">
        <f>A_Nguyen_Cty_Gia_Anh[[#This Row],[ĐƠN GIÁ]]*A_Nguyen_Cty_Gia_Anh[[#This Row],[SỐ LƯỢNG]]</f>
        <v>1110000</v>
      </c>
      <c r="I22" s="31"/>
      <c r="J22" s="31">
        <f>J21+A_Nguyen_Cty_Gia_Anh[[#This Row],[THÀNH TIỀN]]-A_Nguyen_Cty_Gia_Anh[[#This Row],[THANH TOÁN]]</f>
        <v>21849950</v>
      </c>
      <c r="K22" s="24"/>
    </row>
    <row r="23" spans="1:11" x14ac:dyDescent="0.25">
      <c r="A23" s="22">
        <v>9109</v>
      </c>
      <c r="B23" s="29">
        <v>46141</v>
      </c>
      <c r="C23" s="23" t="s">
        <v>13</v>
      </c>
      <c r="D23" s="37" t="s">
        <v>17</v>
      </c>
      <c r="E23" s="23" t="s">
        <v>62</v>
      </c>
      <c r="F23" s="31">
        <v>306</v>
      </c>
      <c r="G23" s="31">
        <v>64000</v>
      </c>
      <c r="H23" s="31">
        <f>A_Nguyen_Cty_Gia_Anh[[#This Row],[ĐƠN GIÁ]]*A_Nguyen_Cty_Gia_Anh[[#This Row],[SỐ LƯỢNG]]</f>
        <v>19584000</v>
      </c>
      <c r="I23" s="31"/>
      <c r="J23" s="31">
        <f>J22+A_Nguyen_Cty_Gia_Anh[[#This Row],[THÀNH TIỀN]]-A_Nguyen_Cty_Gia_Anh[[#This Row],[THANH TOÁN]]</f>
        <v>41433950</v>
      </c>
      <c r="K23" s="24"/>
    </row>
    <row r="24" spans="1:11" x14ac:dyDescent="0.25">
      <c r="A24" s="22">
        <v>9109</v>
      </c>
      <c r="B24" s="29">
        <v>46141</v>
      </c>
      <c r="C24" s="23" t="s">
        <v>13</v>
      </c>
      <c r="D24" s="37" t="s">
        <v>26</v>
      </c>
      <c r="E24" s="23" t="s">
        <v>1888</v>
      </c>
      <c r="F24" s="31">
        <v>102</v>
      </c>
      <c r="G24" s="31">
        <v>35700</v>
      </c>
      <c r="H24" s="31">
        <f>A_Nguyen_Cty_Gia_Anh[[#This Row],[ĐƠN GIÁ]]*A_Nguyen_Cty_Gia_Anh[[#This Row],[SỐ LƯỢNG]]</f>
        <v>3641400</v>
      </c>
      <c r="I24" s="31"/>
      <c r="J24" s="31">
        <f>J23+A_Nguyen_Cty_Gia_Anh[[#This Row],[THÀNH TIỀN]]-A_Nguyen_Cty_Gia_Anh[[#This Row],[THANH TOÁN]]</f>
        <v>45075350</v>
      </c>
      <c r="K24" s="24" t="s">
        <v>1805</v>
      </c>
    </row>
    <row r="25" spans="1:11" x14ac:dyDescent="0.25">
      <c r="A25" s="22">
        <v>9109</v>
      </c>
      <c r="B25" s="29">
        <v>46141</v>
      </c>
      <c r="C25" s="23" t="s">
        <v>13</v>
      </c>
      <c r="D25" s="37" t="s">
        <v>26</v>
      </c>
      <c r="E25" s="23" t="s">
        <v>1889</v>
      </c>
      <c r="F25" s="31">
        <v>970</v>
      </c>
      <c r="G25" s="31">
        <v>35700</v>
      </c>
      <c r="H25" s="31">
        <f>A_Nguyen_Cty_Gia_Anh[[#This Row],[ĐƠN GIÁ]]*A_Nguyen_Cty_Gia_Anh[[#This Row],[SỐ LƯỢNG]]</f>
        <v>34629000</v>
      </c>
      <c r="I25" s="31"/>
      <c r="J25" s="31">
        <f>J24+A_Nguyen_Cty_Gia_Anh[[#This Row],[THÀNH TIỀN]]-A_Nguyen_Cty_Gia_Anh[[#This Row],[THANH TOÁN]]</f>
        <v>79704350</v>
      </c>
      <c r="K25" s="24" t="s">
        <v>1805</v>
      </c>
    </row>
    <row r="26" spans="1:11" x14ac:dyDescent="0.25">
      <c r="A26" s="22">
        <v>9109</v>
      </c>
      <c r="B26" s="29">
        <v>46141</v>
      </c>
      <c r="C26" s="23" t="s">
        <v>13</v>
      </c>
      <c r="D26" s="37" t="s">
        <v>77</v>
      </c>
      <c r="E26" s="23" t="s">
        <v>78</v>
      </c>
      <c r="F26" s="31">
        <v>136</v>
      </c>
      <c r="G26" s="31">
        <v>36000</v>
      </c>
      <c r="H26" s="31">
        <f>A_Nguyen_Cty_Gia_Anh[[#This Row],[ĐƠN GIÁ]]*A_Nguyen_Cty_Gia_Anh[[#This Row],[SỐ LƯỢNG]]</f>
        <v>4896000</v>
      </c>
      <c r="I26" s="31"/>
      <c r="J26" s="31">
        <f>J25+A_Nguyen_Cty_Gia_Anh[[#This Row],[THÀNH TIỀN]]-A_Nguyen_Cty_Gia_Anh[[#This Row],[THANH TOÁN]]</f>
        <v>84600350</v>
      </c>
      <c r="K26" s="24"/>
    </row>
    <row r="27" spans="1:11" x14ac:dyDescent="0.25">
      <c r="A27" s="22">
        <v>9109</v>
      </c>
      <c r="B27" s="29">
        <v>46141</v>
      </c>
      <c r="C27" s="23" t="s">
        <v>13</v>
      </c>
      <c r="D27" s="37" t="s">
        <v>77</v>
      </c>
      <c r="E27" s="23" t="s">
        <v>40</v>
      </c>
      <c r="F27" s="31">
        <v>172</v>
      </c>
      <c r="G27" s="31">
        <v>37000</v>
      </c>
      <c r="H27" s="31">
        <f>A_Nguyen_Cty_Gia_Anh[[#This Row],[ĐƠN GIÁ]]*A_Nguyen_Cty_Gia_Anh[[#This Row],[SỐ LƯỢNG]]</f>
        <v>6364000</v>
      </c>
      <c r="I27" s="31"/>
      <c r="J27" s="31">
        <f>J26+A_Nguyen_Cty_Gia_Anh[[#This Row],[THÀNH TIỀN]]-A_Nguyen_Cty_Gia_Anh[[#This Row],[THANH TOÁN]]</f>
        <v>90964350</v>
      </c>
      <c r="K27" s="24"/>
    </row>
    <row r="28" spans="1:11" x14ac:dyDescent="0.25">
      <c r="A28" s="22">
        <v>9109</v>
      </c>
      <c r="B28" s="29">
        <v>46141</v>
      </c>
      <c r="C28" s="23" t="s">
        <v>13</v>
      </c>
      <c r="D28" s="37" t="s">
        <v>43</v>
      </c>
      <c r="E28" s="23" t="s">
        <v>621</v>
      </c>
      <c r="F28" s="31">
        <v>248</v>
      </c>
      <c r="G28" s="31">
        <v>64000</v>
      </c>
      <c r="H28" s="31">
        <f>A_Nguyen_Cty_Gia_Anh[[#This Row],[ĐƠN GIÁ]]*A_Nguyen_Cty_Gia_Anh[[#This Row],[SỐ LƯỢNG]]</f>
        <v>15872000</v>
      </c>
      <c r="I28" s="31"/>
      <c r="J28" s="31">
        <f>J27+A_Nguyen_Cty_Gia_Anh[[#This Row],[THÀNH TIỀN]]-A_Nguyen_Cty_Gia_Anh[[#This Row],[THANH TOÁN]]</f>
        <v>106836350</v>
      </c>
      <c r="K28" s="24"/>
    </row>
    <row r="29" spans="1:11" x14ac:dyDescent="0.25">
      <c r="A29" s="22">
        <v>9109</v>
      </c>
      <c r="B29" s="29">
        <v>46141</v>
      </c>
      <c r="C29" s="23" t="s">
        <v>13</v>
      </c>
      <c r="D29" s="37" t="s">
        <v>17</v>
      </c>
      <c r="E29" s="23" t="s">
        <v>25</v>
      </c>
      <c r="F29" s="31">
        <v>740</v>
      </c>
      <c r="G29" s="31">
        <v>67500</v>
      </c>
      <c r="H29" s="31">
        <f>A_Nguyen_Cty_Gia_Anh[[#This Row],[ĐƠN GIÁ]]*A_Nguyen_Cty_Gia_Anh[[#This Row],[SỐ LƯỢNG]]</f>
        <v>49950000</v>
      </c>
      <c r="I29" s="31"/>
      <c r="J29" s="31">
        <f>J28+A_Nguyen_Cty_Gia_Anh[[#This Row],[THÀNH TIỀN]]-A_Nguyen_Cty_Gia_Anh[[#This Row],[THANH TOÁN]]</f>
        <v>156786350</v>
      </c>
      <c r="K29" s="24"/>
    </row>
    <row r="30" spans="1:11" x14ac:dyDescent="0.25">
      <c r="A30" s="22">
        <v>9131</v>
      </c>
      <c r="B30" s="29">
        <v>46146</v>
      </c>
      <c r="C30" s="23" t="s">
        <v>13</v>
      </c>
      <c r="D30" s="37" t="s">
        <v>43</v>
      </c>
      <c r="E30" s="23" t="s">
        <v>255</v>
      </c>
      <c r="F30" s="31">
        <v>82</v>
      </c>
      <c r="G30" s="31">
        <v>62000</v>
      </c>
      <c r="H30" s="31">
        <f>A_Nguyen_Cty_Gia_Anh[[#This Row],[ĐƠN GIÁ]]*A_Nguyen_Cty_Gia_Anh[[#This Row],[SỐ LƯỢNG]]</f>
        <v>5084000</v>
      </c>
      <c r="I30" s="31"/>
      <c r="J30" s="31">
        <f>J29+A_Nguyen_Cty_Gia_Anh[[#This Row],[THÀNH TIỀN]]-A_Nguyen_Cty_Gia_Anh[[#This Row],[THANH TOÁN]]</f>
        <v>161870350</v>
      </c>
      <c r="K30" s="24"/>
    </row>
    <row r="31" spans="1:11" x14ac:dyDescent="0.25">
      <c r="A31" s="22">
        <v>9131</v>
      </c>
      <c r="B31" s="29">
        <v>46146</v>
      </c>
      <c r="C31" s="23" t="s">
        <v>13</v>
      </c>
      <c r="D31" s="37" t="s">
        <v>43</v>
      </c>
      <c r="E31" s="23" t="s">
        <v>255</v>
      </c>
      <c r="F31" s="31">
        <v>247</v>
      </c>
      <c r="G31" s="31">
        <v>62000</v>
      </c>
      <c r="H31" s="31">
        <f>A_Nguyen_Cty_Gia_Anh[[#This Row],[ĐƠN GIÁ]]*A_Nguyen_Cty_Gia_Anh[[#This Row],[SỐ LƯỢNG]]</f>
        <v>15314000</v>
      </c>
      <c r="I31" s="31"/>
      <c r="J31" s="31">
        <f>J30+A_Nguyen_Cty_Gia_Anh[[#This Row],[THÀNH TIỀN]]-A_Nguyen_Cty_Gia_Anh[[#This Row],[THANH TOÁN]]</f>
        <v>177184350</v>
      </c>
      <c r="K31" s="24" t="s">
        <v>783</v>
      </c>
    </row>
    <row r="32" spans="1:11" x14ac:dyDescent="0.25">
      <c r="A32" s="22">
        <v>9177</v>
      </c>
      <c r="B32" s="29">
        <v>46147</v>
      </c>
      <c r="C32" s="23" t="s">
        <v>13</v>
      </c>
      <c r="D32" s="37" t="s">
        <v>43</v>
      </c>
      <c r="E32" s="23" t="s">
        <v>1942</v>
      </c>
      <c r="F32" s="31">
        <v>300</v>
      </c>
      <c r="G32" s="31">
        <v>65000</v>
      </c>
      <c r="H32" s="31">
        <f>A_Nguyen_Cty_Gia_Anh[[#This Row],[ĐƠN GIÁ]]*A_Nguyen_Cty_Gia_Anh[[#This Row],[SỐ LƯỢNG]]</f>
        <v>19500000</v>
      </c>
      <c r="I32" s="31"/>
      <c r="J32" s="31">
        <f>J31+A_Nguyen_Cty_Gia_Anh[[#This Row],[THÀNH TIỀN]]-A_Nguyen_Cty_Gia_Anh[[#This Row],[THANH TOÁN]]</f>
        <v>196684350</v>
      </c>
      <c r="K32" s="24"/>
    </row>
    <row r="33" spans="1:11" x14ac:dyDescent="0.25">
      <c r="A33" s="22">
        <v>9177</v>
      </c>
      <c r="B33" s="29">
        <v>46147</v>
      </c>
      <c r="C33" s="23" t="s">
        <v>13</v>
      </c>
      <c r="D33" s="37" t="s">
        <v>43</v>
      </c>
      <c r="E33" s="23" t="s">
        <v>1889</v>
      </c>
      <c r="F33" s="31">
        <v>488</v>
      </c>
      <c r="G33" s="31">
        <v>65000</v>
      </c>
      <c r="H33" s="31">
        <f>A_Nguyen_Cty_Gia_Anh[[#This Row],[ĐƠN GIÁ]]*A_Nguyen_Cty_Gia_Anh[[#This Row],[SỐ LƯỢNG]]</f>
        <v>31720000</v>
      </c>
      <c r="I33" s="31"/>
      <c r="J33" s="31">
        <f>J32+A_Nguyen_Cty_Gia_Anh[[#This Row],[THÀNH TIỀN]]-A_Nguyen_Cty_Gia_Anh[[#This Row],[THANH TOÁN]]</f>
        <v>228404350</v>
      </c>
      <c r="K33" s="24"/>
    </row>
    <row r="34" spans="1:11" x14ac:dyDescent="0.25">
      <c r="A34" s="22">
        <v>9177</v>
      </c>
      <c r="B34" s="29">
        <v>46147</v>
      </c>
      <c r="C34" s="23" t="s">
        <v>13</v>
      </c>
      <c r="D34" s="37" t="s">
        <v>26</v>
      </c>
      <c r="E34" s="23" t="s">
        <v>25</v>
      </c>
      <c r="F34" s="31">
        <v>302</v>
      </c>
      <c r="G34" s="31">
        <v>34000</v>
      </c>
      <c r="H34" s="31">
        <f>A_Nguyen_Cty_Gia_Anh[[#This Row],[ĐƠN GIÁ]]*A_Nguyen_Cty_Gia_Anh[[#This Row],[SỐ LƯỢNG]]</f>
        <v>10268000</v>
      </c>
      <c r="I34" s="31"/>
      <c r="J34" s="31">
        <f>J33+A_Nguyen_Cty_Gia_Anh[[#This Row],[THÀNH TIỀN]]-A_Nguyen_Cty_Gia_Anh[[#This Row],[THANH TOÁN]]</f>
        <v>238672350</v>
      </c>
      <c r="K34" s="24"/>
    </row>
    <row r="35" spans="1:11" x14ac:dyDescent="0.25">
      <c r="A35" s="25">
        <v>9178</v>
      </c>
      <c r="B35" s="30">
        <v>46147</v>
      </c>
      <c r="C35" s="26" t="s">
        <v>13</v>
      </c>
      <c r="D35" s="38" t="s">
        <v>26</v>
      </c>
      <c r="E35" s="26" t="s">
        <v>446</v>
      </c>
      <c r="F35" s="28">
        <v>178</v>
      </c>
      <c r="G35" s="28">
        <v>35000</v>
      </c>
      <c r="H35" s="28">
        <f>A_Nguyen_Cty_Gia_Anh[[#This Row],[ĐƠN GIÁ]]*A_Nguyen_Cty_Gia_Anh[[#This Row],[SỐ LƯỢNG]]</f>
        <v>6230000</v>
      </c>
      <c r="I35" s="28"/>
      <c r="J35" s="28">
        <f>J34+A_Nguyen_Cty_Gia_Anh[[#This Row],[THÀNH TIỀN]]-A_Nguyen_Cty_Gia_Anh[[#This Row],[THANH TOÁN]]</f>
        <v>244902350</v>
      </c>
      <c r="K35" s="27"/>
    </row>
    <row r="36" spans="1:11" x14ac:dyDescent="0.25">
      <c r="A36" s="22">
        <v>9178</v>
      </c>
      <c r="B36" s="29">
        <v>46151</v>
      </c>
      <c r="C36" s="23" t="s">
        <v>13</v>
      </c>
      <c r="D36" s="37" t="s">
        <v>26</v>
      </c>
      <c r="E36" s="23" t="s">
        <v>621</v>
      </c>
      <c r="F36" s="31">
        <v>184</v>
      </c>
      <c r="G36" s="31">
        <v>34000</v>
      </c>
      <c r="H36" s="31">
        <f>A_Nguyen_Cty_Gia_Anh[[#This Row],[ĐƠN GIÁ]]*A_Nguyen_Cty_Gia_Anh[[#This Row],[SỐ LƯỢNG]]</f>
        <v>6256000</v>
      </c>
      <c r="I36" s="31"/>
      <c r="J36" s="31">
        <f>J35+A_Nguyen_Cty_Gia_Anh[[#This Row],[THÀNH TIỀN]]-A_Nguyen_Cty_Gia_Anh[[#This Row],[THANH TOÁN]]</f>
        <v>251158350</v>
      </c>
      <c r="K36" s="24"/>
    </row>
    <row r="37" spans="1:11" x14ac:dyDescent="0.25">
      <c r="A37" s="22">
        <v>9178</v>
      </c>
      <c r="B37" s="29">
        <v>46151</v>
      </c>
      <c r="C37" s="23" t="s">
        <v>13</v>
      </c>
      <c r="D37" s="37" t="s">
        <v>26</v>
      </c>
      <c r="E37" s="23" t="s">
        <v>40</v>
      </c>
      <c r="F37" s="31">
        <v>124</v>
      </c>
      <c r="G37" s="31">
        <v>36000</v>
      </c>
      <c r="H37" s="31">
        <f>A_Nguyen_Cty_Gia_Anh[[#This Row],[ĐƠN GIÁ]]*A_Nguyen_Cty_Gia_Anh[[#This Row],[SỐ LƯỢNG]]</f>
        <v>4464000</v>
      </c>
      <c r="I37" s="31"/>
      <c r="J37" s="31">
        <f>J36+A_Nguyen_Cty_Gia_Anh[[#This Row],[THÀNH TIỀN]]-A_Nguyen_Cty_Gia_Anh[[#This Row],[THANH TOÁN]]</f>
        <v>255622350</v>
      </c>
      <c r="K37" s="24"/>
    </row>
    <row r="38" spans="1:11" x14ac:dyDescent="0.25">
      <c r="A38" s="22">
        <v>9178</v>
      </c>
      <c r="B38" s="29">
        <v>46151</v>
      </c>
      <c r="C38" s="23" t="s">
        <v>13</v>
      </c>
      <c r="D38" s="37" t="s">
        <v>26</v>
      </c>
      <c r="E38" s="23" t="s">
        <v>78</v>
      </c>
      <c r="F38" s="31">
        <v>268</v>
      </c>
      <c r="G38" s="31">
        <v>36000</v>
      </c>
      <c r="H38" s="31">
        <f>A_Nguyen_Cty_Gia_Anh[[#This Row],[ĐƠN GIÁ]]*A_Nguyen_Cty_Gia_Anh[[#This Row],[SỐ LƯỢNG]]</f>
        <v>9648000</v>
      </c>
      <c r="I38" s="31"/>
      <c r="J38" s="31">
        <f>J37+A_Nguyen_Cty_Gia_Anh[[#This Row],[THÀNH TIỀN]]-A_Nguyen_Cty_Gia_Anh[[#This Row],[THANH TOÁN]]</f>
        <v>265270350</v>
      </c>
      <c r="K38" s="24"/>
    </row>
    <row r="39" spans="1:11" x14ac:dyDescent="0.25">
      <c r="A39" s="22">
        <v>9178</v>
      </c>
      <c r="B39" s="29">
        <v>46151</v>
      </c>
      <c r="C39" s="23" t="s">
        <v>13</v>
      </c>
      <c r="D39" s="37" t="s">
        <v>43</v>
      </c>
      <c r="E39" s="23" t="s">
        <v>446</v>
      </c>
      <c r="F39" s="31">
        <v>274</v>
      </c>
      <c r="G39" s="31">
        <v>66000</v>
      </c>
      <c r="H39" s="31">
        <f>A_Nguyen_Cty_Gia_Anh[[#This Row],[ĐƠN GIÁ]]*A_Nguyen_Cty_Gia_Anh[[#This Row],[SỐ LƯỢNG]]</f>
        <v>18084000</v>
      </c>
      <c r="I39" s="31"/>
      <c r="J39" s="31">
        <f>J38+A_Nguyen_Cty_Gia_Anh[[#This Row],[THÀNH TIỀN]]-A_Nguyen_Cty_Gia_Anh[[#This Row],[THANH TOÁN]]</f>
        <v>283354350</v>
      </c>
      <c r="K39" s="24"/>
    </row>
    <row r="40" spans="1:11" x14ac:dyDescent="0.25">
      <c r="A40" s="22">
        <v>9178</v>
      </c>
      <c r="B40" s="29">
        <v>46151</v>
      </c>
      <c r="C40" s="23" t="s">
        <v>13</v>
      </c>
      <c r="D40" s="37" t="s">
        <v>17</v>
      </c>
      <c r="E40" s="23" t="s">
        <v>469</v>
      </c>
      <c r="F40" s="31">
        <v>276</v>
      </c>
      <c r="G40" s="31">
        <v>67000</v>
      </c>
      <c r="H40" s="31">
        <f>A_Nguyen_Cty_Gia_Anh[[#This Row],[ĐƠN GIÁ]]*A_Nguyen_Cty_Gia_Anh[[#This Row],[SỐ LƯỢNG]]</f>
        <v>18492000</v>
      </c>
      <c r="I40" s="31"/>
      <c r="J40" s="31">
        <f>J39+A_Nguyen_Cty_Gia_Anh[[#This Row],[THÀNH TIỀN]]-A_Nguyen_Cty_Gia_Anh[[#This Row],[THANH TOÁN]]</f>
        <v>301846350</v>
      </c>
      <c r="K40" s="24"/>
    </row>
    <row r="41" spans="1:11" x14ac:dyDescent="0.25">
      <c r="A41" s="22">
        <v>9178</v>
      </c>
      <c r="B41" s="29">
        <v>46151</v>
      </c>
      <c r="C41" s="23" t="s">
        <v>13</v>
      </c>
      <c r="D41" s="37" t="s">
        <v>75</v>
      </c>
      <c r="E41" s="23" t="s">
        <v>288</v>
      </c>
      <c r="F41" s="31">
        <v>72</v>
      </c>
      <c r="G41" s="31">
        <v>40000</v>
      </c>
      <c r="H41" s="31">
        <f>A_Nguyen_Cty_Gia_Anh[[#This Row],[ĐƠN GIÁ]]*A_Nguyen_Cty_Gia_Anh[[#This Row],[SỐ LƯỢNG]]</f>
        <v>2880000</v>
      </c>
      <c r="I41" s="31"/>
      <c r="J41" s="31">
        <f>J40+A_Nguyen_Cty_Gia_Anh[[#This Row],[THÀNH TIỀN]]-A_Nguyen_Cty_Gia_Anh[[#This Row],[THANH TOÁN]]</f>
        <v>304726350</v>
      </c>
      <c r="K41" s="24"/>
    </row>
    <row r="42" spans="1:11" x14ac:dyDescent="0.25">
      <c r="A42" s="22">
        <v>9483</v>
      </c>
      <c r="B42" s="29">
        <v>46161</v>
      </c>
      <c r="C42" s="23" t="s">
        <v>13</v>
      </c>
      <c r="D42" s="37" t="s">
        <v>252</v>
      </c>
      <c r="E42" s="23" t="s">
        <v>136</v>
      </c>
      <c r="F42" s="31">
        <v>156</v>
      </c>
      <c r="G42" s="31">
        <v>40000</v>
      </c>
      <c r="H42" s="31">
        <f>A_Nguyen_Cty_Gia_Anh[[#This Row],[ĐƠN GIÁ]]*A_Nguyen_Cty_Gia_Anh[[#This Row],[SỐ LƯỢNG]]</f>
        <v>6240000</v>
      </c>
      <c r="I42" s="31"/>
      <c r="J42" s="31">
        <f>J41+A_Nguyen_Cty_Gia_Anh[[#This Row],[THÀNH TIỀN]]-A_Nguyen_Cty_Gia_Anh[[#This Row],[THANH TOÁN]]</f>
        <v>310966350</v>
      </c>
      <c r="K42" s="24"/>
    </row>
    <row r="43" spans="1:11" x14ac:dyDescent="0.25">
      <c r="A43" s="22">
        <v>9483</v>
      </c>
      <c r="B43" s="29">
        <v>46161</v>
      </c>
      <c r="C43" s="23" t="s">
        <v>13</v>
      </c>
      <c r="D43" s="37" t="s">
        <v>14</v>
      </c>
      <c r="E43" s="23" t="s">
        <v>40</v>
      </c>
      <c r="F43" s="31">
        <v>428</v>
      </c>
      <c r="G43" s="31">
        <v>47000</v>
      </c>
      <c r="H43" s="31">
        <f>A_Nguyen_Cty_Gia_Anh[[#This Row],[ĐƠN GIÁ]]*A_Nguyen_Cty_Gia_Anh[[#This Row],[SỐ LƯỢNG]]</f>
        <v>20116000</v>
      </c>
      <c r="I43" s="31"/>
      <c r="J43" s="31">
        <f>J42+A_Nguyen_Cty_Gia_Anh[[#This Row],[THÀNH TIỀN]]-A_Nguyen_Cty_Gia_Anh[[#This Row],[THANH TOÁN]]</f>
        <v>331082350</v>
      </c>
      <c r="K43" s="24"/>
    </row>
    <row r="44" spans="1:11" x14ac:dyDescent="0.25">
      <c r="A44" s="22">
        <v>9483</v>
      </c>
      <c r="B44" s="29">
        <v>46161</v>
      </c>
      <c r="C44" s="23" t="s">
        <v>13</v>
      </c>
      <c r="D44" s="37" t="s">
        <v>43</v>
      </c>
      <c r="E44" s="23" t="s">
        <v>204</v>
      </c>
      <c r="F44" s="31">
        <v>138</v>
      </c>
      <c r="G44" s="31">
        <v>60000</v>
      </c>
      <c r="H44" s="31">
        <f>A_Nguyen_Cty_Gia_Anh[[#This Row],[ĐƠN GIÁ]]*A_Nguyen_Cty_Gia_Anh[[#This Row],[SỐ LƯỢNG]]</f>
        <v>8280000</v>
      </c>
      <c r="I44" s="31"/>
      <c r="J44" s="31">
        <f>J43+A_Nguyen_Cty_Gia_Anh[[#This Row],[THÀNH TIỀN]]-A_Nguyen_Cty_Gia_Anh[[#This Row],[THANH TOÁN]]</f>
        <v>339362350</v>
      </c>
      <c r="K44" s="24"/>
    </row>
    <row r="45" spans="1:11" x14ac:dyDescent="0.25">
      <c r="A45" s="22">
        <v>9533</v>
      </c>
      <c r="B45" s="29">
        <v>46163</v>
      </c>
      <c r="C45" s="23" t="s">
        <v>13</v>
      </c>
      <c r="D45" s="37" t="s">
        <v>252</v>
      </c>
      <c r="E45" s="23" t="s">
        <v>146</v>
      </c>
      <c r="F45" s="31">
        <v>148</v>
      </c>
      <c r="G45" s="31">
        <v>39000</v>
      </c>
      <c r="H45" s="31">
        <f>A_Nguyen_Cty_Gia_Anh[[#This Row],[ĐƠN GIÁ]]*A_Nguyen_Cty_Gia_Anh[[#This Row],[SỐ LƯỢNG]]</f>
        <v>5772000</v>
      </c>
      <c r="I45" s="31"/>
      <c r="J45" s="31">
        <f>J44+A_Nguyen_Cty_Gia_Anh[[#This Row],[THÀNH TIỀN]]-A_Nguyen_Cty_Gia_Anh[[#This Row],[THANH TOÁN]]</f>
        <v>345134350</v>
      </c>
      <c r="K45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C5B1F-1B7F-4020-B64D-982AA54BF40A}">
  <sheetPr codeName="Sheet50"/>
  <dimension ref="A5:K47"/>
  <sheetViews>
    <sheetView topLeftCell="A28" workbookViewId="0">
      <selection activeCell="F36" sqref="F36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1195631919</v>
      </c>
    </row>
    <row r="6" spans="1:11" ht="22.5" x14ac:dyDescent="0.25">
      <c r="D6" s="34" t="s">
        <v>967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Cty_Hien_Thinh_HP[[#This Row],[ĐƠN GIÁ]]*Cty_Hien_Thinh_HP[[#This Row],[SỐ LƯỢNG]]</f>
        <v>0</v>
      </c>
      <c r="I10" s="31"/>
      <c r="J10" s="31">
        <v>1296370919</v>
      </c>
      <c r="K10" s="24"/>
    </row>
    <row r="11" spans="1:11" x14ac:dyDescent="0.25">
      <c r="A11" s="22">
        <v>7864</v>
      </c>
      <c r="B11" s="29">
        <v>46086</v>
      </c>
      <c r="C11" s="23" t="s">
        <v>13</v>
      </c>
      <c r="D11" s="37" t="s">
        <v>109</v>
      </c>
      <c r="E11" s="23" t="s">
        <v>354</v>
      </c>
      <c r="F11" s="31">
        <v>1800</v>
      </c>
      <c r="G11" s="31">
        <v>55000</v>
      </c>
      <c r="H11" s="31">
        <f>Cty_Hien_Thinh_HP[[#This Row],[ĐƠN GIÁ]]*Cty_Hien_Thinh_HP[[#This Row],[SỐ LƯỢNG]]</f>
        <v>99000000</v>
      </c>
      <c r="I11" s="31"/>
      <c r="J11" s="31">
        <f>J10+Cty_Hien_Thinh_HP[[#This Row],[THÀNH TIỀN]]-Cty_Hien_Thinh_HP[[#This Row],[THANH TOÁN]]</f>
        <v>1395370919</v>
      </c>
      <c r="K11" s="24"/>
    </row>
    <row r="12" spans="1:11" x14ac:dyDescent="0.25">
      <c r="A12" s="22">
        <v>7864</v>
      </c>
      <c r="B12" s="29">
        <v>46086</v>
      </c>
      <c r="C12" s="23" t="s">
        <v>13</v>
      </c>
      <c r="D12" s="37" t="s">
        <v>43</v>
      </c>
      <c r="E12" s="23" t="s">
        <v>146</v>
      </c>
      <c r="F12" s="31">
        <v>558</v>
      </c>
      <c r="G12" s="31">
        <v>56000</v>
      </c>
      <c r="H12" s="31">
        <f>Cty_Hien_Thinh_HP[[#This Row],[ĐƠN GIÁ]]*Cty_Hien_Thinh_HP[[#This Row],[SỐ LƯỢNG]]</f>
        <v>31248000</v>
      </c>
      <c r="I12" s="31"/>
      <c r="J12" s="31">
        <f>J11+Cty_Hien_Thinh_HP[[#This Row],[THÀNH TIỀN]]-Cty_Hien_Thinh_HP[[#This Row],[THANH TOÁN]]</f>
        <v>1426618919</v>
      </c>
      <c r="K12" s="24"/>
    </row>
    <row r="13" spans="1:11" x14ac:dyDescent="0.25">
      <c r="A13" s="25"/>
      <c r="B13" s="30">
        <v>46087</v>
      </c>
      <c r="C13" s="26" t="s">
        <v>21</v>
      </c>
      <c r="D13" s="38" t="s">
        <v>22</v>
      </c>
      <c r="E13" s="26" t="s">
        <v>261</v>
      </c>
      <c r="F13" s="28">
        <v>0</v>
      </c>
      <c r="G13" s="28">
        <v>0</v>
      </c>
      <c r="H13" s="28">
        <f>Cty_Hien_Thinh_HP[[#This Row],[ĐƠN GIÁ]]*Cty_Hien_Thinh_HP[[#This Row],[SỐ LƯỢNG]]</f>
        <v>0</v>
      </c>
      <c r="I13" s="28">
        <v>100000000</v>
      </c>
      <c r="J13" s="28">
        <f>J12+Cty_Hien_Thinh_HP[[#This Row],[THÀNH TIỀN]]-Cty_Hien_Thinh_HP[[#This Row],[THANH TOÁN]]</f>
        <v>1326618919</v>
      </c>
      <c r="K13" s="27"/>
    </row>
    <row r="14" spans="1:11" ht="31.5" x14ac:dyDescent="0.25">
      <c r="A14" s="25">
        <v>8009</v>
      </c>
      <c r="B14" s="30">
        <v>46092</v>
      </c>
      <c r="C14" s="26" t="s">
        <v>13</v>
      </c>
      <c r="D14" s="38" t="s">
        <v>36</v>
      </c>
      <c r="E14" s="67" t="s">
        <v>968</v>
      </c>
      <c r="F14" s="28">
        <v>1260</v>
      </c>
      <c r="G14" s="28">
        <v>56000</v>
      </c>
      <c r="H14" s="31">
        <f>Cty_Hien_Thinh_HP[[#This Row],[ĐƠN GIÁ]]*Cty_Hien_Thinh_HP[[#This Row],[SỐ LƯỢNG]]</f>
        <v>70560000</v>
      </c>
      <c r="I14" s="31"/>
      <c r="J14" s="31">
        <f>J13+Cty_Hien_Thinh_HP[[#This Row],[THÀNH TIỀN]]-Cty_Hien_Thinh_HP[[#This Row],[THANH TOÁN]]</f>
        <v>1397178919</v>
      </c>
      <c r="K14" s="24"/>
    </row>
    <row r="15" spans="1:11" ht="31.5" x14ac:dyDescent="0.25">
      <c r="A15" s="25">
        <v>8009</v>
      </c>
      <c r="B15" s="30">
        <v>46092</v>
      </c>
      <c r="C15" s="26" t="s">
        <v>84</v>
      </c>
      <c r="D15" s="38" t="s">
        <v>36</v>
      </c>
      <c r="E15" s="67" t="s">
        <v>968</v>
      </c>
      <c r="F15" s="28">
        <v>1260</v>
      </c>
      <c r="G15" s="28">
        <v>2000</v>
      </c>
      <c r="H15" s="28">
        <f>Cty_Hien_Thinh_HP[[#This Row],[ĐƠN GIÁ]]*Cty_Hien_Thinh_HP[[#This Row],[SỐ LƯỢNG]]</f>
        <v>2520000</v>
      </c>
      <c r="I15" s="28"/>
      <c r="J15" s="28">
        <f>J14+Cty_Hien_Thinh_HP[[#This Row],[THÀNH TIỀN]]-Cty_Hien_Thinh_HP[[#This Row],[THANH TOÁN]]</f>
        <v>1399698919</v>
      </c>
      <c r="K15" s="27"/>
    </row>
    <row r="16" spans="1:11" x14ac:dyDescent="0.25">
      <c r="A16" s="25">
        <v>119</v>
      </c>
      <c r="B16" s="30">
        <v>46093</v>
      </c>
      <c r="C16" s="26" t="s">
        <v>692</v>
      </c>
      <c r="D16" s="38" t="s">
        <v>973</v>
      </c>
      <c r="E16" s="26" t="s">
        <v>267</v>
      </c>
      <c r="F16" s="28">
        <v>3786</v>
      </c>
      <c r="G16" s="28">
        <v>-39500</v>
      </c>
      <c r="H16" s="28">
        <f>Cty_Hien_Thinh_HP[[#This Row],[ĐƠN GIÁ]]*Cty_Hien_Thinh_HP[[#This Row],[SỐ LƯỢNG]]</f>
        <v>-149547000</v>
      </c>
      <c r="I16" s="28"/>
      <c r="J16" s="28">
        <f>J15+Cty_Hien_Thinh_HP[[#This Row],[THÀNH TIỀN]]-Cty_Hien_Thinh_HP[[#This Row],[THANH TOÁN]]</f>
        <v>1250151919</v>
      </c>
      <c r="K16" s="27"/>
    </row>
    <row r="17" spans="1:11" x14ac:dyDescent="0.25">
      <c r="A17" s="25">
        <v>8060</v>
      </c>
      <c r="B17" s="30">
        <v>46094</v>
      </c>
      <c r="C17" s="26" t="s">
        <v>13</v>
      </c>
      <c r="D17" s="38" t="s">
        <v>50</v>
      </c>
      <c r="E17" s="26" t="s">
        <v>969</v>
      </c>
      <c r="F17" s="28">
        <v>2290</v>
      </c>
      <c r="G17" s="28">
        <v>56000</v>
      </c>
      <c r="H17" s="28">
        <f>Cty_Hien_Thinh_HP[[#This Row],[ĐƠN GIÁ]]*Cty_Hien_Thinh_HP[[#This Row],[SỐ LƯỢNG]]</f>
        <v>128240000</v>
      </c>
      <c r="I17" s="28"/>
      <c r="J17" s="28">
        <f>J16+Cty_Hien_Thinh_HP[[#This Row],[THÀNH TIỀN]]-Cty_Hien_Thinh_HP[[#This Row],[THANH TOÁN]]</f>
        <v>1378391919</v>
      </c>
      <c r="K17" s="27"/>
    </row>
    <row r="18" spans="1:11" x14ac:dyDescent="0.25">
      <c r="A18" s="25"/>
      <c r="B18" s="30">
        <v>46094</v>
      </c>
      <c r="C18" s="26" t="s">
        <v>21</v>
      </c>
      <c r="D18" s="38" t="s">
        <v>22</v>
      </c>
      <c r="E18" s="26" t="s">
        <v>261</v>
      </c>
      <c r="F18" s="28">
        <v>0</v>
      </c>
      <c r="G18" s="28">
        <v>0</v>
      </c>
      <c r="H18" s="28">
        <f>Cty_Hien_Thinh_HP[[#This Row],[ĐƠN GIÁ]]*Cty_Hien_Thinh_HP[[#This Row],[SỐ LƯỢNG]]</f>
        <v>0</v>
      </c>
      <c r="I18" s="28">
        <v>100000000</v>
      </c>
      <c r="J18" s="28">
        <f>J17+Cty_Hien_Thinh_HP[[#This Row],[THÀNH TIỀN]]-Cty_Hien_Thinh_HP[[#This Row],[THANH TOÁN]]</f>
        <v>1278391919</v>
      </c>
      <c r="K18" s="27"/>
    </row>
    <row r="19" spans="1:11" x14ac:dyDescent="0.25">
      <c r="A19" s="25">
        <v>8112</v>
      </c>
      <c r="B19" s="30">
        <v>46097</v>
      </c>
      <c r="C19" s="26" t="s">
        <v>13</v>
      </c>
      <c r="D19" s="38" t="s">
        <v>17</v>
      </c>
      <c r="E19" s="26" t="s">
        <v>41</v>
      </c>
      <c r="F19" s="28">
        <v>602</v>
      </c>
      <c r="G19" s="28">
        <v>60500</v>
      </c>
      <c r="H19" s="28">
        <f>Cty_Hien_Thinh_HP[[#This Row],[ĐƠN GIÁ]]*Cty_Hien_Thinh_HP[[#This Row],[SỐ LƯỢNG]]</f>
        <v>36421000</v>
      </c>
      <c r="I19" s="28"/>
      <c r="J19" s="28">
        <f>J18+Cty_Hien_Thinh_HP[[#This Row],[THÀNH TIỀN]]-Cty_Hien_Thinh_HP[[#This Row],[THANH TOÁN]]</f>
        <v>1314812919</v>
      </c>
      <c r="K19" s="27"/>
    </row>
    <row r="20" spans="1:11" ht="31.5" x14ac:dyDescent="0.25">
      <c r="A20" s="63">
        <v>8155</v>
      </c>
      <c r="B20" s="64">
        <v>46098</v>
      </c>
      <c r="C20" s="65" t="s">
        <v>13</v>
      </c>
      <c r="D20" s="50" t="s">
        <v>854</v>
      </c>
      <c r="E20" s="51" t="s">
        <v>970</v>
      </c>
      <c r="F20" s="52">
        <v>1156</v>
      </c>
      <c r="G20" s="52">
        <v>38500</v>
      </c>
      <c r="H20" s="52">
        <f>Cty_Hien_Thinh_HP[[#This Row],[ĐƠN GIÁ]]*Cty_Hien_Thinh_HP[[#This Row],[SỐ LƯỢNG]]</f>
        <v>44506000</v>
      </c>
      <c r="I20" s="52"/>
      <c r="J20" s="52">
        <f>J19+Cty_Hien_Thinh_HP[[#This Row],[THÀNH TIỀN]]-Cty_Hien_Thinh_HP[[#This Row],[THANH TOÁN]]</f>
        <v>1359318919</v>
      </c>
      <c r="K20" s="27"/>
    </row>
    <row r="21" spans="1:11" x14ac:dyDescent="0.25">
      <c r="A21" s="25"/>
      <c r="B21" s="30">
        <v>46101</v>
      </c>
      <c r="C21" s="26" t="s">
        <v>21</v>
      </c>
      <c r="D21" s="38" t="s">
        <v>22</v>
      </c>
      <c r="E21" s="26" t="s">
        <v>261</v>
      </c>
      <c r="F21" s="28">
        <v>0</v>
      </c>
      <c r="G21" s="31">
        <v>0</v>
      </c>
      <c r="H21" s="31">
        <f>Cty_Hien_Thinh_HP[[#This Row],[ĐƠN GIÁ]]*Cty_Hien_Thinh_HP[[#This Row],[SỐ LƯỢNG]]</f>
        <v>0</v>
      </c>
      <c r="I21" s="31">
        <v>100000000</v>
      </c>
      <c r="J21" s="31">
        <f>J20+Cty_Hien_Thinh_HP[[#This Row],[THÀNH TIỀN]]-Cty_Hien_Thinh_HP[[#This Row],[THANH TOÁN]]</f>
        <v>1259318919</v>
      </c>
      <c r="K21" s="24"/>
    </row>
    <row r="22" spans="1:11" x14ac:dyDescent="0.25">
      <c r="A22" s="25">
        <v>8238</v>
      </c>
      <c r="B22" s="30">
        <v>46105</v>
      </c>
      <c r="C22" s="26" t="s">
        <v>13</v>
      </c>
      <c r="D22" s="38" t="s">
        <v>36</v>
      </c>
      <c r="E22" s="26" t="s">
        <v>717</v>
      </c>
      <c r="F22" s="28">
        <v>726</v>
      </c>
      <c r="G22" s="28">
        <v>60000</v>
      </c>
      <c r="H22" s="28">
        <f>Cty_Hien_Thinh_HP[[#This Row],[ĐƠN GIÁ]]*Cty_Hien_Thinh_HP[[#This Row],[SỐ LƯỢNG]]</f>
        <v>43560000</v>
      </c>
      <c r="I22" s="28"/>
      <c r="J22" s="28">
        <f>J21+Cty_Hien_Thinh_HP[[#This Row],[THÀNH TIỀN]]-Cty_Hien_Thinh_HP[[#This Row],[THANH TOÁN]]</f>
        <v>1302878919</v>
      </c>
      <c r="K22" s="27"/>
    </row>
    <row r="23" spans="1:11" x14ac:dyDescent="0.25">
      <c r="A23" s="25">
        <v>8351</v>
      </c>
      <c r="B23" s="30">
        <v>46107</v>
      </c>
      <c r="C23" s="26" t="s">
        <v>13</v>
      </c>
      <c r="D23" s="38" t="s">
        <v>265</v>
      </c>
      <c r="E23" s="26" t="s">
        <v>62</v>
      </c>
      <c r="F23" s="28">
        <v>546</v>
      </c>
      <c r="G23" s="28">
        <v>64500</v>
      </c>
      <c r="H23" s="28">
        <f>Cty_Hien_Thinh_HP[[#This Row],[ĐƠN GIÁ]]*Cty_Hien_Thinh_HP[[#This Row],[SỐ LƯỢNG]]</f>
        <v>35217000</v>
      </c>
      <c r="I23" s="28"/>
      <c r="J23" s="28">
        <f>J22+Cty_Hien_Thinh_HP[[#This Row],[THÀNH TIỀN]]-Cty_Hien_Thinh_HP[[#This Row],[THANH TOÁN]]</f>
        <v>1338095919</v>
      </c>
      <c r="K23" s="27"/>
    </row>
    <row r="24" spans="1:11" x14ac:dyDescent="0.25">
      <c r="A24" s="25"/>
      <c r="B24" s="30">
        <v>46108</v>
      </c>
      <c r="C24" s="26" t="s">
        <v>21</v>
      </c>
      <c r="D24" s="38" t="s">
        <v>22</v>
      </c>
      <c r="E24" s="26" t="s">
        <v>261</v>
      </c>
      <c r="F24" s="28">
        <v>0</v>
      </c>
      <c r="G24" s="28">
        <v>0</v>
      </c>
      <c r="H24" s="28">
        <f>Cty_Hien_Thinh_HP[[#This Row],[ĐƠN GIÁ]]*Cty_Hien_Thinh_HP[[#This Row],[SỐ LƯỢNG]]</f>
        <v>0</v>
      </c>
      <c r="I24" s="28">
        <v>100000000</v>
      </c>
      <c r="J24" s="28">
        <f>J23+Cty_Hien_Thinh_HP[[#This Row],[THÀNH TIỀN]]-Cty_Hien_Thinh_HP[[#This Row],[THANH TOÁN]]</f>
        <v>1238095919</v>
      </c>
      <c r="K24" s="27"/>
    </row>
    <row r="25" spans="1:11" x14ac:dyDescent="0.25">
      <c r="A25" s="25">
        <v>8389</v>
      </c>
      <c r="B25" s="30">
        <v>46109</v>
      </c>
      <c r="C25" s="26" t="s">
        <v>13</v>
      </c>
      <c r="D25" s="38" t="s">
        <v>17</v>
      </c>
      <c r="E25" s="26" t="s">
        <v>971</v>
      </c>
      <c r="F25" s="28">
        <v>2946</v>
      </c>
      <c r="G25" s="28">
        <v>60500</v>
      </c>
      <c r="H25" s="28">
        <f>Cty_Hien_Thinh_HP[[#This Row],[ĐƠN GIÁ]]*Cty_Hien_Thinh_HP[[#This Row],[SỐ LƯỢNG]]</f>
        <v>178233000</v>
      </c>
      <c r="I25" s="28"/>
      <c r="J25" s="28">
        <f>J24+Cty_Hien_Thinh_HP[[#This Row],[THÀNH TIỀN]]-Cty_Hien_Thinh_HP[[#This Row],[THANH TOÁN]]</f>
        <v>1416328919</v>
      </c>
      <c r="K25" s="27"/>
    </row>
    <row r="26" spans="1:11" x14ac:dyDescent="0.25">
      <c r="A26" s="25">
        <v>8389</v>
      </c>
      <c r="B26" s="30">
        <v>46109</v>
      </c>
      <c r="C26" s="26" t="s">
        <v>972</v>
      </c>
      <c r="D26" s="38" t="s">
        <v>17</v>
      </c>
      <c r="E26" s="26" t="s">
        <v>971</v>
      </c>
      <c r="F26" s="28">
        <v>2946</v>
      </c>
      <c r="G26" s="28">
        <v>500</v>
      </c>
      <c r="H26" s="28">
        <f>Cty_Hien_Thinh_HP[[#This Row],[ĐƠN GIÁ]]*Cty_Hien_Thinh_HP[[#This Row],[SỐ LƯỢNG]]</f>
        <v>1473000</v>
      </c>
      <c r="I26" s="28"/>
      <c r="J26" s="28">
        <f>J25+Cty_Hien_Thinh_HP[[#This Row],[THÀNH TIỀN]]-Cty_Hien_Thinh_HP[[#This Row],[THANH TOÁN]]</f>
        <v>1417801919</v>
      </c>
      <c r="K26" s="27"/>
    </row>
    <row r="27" spans="1:11" x14ac:dyDescent="0.25">
      <c r="A27" s="22">
        <v>8473</v>
      </c>
      <c r="B27" s="29">
        <v>46113</v>
      </c>
      <c r="C27" s="23" t="s">
        <v>13</v>
      </c>
      <c r="D27" s="37" t="s">
        <v>17</v>
      </c>
      <c r="E27" s="23" t="s">
        <v>363</v>
      </c>
      <c r="F27" s="31">
        <v>1274</v>
      </c>
      <c r="G27" s="31">
        <v>60000</v>
      </c>
      <c r="H27" s="31">
        <f>Cty_Hien_Thinh_HP[[#This Row],[ĐƠN GIÁ]]*Cty_Hien_Thinh_HP[[#This Row],[SỐ LƯỢNG]]</f>
        <v>76440000</v>
      </c>
      <c r="I27" s="31"/>
      <c r="J27" s="31">
        <f>J26+Cty_Hien_Thinh_HP[[#This Row],[THÀNH TIỀN]]-Cty_Hien_Thinh_HP[[#This Row],[THANH TOÁN]]</f>
        <v>1494241919</v>
      </c>
      <c r="K27" s="24"/>
    </row>
    <row r="28" spans="1:11" x14ac:dyDescent="0.25">
      <c r="A28" s="22">
        <v>8473</v>
      </c>
      <c r="B28" s="29">
        <v>46113</v>
      </c>
      <c r="C28" s="23" t="s">
        <v>13</v>
      </c>
      <c r="D28" s="37" t="s">
        <v>109</v>
      </c>
      <c r="E28" s="23" t="s">
        <v>678</v>
      </c>
      <c r="F28" s="31">
        <v>432</v>
      </c>
      <c r="G28" s="31">
        <v>58500</v>
      </c>
      <c r="H28" s="31">
        <f>Cty_Hien_Thinh_HP[[#This Row],[ĐƠN GIÁ]]*Cty_Hien_Thinh_HP[[#This Row],[SỐ LƯỢNG]]</f>
        <v>25272000</v>
      </c>
      <c r="I28" s="31"/>
      <c r="J28" s="31">
        <f>J27+Cty_Hien_Thinh_HP[[#This Row],[THÀNH TIỀN]]-Cty_Hien_Thinh_HP[[#This Row],[THANH TOÁN]]</f>
        <v>1519513919</v>
      </c>
      <c r="K28" s="24"/>
    </row>
    <row r="29" spans="1:11" x14ac:dyDescent="0.25">
      <c r="A29" s="22">
        <v>8530</v>
      </c>
      <c r="B29" s="29">
        <v>46115</v>
      </c>
      <c r="C29" s="23" t="s">
        <v>13</v>
      </c>
      <c r="D29" s="37" t="s">
        <v>45</v>
      </c>
      <c r="E29" s="23" t="s">
        <v>25</v>
      </c>
      <c r="F29" s="31">
        <v>414</v>
      </c>
      <c r="G29" s="31">
        <v>34500</v>
      </c>
      <c r="H29" s="31">
        <f>Cty_Hien_Thinh_HP[[#This Row],[ĐƠN GIÁ]]*Cty_Hien_Thinh_HP[[#This Row],[SỐ LƯỢNG]]</f>
        <v>14283000</v>
      </c>
      <c r="I29" s="31"/>
      <c r="J29" s="31">
        <f>J28+Cty_Hien_Thinh_HP[[#This Row],[THÀNH TIỀN]]-Cty_Hien_Thinh_HP[[#This Row],[THANH TOÁN]]</f>
        <v>1533796919</v>
      </c>
      <c r="K29" s="24"/>
    </row>
    <row r="30" spans="1:11" x14ac:dyDescent="0.25">
      <c r="A30" s="22"/>
      <c r="B30" s="29">
        <v>46115</v>
      </c>
      <c r="C30" s="23" t="s">
        <v>21</v>
      </c>
      <c r="D30" s="37" t="s">
        <v>22</v>
      </c>
      <c r="E30" s="23" t="s">
        <v>261</v>
      </c>
      <c r="F30" s="31">
        <v>0</v>
      </c>
      <c r="G30" s="31"/>
      <c r="H30" s="31">
        <f>Cty_Hien_Thinh_HP[[#This Row],[ĐƠN GIÁ]]*Cty_Hien_Thinh_HP[[#This Row],[SỐ LƯỢNG]]</f>
        <v>0</v>
      </c>
      <c r="I30" s="31">
        <v>100000000</v>
      </c>
      <c r="J30" s="31">
        <f>J29+Cty_Hien_Thinh_HP[[#This Row],[THÀNH TIỀN]]-Cty_Hien_Thinh_HP[[#This Row],[THANH TOÁN]]</f>
        <v>1433796919</v>
      </c>
      <c r="K30" s="24"/>
    </row>
    <row r="31" spans="1:11" x14ac:dyDescent="0.25">
      <c r="A31" s="22">
        <v>8682</v>
      </c>
      <c r="B31" s="29">
        <v>46122</v>
      </c>
      <c r="C31" s="23" t="s">
        <v>13</v>
      </c>
      <c r="D31" s="37" t="s">
        <v>45</v>
      </c>
      <c r="E31" s="23" t="s">
        <v>25</v>
      </c>
      <c r="F31" s="31">
        <v>956</v>
      </c>
      <c r="G31" s="31">
        <v>34500</v>
      </c>
      <c r="H31" s="31">
        <f>Cty_Hien_Thinh_HP[[#This Row],[ĐƠN GIÁ]]*Cty_Hien_Thinh_HP[[#This Row],[SỐ LƯỢNG]]</f>
        <v>32982000</v>
      </c>
      <c r="I31" s="31"/>
      <c r="J31" s="31">
        <f>J30+Cty_Hien_Thinh_HP[[#This Row],[THÀNH TIỀN]]-Cty_Hien_Thinh_HP[[#This Row],[THANH TOÁN]]</f>
        <v>1466778919</v>
      </c>
      <c r="K31" s="24"/>
    </row>
    <row r="32" spans="1:11" x14ac:dyDescent="0.25">
      <c r="A32" s="22">
        <v>8682</v>
      </c>
      <c r="B32" s="29">
        <v>46122</v>
      </c>
      <c r="C32" s="23" t="s">
        <v>13</v>
      </c>
      <c r="D32" s="37" t="s">
        <v>17</v>
      </c>
      <c r="E32" s="23" t="s">
        <v>974</v>
      </c>
      <c r="F32" s="31">
        <v>662</v>
      </c>
      <c r="G32" s="31">
        <v>67000</v>
      </c>
      <c r="H32" s="31">
        <f>Cty_Hien_Thinh_HP[[#This Row],[ĐƠN GIÁ]]*Cty_Hien_Thinh_HP[[#This Row],[SỐ LƯỢNG]]</f>
        <v>44354000</v>
      </c>
      <c r="I32" s="31"/>
      <c r="J32" s="31">
        <f>J31+Cty_Hien_Thinh_HP[[#This Row],[THÀNH TIỀN]]-Cty_Hien_Thinh_HP[[#This Row],[THANH TOÁN]]</f>
        <v>1511132919</v>
      </c>
      <c r="K32" s="24"/>
    </row>
    <row r="33" spans="1:11" x14ac:dyDescent="0.25">
      <c r="A33" s="22"/>
      <c r="B33" s="29">
        <v>46122</v>
      </c>
      <c r="C33" s="23" t="s">
        <v>21</v>
      </c>
      <c r="D33" s="37" t="s">
        <v>22</v>
      </c>
      <c r="E33" s="23" t="s">
        <v>261</v>
      </c>
      <c r="F33" s="31">
        <v>0</v>
      </c>
      <c r="G33" s="31"/>
      <c r="H33" s="31">
        <f>Cty_Hien_Thinh_HP[[#This Row],[ĐƠN GIÁ]]*Cty_Hien_Thinh_HP[[#This Row],[SỐ LƯỢNG]]</f>
        <v>0</v>
      </c>
      <c r="I33" s="31">
        <v>100000000</v>
      </c>
      <c r="J33" s="31">
        <f>J32+Cty_Hien_Thinh_HP[[#This Row],[THÀNH TIỀN]]-Cty_Hien_Thinh_HP[[#This Row],[THANH TOÁN]]</f>
        <v>1411132919</v>
      </c>
      <c r="K33" s="24"/>
    </row>
    <row r="34" spans="1:11" x14ac:dyDescent="0.25">
      <c r="A34" s="22">
        <v>8824</v>
      </c>
      <c r="B34" s="29">
        <v>46128</v>
      </c>
      <c r="C34" s="23" t="s">
        <v>13</v>
      </c>
      <c r="D34" s="37" t="s">
        <v>14</v>
      </c>
      <c r="E34" s="23" t="s">
        <v>41</v>
      </c>
      <c r="F34" s="31">
        <v>750</v>
      </c>
      <c r="G34" s="31">
        <v>41500</v>
      </c>
      <c r="H34" s="31">
        <f>Cty_Hien_Thinh_HP[[#This Row],[ĐƠN GIÁ]]*Cty_Hien_Thinh_HP[[#This Row],[SỐ LƯỢNG]]</f>
        <v>31125000</v>
      </c>
      <c r="I34" s="31"/>
      <c r="J34" s="31">
        <f>J33+Cty_Hien_Thinh_HP[[#This Row],[THÀNH TIỀN]]-Cty_Hien_Thinh_HP[[#This Row],[THANH TOÁN]]</f>
        <v>1442257919</v>
      </c>
      <c r="K34" s="24"/>
    </row>
    <row r="35" spans="1:11" x14ac:dyDescent="0.25">
      <c r="A35" s="22">
        <v>8824</v>
      </c>
      <c r="B35" s="29">
        <v>46128</v>
      </c>
      <c r="C35" s="23" t="s">
        <v>166</v>
      </c>
      <c r="D35" s="37" t="s">
        <v>17</v>
      </c>
      <c r="E35" s="23" t="s">
        <v>971</v>
      </c>
      <c r="F35" s="31">
        <v>1232</v>
      </c>
      <c r="G35" s="31">
        <v>-60500</v>
      </c>
      <c r="H35" s="31">
        <f>Cty_Hien_Thinh_HP[[#This Row],[ĐƠN GIÁ]]*Cty_Hien_Thinh_HP[[#This Row],[SỐ LƯỢNG]]</f>
        <v>-74536000</v>
      </c>
      <c r="I35" s="31"/>
      <c r="J35" s="31">
        <f>J34+Cty_Hien_Thinh_HP[[#This Row],[THÀNH TIỀN]]-Cty_Hien_Thinh_HP[[#This Row],[THANH TOÁN]]</f>
        <v>1367721919</v>
      </c>
      <c r="K35" s="24" t="s">
        <v>975</v>
      </c>
    </row>
    <row r="36" spans="1:11" x14ac:dyDescent="0.25">
      <c r="A36" s="22"/>
      <c r="B36" s="29">
        <v>46129</v>
      </c>
      <c r="C36" s="23" t="s">
        <v>21</v>
      </c>
      <c r="D36" s="37" t="s">
        <v>22</v>
      </c>
      <c r="E36" s="23" t="s">
        <v>261</v>
      </c>
      <c r="F36" s="31">
        <v>0</v>
      </c>
      <c r="G36" s="31"/>
      <c r="H36" s="31">
        <f>Cty_Hien_Thinh_HP[[#This Row],[ĐƠN GIÁ]]*Cty_Hien_Thinh_HP[[#This Row],[SỐ LƯỢNG]]</f>
        <v>0</v>
      </c>
      <c r="I36" s="31">
        <v>100000000</v>
      </c>
      <c r="J36" s="31">
        <f>J35+Cty_Hien_Thinh_HP[[#This Row],[THÀNH TIỀN]]-Cty_Hien_Thinh_HP[[#This Row],[THANH TOÁN]]</f>
        <v>1267721919</v>
      </c>
      <c r="K36" s="24"/>
    </row>
    <row r="37" spans="1:11" x14ac:dyDescent="0.25">
      <c r="A37" s="22">
        <v>8957</v>
      </c>
      <c r="B37" s="29">
        <v>46135</v>
      </c>
      <c r="C37" s="23" t="s">
        <v>13</v>
      </c>
      <c r="D37" s="37" t="s">
        <v>17</v>
      </c>
      <c r="E37" s="23" t="s">
        <v>136</v>
      </c>
      <c r="F37" s="31">
        <v>843</v>
      </c>
      <c r="G37" s="31">
        <v>62000</v>
      </c>
      <c r="H37" s="31">
        <f>Cty_Hien_Thinh_HP[[#This Row],[ĐƠN GIÁ]]*Cty_Hien_Thinh_HP[[#This Row],[SỐ LƯỢNG]]</f>
        <v>52266000</v>
      </c>
      <c r="I37" s="31"/>
      <c r="J37" s="31">
        <f>J36+Cty_Hien_Thinh_HP[[#This Row],[THÀNH TIỀN]]-Cty_Hien_Thinh_HP[[#This Row],[THANH TOÁN]]</f>
        <v>1319987919</v>
      </c>
      <c r="K37" s="24"/>
    </row>
    <row r="38" spans="1:11" x14ac:dyDescent="0.25">
      <c r="A38" s="22">
        <v>8957</v>
      </c>
      <c r="B38" s="29">
        <v>46135</v>
      </c>
      <c r="C38" s="23" t="s">
        <v>13</v>
      </c>
      <c r="D38" s="37" t="s">
        <v>43</v>
      </c>
      <c r="E38" s="23" t="s">
        <v>1225</v>
      </c>
      <c r="F38" s="31">
        <v>599</v>
      </c>
      <c r="G38" s="31">
        <v>61000</v>
      </c>
      <c r="H38" s="31">
        <f>Cty_Hien_Thinh_HP[[#This Row],[ĐƠN GIÁ]]*Cty_Hien_Thinh_HP[[#This Row],[SỐ LƯỢNG]]</f>
        <v>36539000</v>
      </c>
      <c r="I38" s="31"/>
      <c r="J38" s="31">
        <f>J37+Cty_Hien_Thinh_HP[[#This Row],[THÀNH TIỀN]]-Cty_Hien_Thinh_HP[[#This Row],[THANH TOÁN]]</f>
        <v>1356526919</v>
      </c>
      <c r="K38" s="24"/>
    </row>
    <row r="39" spans="1:11" x14ac:dyDescent="0.25">
      <c r="A39" s="22"/>
      <c r="B39" s="29">
        <v>46136</v>
      </c>
      <c r="C39" s="23" t="s">
        <v>21</v>
      </c>
      <c r="D39" s="37" t="s">
        <v>22</v>
      </c>
      <c r="E39" s="23" t="s">
        <v>261</v>
      </c>
      <c r="F39" s="31">
        <v>0</v>
      </c>
      <c r="G39" s="31"/>
      <c r="H39" s="31">
        <f>Cty_Hien_Thinh_HP[[#This Row],[ĐƠN GIÁ]]*Cty_Hien_Thinh_HP[[#This Row],[SỐ LƯỢNG]]</f>
        <v>0</v>
      </c>
      <c r="I39" s="31">
        <v>100000000</v>
      </c>
      <c r="J39" s="31">
        <f>J38+Cty_Hien_Thinh_HP[[#This Row],[THÀNH TIỀN]]-Cty_Hien_Thinh_HP[[#This Row],[THANH TOÁN]]</f>
        <v>1256526919</v>
      </c>
      <c r="K39" s="24"/>
    </row>
    <row r="40" spans="1:11" x14ac:dyDescent="0.25">
      <c r="A40" s="22"/>
      <c r="B40" s="29">
        <v>46141</v>
      </c>
      <c r="C40" s="23" t="s">
        <v>21</v>
      </c>
      <c r="D40" s="37" t="s">
        <v>22</v>
      </c>
      <c r="E40" s="23" t="s">
        <v>261</v>
      </c>
      <c r="F40" s="31">
        <v>0</v>
      </c>
      <c r="G40" s="31"/>
      <c r="H40" s="31">
        <f>Cty_Hien_Thinh_HP[[#This Row],[ĐƠN GIÁ]]*Cty_Hien_Thinh_HP[[#This Row],[SỐ LƯỢNG]]</f>
        <v>0</v>
      </c>
      <c r="I40" s="31">
        <v>100000000</v>
      </c>
      <c r="J40" s="31">
        <f>J39+Cty_Hien_Thinh_HP[[#This Row],[THÀNH TIỀN]]-Cty_Hien_Thinh_HP[[#This Row],[THANH TOÁN]]</f>
        <v>1156526919</v>
      </c>
      <c r="K40" s="24"/>
    </row>
    <row r="41" spans="1:11" x14ac:dyDescent="0.25">
      <c r="A41" s="22">
        <v>9255</v>
      </c>
      <c r="B41" s="29">
        <v>46150</v>
      </c>
      <c r="C41" s="23" t="s">
        <v>13</v>
      </c>
      <c r="D41" s="37" t="s">
        <v>143</v>
      </c>
      <c r="E41" s="23" t="s">
        <v>446</v>
      </c>
      <c r="F41" s="31">
        <v>649</v>
      </c>
      <c r="G41" s="31">
        <v>65000</v>
      </c>
      <c r="H41" s="31">
        <f>Cty_Hien_Thinh_HP[[#This Row],[ĐƠN GIÁ]]*Cty_Hien_Thinh_HP[[#This Row],[SỐ LƯỢNG]]</f>
        <v>42185000</v>
      </c>
      <c r="I41" s="31"/>
      <c r="J41" s="31">
        <f>J40+Cty_Hien_Thinh_HP[[#This Row],[THÀNH TIỀN]]-Cty_Hien_Thinh_HP[[#This Row],[THANH TOÁN]]</f>
        <v>1198711919</v>
      </c>
      <c r="K41" s="24"/>
    </row>
    <row r="42" spans="1:11" x14ac:dyDescent="0.25">
      <c r="A42" s="22"/>
      <c r="B42" s="29">
        <v>46150</v>
      </c>
      <c r="C42" s="23" t="s">
        <v>21</v>
      </c>
      <c r="D42" s="37" t="s">
        <v>22</v>
      </c>
      <c r="E42" s="23" t="s">
        <v>261</v>
      </c>
      <c r="F42" s="31">
        <v>0</v>
      </c>
      <c r="G42" s="31"/>
      <c r="H42" s="31">
        <f>Cty_Hien_Thinh_HP[[#This Row],[ĐƠN GIÁ]]*Cty_Hien_Thinh_HP[[#This Row],[SỐ LƯỢNG]]</f>
        <v>0</v>
      </c>
      <c r="I42" s="31">
        <v>100000000</v>
      </c>
      <c r="J42" s="31">
        <f>J41+Cty_Hien_Thinh_HP[[#This Row],[THÀNH TIỀN]]-Cty_Hien_Thinh_HP[[#This Row],[THANH TOÁN]]</f>
        <v>1098711919</v>
      </c>
      <c r="K42" s="24"/>
    </row>
    <row r="43" spans="1:11" x14ac:dyDescent="0.25">
      <c r="A43" s="22"/>
      <c r="B43" s="29">
        <v>46157</v>
      </c>
      <c r="C43" s="23" t="s">
        <v>21</v>
      </c>
      <c r="D43" s="37" t="s">
        <v>22</v>
      </c>
      <c r="E43" s="23" t="s">
        <v>2155</v>
      </c>
      <c r="F43" s="31">
        <v>0</v>
      </c>
      <c r="G43" s="31"/>
      <c r="H43" s="31">
        <f>Cty_Hien_Thinh_HP[[#This Row],[ĐƠN GIÁ]]*Cty_Hien_Thinh_HP[[#This Row],[SỐ LƯỢNG]]</f>
        <v>0</v>
      </c>
      <c r="I43" s="31">
        <v>100000000</v>
      </c>
      <c r="J43" s="31">
        <f>J42+Cty_Hien_Thinh_HP[[#This Row],[THÀNH TIỀN]]-Cty_Hien_Thinh_HP[[#This Row],[THANH TOÁN]]</f>
        <v>998711919</v>
      </c>
      <c r="K43" s="24"/>
    </row>
    <row r="44" spans="1:11" x14ac:dyDescent="0.25">
      <c r="A44" s="22">
        <v>9440</v>
      </c>
      <c r="B44" s="29">
        <v>46158</v>
      </c>
      <c r="C44" s="23" t="s">
        <v>13</v>
      </c>
      <c r="D44" s="37" t="s">
        <v>50</v>
      </c>
      <c r="E44" s="23" t="s">
        <v>1372</v>
      </c>
      <c r="F44" s="31">
        <v>1696</v>
      </c>
      <c r="G44" s="31">
        <v>60000</v>
      </c>
      <c r="H44" s="31">
        <f>Cty_Hien_Thinh_HP[[#This Row],[ĐƠN GIÁ]]*Cty_Hien_Thinh_HP[[#This Row],[SỐ LƯỢNG]]</f>
        <v>101760000</v>
      </c>
      <c r="I44" s="31"/>
      <c r="J44" s="31">
        <f>J43+Cty_Hien_Thinh_HP[[#This Row],[THÀNH TIỀN]]-Cty_Hien_Thinh_HP[[#This Row],[THANH TOÁN]]</f>
        <v>1100471919</v>
      </c>
      <c r="K44" s="24"/>
    </row>
    <row r="45" spans="1:11" x14ac:dyDescent="0.25">
      <c r="A45" s="22"/>
      <c r="B45" s="29">
        <v>46164</v>
      </c>
      <c r="C45" s="23" t="s">
        <v>21</v>
      </c>
      <c r="D45" s="37" t="s">
        <v>22</v>
      </c>
      <c r="E45" s="23" t="s">
        <v>261</v>
      </c>
      <c r="F45" s="31">
        <v>0</v>
      </c>
      <c r="G45" s="31"/>
      <c r="H45" s="31">
        <f>Cty_Hien_Thinh_HP[[#This Row],[ĐƠN GIÁ]]*Cty_Hien_Thinh_HP[[#This Row],[SỐ LƯỢNG]]</f>
        <v>0</v>
      </c>
      <c r="I45" s="31">
        <v>100000000</v>
      </c>
      <c r="J45" s="31">
        <f>J44+Cty_Hien_Thinh_HP[[#This Row],[THÀNH TIỀN]]-Cty_Hien_Thinh_HP[[#This Row],[THANH TOÁN]]</f>
        <v>1000471919</v>
      </c>
      <c r="K45" s="24"/>
    </row>
    <row r="46" spans="1:11" x14ac:dyDescent="0.25">
      <c r="A46" s="22">
        <v>9719</v>
      </c>
      <c r="B46" s="29">
        <v>46172</v>
      </c>
      <c r="C46" s="23" t="s">
        <v>13</v>
      </c>
      <c r="D46" s="37" t="s">
        <v>50</v>
      </c>
      <c r="E46" s="23" t="s">
        <v>688</v>
      </c>
      <c r="F46" s="31">
        <v>1840</v>
      </c>
      <c r="G46" s="31">
        <v>59500</v>
      </c>
      <c r="H46" s="31">
        <f>Cty_Hien_Thinh_HP[[#This Row],[ĐƠN GIÁ]]*Cty_Hien_Thinh_HP[[#This Row],[SỐ LƯỢNG]]</f>
        <v>109480000</v>
      </c>
      <c r="I46" s="31"/>
      <c r="J46" s="31">
        <f>J45+Cty_Hien_Thinh_HP[[#This Row],[THÀNH TIỀN]]-Cty_Hien_Thinh_HP[[#This Row],[THANH TOÁN]]</f>
        <v>1109951919</v>
      </c>
      <c r="K46" s="24"/>
    </row>
    <row r="47" spans="1:11" x14ac:dyDescent="0.25">
      <c r="A47" s="22">
        <v>9719</v>
      </c>
      <c r="B47" s="29">
        <v>46172</v>
      </c>
      <c r="C47" s="23" t="s">
        <v>13</v>
      </c>
      <c r="D47" s="37" t="s">
        <v>50</v>
      </c>
      <c r="E47" s="23" t="s">
        <v>379</v>
      </c>
      <c r="F47" s="31">
        <v>1440</v>
      </c>
      <c r="G47" s="31">
        <v>59500</v>
      </c>
      <c r="H47" s="31">
        <f>Cty_Hien_Thinh_HP[[#This Row],[ĐƠN GIÁ]]*Cty_Hien_Thinh_HP[[#This Row],[SỐ LƯỢNG]]</f>
        <v>85680000</v>
      </c>
      <c r="I47" s="31"/>
      <c r="J47" s="31">
        <f>J46+Cty_Hien_Thinh_HP[[#This Row],[THÀNH TIỀN]]-Cty_Hien_Thinh_HP[[#This Row],[THANH TOÁN]]</f>
        <v>1195631919</v>
      </c>
      <c r="K47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57010-1A7E-48C8-AC51-B3F4DB5E6C8F}">
  <sheetPr codeName="Sheet44"/>
  <dimension ref="A5:K53"/>
  <sheetViews>
    <sheetView topLeftCell="A19" workbookViewId="0">
      <selection activeCell="F37" sqref="F37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440630312</v>
      </c>
    </row>
    <row r="6" spans="1:11" ht="22.5" x14ac:dyDescent="0.25">
      <c r="D6" s="34" t="s">
        <v>976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9"/>
      <c r="G10" s="31"/>
      <c r="H10" s="31">
        <f>A_Hung_HP[[#This Row],[ĐƠN GIÁ]]*A_Hung_HP[[#This Row],[SỐ LƯỢNG]]</f>
        <v>0</v>
      </c>
      <c r="I10" s="31"/>
      <c r="J10" s="31">
        <v>168076649</v>
      </c>
      <c r="K10" s="24"/>
    </row>
    <row r="11" spans="1:11" x14ac:dyDescent="0.25">
      <c r="A11" s="22">
        <v>7865</v>
      </c>
      <c r="B11" s="29">
        <v>46086</v>
      </c>
      <c r="C11" s="23" t="s">
        <v>13</v>
      </c>
      <c r="D11" s="37" t="s">
        <v>50</v>
      </c>
      <c r="E11" s="23" t="s">
        <v>977</v>
      </c>
      <c r="F11" s="39">
        <v>1165</v>
      </c>
      <c r="G11" s="31">
        <v>54000</v>
      </c>
      <c r="H11" s="31">
        <f>A_Hung_HP[[#This Row],[ĐƠN GIÁ]]*A_Hung_HP[[#This Row],[SỐ LƯỢNG]]</f>
        <v>62910000</v>
      </c>
      <c r="I11" s="31"/>
      <c r="J11" s="31">
        <f>J10+A_Hung_HP[[#This Row],[THÀNH TIỀN]]-A_Hung_HP[[#This Row],[THANH TOÁN]]</f>
        <v>230986649</v>
      </c>
      <c r="K11" s="24"/>
    </row>
    <row r="12" spans="1:11" x14ac:dyDescent="0.25">
      <c r="A12" s="22">
        <v>7865</v>
      </c>
      <c r="B12" s="29">
        <v>46086</v>
      </c>
      <c r="C12" s="23" t="s">
        <v>13</v>
      </c>
      <c r="D12" s="37" t="s">
        <v>50</v>
      </c>
      <c r="E12" s="23" t="s">
        <v>73</v>
      </c>
      <c r="F12" s="39">
        <v>2270</v>
      </c>
      <c r="G12" s="31">
        <v>54000</v>
      </c>
      <c r="H12" s="31">
        <f>A_Hung_HP[[#This Row],[ĐƠN GIÁ]]*A_Hung_HP[[#This Row],[SỐ LƯỢNG]]</f>
        <v>122580000</v>
      </c>
      <c r="I12" s="31"/>
      <c r="J12" s="31">
        <f>J11+A_Hung_HP[[#This Row],[THÀNH TIỀN]]-A_Hung_HP[[#This Row],[THANH TOÁN]]</f>
        <v>353566649</v>
      </c>
      <c r="K12" s="24"/>
    </row>
    <row r="13" spans="1:11" x14ac:dyDescent="0.25">
      <c r="A13" s="22">
        <v>7865</v>
      </c>
      <c r="B13" s="29">
        <v>46086</v>
      </c>
      <c r="C13" s="23" t="s">
        <v>13</v>
      </c>
      <c r="D13" s="37" t="s">
        <v>50</v>
      </c>
      <c r="E13" s="23" t="s">
        <v>978</v>
      </c>
      <c r="F13" s="39">
        <v>1452</v>
      </c>
      <c r="G13" s="31">
        <v>55000</v>
      </c>
      <c r="H13" s="31">
        <f>A_Hung_HP[[#This Row],[ĐƠN GIÁ]]*A_Hung_HP[[#This Row],[SỐ LƯỢNG]]</f>
        <v>79860000</v>
      </c>
      <c r="I13" s="31"/>
      <c r="J13" s="31">
        <f>J12+A_Hung_HP[[#This Row],[THÀNH TIỀN]]-A_Hung_HP[[#This Row],[THANH TOÁN]]</f>
        <v>433426649</v>
      </c>
      <c r="K13" s="24"/>
    </row>
    <row r="14" spans="1:11" x14ac:dyDescent="0.25">
      <c r="A14" s="25"/>
      <c r="B14" s="30">
        <v>46087</v>
      </c>
      <c r="C14" s="26" t="s">
        <v>21</v>
      </c>
      <c r="D14" s="38" t="s">
        <v>22</v>
      </c>
      <c r="E14" s="26" t="s">
        <v>147</v>
      </c>
      <c r="F14" s="117">
        <v>0</v>
      </c>
      <c r="G14" s="28">
        <v>0</v>
      </c>
      <c r="H14" s="28">
        <f>A_Hung_HP[[#This Row],[ĐƠN GIÁ]]*A_Hung_HP[[#This Row],[SỐ LƯỢNG]]</f>
        <v>0</v>
      </c>
      <c r="I14" s="28">
        <v>115869237</v>
      </c>
      <c r="J14" s="28">
        <f>J13+A_Hung_HP[[#This Row],[THÀNH TIỀN]]-A_Hung_HP[[#This Row],[THANH TOÁN]]</f>
        <v>317557412</v>
      </c>
      <c r="K14" s="27"/>
    </row>
    <row r="15" spans="1:11" x14ac:dyDescent="0.25">
      <c r="A15" s="25">
        <v>8058</v>
      </c>
      <c r="B15" s="30">
        <v>46094</v>
      </c>
      <c r="C15" s="26" t="s">
        <v>13</v>
      </c>
      <c r="D15" s="38" t="s">
        <v>43</v>
      </c>
      <c r="E15" s="23" t="s">
        <v>979</v>
      </c>
      <c r="F15" s="39">
        <v>369</v>
      </c>
      <c r="G15" s="31">
        <v>57500</v>
      </c>
      <c r="H15" s="31">
        <f>A_Hung_HP[[#This Row],[ĐƠN GIÁ]]*A_Hung_HP[[#This Row],[SỐ LƯỢNG]]</f>
        <v>21217500</v>
      </c>
      <c r="I15" s="31"/>
      <c r="J15" s="31">
        <f>J14+A_Hung_HP[[#This Row],[THÀNH TIỀN]]-A_Hung_HP[[#This Row],[THANH TOÁN]]</f>
        <v>338774912</v>
      </c>
      <c r="K15" s="24"/>
    </row>
    <row r="16" spans="1:11" x14ac:dyDescent="0.25">
      <c r="A16" s="25">
        <v>8058</v>
      </c>
      <c r="B16" s="30">
        <v>46094</v>
      </c>
      <c r="C16" s="26" t="s">
        <v>13</v>
      </c>
      <c r="D16" s="38" t="s">
        <v>43</v>
      </c>
      <c r="E16" s="26" t="s">
        <v>220</v>
      </c>
      <c r="F16" s="117">
        <v>1660</v>
      </c>
      <c r="G16" s="28">
        <v>58500</v>
      </c>
      <c r="H16" s="28">
        <f>A_Hung_HP[[#This Row],[ĐƠN GIÁ]]*A_Hung_HP[[#This Row],[SỐ LƯỢNG]]</f>
        <v>97110000</v>
      </c>
      <c r="I16" s="28"/>
      <c r="J16" s="28">
        <f>J15+A_Hung_HP[[#This Row],[THÀNH TIỀN]]-A_Hung_HP[[#This Row],[THANH TOÁN]]</f>
        <v>435884912</v>
      </c>
      <c r="K16" s="27"/>
    </row>
    <row r="17" spans="1:11" x14ac:dyDescent="0.25">
      <c r="A17" s="25">
        <v>8141</v>
      </c>
      <c r="B17" s="30">
        <v>46098</v>
      </c>
      <c r="C17" s="26" t="s">
        <v>13</v>
      </c>
      <c r="D17" s="38" t="s">
        <v>68</v>
      </c>
      <c r="E17" s="26" t="s">
        <v>980</v>
      </c>
      <c r="F17" s="117">
        <v>376</v>
      </c>
      <c r="G17" s="28">
        <v>45000</v>
      </c>
      <c r="H17" s="28">
        <f>A_Hung_HP[[#This Row],[ĐƠN GIÁ]]*A_Hung_HP[[#This Row],[SỐ LƯỢNG]]</f>
        <v>16920000</v>
      </c>
      <c r="I17" s="28"/>
      <c r="J17" s="28">
        <f>J16+A_Hung_HP[[#This Row],[THÀNH TIỀN]]-A_Hung_HP[[#This Row],[THANH TOÁN]]</f>
        <v>452804912</v>
      </c>
      <c r="K17" s="27"/>
    </row>
    <row r="18" spans="1:11" x14ac:dyDescent="0.25">
      <c r="A18" s="25">
        <v>8141</v>
      </c>
      <c r="B18" s="30">
        <v>46098</v>
      </c>
      <c r="C18" s="26" t="s">
        <v>13</v>
      </c>
      <c r="D18" s="38" t="s">
        <v>981</v>
      </c>
      <c r="E18" s="26"/>
      <c r="F18" s="117">
        <v>1</v>
      </c>
      <c r="G18" s="28">
        <v>700000</v>
      </c>
      <c r="H18" s="28">
        <f>A_Hung_HP[[#This Row],[ĐƠN GIÁ]]*A_Hung_HP[[#This Row],[SỐ LƯỢNG]]</f>
        <v>700000</v>
      </c>
      <c r="I18" s="28"/>
      <c r="J18" s="28">
        <f>J17+A_Hung_HP[[#This Row],[THÀNH TIỀN]]-A_Hung_HP[[#This Row],[THANH TOÁN]]</f>
        <v>453504912</v>
      </c>
      <c r="K18" s="27"/>
    </row>
    <row r="19" spans="1:11" x14ac:dyDescent="0.25">
      <c r="A19" s="25">
        <v>8252</v>
      </c>
      <c r="B19" s="30">
        <v>46100</v>
      </c>
      <c r="C19" s="26" t="s">
        <v>13</v>
      </c>
      <c r="D19" s="38" t="s">
        <v>50</v>
      </c>
      <c r="E19" s="26" t="s">
        <v>982</v>
      </c>
      <c r="F19" s="117">
        <v>906</v>
      </c>
      <c r="G19" s="28">
        <v>60000</v>
      </c>
      <c r="H19" s="28">
        <f>A_Hung_HP[[#This Row],[ĐƠN GIÁ]]*A_Hung_HP[[#This Row],[SỐ LƯỢNG]]</f>
        <v>54360000</v>
      </c>
      <c r="I19" s="28"/>
      <c r="J19" s="28">
        <f>J18+A_Hung_HP[[#This Row],[THÀNH TIỀN]]-A_Hung_HP[[#This Row],[THANH TOÁN]]</f>
        <v>507864912</v>
      </c>
      <c r="K19" s="27"/>
    </row>
    <row r="20" spans="1:11" x14ac:dyDescent="0.25">
      <c r="A20" s="25">
        <v>8252</v>
      </c>
      <c r="B20" s="30">
        <v>46100</v>
      </c>
      <c r="C20" s="26" t="s">
        <v>13</v>
      </c>
      <c r="D20" s="38" t="s">
        <v>150</v>
      </c>
      <c r="E20" s="26" t="s">
        <v>983</v>
      </c>
      <c r="F20" s="117">
        <v>354</v>
      </c>
      <c r="G20" s="28">
        <v>34000</v>
      </c>
      <c r="H20" s="28">
        <f>A_Hung_HP[[#This Row],[ĐƠN GIÁ]]*A_Hung_HP[[#This Row],[SỐ LƯỢNG]]</f>
        <v>12036000</v>
      </c>
      <c r="I20" s="28"/>
      <c r="J20" s="28">
        <f>J19+A_Hung_HP[[#This Row],[THÀNH TIỀN]]-A_Hung_HP[[#This Row],[THANH TOÁN]]</f>
        <v>519900912</v>
      </c>
      <c r="K20" s="27"/>
    </row>
    <row r="21" spans="1:11" x14ac:dyDescent="0.25">
      <c r="A21" s="25"/>
      <c r="B21" s="30">
        <v>46101</v>
      </c>
      <c r="C21" s="26" t="s">
        <v>21</v>
      </c>
      <c r="D21" s="38" t="s">
        <v>22</v>
      </c>
      <c r="E21" s="26" t="s">
        <v>147</v>
      </c>
      <c r="F21" s="117">
        <v>0</v>
      </c>
      <c r="G21" s="28">
        <v>0</v>
      </c>
      <c r="H21" s="28">
        <f>A_Hung_HP[[#This Row],[ĐƠN GIÁ]]*A_Hung_HP[[#This Row],[SỐ LƯỢNG]]</f>
        <v>0</v>
      </c>
      <c r="I21" s="28">
        <v>100000000</v>
      </c>
      <c r="J21" s="28">
        <f>J20+A_Hung_HP[[#This Row],[THÀNH TIỀN]]-A_Hung_HP[[#This Row],[THANH TOÁN]]</f>
        <v>419900912</v>
      </c>
      <c r="K21" s="27"/>
    </row>
    <row r="22" spans="1:11" x14ac:dyDescent="0.25">
      <c r="A22" s="25">
        <v>8371</v>
      </c>
      <c r="B22" s="30">
        <v>46108</v>
      </c>
      <c r="C22" s="26" t="s">
        <v>13</v>
      </c>
      <c r="D22" s="38" t="s">
        <v>109</v>
      </c>
      <c r="E22" s="26" t="s">
        <v>984</v>
      </c>
      <c r="F22" s="117">
        <v>756</v>
      </c>
      <c r="G22" s="28">
        <v>57500</v>
      </c>
      <c r="H22" s="28">
        <f>A_Hung_HP[[#This Row],[ĐƠN GIÁ]]*A_Hung_HP[[#This Row],[SỐ LƯỢNG]]</f>
        <v>43470000</v>
      </c>
      <c r="I22" s="28"/>
      <c r="J22" s="28">
        <f>J21+A_Hung_HP[[#This Row],[THÀNH TIỀN]]-A_Hung_HP[[#This Row],[THANH TOÁN]]</f>
        <v>463370912</v>
      </c>
      <c r="K22" s="27"/>
    </row>
    <row r="23" spans="1:11" x14ac:dyDescent="0.25">
      <c r="A23" s="25">
        <v>8371</v>
      </c>
      <c r="B23" s="30">
        <v>46108</v>
      </c>
      <c r="C23" s="26" t="s">
        <v>13</v>
      </c>
      <c r="D23" s="38" t="s">
        <v>192</v>
      </c>
      <c r="E23" s="26" t="s">
        <v>477</v>
      </c>
      <c r="F23" s="117">
        <f>1376-22+1458-22</f>
        <v>2790</v>
      </c>
      <c r="G23" s="28">
        <v>34500</v>
      </c>
      <c r="H23" s="28">
        <f>A_Hung_HP[[#This Row],[ĐƠN GIÁ]]*A_Hung_HP[[#This Row],[SỐ LƯỢNG]]</f>
        <v>96255000</v>
      </c>
      <c r="I23" s="28"/>
      <c r="J23" s="28">
        <f>J22+A_Hung_HP[[#This Row],[THÀNH TIỀN]]-A_Hung_HP[[#This Row],[THANH TOÁN]]</f>
        <v>559625912</v>
      </c>
      <c r="K23" s="27"/>
    </row>
    <row r="24" spans="1:11" x14ac:dyDescent="0.25">
      <c r="A24" s="25"/>
      <c r="B24" s="30">
        <v>46108</v>
      </c>
      <c r="C24" s="26" t="s">
        <v>21</v>
      </c>
      <c r="D24" s="38" t="s">
        <v>22</v>
      </c>
      <c r="E24" s="26" t="s">
        <v>147</v>
      </c>
      <c r="F24" s="117">
        <v>0</v>
      </c>
      <c r="G24" s="28">
        <v>0</v>
      </c>
      <c r="H24" s="28">
        <f>A_Hung_HP[[#This Row],[ĐƠN GIÁ]]*A_Hung_HP[[#This Row],[SỐ LƯỢNG]]</f>
        <v>0</v>
      </c>
      <c r="I24" s="28">
        <v>100000000</v>
      </c>
      <c r="J24" s="28">
        <f>J23+A_Hung_HP[[#This Row],[THÀNH TIỀN]]-A_Hung_HP[[#This Row],[THANH TOÁN]]</f>
        <v>459625912</v>
      </c>
      <c r="K24" s="27"/>
    </row>
    <row r="25" spans="1:11" x14ac:dyDescent="0.25">
      <c r="A25" s="22"/>
      <c r="B25" s="29">
        <v>46108</v>
      </c>
      <c r="C25" s="23" t="s">
        <v>2029</v>
      </c>
      <c r="D25" s="37"/>
      <c r="E25" s="23"/>
      <c r="F25" s="39">
        <v>1</v>
      </c>
      <c r="G25" s="31">
        <v>37360000</v>
      </c>
      <c r="H25" s="31">
        <f>A_Hung_HP[[#This Row],[ĐƠN GIÁ]]*A_Hung_HP[[#This Row],[SỐ LƯỢNG]]</f>
        <v>37360000</v>
      </c>
      <c r="I25" s="31"/>
      <c r="J25" s="31">
        <f>J24+A_Hung_HP[[#This Row],[THÀNH TIỀN]]-A_Hung_HP[[#This Row],[THANH TOÁN]]</f>
        <v>496985912</v>
      </c>
      <c r="K25" s="24"/>
    </row>
    <row r="26" spans="1:11" x14ac:dyDescent="0.25">
      <c r="A26" s="22"/>
      <c r="B26" s="29">
        <v>46115</v>
      </c>
      <c r="C26" s="23" t="s">
        <v>21</v>
      </c>
      <c r="D26" s="37" t="s">
        <v>22</v>
      </c>
      <c r="E26" s="23" t="s">
        <v>147</v>
      </c>
      <c r="F26" s="39">
        <v>0</v>
      </c>
      <c r="G26" s="31"/>
      <c r="H26" s="31">
        <f>A_Hung_HP[[#This Row],[ĐƠN GIÁ]]*A_Hung_HP[[#This Row],[SỐ LƯỢNG]]</f>
        <v>0</v>
      </c>
      <c r="I26" s="31">
        <v>200000000</v>
      </c>
      <c r="J26" s="31">
        <f>J25+A_Hung_HP[[#This Row],[THÀNH TIỀN]]-A_Hung_HP[[#This Row],[THANH TOÁN]]</f>
        <v>296985912</v>
      </c>
      <c r="K26" s="24"/>
    </row>
    <row r="27" spans="1:11" x14ac:dyDescent="0.25">
      <c r="A27" s="22">
        <v>8583</v>
      </c>
      <c r="B27" s="29">
        <v>46118</v>
      </c>
      <c r="C27" s="23" t="s">
        <v>13</v>
      </c>
      <c r="D27" s="37" t="s">
        <v>192</v>
      </c>
      <c r="E27" s="23" t="s">
        <v>258</v>
      </c>
      <c r="F27" s="39">
        <v>7636</v>
      </c>
      <c r="G27" s="31">
        <v>35500</v>
      </c>
      <c r="H27" s="31">
        <f>A_Hung_HP[[#This Row],[ĐƠN GIÁ]]*A_Hung_HP[[#This Row],[SỐ LƯỢNG]]</f>
        <v>271078000</v>
      </c>
      <c r="I27" s="31"/>
      <c r="J27" s="31">
        <f>J26+A_Hung_HP[[#This Row],[THÀNH TIỀN]]-A_Hung_HP[[#This Row],[THANH TOÁN]]</f>
        <v>568063912</v>
      </c>
      <c r="K27" s="24"/>
    </row>
    <row r="28" spans="1:11" x14ac:dyDescent="0.25">
      <c r="A28" s="22"/>
      <c r="B28" s="29">
        <v>46121</v>
      </c>
      <c r="C28" s="23" t="s">
        <v>21</v>
      </c>
      <c r="D28" s="37" t="s">
        <v>22</v>
      </c>
      <c r="E28" s="23" t="s">
        <v>147</v>
      </c>
      <c r="F28" s="39">
        <v>0</v>
      </c>
      <c r="G28" s="31"/>
      <c r="H28" s="31">
        <f>A_Hung_HP[[#This Row],[ĐƠN GIÁ]]*A_Hung_HP[[#This Row],[SỐ LƯỢNG]]</f>
        <v>0</v>
      </c>
      <c r="I28" s="31">
        <v>200000000</v>
      </c>
      <c r="J28" s="31">
        <f>J27+A_Hung_HP[[#This Row],[THÀNH TIỀN]]-A_Hung_HP[[#This Row],[THANH TOÁN]]</f>
        <v>368063912</v>
      </c>
      <c r="K28" s="24"/>
    </row>
    <row r="29" spans="1:11" x14ac:dyDescent="0.25">
      <c r="A29" s="22">
        <v>8697</v>
      </c>
      <c r="B29" s="29">
        <v>46123</v>
      </c>
      <c r="C29" s="23" t="s">
        <v>13</v>
      </c>
      <c r="D29" s="37" t="s">
        <v>109</v>
      </c>
      <c r="E29" s="23" t="s">
        <v>947</v>
      </c>
      <c r="F29" s="39">
        <v>856</v>
      </c>
      <c r="G29" s="31">
        <v>59000</v>
      </c>
      <c r="H29" s="31">
        <f>A_Hung_HP[[#This Row],[ĐƠN GIÁ]]*A_Hung_HP[[#This Row],[SỐ LƯỢNG]]</f>
        <v>50504000</v>
      </c>
      <c r="I29" s="31"/>
      <c r="J29" s="31">
        <f>J28+A_Hung_HP[[#This Row],[THÀNH TIỀN]]-A_Hung_HP[[#This Row],[THANH TOÁN]]</f>
        <v>418567912</v>
      </c>
      <c r="K29" s="24"/>
    </row>
    <row r="30" spans="1:11" x14ac:dyDescent="0.25">
      <c r="A30" s="22"/>
      <c r="B30" s="29">
        <v>46130</v>
      </c>
      <c r="C30" s="23" t="s">
        <v>21</v>
      </c>
      <c r="D30" s="37" t="s">
        <v>22</v>
      </c>
      <c r="E30" s="23" t="s">
        <v>147</v>
      </c>
      <c r="F30" s="39">
        <v>0</v>
      </c>
      <c r="G30" s="31"/>
      <c r="H30" s="31">
        <f>A_Hung_HP[[#This Row],[ĐƠN GIÁ]]*A_Hung_HP[[#This Row],[SỐ LƯỢNG]]</f>
        <v>0</v>
      </c>
      <c r="I30" s="31">
        <v>200000000</v>
      </c>
      <c r="J30" s="31">
        <f>J29+A_Hung_HP[[#This Row],[THÀNH TIỀN]]-A_Hung_HP[[#This Row],[THANH TOÁN]]</f>
        <v>218567912</v>
      </c>
      <c r="K30" s="24"/>
    </row>
    <row r="31" spans="1:11" x14ac:dyDescent="0.25">
      <c r="A31" s="22">
        <v>8937</v>
      </c>
      <c r="B31" s="29">
        <v>46134</v>
      </c>
      <c r="C31" s="23" t="s">
        <v>13</v>
      </c>
      <c r="D31" s="37" t="s">
        <v>103</v>
      </c>
      <c r="E31" s="23" t="s">
        <v>1765</v>
      </c>
      <c r="F31" s="39">
        <v>280</v>
      </c>
      <c r="G31" s="31">
        <v>38000</v>
      </c>
      <c r="H31" s="31">
        <f>A_Hung_HP[[#This Row],[ĐƠN GIÁ]]*A_Hung_HP[[#This Row],[SỐ LƯỢNG]]</f>
        <v>10640000</v>
      </c>
      <c r="I31" s="31"/>
      <c r="J31" s="31">
        <f>J30+A_Hung_HP[[#This Row],[THÀNH TIỀN]]-A_Hung_HP[[#This Row],[THANH TOÁN]]</f>
        <v>229207912</v>
      </c>
      <c r="K31" s="24"/>
    </row>
    <row r="32" spans="1:11" x14ac:dyDescent="0.25">
      <c r="A32" s="22">
        <v>8937</v>
      </c>
      <c r="B32" s="29">
        <v>46134</v>
      </c>
      <c r="C32" s="23" t="s">
        <v>13</v>
      </c>
      <c r="D32" s="37" t="s">
        <v>50</v>
      </c>
      <c r="E32" s="23" t="s">
        <v>1766</v>
      </c>
      <c r="F32" s="39">
        <v>310</v>
      </c>
      <c r="G32" s="31">
        <v>61000</v>
      </c>
      <c r="H32" s="31">
        <f>A_Hung_HP[[#This Row],[ĐƠN GIÁ]]*A_Hung_HP[[#This Row],[SỐ LƯỢNG]]</f>
        <v>18910000</v>
      </c>
      <c r="I32" s="31"/>
      <c r="J32" s="31">
        <f>J31+A_Hung_HP[[#This Row],[THÀNH TIỀN]]-A_Hung_HP[[#This Row],[THANH TOÁN]]</f>
        <v>248117912</v>
      </c>
      <c r="K32" s="24"/>
    </row>
    <row r="33" spans="1:11" x14ac:dyDescent="0.25">
      <c r="A33" s="22">
        <v>8937</v>
      </c>
      <c r="B33" s="29">
        <v>46134</v>
      </c>
      <c r="C33" s="23" t="s">
        <v>13</v>
      </c>
      <c r="D33" s="37" t="s">
        <v>50</v>
      </c>
      <c r="E33" s="23" t="s">
        <v>255</v>
      </c>
      <c r="F33" s="39">
        <v>812</v>
      </c>
      <c r="G33" s="31">
        <v>61000</v>
      </c>
      <c r="H33" s="31">
        <f>A_Hung_HP[[#This Row],[ĐƠN GIÁ]]*A_Hung_HP[[#This Row],[SỐ LƯỢNG]]</f>
        <v>49532000</v>
      </c>
      <c r="I33" s="31"/>
      <c r="J33" s="31">
        <f>J32+A_Hung_HP[[#This Row],[THÀNH TIỀN]]-A_Hung_HP[[#This Row],[THANH TOÁN]]</f>
        <v>297649912</v>
      </c>
      <c r="K33" s="24"/>
    </row>
    <row r="34" spans="1:11" x14ac:dyDescent="0.25">
      <c r="A34" s="22"/>
      <c r="B34" s="29">
        <v>46136</v>
      </c>
      <c r="C34" s="23" t="s">
        <v>21</v>
      </c>
      <c r="D34" s="37" t="s">
        <v>22</v>
      </c>
      <c r="E34" s="23" t="s">
        <v>147</v>
      </c>
      <c r="F34" s="39">
        <v>0</v>
      </c>
      <c r="G34" s="31"/>
      <c r="H34" s="31">
        <f>A_Hung_HP[[#This Row],[ĐƠN GIÁ]]*A_Hung_HP[[#This Row],[SỐ LƯỢNG]]</f>
        <v>0</v>
      </c>
      <c r="I34" s="31">
        <v>100000000</v>
      </c>
      <c r="J34" s="31">
        <f>J33+A_Hung_HP[[#This Row],[THÀNH TIỀN]]-A_Hung_HP[[#This Row],[THANH TOÁN]]</f>
        <v>197649912</v>
      </c>
      <c r="K34" s="24"/>
    </row>
    <row r="35" spans="1:11" x14ac:dyDescent="0.25">
      <c r="A35" s="22">
        <v>9025</v>
      </c>
      <c r="B35" s="29">
        <v>46137</v>
      </c>
      <c r="C35" s="23" t="s">
        <v>13</v>
      </c>
      <c r="D35" s="37" t="s">
        <v>43</v>
      </c>
      <c r="E35" s="23" t="s">
        <v>148</v>
      </c>
      <c r="F35" s="39">
        <v>1414</v>
      </c>
      <c r="G35" s="31">
        <v>60000</v>
      </c>
      <c r="H35" s="31">
        <f>A_Hung_HP[[#This Row],[ĐƠN GIÁ]]*A_Hung_HP[[#This Row],[SỐ LƯỢNG]]</f>
        <v>84840000</v>
      </c>
      <c r="I35" s="31"/>
      <c r="J35" s="31">
        <f>J34+A_Hung_HP[[#This Row],[THÀNH TIỀN]]-A_Hung_HP[[#This Row],[THANH TOÁN]]</f>
        <v>282489912</v>
      </c>
      <c r="K35" s="24"/>
    </row>
    <row r="36" spans="1:11" x14ac:dyDescent="0.25">
      <c r="A36" s="22">
        <v>9025</v>
      </c>
      <c r="B36" s="29">
        <v>46137</v>
      </c>
      <c r="C36" s="23" t="s">
        <v>13</v>
      </c>
      <c r="D36" s="37" t="s">
        <v>43</v>
      </c>
      <c r="E36" s="23" t="s">
        <v>154</v>
      </c>
      <c r="F36" s="39">
        <v>1860</v>
      </c>
      <c r="G36" s="31">
        <v>60000</v>
      </c>
      <c r="H36" s="31">
        <f>A_Hung_HP[[#This Row],[ĐƠN GIÁ]]*A_Hung_HP[[#This Row],[SỐ LƯỢNG]]</f>
        <v>111600000</v>
      </c>
      <c r="I36" s="31"/>
      <c r="J36" s="31">
        <f>J35+A_Hung_HP[[#This Row],[THÀNH TIỀN]]-A_Hung_HP[[#This Row],[THANH TOÁN]]</f>
        <v>394089912</v>
      </c>
      <c r="K36" s="24"/>
    </row>
    <row r="37" spans="1:11" x14ac:dyDescent="0.25">
      <c r="A37" s="22">
        <v>9025</v>
      </c>
      <c r="B37" s="29">
        <v>46137</v>
      </c>
      <c r="C37" s="23" t="s">
        <v>13</v>
      </c>
      <c r="D37" s="37" t="s">
        <v>43</v>
      </c>
      <c r="E37" s="23" t="s">
        <v>41</v>
      </c>
      <c r="F37" s="39">
        <v>1013</v>
      </c>
      <c r="G37" s="31">
        <v>62000</v>
      </c>
      <c r="H37" s="31">
        <f>A_Hung_HP[[#This Row],[ĐƠN GIÁ]]*A_Hung_HP[[#This Row],[SỐ LƯỢNG]]</f>
        <v>62806000</v>
      </c>
      <c r="I37" s="31"/>
      <c r="J37" s="31">
        <f>J36+A_Hung_HP[[#This Row],[THÀNH TIỀN]]-A_Hung_HP[[#This Row],[THANH TOÁN]]</f>
        <v>456895912</v>
      </c>
      <c r="K37" s="24"/>
    </row>
    <row r="38" spans="1:11" x14ac:dyDescent="0.25">
      <c r="A38" s="22">
        <v>9025</v>
      </c>
      <c r="B38" s="29">
        <v>46137</v>
      </c>
      <c r="C38" s="23" t="s">
        <v>13</v>
      </c>
      <c r="D38" s="37" t="s">
        <v>109</v>
      </c>
      <c r="E38" s="23" t="s">
        <v>1839</v>
      </c>
      <c r="F38" s="39">
        <v>1718</v>
      </c>
      <c r="G38" s="31">
        <v>60500</v>
      </c>
      <c r="H38" s="31">
        <f>A_Hung_HP[[#This Row],[ĐƠN GIÁ]]*A_Hung_HP[[#This Row],[SỐ LƯỢNG]]</f>
        <v>103939000</v>
      </c>
      <c r="I38" s="31"/>
      <c r="J38" s="31">
        <f>J37+A_Hung_HP[[#This Row],[THÀNH TIỀN]]-A_Hung_HP[[#This Row],[THANH TOÁN]]</f>
        <v>560834912</v>
      </c>
      <c r="K38" s="24"/>
    </row>
    <row r="39" spans="1:11" x14ac:dyDescent="0.25">
      <c r="A39" s="22">
        <v>9025</v>
      </c>
      <c r="B39" s="29">
        <v>46137</v>
      </c>
      <c r="C39" s="23" t="s">
        <v>13</v>
      </c>
      <c r="D39" s="37" t="s">
        <v>109</v>
      </c>
      <c r="E39" s="23" t="s">
        <v>990</v>
      </c>
      <c r="F39" s="39">
        <v>2148</v>
      </c>
      <c r="G39" s="31">
        <v>60500</v>
      </c>
      <c r="H39" s="31">
        <f>A_Hung_HP[[#This Row],[ĐƠN GIÁ]]*A_Hung_HP[[#This Row],[SỐ LƯỢNG]]</f>
        <v>129954000</v>
      </c>
      <c r="I39" s="31"/>
      <c r="J39" s="31">
        <f>J38+A_Hung_HP[[#This Row],[THÀNH TIỀN]]-A_Hung_HP[[#This Row],[THANH TOÁN]]</f>
        <v>690788912</v>
      </c>
      <c r="K39" s="24"/>
    </row>
    <row r="40" spans="1:11" x14ac:dyDescent="0.25">
      <c r="A40" s="22">
        <v>9207</v>
      </c>
      <c r="B40" s="29">
        <v>46148</v>
      </c>
      <c r="C40" s="23" t="s">
        <v>13</v>
      </c>
      <c r="D40" s="37" t="s">
        <v>192</v>
      </c>
      <c r="E40" s="23" t="s">
        <v>1954</v>
      </c>
      <c r="F40" s="39">
        <v>2385.4</v>
      </c>
      <c r="G40" s="31">
        <v>36000</v>
      </c>
      <c r="H40" s="31">
        <f>A_Hung_HP[[#This Row],[ĐƠN GIÁ]]*A_Hung_HP[[#This Row],[SỐ LƯỢNG]]</f>
        <v>85874400</v>
      </c>
      <c r="I40" s="31"/>
      <c r="J40" s="31">
        <f>J39+A_Hung_HP[[#This Row],[THÀNH TIỀN]]-A_Hung_HP[[#This Row],[THANH TOÁN]]</f>
        <v>776663312</v>
      </c>
      <c r="K40" s="24"/>
    </row>
    <row r="41" spans="1:11" x14ac:dyDescent="0.25">
      <c r="A41" s="25">
        <v>9207</v>
      </c>
      <c r="B41" s="30">
        <v>46148</v>
      </c>
      <c r="C41" s="26" t="s">
        <v>13</v>
      </c>
      <c r="D41" s="38" t="s">
        <v>43</v>
      </c>
      <c r="E41" s="26" t="s">
        <v>250</v>
      </c>
      <c r="F41" s="117">
        <v>2788</v>
      </c>
      <c r="G41" s="28">
        <v>61000</v>
      </c>
      <c r="H41" s="28">
        <f>A_Hung_HP[[#This Row],[ĐƠN GIÁ]]*A_Hung_HP[[#This Row],[SỐ LƯỢNG]]</f>
        <v>170068000</v>
      </c>
      <c r="I41" s="28"/>
      <c r="J41" s="28">
        <f>J40+A_Hung_HP[[#This Row],[THÀNH TIỀN]]-A_Hung_HP[[#This Row],[THANH TOÁN]]</f>
        <v>946731312</v>
      </c>
      <c r="K41" s="27"/>
    </row>
    <row r="42" spans="1:11" x14ac:dyDescent="0.25">
      <c r="A42" s="22"/>
      <c r="B42" s="29">
        <v>46150</v>
      </c>
      <c r="C42" s="23" t="s">
        <v>21</v>
      </c>
      <c r="D42" s="37" t="s">
        <v>22</v>
      </c>
      <c r="E42" s="23" t="s">
        <v>147</v>
      </c>
      <c r="F42" s="39">
        <v>0</v>
      </c>
      <c r="G42" s="31"/>
      <c r="H42" s="31">
        <f>A_Hung_HP[[#This Row],[ĐƠN GIÁ]]*A_Hung_HP[[#This Row],[SỐ LƯỢNG]]</f>
        <v>0</v>
      </c>
      <c r="I42" s="31">
        <v>200000000</v>
      </c>
      <c r="J42" s="31">
        <f>J41+A_Hung_HP[[#This Row],[THÀNH TIỀN]]-A_Hung_HP[[#This Row],[THANH TOÁN]]</f>
        <v>746731312</v>
      </c>
      <c r="K42" s="24"/>
    </row>
    <row r="43" spans="1:11" x14ac:dyDescent="0.25">
      <c r="A43" s="22"/>
      <c r="B43" s="29">
        <v>46157</v>
      </c>
      <c r="C43" s="23" t="s">
        <v>21</v>
      </c>
      <c r="D43" s="37" t="s">
        <v>22</v>
      </c>
      <c r="E43" s="23" t="s">
        <v>147</v>
      </c>
      <c r="F43" s="39">
        <v>0</v>
      </c>
      <c r="G43" s="31"/>
      <c r="H43" s="31">
        <f>A_Hung_HP[[#This Row],[ĐƠN GIÁ]]*A_Hung_HP[[#This Row],[SỐ LƯỢNG]]</f>
        <v>0</v>
      </c>
      <c r="I43" s="31">
        <v>200000000</v>
      </c>
      <c r="J43" s="31">
        <f>J42+A_Hung_HP[[#This Row],[THÀNH TIỀN]]-A_Hung_HP[[#This Row],[THANH TOÁN]]</f>
        <v>546731312</v>
      </c>
      <c r="K43" s="24"/>
    </row>
    <row r="44" spans="1:11" x14ac:dyDescent="0.25">
      <c r="A44" s="22">
        <v>9505</v>
      </c>
      <c r="B44" s="29">
        <v>46162</v>
      </c>
      <c r="C44" s="23" t="s">
        <v>13</v>
      </c>
      <c r="D44" s="37" t="s">
        <v>14</v>
      </c>
      <c r="E44" s="23" t="s">
        <v>148</v>
      </c>
      <c r="F44" s="39">
        <v>2252</v>
      </c>
      <c r="G44" s="31">
        <v>43000</v>
      </c>
      <c r="H44" s="31">
        <f>A_Hung_HP[[#This Row],[ĐƠN GIÁ]]*A_Hung_HP[[#This Row],[SỐ LƯỢNG]]</f>
        <v>96836000</v>
      </c>
      <c r="I44" s="31"/>
      <c r="J44" s="31">
        <f>J43+A_Hung_HP[[#This Row],[THÀNH TIỀN]]-A_Hung_HP[[#This Row],[THANH TOÁN]]</f>
        <v>643567312</v>
      </c>
      <c r="K44" s="24"/>
    </row>
    <row r="45" spans="1:11" x14ac:dyDescent="0.25">
      <c r="A45" s="22">
        <v>9505</v>
      </c>
      <c r="B45" s="29">
        <v>46162</v>
      </c>
      <c r="C45" s="23" t="s">
        <v>13</v>
      </c>
      <c r="D45" s="37" t="s">
        <v>36</v>
      </c>
      <c r="E45" s="23" t="s">
        <v>221</v>
      </c>
      <c r="F45" s="39">
        <v>244.5</v>
      </c>
      <c r="G45" s="31">
        <v>68000</v>
      </c>
      <c r="H45" s="31">
        <f>A_Hung_HP[[#This Row],[ĐƠN GIÁ]]*A_Hung_HP[[#This Row],[SỐ LƯỢNG]]</f>
        <v>16626000</v>
      </c>
      <c r="I45" s="31"/>
      <c r="J45" s="31">
        <f>J44+A_Hung_HP[[#This Row],[THÀNH TIỀN]]-A_Hung_HP[[#This Row],[THANH TOÁN]]</f>
        <v>660193312</v>
      </c>
      <c r="K45" s="24">
        <v>345</v>
      </c>
    </row>
    <row r="46" spans="1:11" x14ac:dyDescent="0.25">
      <c r="A46" s="22">
        <v>9505</v>
      </c>
      <c r="B46" s="29">
        <v>46162</v>
      </c>
      <c r="C46" s="23" t="s">
        <v>13</v>
      </c>
      <c r="D46" s="37" t="s">
        <v>43</v>
      </c>
      <c r="E46" s="23" t="s">
        <v>146</v>
      </c>
      <c r="F46" s="39">
        <v>584</v>
      </c>
      <c r="G46" s="31">
        <v>61000</v>
      </c>
      <c r="H46" s="31">
        <f>A_Hung_HP[[#This Row],[ĐƠN GIÁ]]*A_Hung_HP[[#This Row],[SỐ LƯỢNG]]</f>
        <v>35624000</v>
      </c>
      <c r="I46" s="31"/>
      <c r="J46" s="31">
        <f>J45+A_Hung_HP[[#This Row],[THÀNH TIỀN]]-A_Hung_HP[[#This Row],[THANH TOÁN]]</f>
        <v>695817312</v>
      </c>
      <c r="K46" s="24"/>
    </row>
    <row r="47" spans="1:11" x14ac:dyDescent="0.25">
      <c r="A47" s="22">
        <v>9600</v>
      </c>
      <c r="B47" s="29">
        <v>46167</v>
      </c>
      <c r="C47" s="23" t="s">
        <v>13</v>
      </c>
      <c r="D47" s="37" t="s">
        <v>150</v>
      </c>
      <c r="E47" s="23" t="s">
        <v>390</v>
      </c>
      <c r="F47" s="39">
        <v>1222</v>
      </c>
      <c r="G47" s="31">
        <v>35500</v>
      </c>
      <c r="H47" s="31">
        <f>A_Hung_HP[[#This Row],[ĐƠN GIÁ]]*A_Hung_HP[[#This Row],[SỐ LƯỢNG]]</f>
        <v>43381000</v>
      </c>
      <c r="I47" s="31"/>
      <c r="J47" s="31">
        <f>J46+A_Hung_HP[[#This Row],[THÀNH TIỀN]]-A_Hung_HP[[#This Row],[THANH TOÁN]]</f>
        <v>739198312</v>
      </c>
      <c r="K47" s="24"/>
    </row>
    <row r="48" spans="1:11" x14ac:dyDescent="0.25">
      <c r="A48" s="22"/>
      <c r="B48" s="29">
        <v>46167</v>
      </c>
      <c r="C48" s="23" t="s">
        <v>21</v>
      </c>
      <c r="D48" s="37" t="s">
        <v>22</v>
      </c>
      <c r="E48" s="23" t="s">
        <v>147</v>
      </c>
      <c r="F48" s="39">
        <v>0</v>
      </c>
      <c r="G48" s="31"/>
      <c r="H48" s="31">
        <f>A_Hung_HP[[#This Row],[ĐƠN GIÁ]]*A_Hung_HP[[#This Row],[SỐ LƯỢNG]]</f>
        <v>0</v>
      </c>
      <c r="I48" s="31">
        <v>200000000</v>
      </c>
      <c r="J48" s="31">
        <f>J47+A_Hung_HP[[#This Row],[THÀNH TIỀN]]-A_Hung_HP[[#This Row],[THANH TOÁN]]</f>
        <v>539198312</v>
      </c>
      <c r="K48" s="24"/>
    </row>
    <row r="49" spans="1:11" x14ac:dyDescent="0.25">
      <c r="A49" s="22">
        <v>9643</v>
      </c>
      <c r="B49" s="29">
        <v>46169</v>
      </c>
      <c r="C49" s="23" t="s">
        <v>13</v>
      </c>
      <c r="D49" s="37" t="s">
        <v>43</v>
      </c>
      <c r="E49" s="23" t="s">
        <v>248</v>
      </c>
      <c r="F49" s="39">
        <v>576</v>
      </c>
      <c r="G49" s="31">
        <v>61000</v>
      </c>
      <c r="H49" s="31">
        <f>A_Hung_HP[[#This Row],[ĐƠN GIÁ]]*A_Hung_HP[[#This Row],[SỐ LƯỢNG]]</f>
        <v>35136000</v>
      </c>
      <c r="I49" s="31"/>
      <c r="J49" s="31">
        <f>J48+A_Hung_HP[[#This Row],[THÀNH TIỀN]]-A_Hung_HP[[#This Row],[THANH TOÁN]]</f>
        <v>574334312</v>
      </c>
      <c r="K49" s="24"/>
    </row>
    <row r="50" spans="1:11" x14ac:dyDescent="0.25">
      <c r="A50" s="22"/>
      <c r="B50" s="29">
        <v>46171</v>
      </c>
      <c r="C50" s="23" t="s">
        <v>21</v>
      </c>
      <c r="D50" s="37" t="s">
        <v>22</v>
      </c>
      <c r="E50" s="23" t="s">
        <v>147</v>
      </c>
      <c r="F50" s="39">
        <v>0</v>
      </c>
      <c r="G50" s="31"/>
      <c r="H50" s="31">
        <f>A_Hung_HP[[#This Row],[ĐƠN GIÁ]]*A_Hung_HP[[#This Row],[SỐ LƯỢNG]]</f>
        <v>0</v>
      </c>
      <c r="I50" s="31">
        <v>200000000</v>
      </c>
      <c r="J50" s="31">
        <f>J49+A_Hung_HP[[#This Row],[THÀNH TIỀN]]-A_Hung_HP[[#This Row],[THANH TOÁN]]</f>
        <v>374334312</v>
      </c>
      <c r="K50" s="24"/>
    </row>
    <row r="51" spans="1:11" x14ac:dyDescent="0.25">
      <c r="A51" s="22">
        <v>9717</v>
      </c>
      <c r="B51" s="29">
        <v>46172</v>
      </c>
      <c r="C51" s="23" t="s">
        <v>13</v>
      </c>
      <c r="D51" s="37" t="s">
        <v>43</v>
      </c>
      <c r="E51" s="23" t="s">
        <v>248</v>
      </c>
      <c r="F51" s="39">
        <v>656</v>
      </c>
      <c r="G51" s="31">
        <v>61000</v>
      </c>
      <c r="H51" s="31">
        <f>A_Hung_HP[[#This Row],[ĐƠN GIÁ]]*A_Hung_HP[[#This Row],[SỐ LƯỢNG]]</f>
        <v>40016000</v>
      </c>
      <c r="I51" s="31"/>
      <c r="J51" s="31">
        <f>J50+A_Hung_HP[[#This Row],[THÀNH TIỀN]]-A_Hung_HP[[#This Row],[THANH TOÁN]]</f>
        <v>414350312</v>
      </c>
      <c r="K51" s="24"/>
    </row>
    <row r="52" spans="1:11" x14ac:dyDescent="0.25">
      <c r="A52" s="22">
        <v>9717</v>
      </c>
      <c r="B52" s="29">
        <v>46172</v>
      </c>
      <c r="C52" s="23" t="s">
        <v>13</v>
      </c>
      <c r="D52" s="37" t="s">
        <v>150</v>
      </c>
      <c r="E52" s="23" t="s">
        <v>110</v>
      </c>
      <c r="F52" s="39">
        <v>730</v>
      </c>
      <c r="G52" s="31">
        <v>36000</v>
      </c>
      <c r="H52" s="31">
        <f>A_Hung_HP[[#This Row],[ĐƠN GIÁ]]*A_Hung_HP[[#This Row],[SỐ LƯỢNG]]</f>
        <v>26280000</v>
      </c>
      <c r="I52" s="31"/>
      <c r="J52" s="31">
        <f>J51+A_Hung_HP[[#This Row],[THÀNH TIỀN]]-A_Hung_HP[[#This Row],[THANH TOÁN]]</f>
        <v>440630312</v>
      </c>
      <c r="K52" s="24"/>
    </row>
    <row r="53" spans="1:11" x14ac:dyDescent="0.25">
      <c r="A53" s="22"/>
      <c r="B53" s="29">
        <v>46178</v>
      </c>
      <c r="C53" s="23" t="s">
        <v>21</v>
      </c>
      <c r="D53" s="37" t="s">
        <v>22</v>
      </c>
      <c r="E53" s="23" t="s">
        <v>147</v>
      </c>
      <c r="F53" s="39">
        <v>0</v>
      </c>
      <c r="G53" s="31"/>
      <c r="H53" s="31">
        <f>A_Hung_HP[[#This Row],[ĐƠN GIÁ]]*A_Hung_HP[[#This Row],[SỐ LƯỢNG]]</f>
        <v>0</v>
      </c>
      <c r="I53" s="31">
        <v>200000000</v>
      </c>
      <c r="J53" s="31">
        <f>J52+A_Hung_HP[[#This Row],[THÀNH TIỀN]]-A_Hung_HP[[#This Row],[THANH TOÁN]]</f>
        <v>240630312</v>
      </c>
      <c r="K53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688A8-6455-4D7E-B87E-CC52F3E0F4E9}">
  <sheetPr codeName="Sheet58"/>
  <dimension ref="A5:K106"/>
  <sheetViews>
    <sheetView topLeftCell="A70" workbookViewId="0">
      <selection activeCell="H92" sqref="H92:H98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2056254324</v>
      </c>
    </row>
    <row r="6" spans="1:11" ht="22.5" x14ac:dyDescent="0.25">
      <c r="D6" s="34" t="s">
        <v>985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>
        <v>8753</v>
      </c>
      <c r="B10" s="29">
        <v>46126</v>
      </c>
      <c r="C10" s="23" t="s">
        <v>13</v>
      </c>
      <c r="D10" s="37" t="s">
        <v>150</v>
      </c>
      <c r="E10" s="23" t="s">
        <v>990</v>
      </c>
      <c r="F10" s="31">
        <v>705</v>
      </c>
      <c r="G10" s="31">
        <v>37000</v>
      </c>
      <c r="H10" s="31">
        <f>Cty_Hoa_Hung[[#This Row],[ĐƠN GIÁ]]*Cty_Hoa_Hung[[#This Row],[SỐ LƯỢNG]]</f>
        <v>26085000</v>
      </c>
      <c r="I10" s="31"/>
      <c r="J10" s="31" t="e">
        <f>J9+Cty_Hoa_Hung[[#This Row],[THÀNH TIỀN]]-Cty_Hoa_Hung[[#This Row],[THANH TOÁN]]</f>
        <v>#VALUE!</v>
      </c>
      <c r="K10" s="24" t="s">
        <v>991</v>
      </c>
    </row>
    <row r="11" spans="1:11" x14ac:dyDescent="0.25">
      <c r="A11" s="22">
        <v>8753</v>
      </c>
      <c r="B11" s="29">
        <v>46126</v>
      </c>
      <c r="C11" s="23" t="s">
        <v>13</v>
      </c>
      <c r="D11" s="37" t="s">
        <v>50</v>
      </c>
      <c r="E11" s="23" t="s">
        <v>456</v>
      </c>
      <c r="F11" s="31">
        <v>1414</v>
      </c>
      <c r="G11" s="31">
        <v>61000</v>
      </c>
      <c r="H11" s="31">
        <f>Cty_Hoa_Hung[[#This Row],[ĐƠN GIÁ]]*Cty_Hoa_Hung[[#This Row],[SỐ LƯỢNG]]</f>
        <v>86254000</v>
      </c>
      <c r="I11" s="31"/>
      <c r="J11" s="31" t="e">
        <f>J10+Cty_Hoa_Hung[[#This Row],[THÀNH TIỀN]]-Cty_Hoa_Hung[[#This Row],[THANH TOÁN]]</f>
        <v>#VALUE!</v>
      </c>
      <c r="K11" s="24" t="s">
        <v>991</v>
      </c>
    </row>
    <row r="12" spans="1:11" x14ac:dyDescent="0.25">
      <c r="A12" s="22">
        <v>8753</v>
      </c>
      <c r="B12" s="29">
        <v>46126</v>
      </c>
      <c r="C12" s="23" t="s">
        <v>13</v>
      </c>
      <c r="D12" s="37" t="s">
        <v>50</v>
      </c>
      <c r="E12" s="23" t="s">
        <v>53</v>
      </c>
      <c r="F12" s="31">
        <v>2240</v>
      </c>
      <c r="G12" s="31">
        <v>61000</v>
      </c>
      <c r="H12" s="31">
        <f>Cty_Hoa_Hung[[#This Row],[ĐƠN GIÁ]]*Cty_Hoa_Hung[[#This Row],[SỐ LƯỢNG]]</f>
        <v>136640000</v>
      </c>
      <c r="I12" s="31"/>
      <c r="J12" s="31" t="e">
        <f>J11+Cty_Hoa_Hung[[#This Row],[THÀNH TIỀN]]-Cty_Hoa_Hung[[#This Row],[THANH TOÁN]]</f>
        <v>#VALUE!</v>
      </c>
      <c r="K12" s="24" t="s">
        <v>184</v>
      </c>
    </row>
    <row r="13" spans="1:11" x14ac:dyDescent="0.25">
      <c r="A13" s="25"/>
      <c r="B13" s="30">
        <v>46081</v>
      </c>
      <c r="C13" s="26" t="s">
        <v>12</v>
      </c>
      <c r="D13" s="38"/>
      <c r="E13" s="26"/>
      <c r="F13" s="28"/>
      <c r="G13" s="28"/>
      <c r="H13" s="28">
        <f>Cty_Hoa_Hung[[#This Row],[ĐƠN GIÁ]]*Cty_Hoa_Hung[[#This Row],[SỐ LƯỢNG]]</f>
        <v>0</v>
      </c>
      <c r="I13" s="28"/>
      <c r="J13" s="28">
        <v>583523285</v>
      </c>
      <c r="K13" s="27"/>
    </row>
    <row r="14" spans="1:11" x14ac:dyDescent="0.25">
      <c r="A14" s="25">
        <v>7867</v>
      </c>
      <c r="B14" s="30">
        <v>46086</v>
      </c>
      <c r="C14" s="26" t="s">
        <v>13</v>
      </c>
      <c r="D14" s="38" t="s">
        <v>26</v>
      </c>
      <c r="E14" s="26" t="s">
        <v>40</v>
      </c>
      <c r="F14" s="28">
        <f>344-8</f>
        <v>336</v>
      </c>
      <c r="G14" s="28">
        <v>37000</v>
      </c>
      <c r="H14" s="31">
        <f>Cty_Hoa_Hung[[#This Row],[ĐƠN GIÁ]]*Cty_Hoa_Hung[[#This Row],[SỐ LƯỢNG]]</f>
        <v>12432000</v>
      </c>
      <c r="I14" s="31"/>
      <c r="J14" s="31">
        <f>J13+Cty_Hoa_Hung[[#This Row],[THÀNH TIỀN]]-Cty_Hoa_Hung[[#This Row],[THANH TOÁN]]</f>
        <v>595955285</v>
      </c>
      <c r="K14" s="24"/>
    </row>
    <row r="15" spans="1:11" x14ac:dyDescent="0.25">
      <c r="A15" s="25">
        <v>7867</v>
      </c>
      <c r="B15" s="30">
        <v>46086</v>
      </c>
      <c r="C15" s="26" t="s">
        <v>13</v>
      </c>
      <c r="D15" s="38" t="s">
        <v>26</v>
      </c>
      <c r="E15" s="26" t="s">
        <v>134</v>
      </c>
      <c r="F15" s="28">
        <v>476</v>
      </c>
      <c r="G15" s="28">
        <v>36000</v>
      </c>
      <c r="H15" s="28">
        <f>Cty_Hoa_Hung[[#This Row],[ĐƠN GIÁ]]*Cty_Hoa_Hung[[#This Row],[SỐ LƯỢNG]]</f>
        <v>17136000</v>
      </c>
      <c r="I15" s="28"/>
      <c r="J15" s="28">
        <f>J14+Cty_Hoa_Hung[[#This Row],[THÀNH TIỀN]]-Cty_Hoa_Hung[[#This Row],[THANH TOÁN]]</f>
        <v>613091285</v>
      </c>
      <c r="K15" s="27"/>
    </row>
    <row r="16" spans="1:11" x14ac:dyDescent="0.25">
      <c r="A16" s="25"/>
      <c r="B16" s="30">
        <v>46087</v>
      </c>
      <c r="C16" s="26" t="s">
        <v>21</v>
      </c>
      <c r="D16" s="38" t="s">
        <v>22</v>
      </c>
      <c r="E16" s="26" t="s">
        <v>83</v>
      </c>
      <c r="F16" s="28">
        <v>0</v>
      </c>
      <c r="G16" s="28">
        <v>0</v>
      </c>
      <c r="H16" s="28">
        <f>Cty_Hoa_Hung[[#This Row],[ĐƠN GIÁ]]*Cty_Hoa_Hung[[#This Row],[SỐ LƯỢNG]]</f>
        <v>0</v>
      </c>
      <c r="I16" s="28">
        <v>100000000</v>
      </c>
      <c r="J16" s="28">
        <f>J15+Cty_Hoa_Hung[[#This Row],[THÀNH TIỀN]]-Cty_Hoa_Hung[[#This Row],[THANH TOÁN]]</f>
        <v>513091285</v>
      </c>
      <c r="K16" s="27"/>
    </row>
    <row r="17" spans="1:11" x14ac:dyDescent="0.25">
      <c r="A17" s="25">
        <v>7976</v>
      </c>
      <c r="B17" s="30">
        <v>46091</v>
      </c>
      <c r="C17" s="26" t="s">
        <v>13</v>
      </c>
      <c r="D17" s="38" t="s">
        <v>26</v>
      </c>
      <c r="E17" s="26" t="s">
        <v>40</v>
      </c>
      <c r="F17" s="28">
        <v>1458</v>
      </c>
      <c r="G17" s="28">
        <v>34500</v>
      </c>
      <c r="H17" s="28">
        <f>Cty_Hoa_Hung[[#This Row],[ĐƠN GIÁ]]*Cty_Hoa_Hung[[#This Row],[SỐ LƯỢNG]]</f>
        <v>50301000</v>
      </c>
      <c r="I17" s="28"/>
      <c r="J17" s="28">
        <f>J16+Cty_Hoa_Hung[[#This Row],[THÀNH TIỀN]]-Cty_Hoa_Hung[[#This Row],[THANH TOÁN]]</f>
        <v>563392285</v>
      </c>
      <c r="K17" s="27"/>
    </row>
    <row r="18" spans="1:11" x14ac:dyDescent="0.25">
      <c r="A18" s="25">
        <v>7977</v>
      </c>
      <c r="B18" s="30">
        <v>46092</v>
      </c>
      <c r="C18" s="26" t="s">
        <v>242</v>
      </c>
      <c r="D18" s="38" t="s">
        <v>26</v>
      </c>
      <c r="E18" s="26" t="s">
        <v>40</v>
      </c>
      <c r="F18" s="28">
        <v>-1458</v>
      </c>
      <c r="G18" s="28">
        <v>34500</v>
      </c>
      <c r="H18" s="28">
        <f>Cty_Hoa_Hung[[#This Row],[ĐƠN GIÁ]]*Cty_Hoa_Hung[[#This Row],[SỐ LƯỢNG]]</f>
        <v>-50301000</v>
      </c>
      <c r="I18" s="28"/>
      <c r="J18" s="28">
        <f>J17+Cty_Hoa_Hung[[#This Row],[THÀNH TIỀN]]-Cty_Hoa_Hung[[#This Row],[THANH TOÁN]]</f>
        <v>513091285</v>
      </c>
      <c r="K18" s="27"/>
    </row>
    <row r="19" spans="1:11" x14ac:dyDescent="0.25">
      <c r="A19" s="22"/>
      <c r="B19" s="29">
        <v>46095</v>
      </c>
      <c r="C19" s="23" t="s">
        <v>21</v>
      </c>
      <c r="D19" s="37" t="s">
        <v>22</v>
      </c>
      <c r="E19" s="23" t="s">
        <v>83</v>
      </c>
      <c r="F19" s="31">
        <v>0</v>
      </c>
      <c r="G19" s="31">
        <v>0</v>
      </c>
      <c r="H19" s="31">
        <f>Cty_Hoa_Hung[[#This Row],[ĐƠN GIÁ]]*Cty_Hoa_Hung[[#This Row],[SỐ LƯỢNG]]</f>
        <v>0</v>
      </c>
      <c r="I19" s="31">
        <v>100000000</v>
      </c>
      <c r="J19" s="31">
        <f>J18+Cty_Hoa_Hung[[#This Row],[THÀNH TIỀN]]-Cty_Hoa_Hung[[#This Row],[THANH TOÁN]]</f>
        <v>413091285</v>
      </c>
      <c r="K19" s="24"/>
    </row>
    <row r="20" spans="1:11" x14ac:dyDescent="0.25">
      <c r="A20" s="22"/>
      <c r="B20" s="29">
        <v>46101</v>
      </c>
      <c r="C20" s="23" t="s">
        <v>21</v>
      </c>
      <c r="D20" s="37" t="s">
        <v>22</v>
      </c>
      <c r="E20" s="23" t="s">
        <v>83</v>
      </c>
      <c r="F20" s="31">
        <v>0</v>
      </c>
      <c r="G20" s="31">
        <v>0</v>
      </c>
      <c r="H20" s="31">
        <f>Cty_Hoa_Hung[[#This Row],[ĐƠN GIÁ]]*Cty_Hoa_Hung[[#This Row],[SỐ LƯỢNG]]</f>
        <v>0</v>
      </c>
      <c r="I20" s="31">
        <v>100000000</v>
      </c>
      <c r="J20" s="31">
        <f>J19+Cty_Hoa_Hung[[#This Row],[THÀNH TIỀN]]-Cty_Hoa_Hung[[#This Row],[THANH TOÁN]]</f>
        <v>313091285</v>
      </c>
      <c r="K20" s="24"/>
    </row>
    <row r="21" spans="1:11" x14ac:dyDescent="0.25">
      <c r="A21" s="22">
        <v>8241</v>
      </c>
      <c r="B21" s="29">
        <v>46105</v>
      </c>
      <c r="C21" s="23" t="s">
        <v>13</v>
      </c>
      <c r="D21" s="37" t="s">
        <v>252</v>
      </c>
      <c r="E21" s="23" t="s">
        <v>986</v>
      </c>
      <c r="F21" s="31">
        <v>276</v>
      </c>
      <c r="G21" s="31">
        <v>40000</v>
      </c>
      <c r="H21" s="31">
        <f>Cty_Hoa_Hung[[#This Row],[ĐƠN GIÁ]]*Cty_Hoa_Hung[[#This Row],[SỐ LƯỢNG]]</f>
        <v>11040000</v>
      </c>
      <c r="I21" s="31"/>
      <c r="J21" s="31">
        <f>J20+Cty_Hoa_Hung[[#This Row],[THÀNH TIỀN]]-Cty_Hoa_Hung[[#This Row],[THANH TOÁN]]</f>
        <v>324131285</v>
      </c>
      <c r="K21" s="24"/>
    </row>
    <row r="22" spans="1:11" x14ac:dyDescent="0.25">
      <c r="A22" s="22"/>
      <c r="B22" s="29">
        <v>46115</v>
      </c>
      <c r="C22" s="23" t="s">
        <v>21</v>
      </c>
      <c r="D22" s="37" t="s">
        <v>22</v>
      </c>
      <c r="E22" s="23" t="s">
        <v>83</v>
      </c>
      <c r="F22" s="31">
        <v>0</v>
      </c>
      <c r="G22" s="31"/>
      <c r="H22" s="31">
        <f>Cty_Hoa_Hung[[#This Row],[ĐƠN GIÁ]]*Cty_Hoa_Hung[[#This Row],[SỐ LƯỢNG]]</f>
        <v>0</v>
      </c>
      <c r="I22" s="31">
        <v>100000000</v>
      </c>
      <c r="J22" s="31">
        <f>J21+Cty_Hoa_Hung[[#This Row],[THÀNH TIỀN]]-Cty_Hoa_Hung[[#This Row],[THANH TOÁN]]</f>
        <v>224131285</v>
      </c>
      <c r="K22" s="24"/>
    </row>
    <row r="23" spans="1:11" x14ac:dyDescent="0.25">
      <c r="A23" s="22">
        <v>8553</v>
      </c>
      <c r="B23" s="29">
        <v>46116</v>
      </c>
      <c r="C23" s="23" t="s">
        <v>13</v>
      </c>
      <c r="D23" s="37" t="s">
        <v>14</v>
      </c>
      <c r="E23" s="23" t="s">
        <v>146</v>
      </c>
      <c r="F23" s="31">
        <v>614</v>
      </c>
      <c r="G23" s="31">
        <v>41500</v>
      </c>
      <c r="H23" s="31">
        <f>Cty_Hoa_Hung[[#This Row],[ĐƠN GIÁ]]*Cty_Hoa_Hung[[#This Row],[SỐ LƯỢNG]]</f>
        <v>25481000</v>
      </c>
      <c r="I23" s="31"/>
      <c r="J23" s="31">
        <f>J22+Cty_Hoa_Hung[[#This Row],[THÀNH TIỀN]]-Cty_Hoa_Hung[[#This Row],[THANH TOÁN]]</f>
        <v>249612285</v>
      </c>
      <c r="K23" s="24"/>
    </row>
    <row r="24" spans="1:11" x14ac:dyDescent="0.25">
      <c r="A24" s="22">
        <v>8553</v>
      </c>
      <c r="B24" s="29">
        <v>46116</v>
      </c>
      <c r="C24" s="23" t="s">
        <v>13</v>
      </c>
      <c r="D24" s="37" t="s">
        <v>135</v>
      </c>
      <c r="E24" s="23" t="s">
        <v>141</v>
      </c>
      <c r="F24" s="31">
        <v>628</v>
      </c>
      <c r="G24" s="31">
        <v>37500</v>
      </c>
      <c r="H24" s="31">
        <f>Cty_Hoa_Hung[[#This Row],[ĐƠN GIÁ]]*Cty_Hoa_Hung[[#This Row],[SỐ LƯỢNG]]</f>
        <v>23550000</v>
      </c>
      <c r="I24" s="31"/>
      <c r="J24" s="31">
        <f>J23+Cty_Hoa_Hung[[#This Row],[THÀNH TIỀN]]-Cty_Hoa_Hung[[#This Row],[THANH TOÁN]]</f>
        <v>273162285</v>
      </c>
      <c r="K24" s="24"/>
    </row>
    <row r="25" spans="1:11" x14ac:dyDescent="0.25">
      <c r="A25" s="22">
        <v>8553</v>
      </c>
      <c r="B25" s="29">
        <v>46116</v>
      </c>
      <c r="C25" s="23" t="s">
        <v>13</v>
      </c>
      <c r="D25" s="37" t="s">
        <v>43</v>
      </c>
      <c r="E25" s="23" t="s">
        <v>44</v>
      </c>
      <c r="F25" s="31">
        <v>980</v>
      </c>
      <c r="G25" s="31">
        <v>60000</v>
      </c>
      <c r="H25" s="31">
        <f>Cty_Hoa_Hung[[#This Row],[ĐƠN GIÁ]]*Cty_Hoa_Hung[[#This Row],[SỐ LƯỢNG]]</f>
        <v>58800000</v>
      </c>
      <c r="I25" s="31"/>
      <c r="J25" s="31">
        <f>J24+Cty_Hoa_Hung[[#This Row],[THÀNH TIỀN]]-Cty_Hoa_Hung[[#This Row],[THANH TOÁN]]</f>
        <v>331962285</v>
      </c>
      <c r="K25" s="24"/>
    </row>
    <row r="26" spans="1:11" x14ac:dyDescent="0.25">
      <c r="A26" s="22">
        <v>8553</v>
      </c>
      <c r="B26" s="29">
        <v>46116</v>
      </c>
      <c r="C26" s="23" t="s">
        <v>13</v>
      </c>
      <c r="D26" s="37" t="s">
        <v>43</v>
      </c>
      <c r="E26" s="23" t="s">
        <v>33</v>
      </c>
      <c r="F26" s="31">
        <v>1162</v>
      </c>
      <c r="G26" s="31">
        <v>66500</v>
      </c>
      <c r="H26" s="31">
        <f>Cty_Hoa_Hung[[#This Row],[ĐƠN GIÁ]]*Cty_Hoa_Hung[[#This Row],[SỐ LƯỢNG]]</f>
        <v>77273000</v>
      </c>
      <c r="I26" s="31"/>
      <c r="J26" s="31">
        <f>J25+Cty_Hoa_Hung[[#This Row],[THÀNH TIỀN]]-Cty_Hoa_Hung[[#This Row],[THANH TOÁN]]</f>
        <v>409235285</v>
      </c>
      <c r="K26" s="24"/>
    </row>
    <row r="27" spans="1:11" x14ac:dyDescent="0.25">
      <c r="A27" s="22">
        <v>8553</v>
      </c>
      <c r="B27" s="29">
        <v>46116</v>
      </c>
      <c r="C27" s="23" t="s">
        <v>13</v>
      </c>
      <c r="D27" s="37" t="s">
        <v>43</v>
      </c>
      <c r="E27" s="23" t="s">
        <v>987</v>
      </c>
      <c r="F27" s="31">
        <v>3012</v>
      </c>
      <c r="G27" s="31">
        <v>57000</v>
      </c>
      <c r="H27" s="31">
        <f>Cty_Hoa_Hung[[#This Row],[ĐƠN GIÁ]]*Cty_Hoa_Hung[[#This Row],[SỐ LƯỢNG]]</f>
        <v>171684000</v>
      </c>
      <c r="I27" s="31"/>
      <c r="J27" s="31">
        <f>J26+Cty_Hoa_Hung[[#This Row],[THÀNH TIỀN]]-Cty_Hoa_Hung[[#This Row],[THANH TOÁN]]</f>
        <v>580919285</v>
      </c>
      <c r="K27" s="24"/>
    </row>
    <row r="28" spans="1:11" x14ac:dyDescent="0.25">
      <c r="A28" s="22"/>
      <c r="B28" s="29">
        <v>46116</v>
      </c>
      <c r="C28" s="23" t="s">
        <v>21</v>
      </c>
      <c r="D28" s="37" t="s">
        <v>22</v>
      </c>
      <c r="E28" s="23" t="s">
        <v>83</v>
      </c>
      <c r="F28" s="31">
        <v>0</v>
      </c>
      <c r="G28" s="31"/>
      <c r="H28" s="31">
        <f>Cty_Hoa_Hung[[#This Row],[ĐƠN GIÁ]]*Cty_Hoa_Hung[[#This Row],[SỐ LƯỢNG]]</f>
        <v>0</v>
      </c>
      <c r="I28" s="31">
        <v>224140000</v>
      </c>
      <c r="J28" s="31">
        <f>J27+Cty_Hoa_Hung[[#This Row],[THÀNH TIỀN]]-Cty_Hoa_Hung[[#This Row],[THANH TOÁN]]</f>
        <v>356779285</v>
      </c>
      <c r="K28" s="24"/>
    </row>
    <row r="29" spans="1:11" x14ac:dyDescent="0.25">
      <c r="A29" s="22">
        <v>8590</v>
      </c>
      <c r="B29" s="29">
        <v>46118</v>
      </c>
      <c r="C29" s="23" t="s">
        <v>13</v>
      </c>
      <c r="D29" s="37" t="s">
        <v>75</v>
      </c>
      <c r="E29" s="23" t="s">
        <v>988</v>
      </c>
      <c r="F29" s="31">
        <v>420</v>
      </c>
      <c r="G29" s="31">
        <v>38000</v>
      </c>
      <c r="H29" s="31">
        <f>Cty_Hoa_Hung[[#This Row],[ĐƠN GIÁ]]*Cty_Hoa_Hung[[#This Row],[SỐ LƯỢNG]]</f>
        <v>15960000</v>
      </c>
      <c r="I29" s="31"/>
      <c r="J29" s="31">
        <f>J28+Cty_Hoa_Hung[[#This Row],[THÀNH TIỀN]]-Cty_Hoa_Hung[[#This Row],[THANH TOÁN]]</f>
        <v>372739285</v>
      </c>
      <c r="K29" s="24"/>
    </row>
    <row r="30" spans="1:11" x14ac:dyDescent="0.25">
      <c r="A30" s="22">
        <v>8685</v>
      </c>
      <c r="B30" s="29">
        <v>46122</v>
      </c>
      <c r="C30" s="23" t="s">
        <v>13</v>
      </c>
      <c r="D30" s="37" t="s">
        <v>150</v>
      </c>
      <c r="E30" s="23" t="s">
        <v>28</v>
      </c>
      <c r="F30" s="31">
        <v>1070.5</v>
      </c>
      <c r="G30" s="31">
        <v>37000</v>
      </c>
      <c r="H30" s="31">
        <f>Cty_Hoa_Hung[[#This Row],[ĐƠN GIÁ]]*Cty_Hoa_Hung[[#This Row],[SỐ LƯỢNG]]</f>
        <v>39608500</v>
      </c>
      <c r="I30" s="31"/>
      <c r="J30" s="31">
        <f>J29+Cty_Hoa_Hung[[#This Row],[THÀNH TIỀN]]-Cty_Hoa_Hung[[#This Row],[THANH TOÁN]]</f>
        <v>412347785</v>
      </c>
      <c r="K30" s="24"/>
    </row>
    <row r="31" spans="1:11" x14ac:dyDescent="0.25">
      <c r="A31" s="22">
        <v>8685</v>
      </c>
      <c r="B31" s="29">
        <v>46122</v>
      </c>
      <c r="C31" s="23" t="s">
        <v>13</v>
      </c>
      <c r="D31" s="37" t="s">
        <v>68</v>
      </c>
      <c r="E31" s="23" t="s">
        <v>185</v>
      </c>
      <c r="F31" s="31">
        <v>481.5</v>
      </c>
      <c r="G31" s="31">
        <v>41500</v>
      </c>
      <c r="H31" s="31">
        <f>Cty_Hoa_Hung[[#This Row],[ĐƠN GIÁ]]*Cty_Hoa_Hung[[#This Row],[SỐ LƯỢNG]]</f>
        <v>19982250</v>
      </c>
      <c r="I31" s="31"/>
      <c r="J31" s="31">
        <f>J30+Cty_Hoa_Hung[[#This Row],[THÀNH TIỀN]]-Cty_Hoa_Hung[[#This Row],[THANH TOÁN]]</f>
        <v>432330035</v>
      </c>
      <c r="K31" s="24"/>
    </row>
    <row r="32" spans="1:11" x14ac:dyDescent="0.25">
      <c r="A32" s="22">
        <v>8710</v>
      </c>
      <c r="B32" s="29">
        <v>46123</v>
      </c>
      <c r="C32" s="23" t="s">
        <v>13</v>
      </c>
      <c r="D32" s="37" t="s">
        <v>14</v>
      </c>
      <c r="E32" s="23" t="s">
        <v>136</v>
      </c>
      <c r="F32" s="31">
        <v>1022</v>
      </c>
      <c r="G32" s="31">
        <v>41500</v>
      </c>
      <c r="H32" s="31">
        <f>Cty_Hoa_Hung[[#This Row],[ĐƠN GIÁ]]*Cty_Hoa_Hung[[#This Row],[SỐ LƯỢNG]]</f>
        <v>42413000</v>
      </c>
      <c r="I32" s="31"/>
      <c r="J32" s="31">
        <f>J31+Cty_Hoa_Hung[[#This Row],[THÀNH TIỀN]]-Cty_Hoa_Hung[[#This Row],[THANH TOÁN]]</f>
        <v>474743035</v>
      </c>
      <c r="K32" s="24"/>
    </row>
    <row r="33" spans="1:11" x14ac:dyDescent="0.25">
      <c r="A33" s="22">
        <v>8710</v>
      </c>
      <c r="B33" s="29">
        <v>46123</v>
      </c>
      <c r="C33" s="23" t="s">
        <v>13</v>
      </c>
      <c r="D33" s="37" t="s">
        <v>14</v>
      </c>
      <c r="E33" s="23" t="s">
        <v>134</v>
      </c>
      <c r="F33" s="31">
        <v>946</v>
      </c>
      <c r="G33" s="31">
        <v>41500</v>
      </c>
      <c r="H33" s="31">
        <f>Cty_Hoa_Hung[[#This Row],[ĐƠN GIÁ]]*Cty_Hoa_Hung[[#This Row],[SỐ LƯỢNG]]</f>
        <v>39259000</v>
      </c>
      <c r="I33" s="31"/>
      <c r="J33" s="31">
        <f>J32+Cty_Hoa_Hung[[#This Row],[THÀNH TIỀN]]-Cty_Hoa_Hung[[#This Row],[THANH TOÁN]]</f>
        <v>514002035</v>
      </c>
      <c r="K33" s="24"/>
    </row>
    <row r="34" spans="1:11" x14ac:dyDescent="0.25">
      <c r="A34" s="22">
        <v>8710</v>
      </c>
      <c r="B34" s="29">
        <v>46123</v>
      </c>
      <c r="C34" s="23" t="s">
        <v>13</v>
      </c>
      <c r="D34" s="37" t="s">
        <v>14</v>
      </c>
      <c r="E34" s="23" t="s">
        <v>116</v>
      </c>
      <c r="F34" s="31">
        <v>608</v>
      </c>
      <c r="G34" s="31">
        <v>41500</v>
      </c>
      <c r="H34" s="31">
        <f>Cty_Hoa_Hung[[#This Row],[ĐƠN GIÁ]]*Cty_Hoa_Hung[[#This Row],[SỐ LƯỢNG]]</f>
        <v>25232000</v>
      </c>
      <c r="I34" s="31"/>
      <c r="J34" s="31">
        <f>J33+Cty_Hoa_Hung[[#This Row],[THÀNH TIỀN]]-Cty_Hoa_Hung[[#This Row],[THANH TOÁN]]</f>
        <v>539234035</v>
      </c>
      <c r="K34" s="24"/>
    </row>
    <row r="35" spans="1:11" x14ac:dyDescent="0.25">
      <c r="A35" s="22">
        <v>8710</v>
      </c>
      <c r="B35" s="29">
        <v>46123</v>
      </c>
      <c r="C35" s="23" t="s">
        <v>13</v>
      </c>
      <c r="D35" s="37" t="s">
        <v>50</v>
      </c>
      <c r="E35" s="23" t="s">
        <v>989</v>
      </c>
      <c r="F35" s="31">
        <v>360</v>
      </c>
      <c r="G35" s="31">
        <v>60000</v>
      </c>
      <c r="H35" s="31">
        <f>Cty_Hoa_Hung[[#This Row],[ĐƠN GIÁ]]*Cty_Hoa_Hung[[#This Row],[SỐ LƯỢNG]]</f>
        <v>21600000</v>
      </c>
      <c r="I35" s="31"/>
      <c r="J35" s="31">
        <f>J34+Cty_Hoa_Hung[[#This Row],[THÀNH TIỀN]]-Cty_Hoa_Hung[[#This Row],[THANH TOÁN]]</f>
        <v>560834035</v>
      </c>
      <c r="K35" s="24"/>
    </row>
    <row r="36" spans="1:11" x14ac:dyDescent="0.25">
      <c r="A36" s="22">
        <v>8738</v>
      </c>
      <c r="B36" s="29">
        <v>46125</v>
      </c>
      <c r="C36" s="23" t="s">
        <v>13</v>
      </c>
      <c r="D36" s="37" t="s">
        <v>43</v>
      </c>
      <c r="E36" s="23" t="s">
        <v>62</v>
      </c>
      <c r="F36" s="31">
        <v>429</v>
      </c>
      <c r="G36" s="31">
        <v>63000</v>
      </c>
      <c r="H36" s="31">
        <f>Cty_Hoa_Hung[[#This Row],[ĐƠN GIÁ]]*Cty_Hoa_Hung[[#This Row],[SỐ LƯỢNG]]</f>
        <v>27027000</v>
      </c>
      <c r="I36" s="31"/>
      <c r="J36" s="31">
        <f>J35+Cty_Hoa_Hung[[#This Row],[THÀNH TIỀN]]-Cty_Hoa_Hung[[#This Row],[THANH TOÁN]]</f>
        <v>587861035</v>
      </c>
      <c r="K36" s="24"/>
    </row>
    <row r="37" spans="1:11" x14ac:dyDescent="0.25">
      <c r="A37" s="22">
        <v>8738</v>
      </c>
      <c r="B37" s="29">
        <v>46125</v>
      </c>
      <c r="C37" s="23" t="s">
        <v>13</v>
      </c>
      <c r="D37" s="37" t="s">
        <v>14</v>
      </c>
      <c r="E37" s="23" t="s">
        <v>148</v>
      </c>
      <c r="F37" s="31">
        <v>998</v>
      </c>
      <c r="G37" s="31">
        <v>41500</v>
      </c>
      <c r="H37" s="31">
        <f>Cty_Hoa_Hung[[#This Row],[ĐƠN GIÁ]]*Cty_Hoa_Hung[[#This Row],[SỐ LƯỢNG]]</f>
        <v>41417000</v>
      </c>
      <c r="I37" s="31"/>
      <c r="J37" s="31">
        <f>J36+Cty_Hoa_Hung[[#This Row],[THÀNH TIỀN]]-Cty_Hoa_Hung[[#This Row],[THANH TOÁN]]</f>
        <v>629278035</v>
      </c>
      <c r="K37" s="24"/>
    </row>
    <row r="38" spans="1:11" x14ac:dyDescent="0.25">
      <c r="A38" s="22">
        <v>8738</v>
      </c>
      <c r="B38" s="29">
        <v>46125</v>
      </c>
      <c r="C38" s="23" t="s">
        <v>13</v>
      </c>
      <c r="D38" s="37" t="s">
        <v>26</v>
      </c>
      <c r="E38" s="23" t="s">
        <v>62</v>
      </c>
      <c r="F38" s="31">
        <v>1034</v>
      </c>
      <c r="G38" s="31">
        <v>35000</v>
      </c>
      <c r="H38" s="31">
        <f>Cty_Hoa_Hung[[#This Row],[ĐƠN GIÁ]]*Cty_Hoa_Hung[[#This Row],[SỐ LƯỢNG]]</f>
        <v>36190000</v>
      </c>
      <c r="I38" s="31"/>
      <c r="J38" s="31">
        <f>J37+Cty_Hoa_Hung[[#This Row],[THÀNH TIỀN]]-Cty_Hoa_Hung[[#This Row],[THANH TOÁN]]</f>
        <v>665468035</v>
      </c>
      <c r="K38" s="24"/>
    </row>
    <row r="39" spans="1:11" x14ac:dyDescent="0.25">
      <c r="A39" s="22">
        <v>8738</v>
      </c>
      <c r="B39" s="29">
        <v>46125</v>
      </c>
      <c r="C39" s="23" t="s">
        <v>13</v>
      </c>
      <c r="D39" s="37" t="s">
        <v>75</v>
      </c>
      <c r="E39" s="23" t="s">
        <v>380</v>
      </c>
      <c r="F39" s="31">
        <v>332</v>
      </c>
      <c r="G39" s="31">
        <v>38000</v>
      </c>
      <c r="H39" s="31">
        <f>Cty_Hoa_Hung[[#This Row],[ĐƠN GIÁ]]*Cty_Hoa_Hung[[#This Row],[SỐ LƯỢNG]]</f>
        <v>12616000</v>
      </c>
      <c r="I39" s="31"/>
      <c r="J39" s="31">
        <f>J38+Cty_Hoa_Hung[[#This Row],[THÀNH TIỀN]]-Cty_Hoa_Hung[[#This Row],[THANH TOÁN]]</f>
        <v>678084035</v>
      </c>
      <c r="K39" s="24"/>
    </row>
    <row r="40" spans="1:11" x14ac:dyDescent="0.25">
      <c r="A40" s="22">
        <v>8738</v>
      </c>
      <c r="B40" s="29">
        <v>46125</v>
      </c>
      <c r="C40" s="23" t="s">
        <v>13</v>
      </c>
      <c r="D40" s="37" t="s">
        <v>14</v>
      </c>
      <c r="E40" s="23" t="s">
        <v>40</v>
      </c>
      <c r="F40" s="31">
        <v>180</v>
      </c>
      <c r="G40" s="31">
        <v>47000</v>
      </c>
      <c r="H40" s="31">
        <f>Cty_Hoa_Hung[[#This Row],[ĐƠN GIÁ]]*Cty_Hoa_Hung[[#This Row],[SỐ LƯỢNG]]</f>
        <v>8460000</v>
      </c>
      <c r="I40" s="31"/>
      <c r="J40" s="31">
        <f>J39+Cty_Hoa_Hung[[#This Row],[THÀNH TIỀN]]-Cty_Hoa_Hung[[#This Row],[THANH TOÁN]]</f>
        <v>686544035</v>
      </c>
      <c r="K40" s="24"/>
    </row>
    <row r="41" spans="1:11" x14ac:dyDescent="0.25">
      <c r="A41" s="22">
        <v>8753</v>
      </c>
      <c r="B41" s="29">
        <v>46126</v>
      </c>
      <c r="C41" s="23" t="s">
        <v>13</v>
      </c>
      <c r="D41" s="37" t="s">
        <v>68</v>
      </c>
      <c r="E41" s="23" t="s">
        <v>62</v>
      </c>
      <c r="F41" s="31">
        <v>156</v>
      </c>
      <c r="G41" s="31">
        <v>43000</v>
      </c>
      <c r="H41" s="31">
        <f>Cty_Hoa_Hung[[#This Row],[ĐƠN GIÁ]]*Cty_Hoa_Hung[[#This Row],[SỐ LƯỢNG]]</f>
        <v>6708000</v>
      </c>
      <c r="I41" s="31"/>
      <c r="J41" s="31">
        <f>J40+Cty_Hoa_Hung[[#This Row],[THÀNH TIỀN]]-Cty_Hoa_Hung[[#This Row],[THANH TOÁN]]</f>
        <v>693252035</v>
      </c>
      <c r="K41" s="24"/>
    </row>
    <row r="42" spans="1:11" x14ac:dyDescent="0.25">
      <c r="A42" s="22">
        <v>8826</v>
      </c>
      <c r="B42" s="29">
        <v>46128</v>
      </c>
      <c r="C42" s="23" t="s">
        <v>13</v>
      </c>
      <c r="D42" s="37" t="s">
        <v>50</v>
      </c>
      <c r="E42" s="23" t="s">
        <v>992</v>
      </c>
      <c r="F42" s="31">
        <v>918</v>
      </c>
      <c r="G42" s="31">
        <v>57000</v>
      </c>
      <c r="H42" s="31">
        <f>Cty_Hoa_Hung[[#This Row],[ĐƠN GIÁ]]*Cty_Hoa_Hung[[#This Row],[SỐ LƯỢNG]]</f>
        <v>52326000</v>
      </c>
      <c r="I42" s="31"/>
      <c r="J42" s="31">
        <f>J41+Cty_Hoa_Hung[[#This Row],[THÀNH TIỀN]]-Cty_Hoa_Hung[[#This Row],[THANH TOÁN]]</f>
        <v>745578035</v>
      </c>
      <c r="K42" s="24"/>
    </row>
    <row r="43" spans="1:11" x14ac:dyDescent="0.25">
      <c r="A43" s="22">
        <v>8865</v>
      </c>
      <c r="B43" s="29">
        <v>46129</v>
      </c>
      <c r="C43" s="23" t="s">
        <v>13</v>
      </c>
      <c r="D43" s="37" t="s">
        <v>50</v>
      </c>
      <c r="E43" s="23" t="s">
        <v>993</v>
      </c>
      <c r="F43" s="31">
        <v>1680</v>
      </c>
      <c r="G43" s="31">
        <v>56500</v>
      </c>
      <c r="H43" s="31">
        <f>Cty_Hoa_Hung[[#This Row],[ĐƠN GIÁ]]*Cty_Hoa_Hung[[#This Row],[SỐ LƯỢNG]]</f>
        <v>94920000</v>
      </c>
      <c r="I43" s="31"/>
      <c r="J43" s="31">
        <f>J42+Cty_Hoa_Hung[[#This Row],[THÀNH TIỀN]]-Cty_Hoa_Hung[[#This Row],[THANH TOÁN]]</f>
        <v>840498035</v>
      </c>
      <c r="K43" s="24"/>
    </row>
    <row r="44" spans="1:11" x14ac:dyDescent="0.25">
      <c r="A44" s="22">
        <v>8865</v>
      </c>
      <c r="B44" s="29">
        <v>46129</v>
      </c>
      <c r="C44" s="23" t="s">
        <v>13</v>
      </c>
      <c r="D44" s="37" t="s">
        <v>43</v>
      </c>
      <c r="E44" s="23" t="s">
        <v>283</v>
      </c>
      <c r="F44" s="31">
        <v>2200</v>
      </c>
      <c r="G44" s="31">
        <v>56500</v>
      </c>
      <c r="H44" s="31">
        <f>Cty_Hoa_Hung[[#This Row],[ĐƠN GIÁ]]*Cty_Hoa_Hung[[#This Row],[SỐ LƯỢNG]]</f>
        <v>124300000</v>
      </c>
      <c r="I44" s="31"/>
      <c r="J44" s="31">
        <f>J43+Cty_Hoa_Hung[[#This Row],[THÀNH TIỀN]]-Cty_Hoa_Hung[[#This Row],[THANH TOÁN]]</f>
        <v>964798035</v>
      </c>
      <c r="K44" s="24"/>
    </row>
    <row r="45" spans="1:11" x14ac:dyDescent="0.25">
      <c r="A45" s="22">
        <v>8865</v>
      </c>
      <c r="B45" s="29">
        <v>46129</v>
      </c>
      <c r="C45" s="23" t="s">
        <v>13</v>
      </c>
      <c r="D45" s="37" t="s">
        <v>50</v>
      </c>
      <c r="E45" s="23" t="s">
        <v>994</v>
      </c>
      <c r="F45" s="31">
        <v>3140</v>
      </c>
      <c r="G45" s="31">
        <v>56500</v>
      </c>
      <c r="H45" s="31">
        <f>Cty_Hoa_Hung[[#This Row],[ĐƠN GIÁ]]*Cty_Hoa_Hung[[#This Row],[SỐ LƯỢNG]]</f>
        <v>177410000</v>
      </c>
      <c r="I45" s="31"/>
      <c r="J45" s="31">
        <f>J44+Cty_Hoa_Hung[[#This Row],[THÀNH TIỀN]]-Cty_Hoa_Hung[[#This Row],[THANH TOÁN]]</f>
        <v>1142208035</v>
      </c>
      <c r="K45" s="24"/>
    </row>
    <row r="46" spans="1:11" x14ac:dyDescent="0.25">
      <c r="A46" s="22"/>
      <c r="B46" s="29">
        <v>46129</v>
      </c>
      <c r="C46" s="23" t="s">
        <v>21</v>
      </c>
      <c r="D46" s="37" t="s">
        <v>22</v>
      </c>
      <c r="E46" s="23" t="s">
        <v>83</v>
      </c>
      <c r="F46" s="31">
        <v>0</v>
      </c>
      <c r="G46" s="31"/>
      <c r="H46" s="31">
        <f>Cty_Hoa_Hung[[#This Row],[ĐƠN GIÁ]]*Cty_Hoa_Hung[[#This Row],[SỐ LƯỢNG]]</f>
        <v>0</v>
      </c>
      <c r="I46" s="31">
        <v>200000000</v>
      </c>
      <c r="J46" s="31">
        <f>J45+Cty_Hoa_Hung[[#This Row],[THÀNH TIỀN]]-Cty_Hoa_Hung[[#This Row],[THANH TOÁN]]</f>
        <v>942208035</v>
      </c>
      <c r="K46" s="24"/>
    </row>
    <row r="47" spans="1:11" x14ac:dyDescent="0.25">
      <c r="A47" s="22">
        <v>8884</v>
      </c>
      <c r="B47" s="29">
        <v>46130</v>
      </c>
      <c r="C47" s="23" t="s">
        <v>13</v>
      </c>
      <c r="D47" s="37" t="s">
        <v>17</v>
      </c>
      <c r="E47" s="23" t="s">
        <v>62</v>
      </c>
      <c r="F47" s="31">
        <v>414</v>
      </c>
      <c r="G47" s="31">
        <v>65500</v>
      </c>
      <c r="H47" s="31">
        <f>Cty_Hoa_Hung[[#This Row],[ĐƠN GIÁ]]*Cty_Hoa_Hung[[#This Row],[SỐ LƯỢNG]]</f>
        <v>27117000</v>
      </c>
      <c r="I47" s="31"/>
      <c r="J47" s="31">
        <f>J46+Cty_Hoa_Hung[[#This Row],[THÀNH TIỀN]]-Cty_Hoa_Hung[[#This Row],[THANH TOÁN]]</f>
        <v>969325035</v>
      </c>
      <c r="K47" s="24"/>
    </row>
    <row r="48" spans="1:11" x14ac:dyDescent="0.25">
      <c r="A48" s="22">
        <v>8884</v>
      </c>
      <c r="B48" s="29">
        <v>46130</v>
      </c>
      <c r="C48" s="23" t="s">
        <v>13</v>
      </c>
      <c r="D48" s="37" t="s">
        <v>17</v>
      </c>
      <c r="E48" s="23" t="s">
        <v>221</v>
      </c>
      <c r="F48" s="31">
        <v>1598</v>
      </c>
      <c r="G48" s="31">
        <v>58000</v>
      </c>
      <c r="H48" s="31">
        <f>Cty_Hoa_Hung[[#This Row],[ĐƠN GIÁ]]*Cty_Hoa_Hung[[#This Row],[SỐ LƯỢNG]]</f>
        <v>92684000</v>
      </c>
      <c r="I48" s="31"/>
      <c r="J48" s="31">
        <f>J47+Cty_Hoa_Hung[[#This Row],[THÀNH TIỀN]]-Cty_Hoa_Hung[[#This Row],[THANH TOÁN]]</f>
        <v>1062009035</v>
      </c>
      <c r="K48" s="24"/>
    </row>
    <row r="49" spans="1:11" x14ac:dyDescent="0.25">
      <c r="A49" s="22">
        <v>8884</v>
      </c>
      <c r="B49" s="29">
        <v>46130</v>
      </c>
      <c r="C49" s="23" t="s">
        <v>13</v>
      </c>
      <c r="D49" s="37" t="s">
        <v>17</v>
      </c>
      <c r="E49" s="23" t="s">
        <v>993</v>
      </c>
      <c r="F49" s="31">
        <v>4072</v>
      </c>
      <c r="G49" s="31">
        <v>56500</v>
      </c>
      <c r="H49" s="31">
        <f>Cty_Hoa_Hung[[#This Row],[ĐƠN GIÁ]]*Cty_Hoa_Hung[[#This Row],[SỐ LƯỢNG]]</f>
        <v>230068000</v>
      </c>
      <c r="I49" s="31"/>
      <c r="J49" s="31">
        <f>J48+Cty_Hoa_Hung[[#This Row],[THÀNH TIỀN]]-Cty_Hoa_Hung[[#This Row],[THANH TOÁN]]</f>
        <v>1292077035</v>
      </c>
      <c r="K49" s="24"/>
    </row>
    <row r="50" spans="1:11" x14ac:dyDescent="0.25">
      <c r="A50" s="22">
        <v>8884</v>
      </c>
      <c r="B50" s="29">
        <v>46130</v>
      </c>
      <c r="C50" s="23" t="s">
        <v>13</v>
      </c>
      <c r="D50" s="37" t="s">
        <v>17</v>
      </c>
      <c r="E50" s="23" t="s">
        <v>995</v>
      </c>
      <c r="F50" s="31">
        <v>1670</v>
      </c>
      <c r="G50" s="31">
        <v>56500</v>
      </c>
      <c r="H50" s="31">
        <f>Cty_Hoa_Hung[[#This Row],[ĐƠN GIÁ]]*Cty_Hoa_Hung[[#This Row],[SỐ LƯỢNG]]</f>
        <v>94355000</v>
      </c>
      <c r="I50" s="31"/>
      <c r="J50" s="31">
        <f>J49+Cty_Hoa_Hung[[#This Row],[THÀNH TIỀN]]-Cty_Hoa_Hung[[#This Row],[THANH TOÁN]]</f>
        <v>1386432035</v>
      </c>
      <c r="K50" s="24"/>
    </row>
    <row r="51" spans="1:11" x14ac:dyDescent="0.25">
      <c r="A51" s="22">
        <v>8899</v>
      </c>
      <c r="B51" s="29">
        <v>46132</v>
      </c>
      <c r="C51" s="23" t="s">
        <v>13</v>
      </c>
      <c r="D51" s="37" t="s">
        <v>43</v>
      </c>
      <c r="E51" s="23" t="s">
        <v>203</v>
      </c>
      <c r="F51" s="31">
        <v>2976</v>
      </c>
      <c r="G51" s="31">
        <v>58000</v>
      </c>
      <c r="H51" s="31">
        <f>Cty_Hoa_Hung[[#This Row],[ĐƠN GIÁ]]*Cty_Hoa_Hung[[#This Row],[SỐ LƯỢNG]]</f>
        <v>172608000</v>
      </c>
      <c r="I51" s="31"/>
      <c r="J51" s="31">
        <f>J50+Cty_Hoa_Hung[[#This Row],[THÀNH TIỀN]]-Cty_Hoa_Hung[[#This Row],[THANH TOÁN]]</f>
        <v>1559040035</v>
      </c>
      <c r="K51" s="24"/>
    </row>
    <row r="52" spans="1:11" x14ac:dyDescent="0.25">
      <c r="A52" s="22">
        <v>8921</v>
      </c>
      <c r="B52" s="29">
        <v>46133</v>
      </c>
      <c r="C52" s="23" t="s">
        <v>13</v>
      </c>
      <c r="D52" s="37" t="s">
        <v>14</v>
      </c>
      <c r="E52" s="23" t="s">
        <v>1758</v>
      </c>
      <c r="F52" s="31">
        <v>630</v>
      </c>
      <c r="G52" s="31">
        <v>43000</v>
      </c>
      <c r="H52" s="31">
        <f>Cty_Hoa_Hung[[#This Row],[ĐƠN GIÁ]]*Cty_Hoa_Hung[[#This Row],[SỐ LƯỢNG]]</f>
        <v>27090000</v>
      </c>
      <c r="I52" s="31"/>
      <c r="J52" s="31">
        <f>J51+Cty_Hoa_Hung[[#This Row],[THÀNH TIỀN]]-Cty_Hoa_Hung[[#This Row],[THANH TOÁN]]</f>
        <v>1586130035</v>
      </c>
      <c r="K52" s="24"/>
    </row>
    <row r="53" spans="1:11" x14ac:dyDescent="0.25">
      <c r="A53" s="22">
        <v>8921</v>
      </c>
      <c r="B53" s="29">
        <v>46133</v>
      </c>
      <c r="C53" s="23" t="s">
        <v>13</v>
      </c>
      <c r="D53" s="37" t="s">
        <v>43</v>
      </c>
      <c r="E53" s="23" t="s">
        <v>1759</v>
      </c>
      <c r="F53" s="31">
        <v>365</v>
      </c>
      <c r="G53" s="31">
        <v>63000</v>
      </c>
      <c r="H53" s="31">
        <f>Cty_Hoa_Hung[[#This Row],[ĐƠN GIÁ]]*Cty_Hoa_Hung[[#This Row],[SỐ LƯỢNG]]</f>
        <v>22995000</v>
      </c>
      <c r="I53" s="31"/>
      <c r="J53" s="31">
        <f>J52+Cty_Hoa_Hung[[#This Row],[THÀNH TIỀN]]-Cty_Hoa_Hung[[#This Row],[THANH TOÁN]]</f>
        <v>1609125035</v>
      </c>
      <c r="K53" s="24"/>
    </row>
    <row r="54" spans="1:11" x14ac:dyDescent="0.25">
      <c r="A54" s="22">
        <v>8921</v>
      </c>
      <c r="B54" s="29">
        <v>46133</v>
      </c>
      <c r="C54" s="23" t="s">
        <v>13</v>
      </c>
      <c r="D54" s="37" t="s">
        <v>43</v>
      </c>
      <c r="E54" s="23" t="s">
        <v>243</v>
      </c>
      <c r="F54" s="31">
        <v>1612</v>
      </c>
      <c r="G54" s="31">
        <v>61500</v>
      </c>
      <c r="H54" s="31">
        <f>Cty_Hoa_Hung[[#This Row],[ĐƠN GIÁ]]*Cty_Hoa_Hung[[#This Row],[SỐ LƯỢNG]]</f>
        <v>99138000</v>
      </c>
      <c r="I54" s="31"/>
      <c r="J54" s="31">
        <f>J53+Cty_Hoa_Hung[[#This Row],[THÀNH TIỀN]]-Cty_Hoa_Hung[[#This Row],[THANH TOÁN]]</f>
        <v>1708263035</v>
      </c>
      <c r="K54" s="24"/>
    </row>
    <row r="55" spans="1:11" x14ac:dyDescent="0.25">
      <c r="A55" s="22">
        <v>8921</v>
      </c>
      <c r="B55" s="29">
        <v>46133</v>
      </c>
      <c r="C55" s="23" t="s">
        <v>13</v>
      </c>
      <c r="D55" s="37" t="s">
        <v>17</v>
      </c>
      <c r="E55" s="23" t="s">
        <v>78</v>
      </c>
      <c r="F55" s="31">
        <v>536</v>
      </c>
      <c r="G55" s="31">
        <v>62500</v>
      </c>
      <c r="H55" s="31">
        <f>Cty_Hoa_Hung[[#This Row],[ĐƠN GIÁ]]*Cty_Hoa_Hung[[#This Row],[SỐ LƯỢNG]]</f>
        <v>33500000</v>
      </c>
      <c r="I55" s="31"/>
      <c r="J55" s="31">
        <f>J54+Cty_Hoa_Hung[[#This Row],[THÀNH TIỀN]]-Cty_Hoa_Hung[[#This Row],[THANH TOÁN]]</f>
        <v>1741763035</v>
      </c>
      <c r="K55" s="24"/>
    </row>
    <row r="56" spans="1:11" x14ac:dyDescent="0.25">
      <c r="A56" s="22">
        <v>8938</v>
      </c>
      <c r="B56" s="29">
        <v>46134</v>
      </c>
      <c r="C56" s="23" t="s">
        <v>13</v>
      </c>
      <c r="D56" s="37" t="s">
        <v>43</v>
      </c>
      <c r="E56" s="23" t="s">
        <v>203</v>
      </c>
      <c r="F56" s="31">
        <v>1356.8</v>
      </c>
      <c r="G56" s="31">
        <v>58000</v>
      </c>
      <c r="H56" s="31">
        <f>Cty_Hoa_Hung[[#This Row],[ĐƠN GIÁ]]*Cty_Hoa_Hung[[#This Row],[SỐ LƯỢNG]]</f>
        <v>78694400</v>
      </c>
      <c r="I56" s="31"/>
      <c r="J56" s="31">
        <f>J55+Cty_Hoa_Hung[[#This Row],[THÀNH TIỀN]]-Cty_Hoa_Hung[[#This Row],[THANH TOÁN]]</f>
        <v>1820457435</v>
      </c>
      <c r="K56" s="24"/>
    </row>
    <row r="57" spans="1:11" x14ac:dyDescent="0.25">
      <c r="A57" s="22">
        <v>8938</v>
      </c>
      <c r="B57" s="29">
        <v>46134</v>
      </c>
      <c r="C57" s="23" t="s">
        <v>13</v>
      </c>
      <c r="D57" s="37" t="s">
        <v>43</v>
      </c>
      <c r="E57" s="23" t="s">
        <v>246</v>
      </c>
      <c r="F57" s="31">
        <v>1430</v>
      </c>
      <c r="G57" s="31">
        <v>58000</v>
      </c>
      <c r="H57" s="31">
        <f>Cty_Hoa_Hung[[#This Row],[ĐƠN GIÁ]]*Cty_Hoa_Hung[[#This Row],[SỐ LƯỢNG]]</f>
        <v>82940000</v>
      </c>
      <c r="I57" s="31"/>
      <c r="J57" s="31">
        <f>J56+Cty_Hoa_Hung[[#This Row],[THÀNH TIỀN]]-Cty_Hoa_Hung[[#This Row],[THANH TOÁN]]</f>
        <v>1903397435</v>
      </c>
      <c r="K57" s="24"/>
    </row>
    <row r="58" spans="1:11" x14ac:dyDescent="0.25">
      <c r="A58" s="22">
        <v>8938</v>
      </c>
      <c r="B58" s="29">
        <v>46134</v>
      </c>
      <c r="C58" s="23" t="s">
        <v>13</v>
      </c>
      <c r="D58" s="37" t="s">
        <v>43</v>
      </c>
      <c r="E58" s="23" t="s">
        <v>243</v>
      </c>
      <c r="F58" s="31">
        <v>326</v>
      </c>
      <c r="G58" s="31">
        <v>62000</v>
      </c>
      <c r="H58" s="31">
        <f>Cty_Hoa_Hung[[#This Row],[ĐƠN GIÁ]]*Cty_Hoa_Hung[[#This Row],[SỐ LƯỢNG]]</f>
        <v>20212000</v>
      </c>
      <c r="I58" s="31"/>
      <c r="J58" s="31">
        <f>J57+Cty_Hoa_Hung[[#This Row],[THÀNH TIỀN]]-Cty_Hoa_Hung[[#This Row],[THANH TOÁN]]</f>
        <v>1923609435</v>
      </c>
      <c r="K58" s="24"/>
    </row>
    <row r="59" spans="1:11" x14ac:dyDescent="0.25">
      <c r="A59" s="22">
        <v>8939</v>
      </c>
      <c r="B59" s="29">
        <v>46134</v>
      </c>
      <c r="C59" s="23" t="s">
        <v>13</v>
      </c>
      <c r="D59" s="37" t="s">
        <v>17</v>
      </c>
      <c r="E59" s="23" t="s">
        <v>62</v>
      </c>
      <c r="F59" s="31">
        <v>3622</v>
      </c>
      <c r="G59" s="31">
        <v>65000</v>
      </c>
      <c r="H59" s="31">
        <f>Cty_Hoa_Hung[[#This Row],[ĐƠN GIÁ]]*Cty_Hoa_Hung[[#This Row],[SỐ LƯỢNG]]</f>
        <v>235430000</v>
      </c>
      <c r="I59" s="31"/>
      <c r="J59" s="31">
        <f>J58+Cty_Hoa_Hung[[#This Row],[THÀNH TIỀN]]-Cty_Hoa_Hung[[#This Row],[THANH TOÁN]]</f>
        <v>2159039435</v>
      </c>
      <c r="K59" s="24"/>
    </row>
    <row r="60" spans="1:11" x14ac:dyDescent="0.25">
      <c r="A60" s="22">
        <v>8939</v>
      </c>
      <c r="B60" s="29">
        <v>46134</v>
      </c>
      <c r="C60" s="23" t="s">
        <v>13</v>
      </c>
      <c r="D60" s="37" t="s">
        <v>43</v>
      </c>
      <c r="E60" s="23" t="s">
        <v>1767</v>
      </c>
      <c r="F60" s="31">
        <v>2746</v>
      </c>
      <c r="G60" s="31">
        <v>58000</v>
      </c>
      <c r="H60" s="31">
        <f>Cty_Hoa_Hung[[#This Row],[ĐƠN GIÁ]]*Cty_Hoa_Hung[[#This Row],[SỐ LƯỢNG]]</f>
        <v>159268000</v>
      </c>
      <c r="I60" s="31"/>
      <c r="J60" s="31">
        <f>J59+Cty_Hoa_Hung[[#This Row],[THÀNH TIỀN]]-Cty_Hoa_Hung[[#This Row],[THANH TOÁN]]</f>
        <v>2318307435</v>
      </c>
      <c r="K60" s="24"/>
    </row>
    <row r="61" spans="1:11" x14ac:dyDescent="0.25">
      <c r="A61" s="22">
        <v>8994</v>
      </c>
      <c r="B61" s="29">
        <v>46136</v>
      </c>
      <c r="C61" s="23" t="s">
        <v>13</v>
      </c>
      <c r="D61" s="37" t="s">
        <v>54</v>
      </c>
      <c r="E61" s="23" t="s">
        <v>1106</v>
      </c>
      <c r="F61" s="31">
        <v>288</v>
      </c>
      <c r="G61" s="31">
        <v>35000</v>
      </c>
      <c r="H61" s="31">
        <f>Cty_Hoa_Hung[[#This Row],[ĐƠN GIÁ]]*Cty_Hoa_Hung[[#This Row],[SỐ LƯỢNG]]</f>
        <v>10080000</v>
      </c>
      <c r="I61" s="31"/>
      <c r="J61" s="31">
        <f>J60+Cty_Hoa_Hung[[#This Row],[THÀNH TIỀN]]-Cty_Hoa_Hung[[#This Row],[THANH TOÁN]]</f>
        <v>2328387435</v>
      </c>
      <c r="K61" s="24"/>
    </row>
    <row r="62" spans="1:11" x14ac:dyDescent="0.25">
      <c r="A62" s="22"/>
      <c r="B62" s="29">
        <v>46136</v>
      </c>
      <c r="C62" s="23" t="s">
        <v>21</v>
      </c>
      <c r="D62" s="37" t="s">
        <v>22</v>
      </c>
      <c r="E62" s="23" t="s">
        <v>261</v>
      </c>
      <c r="F62" s="31">
        <v>0</v>
      </c>
      <c r="G62" s="31"/>
      <c r="H62" s="31">
        <f>Cty_Hoa_Hung[[#This Row],[ĐƠN GIÁ]]*Cty_Hoa_Hung[[#This Row],[SỐ LƯỢNG]]</f>
        <v>0</v>
      </c>
      <c r="I62" s="31">
        <v>300000000</v>
      </c>
      <c r="J62" s="31">
        <f>J61+Cty_Hoa_Hung[[#This Row],[THÀNH TIỀN]]-Cty_Hoa_Hung[[#This Row],[THANH TOÁN]]</f>
        <v>2028387435</v>
      </c>
      <c r="K62" s="24"/>
    </row>
    <row r="63" spans="1:11" x14ac:dyDescent="0.25">
      <c r="A63" s="22">
        <v>9040</v>
      </c>
      <c r="B63" s="29">
        <v>46139</v>
      </c>
      <c r="C63" s="23" t="s">
        <v>13</v>
      </c>
      <c r="D63" s="37" t="s">
        <v>17</v>
      </c>
      <c r="E63" s="23" t="s">
        <v>62</v>
      </c>
      <c r="F63" s="31">
        <v>3096</v>
      </c>
      <c r="G63" s="31">
        <v>65000</v>
      </c>
      <c r="H63" s="31">
        <f>Cty_Hoa_Hung[[#This Row],[ĐƠN GIÁ]]*Cty_Hoa_Hung[[#This Row],[SỐ LƯỢNG]]</f>
        <v>201240000</v>
      </c>
      <c r="I63" s="31"/>
      <c r="J63" s="31">
        <f>J62+Cty_Hoa_Hung[[#This Row],[THÀNH TIỀN]]-Cty_Hoa_Hung[[#This Row],[THANH TOÁN]]</f>
        <v>2229627435</v>
      </c>
      <c r="K63" s="24"/>
    </row>
    <row r="64" spans="1:11" x14ac:dyDescent="0.25">
      <c r="A64" s="22"/>
      <c r="B64" s="29">
        <v>46141</v>
      </c>
      <c r="C64" s="23" t="s">
        <v>21</v>
      </c>
      <c r="D64" s="37" t="s">
        <v>22</v>
      </c>
      <c r="E64" s="23" t="s">
        <v>83</v>
      </c>
      <c r="F64" s="31">
        <v>0</v>
      </c>
      <c r="G64" s="31"/>
      <c r="H64" s="31">
        <f>Cty_Hoa_Hung[[#This Row],[ĐƠN GIÁ]]*Cty_Hoa_Hung[[#This Row],[SỐ LƯỢNG]]</f>
        <v>0</v>
      </c>
      <c r="I64" s="31">
        <v>200000000</v>
      </c>
      <c r="J64" s="31">
        <f>J63+Cty_Hoa_Hung[[#This Row],[THÀNH TIỀN]]-Cty_Hoa_Hung[[#This Row],[THANH TOÁN]]</f>
        <v>2029627435</v>
      </c>
      <c r="K64" s="24"/>
    </row>
    <row r="65" spans="1:11" x14ac:dyDescent="0.25">
      <c r="A65" s="22">
        <v>9114</v>
      </c>
      <c r="B65" s="29">
        <v>46141</v>
      </c>
      <c r="C65" s="23" t="s">
        <v>13</v>
      </c>
      <c r="D65" s="37" t="s">
        <v>103</v>
      </c>
      <c r="E65" s="23" t="s">
        <v>1372</v>
      </c>
      <c r="F65" s="31">
        <v>868</v>
      </c>
      <c r="G65" s="31">
        <v>38000</v>
      </c>
      <c r="H65" s="31">
        <f>Cty_Hoa_Hung[[#This Row],[ĐƠN GIÁ]]*Cty_Hoa_Hung[[#This Row],[SỐ LƯỢNG]]</f>
        <v>32984000</v>
      </c>
      <c r="I65" s="31"/>
      <c r="J65" s="31">
        <f>J64+Cty_Hoa_Hung[[#This Row],[THÀNH TIỀN]]-Cty_Hoa_Hung[[#This Row],[THANH TOÁN]]</f>
        <v>2062611435</v>
      </c>
      <c r="K65" s="24"/>
    </row>
    <row r="66" spans="1:11" x14ac:dyDescent="0.25">
      <c r="A66" s="22">
        <v>9238</v>
      </c>
      <c r="B66" s="29">
        <v>46149</v>
      </c>
      <c r="C66" s="23" t="s">
        <v>13</v>
      </c>
      <c r="D66" s="37" t="s">
        <v>43</v>
      </c>
      <c r="E66" s="23" t="s">
        <v>1974</v>
      </c>
      <c r="F66" s="31">
        <v>5840</v>
      </c>
      <c r="G66" s="31">
        <v>61500</v>
      </c>
      <c r="H66" s="31">
        <f>Cty_Hoa_Hung[[#This Row],[ĐƠN GIÁ]]*Cty_Hoa_Hung[[#This Row],[SỐ LƯỢNG]]</f>
        <v>359160000</v>
      </c>
      <c r="I66" s="31"/>
      <c r="J66" s="31">
        <f>J65+Cty_Hoa_Hung[[#This Row],[THÀNH TIỀN]]-Cty_Hoa_Hung[[#This Row],[THANH TOÁN]]</f>
        <v>2421771435</v>
      </c>
      <c r="K66" s="24"/>
    </row>
    <row r="67" spans="1:11" x14ac:dyDescent="0.25">
      <c r="A67" s="22">
        <v>9250</v>
      </c>
      <c r="B67" s="29">
        <v>46150</v>
      </c>
      <c r="C67" s="23" t="s">
        <v>13</v>
      </c>
      <c r="D67" s="37" t="s">
        <v>43</v>
      </c>
      <c r="E67" s="23" t="s">
        <v>271</v>
      </c>
      <c r="F67" s="31">
        <v>5960</v>
      </c>
      <c r="G67" s="31">
        <v>61500</v>
      </c>
      <c r="H67" s="31">
        <f>Cty_Hoa_Hung[[#This Row],[ĐƠN GIÁ]]*Cty_Hoa_Hung[[#This Row],[SỐ LƯỢNG]]</f>
        <v>366540000</v>
      </c>
      <c r="I67" s="31"/>
      <c r="J67" s="31">
        <f>J66+Cty_Hoa_Hung[[#This Row],[THÀNH TIỀN]]-Cty_Hoa_Hung[[#This Row],[THANH TOÁN]]</f>
        <v>2788311435</v>
      </c>
      <c r="K67" s="24"/>
    </row>
    <row r="68" spans="1:11" x14ac:dyDescent="0.25">
      <c r="A68" s="22">
        <v>9256</v>
      </c>
      <c r="B68" s="29">
        <v>46150</v>
      </c>
      <c r="C68" s="23" t="s">
        <v>13</v>
      </c>
      <c r="D68" s="37" t="s">
        <v>43</v>
      </c>
      <c r="E68" s="23" t="s">
        <v>248</v>
      </c>
      <c r="F68" s="31">
        <v>516</v>
      </c>
      <c r="G68" s="31">
        <v>61000</v>
      </c>
      <c r="H68" s="31">
        <f>Cty_Hoa_Hung[[#This Row],[ĐƠN GIÁ]]*Cty_Hoa_Hung[[#This Row],[SỐ LƯỢNG]]</f>
        <v>31476000</v>
      </c>
      <c r="I68" s="31"/>
      <c r="J68" s="31">
        <f>J67+Cty_Hoa_Hung[[#This Row],[THÀNH TIỀN]]-Cty_Hoa_Hung[[#This Row],[THANH TOÁN]]</f>
        <v>2819787435</v>
      </c>
      <c r="K68" s="24"/>
    </row>
    <row r="69" spans="1:11" x14ac:dyDescent="0.25">
      <c r="A69" s="22">
        <v>9353</v>
      </c>
      <c r="B69" s="29">
        <v>46155</v>
      </c>
      <c r="C69" s="23" t="s">
        <v>13</v>
      </c>
      <c r="D69" s="37" t="s">
        <v>103</v>
      </c>
      <c r="E69" s="23" t="s">
        <v>1372</v>
      </c>
      <c r="F69" s="31">
        <v>536</v>
      </c>
      <c r="G69" s="31">
        <v>38500</v>
      </c>
      <c r="H69" s="31">
        <f>Cty_Hoa_Hung[[#This Row],[ĐƠN GIÁ]]*Cty_Hoa_Hung[[#This Row],[SỐ LƯỢNG]]</f>
        <v>20636000</v>
      </c>
      <c r="I69" s="31"/>
      <c r="J69" s="31">
        <f>J68+Cty_Hoa_Hung[[#This Row],[THÀNH TIỀN]]-Cty_Hoa_Hung[[#This Row],[THANH TOÁN]]</f>
        <v>2840423435</v>
      </c>
      <c r="K69" s="24"/>
    </row>
    <row r="70" spans="1:11" x14ac:dyDescent="0.25">
      <c r="A70" s="22">
        <v>9389</v>
      </c>
      <c r="B70" s="29">
        <v>46157</v>
      </c>
      <c r="C70" s="23" t="s">
        <v>13</v>
      </c>
      <c r="D70" s="37" t="s">
        <v>143</v>
      </c>
      <c r="E70" s="23" t="s">
        <v>2114</v>
      </c>
      <c r="F70" s="31">
        <v>1019</v>
      </c>
      <c r="G70" s="31">
        <v>65000</v>
      </c>
      <c r="H70" s="31">
        <f>Cty_Hoa_Hung[[#This Row],[ĐƠN GIÁ]]*Cty_Hoa_Hung[[#This Row],[SỐ LƯỢNG]]</f>
        <v>66235000</v>
      </c>
      <c r="I70" s="31"/>
      <c r="J70" s="31">
        <f>J69+Cty_Hoa_Hung[[#This Row],[THÀNH TIỀN]]-Cty_Hoa_Hung[[#This Row],[THANH TOÁN]]</f>
        <v>2906658435</v>
      </c>
      <c r="K70" s="24"/>
    </row>
    <row r="71" spans="1:11" x14ac:dyDescent="0.25">
      <c r="A71" s="22">
        <v>9389</v>
      </c>
      <c r="B71" s="29">
        <v>46157</v>
      </c>
      <c r="C71" s="23" t="s">
        <v>13</v>
      </c>
      <c r="D71" s="37" t="s">
        <v>143</v>
      </c>
      <c r="E71" s="23" t="s">
        <v>446</v>
      </c>
      <c r="F71" s="31">
        <v>937</v>
      </c>
      <c r="G71" s="31">
        <v>66000</v>
      </c>
      <c r="H71" s="31">
        <f>Cty_Hoa_Hung[[#This Row],[ĐƠN GIÁ]]*Cty_Hoa_Hung[[#This Row],[SỐ LƯỢNG]]</f>
        <v>61842000</v>
      </c>
      <c r="I71" s="31"/>
      <c r="J71" s="31">
        <f>J70+Cty_Hoa_Hung[[#This Row],[THÀNH TIỀN]]-Cty_Hoa_Hung[[#This Row],[THANH TOÁN]]</f>
        <v>2968500435</v>
      </c>
      <c r="K71" s="24"/>
    </row>
    <row r="72" spans="1:11" x14ac:dyDescent="0.25">
      <c r="A72" s="22">
        <v>9389</v>
      </c>
      <c r="B72" s="29">
        <v>46157</v>
      </c>
      <c r="C72" s="23" t="s">
        <v>13</v>
      </c>
      <c r="D72" s="37" t="s">
        <v>143</v>
      </c>
      <c r="E72" s="23" t="s">
        <v>248</v>
      </c>
      <c r="F72" s="31">
        <v>4168</v>
      </c>
      <c r="G72" s="31">
        <v>61000</v>
      </c>
      <c r="H72" s="31">
        <f>Cty_Hoa_Hung[[#This Row],[ĐƠN GIÁ]]*Cty_Hoa_Hung[[#This Row],[SỐ LƯỢNG]]</f>
        <v>254248000</v>
      </c>
      <c r="I72" s="31"/>
      <c r="J72" s="31">
        <f>J71+Cty_Hoa_Hung[[#This Row],[THÀNH TIỀN]]-Cty_Hoa_Hung[[#This Row],[THANH TOÁN]]</f>
        <v>3222748435</v>
      </c>
      <c r="K72" s="24"/>
    </row>
    <row r="73" spans="1:11" x14ac:dyDescent="0.25">
      <c r="A73" s="22">
        <v>9430</v>
      </c>
      <c r="B73" s="29">
        <v>46158</v>
      </c>
      <c r="C73" s="23" t="s">
        <v>13</v>
      </c>
      <c r="D73" s="37" t="s">
        <v>50</v>
      </c>
      <c r="E73" s="23" t="s">
        <v>896</v>
      </c>
      <c r="F73" s="31">
        <v>638</v>
      </c>
      <c r="G73" s="31">
        <v>62000</v>
      </c>
      <c r="H73" s="31">
        <f>Cty_Hoa_Hung[[#This Row],[ĐƠN GIÁ]]*Cty_Hoa_Hung[[#This Row],[SỐ LƯỢNG]]</f>
        <v>39556000</v>
      </c>
      <c r="I73" s="31"/>
      <c r="J73" s="31">
        <f>J72+Cty_Hoa_Hung[[#This Row],[THÀNH TIỀN]]-Cty_Hoa_Hung[[#This Row],[THANH TOÁN]]</f>
        <v>3262304435</v>
      </c>
      <c r="K73" s="24"/>
    </row>
    <row r="74" spans="1:11" x14ac:dyDescent="0.25">
      <c r="A74" s="22">
        <v>9430</v>
      </c>
      <c r="B74" s="29">
        <v>46158</v>
      </c>
      <c r="C74" s="23" t="s">
        <v>13</v>
      </c>
      <c r="D74" s="37" t="s">
        <v>103</v>
      </c>
      <c r="E74" s="23" t="s">
        <v>1372</v>
      </c>
      <c r="F74" s="31">
        <v>995.8</v>
      </c>
      <c r="G74" s="31">
        <v>38500</v>
      </c>
      <c r="H74" s="31">
        <f>Cty_Hoa_Hung[[#This Row],[ĐƠN GIÁ]]*Cty_Hoa_Hung[[#This Row],[SỐ LƯỢNG]]</f>
        <v>38338300</v>
      </c>
      <c r="I74" s="31"/>
      <c r="J74" s="31">
        <f>J73+Cty_Hoa_Hung[[#This Row],[THÀNH TIỀN]]-Cty_Hoa_Hung[[#This Row],[THANH TOÁN]]</f>
        <v>3300642735</v>
      </c>
      <c r="K74" s="24"/>
    </row>
    <row r="75" spans="1:11" x14ac:dyDescent="0.25">
      <c r="A75" s="22">
        <v>9937</v>
      </c>
      <c r="B75" s="29">
        <v>46158</v>
      </c>
      <c r="C75" s="23" t="s">
        <v>692</v>
      </c>
      <c r="D75" s="37" t="s">
        <v>1965</v>
      </c>
      <c r="E75" s="23" t="s">
        <v>2212</v>
      </c>
      <c r="F75" s="31">
        <v>4576.5</v>
      </c>
      <c r="G75" s="31">
        <v>-68000</v>
      </c>
      <c r="H75" s="31">
        <f>Cty_Hoa_Hung[[#This Row],[ĐƠN GIÁ]]*Cty_Hoa_Hung[[#This Row],[SỐ LƯỢNG]]</f>
        <v>-311202000</v>
      </c>
      <c r="I75" s="31"/>
      <c r="J75" s="31">
        <f>J74+Cty_Hoa_Hung[[#This Row],[THÀNH TIỀN]]-Cty_Hoa_Hung[[#This Row],[THANH TOÁN]]</f>
        <v>2989440735</v>
      </c>
      <c r="K75" s="24"/>
    </row>
    <row r="76" spans="1:11" x14ac:dyDescent="0.25">
      <c r="A76" s="22">
        <v>9445</v>
      </c>
      <c r="B76" s="29">
        <v>46160</v>
      </c>
      <c r="C76" s="23" t="s">
        <v>13</v>
      </c>
      <c r="D76" s="37" t="s">
        <v>50</v>
      </c>
      <c r="E76" s="23" t="s">
        <v>28</v>
      </c>
      <c r="F76" s="31">
        <v>3008</v>
      </c>
      <c r="G76" s="31">
        <v>61000</v>
      </c>
      <c r="H76" s="31">
        <f>Cty_Hoa_Hung[[#This Row],[ĐƠN GIÁ]]*Cty_Hoa_Hung[[#This Row],[SỐ LƯỢNG]]</f>
        <v>183488000</v>
      </c>
      <c r="I76" s="31"/>
      <c r="J76" s="31">
        <f>J75+Cty_Hoa_Hung[[#This Row],[THÀNH TIỀN]]-Cty_Hoa_Hung[[#This Row],[THANH TOÁN]]</f>
        <v>3172928735</v>
      </c>
      <c r="K76" s="24"/>
    </row>
    <row r="77" spans="1:11" x14ac:dyDescent="0.25">
      <c r="A77" s="22">
        <v>9479</v>
      </c>
      <c r="B77" s="29">
        <v>46161</v>
      </c>
      <c r="C77" s="23" t="s">
        <v>13</v>
      </c>
      <c r="D77" s="37" t="s">
        <v>14</v>
      </c>
      <c r="E77" s="23" t="s">
        <v>134</v>
      </c>
      <c r="F77" s="31">
        <v>962</v>
      </c>
      <c r="G77" s="31">
        <v>42000</v>
      </c>
      <c r="H77" s="31">
        <f>Cty_Hoa_Hung[[#This Row],[ĐƠN GIÁ]]*Cty_Hoa_Hung[[#This Row],[SỐ LƯỢNG]]</f>
        <v>40404000</v>
      </c>
      <c r="I77" s="31"/>
      <c r="J77" s="31">
        <f>J76+Cty_Hoa_Hung[[#This Row],[THÀNH TIỀN]]-Cty_Hoa_Hung[[#This Row],[THANH TOÁN]]</f>
        <v>3213332735</v>
      </c>
      <c r="K77" s="24"/>
    </row>
    <row r="78" spans="1:11" x14ac:dyDescent="0.25">
      <c r="A78" s="22">
        <v>9479</v>
      </c>
      <c r="B78" s="29">
        <v>46161</v>
      </c>
      <c r="C78" s="23" t="s">
        <v>13</v>
      </c>
      <c r="D78" s="37" t="s">
        <v>43</v>
      </c>
      <c r="E78" s="23" t="s">
        <v>44</v>
      </c>
      <c r="F78" s="31">
        <v>645</v>
      </c>
      <c r="G78" s="31">
        <v>61000</v>
      </c>
      <c r="H78" s="31">
        <f>Cty_Hoa_Hung[[#This Row],[ĐƠN GIÁ]]*Cty_Hoa_Hung[[#This Row],[SỐ LƯỢNG]]</f>
        <v>39345000</v>
      </c>
      <c r="I78" s="31"/>
      <c r="J78" s="31">
        <f>J77+Cty_Hoa_Hung[[#This Row],[THÀNH TIỀN]]-Cty_Hoa_Hung[[#This Row],[THANH TOÁN]]</f>
        <v>3252677735</v>
      </c>
      <c r="K78" s="24"/>
    </row>
    <row r="79" spans="1:11" x14ac:dyDescent="0.25">
      <c r="A79" s="22">
        <v>202</v>
      </c>
      <c r="B79" s="29">
        <v>46161</v>
      </c>
      <c r="C79" s="23" t="s">
        <v>692</v>
      </c>
      <c r="D79" s="37" t="s">
        <v>1965</v>
      </c>
      <c r="E79" s="23" t="s">
        <v>2240</v>
      </c>
      <c r="F79" s="31">
        <v>815</v>
      </c>
      <c r="G79" s="31">
        <v>-70000</v>
      </c>
      <c r="H79" s="31">
        <f>Cty_Hoa_Hung[[#This Row],[ĐƠN GIÁ]]*Cty_Hoa_Hung[[#This Row],[SỐ LƯỢNG]]</f>
        <v>-57050000</v>
      </c>
      <c r="I79" s="31"/>
      <c r="J79" s="31">
        <f>J78+Cty_Hoa_Hung[[#This Row],[THÀNH TIỀN]]-Cty_Hoa_Hung[[#This Row],[THANH TOÁN]]</f>
        <v>3195627735</v>
      </c>
      <c r="K79" s="24"/>
    </row>
    <row r="80" spans="1:11" x14ac:dyDescent="0.25">
      <c r="A80" s="151">
        <v>9514</v>
      </c>
      <c r="B80" s="152">
        <v>46162</v>
      </c>
      <c r="C80" s="55" t="s">
        <v>13</v>
      </c>
      <c r="D80" s="149" t="s">
        <v>43</v>
      </c>
      <c r="E80" s="55" t="s">
        <v>271</v>
      </c>
      <c r="F80" s="57">
        <v>5840</v>
      </c>
      <c r="G80" s="57"/>
      <c r="H80" s="57">
        <f>Cty_Hoa_Hung[[#This Row],[ĐƠN GIÁ]]*Cty_Hoa_Hung[[#This Row],[SỐ LƯỢNG]]</f>
        <v>0</v>
      </c>
      <c r="I80" s="57"/>
      <c r="J80" s="57">
        <f>J79+Cty_Hoa_Hung[[#This Row],[THÀNH TIỀN]]-Cty_Hoa_Hung[[#This Row],[THANH TOÁN]]</f>
        <v>3195627735</v>
      </c>
      <c r="K80" s="58"/>
    </row>
    <row r="81" spans="1:11" x14ac:dyDescent="0.25">
      <c r="A81" s="169"/>
      <c r="B81" s="170">
        <v>46163</v>
      </c>
      <c r="C81" s="171" t="s">
        <v>2214</v>
      </c>
      <c r="D81" s="172" t="s">
        <v>22</v>
      </c>
      <c r="E81" s="171" t="s">
        <v>261</v>
      </c>
      <c r="F81" s="173">
        <v>0</v>
      </c>
      <c r="G81" s="173"/>
      <c r="H81" s="173">
        <f>Cty_Hoa_Hung[[#This Row],[ĐƠN GIÁ]]*Cty_Hoa_Hung[[#This Row],[SỐ LƯỢNG]]</f>
        <v>0</v>
      </c>
      <c r="I81" s="173">
        <v>311201085</v>
      </c>
      <c r="J81" s="173">
        <f>J80+Cty_Hoa_Hung[[#This Row],[THÀNH TIỀN]]-Cty_Hoa_Hung[[#This Row],[THANH TOÁN]]</f>
        <v>2884426650</v>
      </c>
      <c r="K81" s="174"/>
    </row>
    <row r="82" spans="1:11" x14ac:dyDescent="0.25">
      <c r="A82" s="169"/>
      <c r="B82" s="170">
        <v>46150</v>
      </c>
      <c r="C82" s="171" t="s">
        <v>21</v>
      </c>
      <c r="D82" s="172" t="s">
        <v>22</v>
      </c>
      <c r="E82" s="171" t="s">
        <v>83</v>
      </c>
      <c r="F82" s="173">
        <v>0</v>
      </c>
      <c r="G82" s="173"/>
      <c r="H82" s="173">
        <f>Cty_Hoa_Hung[[#This Row],[ĐƠN GIÁ]]*Cty_Hoa_Hung[[#This Row],[SỐ LƯỢNG]]</f>
        <v>0</v>
      </c>
      <c r="I82" s="173">
        <v>400000000</v>
      </c>
      <c r="J82" s="173">
        <f>J81+Cty_Hoa_Hung[[#This Row],[THÀNH TIỀN]]-Cty_Hoa_Hung[[#This Row],[THANH TOÁN]]</f>
        <v>2484426650</v>
      </c>
      <c r="K82" s="174"/>
    </row>
    <row r="83" spans="1:11" x14ac:dyDescent="0.25">
      <c r="A83" s="169"/>
      <c r="B83" s="170">
        <v>46157</v>
      </c>
      <c r="C83" s="171" t="s">
        <v>21</v>
      </c>
      <c r="D83" s="172" t="s">
        <v>22</v>
      </c>
      <c r="E83" s="171" t="s">
        <v>83</v>
      </c>
      <c r="F83" s="173">
        <v>0</v>
      </c>
      <c r="G83" s="173"/>
      <c r="H83" s="173">
        <f>Cty_Hoa_Hung[[#This Row],[ĐƠN GIÁ]]*Cty_Hoa_Hung[[#This Row],[SỐ LƯỢNG]]</f>
        <v>0</v>
      </c>
      <c r="I83" s="173">
        <v>400000000</v>
      </c>
      <c r="J83" s="173">
        <f>J82+Cty_Hoa_Hung[[#This Row],[THÀNH TIỀN]]-Cty_Hoa_Hung[[#This Row],[THANH TOÁN]]</f>
        <v>2084426650</v>
      </c>
      <c r="K83" s="174"/>
    </row>
    <row r="84" spans="1:11" x14ac:dyDescent="0.25">
      <c r="A84" s="169"/>
      <c r="B84" s="170">
        <v>46163</v>
      </c>
      <c r="C84" s="171" t="s">
        <v>2214</v>
      </c>
      <c r="D84" s="172" t="s">
        <v>22</v>
      </c>
      <c r="E84" s="171" t="s">
        <v>83</v>
      </c>
      <c r="F84" s="173">
        <v>0</v>
      </c>
      <c r="G84" s="173"/>
      <c r="H84" s="173">
        <f>Cty_Hoa_Hung[[#This Row],[ĐƠN GIÁ]]*Cty_Hoa_Hung[[#This Row],[SỐ LƯỢNG]]</f>
        <v>0</v>
      </c>
      <c r="I84" s="173">
        <v>-57049674</v>
      </c>
      <c r="J84" s="173">
        <f>J83+Cty_Hoa_Hung[[#This Row],[THÀNH TIỀN]]-Cty_Hoa_Hung[[#This Row],[THANH TOÁN]]</f>
        <v>2141476324</v>
      </c>
      <c r="K84" s="174"/>
    </row>
    <row r="85" spans="1:11" x14ac:dyDescent="0.25">
      <c r="A85" s="22">
        <v>9632</v>
      </c>
      <c r="B85" s="29">
        <v>46168</v>
      </c>
      <c r="C85" s="23" t="s">
        <v>13</v>
      </c>
      <c r="D85" s="37" t="s">
        <v>43</v>
      </c>
      <c r="E85" s="23" t="s">
        <v>44</v>
      </c>
      <c r="F85" s="31">
        <v>2588</v>
      </c>
      <c r="G85" s="31">
        <v>61000</v>
      </c>
      <c r="H85" s="31">
        <f>Cty_Hoa_Hung[[#This Row],[ĐƠN GIÁ]]*Cty_Hoa_Hung[[#This Row],[SỐ LƯỢNG]]</f>
        <v>157868000</v>
      </c>
      <c r="I85" s="31"/>
      <c r="J85" s="31">
        <f>J84+Cty_Hoa_Hung[[#This Row],[THÀNH TIỀN]]-Cty_Hoa_Hung[[#This Row],[THANH TOÁN]]</f>
        <v>2299344324</v>
      </c>
      <c r="K85" s="24"/>
    </row>
    <row r="86" spans="1:11" x14ac:dyDescent="0.25">
      <c r="A86" s="22"/>
      <c r="B86" s="29">
        <v>46164</v>
      </c>
      <c r="C86" s="23" t="s">
        <v>21</v>
      </c>
      <c r="D86" s="37" t="s">
        <v>22</v>
      </c>
      <c r="E86" s="23" t="s">
        <v>83</v>
      </c>
      <c r="F86" s="31">
        <v>0</v>
      </c>
      <c r="G86" s="31"/>
      <c r="H86" s="31">
        <f>Cty_Hoa_Hung[[#This Row],[ĐƠN GIÁ]]*Cty_Hoa_Hung[[#This Row],[SỐ LƯỢNG]]</f>
        <v>0</v>
      </c>
      <c r="I86" s="31">
        <v>500000000</v>
      </c>
      <c r="J86" s="31">
        <f>J85+Cty_Hoa_Hung[[#This Row],[THÀNH TIỀN]]-Cty_Hoa_Hung[[#This Row],[THANH TOÁN]]</f>
        <v>1799344324</v>
      </c>
      <c r="K86" s="24"/>
    </row>
    <row r="87" spans="1:11" x14ac:dyDescent="0.25">
      <c r="A87" s="22">
        <v>9672</v>
      </c>
      <c r="B87" s="29">
        <v>46170</v>
      </c>
      <c r="C87" s="23" t="s">
        <v>13</v>
      </c>
      <c r="D87" s="37" t="s">
        <v>50</v>
      </c>
      <c r="E87" s="23" t="s">
        <v>1127</v>
      </c>
      <c r="F87" s="31">
        <v>530</v>
      </c>
      <c r="G87" s="31">
        <v>63000</v>
      </c>
      <c r="H87" s="31">
        <f>Cty_Hoa_Hung[[#This Row],[ĐƠN GIÁ]]*Cty_Hoa_Hung[[#This Row],[SỐ LƯỢNG]]</f>
        <v>33390000</v>
      </c>
      <c r="I87" s="31"/>
      <c r="J87" s="31">
        <f>J86+Cty_Hoa_Hung[[#This Row],[THÀNH TIỀN]]-Cty_Hoa_Hung[[#This Row],[THANH TOÁN]]</f>
        <v>1832734324</v>
      </c>
      <c r="K87" s="24"/>
    </row>
    <row r="88" spans="1:11" x14ac:dyDescent="0.25">
      <c r="A88" s="22">
        <v>9672</v>
      </c>
      <c r="B88" s="29">
        <v>46170</v>
      </c>
      <c r="C88" s="23" t="s">
        <v>13</v>
      </c>
      <c r="D88" s="37" t="s">
        <v>317</v>
      </c>
      <c r="E88" s="23" t="s">
        <v>2506</v>
      </c>
      <c r="F88" s="31">
        <v>232</v>
      </c>
      <c r="G88" s="31">
        <v>66000</v>
      </c>
      <c r="H88" s="31">
        <f>Cty_Hoa_Hung[[#This Row],[ĐƠN GIÁ]]*Cty_Hoa_Hung[[#This Row],[SỐ LƯỢNG]]</f>
        <v>15312000</v>
      </c>
      <c r="I88" s="31"/>
      <c r="J88" s="31">
        <f>J87+Cty_Hoa_Hung[[#This Row],[THÀNH TIỀN]]-Cty_Hoa_Hung[[#This Row],[THANH TOÁN]]</f>
        <v>1848046324</v>
      </c>
      <c r="K88" s="24"/>
    </row>
    <row r="89" spans="1:11" x14ac:dyDescent="0.25">
      <c r="A89" s="22">
        <v>9672</v>
      </c>
      <c r="B89" s="29">
        <v>46170</v>
      </c>
      <c r="C89" s="23" t="s">
        <v>13</v>
      </c>
      <c r="D89" s="37" t="s">
        <v>103</v>
      </c>
      <c r="E89" s="23" t="s">
        <v>2505</v>
      </c>
      <c r="F89" s="31">
        <v>242</v>
      </c>
      <c r="G89" s="31">
        <v>38500</v>
      </c>
      <c r="H89" s="31">
        <f>Cty_Hoa_Hung[[#This Row],[ĐƠN GIÁ]]*Cty_Hoa_Hung[[#This Row],[SỐ LƯỢNG]]</f>
        <v>9317000</v>
      </c>
      <c r="I89" s="31"/>
      <c r="J89" s="31">
        <f>J88+Cty_Hoa_Hung[[#This Row],[THÀNH TIỀN]]-Cty_Hoa_Hung[[#This Row],[THANH TOÁN]]</f>
        <v>1857363324</v>
      </c>
      <c r="K89" s="24"/>
    </row>
    <row r="90" spans="1:11" x14ac:dyDescent="0.25">
      <c r="A90" s="22">
        <v>9684</v>
      </c>
      <c r="B90" s="29">
        <v>46170</v>
      </c>
      <c r="C90" s="23" t="s">
        <v>13</v>
      </c>
      <c r="D90" s="37" t="s">
        <v>50</v>
      </c>
      <c r="E90" s="23" t="s">
        <v>73</v>
      </c>
      <c r="F90" s="31">
        <v>4110</v>
      </c>
      <c r="G90" s="31">
        <v>59000</v>
      </c>
      <c r="H90" s="31">
        <f>Cty_Hoa_Hung[[#This Row],[ĐƠN GIÁ]]*Cty_Hoa_Hung[[#This Row],[SỐ LƯỢNG]]</f>
        <v>242490000</v>
      </c>
      <c r="I90" s="31"/>
      <c r="J90" s="31">
        <f>J89+Cty_Hoa_Hung[[#This Row],[THÀNH TIỀN]]-Cty_Hoa_Hung[[#This Row],[THANH TOÁN]]</f>
        <v>2099853324</v>
      </c>
      <c r="K90" s="24"/>
    </row>
    <row r="91" spans="1:11" x14ac:dyDescent="0.25">
      <c r="A91" s="22"/>
      <c r="B91" s="29">
        <v>46171</v>
      </c>
      <c r="C91" s="23" t="s">
        <v>21</v>
      </c>
      <c r="D91" s="37" t="s">
        <v>22</v>
      </c>
      <c r="E91" s="23" t="s">
        <v>83</v>
      </c>
      <c r="F91" s="31">
        <v>0</v>
      </c>
      <c r="G91" s="31"/>
      <c r="H91" s="31">
        <f>Cty_Hoa_Hung[[#This Row],[ĐƠN GIÁ]]*Cty_Hoa_Hung[[#This Row],[SỐ LƯỢNG]]</f>
        <v>0</v>
      </c>
      <c r="I91" s="31">
        <v>600000000</v>
      </c>
      <c r="J91" s="31">
        <f>J90+Cty_Hoa_Hung[[#This Row],[THÀNH TIỀN]]-Cty_Hoa_Hung[[#This Row],[THANH TOÁN]]</f>
        <v>1499853324</v>
      </c>
      <c r="K91" s="24"/>
    </row>
    <row r="92" spans="1:11" x14ac:dyDescent="0.25">
      <c r="A92" s="22">
        <v>9681</v>
      </c>
      <c r="B92" s="29">
        <v>46171</v>
      </c>
      <c r="C92" s="23" t="s">
        <v>13</v>
      </c>
      <c r="D92" s="37" t="s">
        <v>109</v>
      </c>
      <c r="E92" s="23" t="s">
        <v>2521</v>
      </c>
      <c r="F92" s="31">
        <v>758</v>
      </c>
      <c r="G92" s="31">
        <v>59000</v>
      </c>
      <c r="H92" s="31">
        <f>Cty_Hoa_Hung[[#This Row],[ĐƠN GIÁ]]*Cty_Hoa_Hung[[#This Row],[SỐ LƯỢNG]]</f>
        <v>44722000</v>
      </c>
      <c r="I92" s="31"/>
      <c r="J92" s="31">
        <f>J91+Cty_Hoa_Hung[[#This Row],[THÀNH TIỀN]]-Cty_Hoa_Hung[[#This Row],[THANH TOÁN]]</f>
        <v>1544575324</v>
      </c>
      <c r="K92" s="24"/>
    </row>
    <row r="93" spans="1:11" x14ac:dyDescent="0.25">
      <c r="A93" s="22">
        <v>9681</v>
      </c>
      <c r="B93" s="29">
        <v>46171</v>
      </c>
      <c r="C93" s="23" t="s">
        <v>13</v>
      </c>
      <c r="D93" s="37" t="s">
        <v>109</v>
      </c>
      <c r="E93" s="23" t="s">
        <v>1447</v>
      </c>
      <c r="F93" s="31">
        <v>144</v>
      </c>
      <c r="G93" s="31">
        <v>59000</v>
      </c>
      <c r="H93" s="31">
        <f>Cty_Hoa_Hung[[#This Row],[ĐƠN GIÁ]]*Cty_Hoa_Hung[[#This Row],[SỐ LƯỢNG]]</f>
        <v>8496000</v>
      </c>
      <c r="I93" s="31"/>
      <c r="J93" s="31">
        <f>J92+Cty_Hoa_Hung[[#This Row],[THÀNH TIỀN]]-Cty_Hoa_Hung[[#This Row],[THANH TOÁN]]</f>
        <v>1553071324</v>
      </c>
      <c r="K93" s="24"/>
    </row>
    <row r="94" spans="1:11" x14ac:dyDescent="0.25">
      <c r="A94" s="22">
        <v>9681</v>
      </c>
      <c r="B94" s="29">
        <v>46171</v>
      </c>
      <c r="C94" s="23" t="s">
        <v>13</v>
      </c>
      <c r="D94" s="37" t="s">
        <v>109</v>
      </c>
      <c r="E94" s="23" t="s">
        <v>2522</v>
      </c>
      <c r="F94" s="31">
        <v>224</v>
      </c>
      <c r="G94" s="31">
        <v>59000</v>
      </c>
      <c r="H94" s="31">
        <f>Cty_Hoa_Hung[[#This Row],[ĐƠN GIÁ]]*Cty_Hoa_Hung[[#This Row],[SỐ LƯỢNG]]</f>
        <v>13216000</v>
      </c>
      <c r="I94" s="31"/>
      <c r="J94" s="31">
        <f>J93+Cty_Hoa_Hung[[#This Row],[THÀNH TIỀN]]-Cty_Hoa_Hung[[#This Row],[THANH TOÁN]]</f>
        <v>1566287324</v>
      </c>
      <c r="K94" s="24"/>
    </row>
    <row r="95" spans="1:11" x14ac:dyDescent="0.25">
      <c r="A95" s="22">
        <v>9681</v>
      </c>
      <c r="B95" s="29">
        <v>46171</v>
      </c>
      <c r="C95" s="23" t="s">
        <v>13</v>
      </c>
      <c r="D95" s="37" t="s">
        <v>109</v>
      </c>
      <c r="E95" s="23" t="s">
        <v>678</v>
      </c>
      <c r="F95" s="31">
        <v>866</v>
      </c>
      <c r="G95" s="31">
        <v>59000</v>
      </c>
      <c r="H95" s="31">
        <f>Cty_Hoa_Hung[[#This Row],[ĐƠN GIÁ]]*Cty_Hoa_Hung[[#This Row],[SỐ LƯỢNG]]</f>
        <v>51094000</v>
      </c>
      <c r="I95" s="31"/>
      <c r="J95" s="31">
        <f>J94+Cty_Hoa_Hung[[#This Row],[THÀNH TIỀN]]-Cty_Hoa_Hung[[#This Row],[THANH TOÁN]]</f>
        <v>1617381324</v>
      </c>
      <c r="K95" s="24"/>
    </row>
    <row r="96" spans="1:11" x14ac:dyDescent="0.25">
      <c r="A96" s="22">
        <v>9681</v>
      </c>
      <c r="B96" s="29">
        <v>46171</v>
      </c>
      <c r="C96" s="23" t="s">
        <v>13</v>
      </c>
      <c r="D96" s="37" t="s">
        <v>109</v>
      </c>
      <c r="E96" s="23" t="s">
        <v>2523</v>
      </c>
      <c r="F96" s="31">
        <v>292</v>
      </c>
      <c r="G96" s="31">
        <v>59000</v>
      </c>
      <c r="H96" s="31">
        <f>Cty_Hoa_Hung[[#This Row],[ĐƠN GIÁ]]*Cty_Hoa_Hung[[#This Row],[SỐ LƯỢNG]]</f>
        <v>17228000</v>
      </c>
      <c r="I96" s="31"/>
      <c r="J96" s="31">
        <f>J95+Cty_Hoa_Hung[[#This Row],[THÀNH TIỀN]]-Cty_Hoa_Hung[[#This Row],[THANH TOÁN]]</f>
        <v>1634609324</v>
      </c>
      <c r="K96" s="24"/>
    </row>
    <row r="97" spans="1:11" x14ac:dyDescent="0.25">
      <c r="A97" s="22">
        <v>9681</v>
      </c>
      <c r="B97" s="29">
        <v>46171</v>
      </c>
      <c r="C97" s="23" t="s">
        <v>13</v>
      </c>
      <c r="D97" s="37" t="s">
        <v>109</v>
      </c>
      <c r="E97" s="23" t="s">
        <v>946</v>
      </c>
      <c r="F97" s="31">
        <v>294</v>
      </c>
      <c r="G97" s="31">
        <v>59000</v>
      </c>
      <c r="H97" s="31">
        <f>Cty_Hoa_Hung[[#This Row],[ĐƠN GIÁ]]*Cty_Hoa_Hung[[#This Row],[SỐ LƯỢNG]]</f>
        <v>17346000</v>
      </c>
      <c r="I97" s="31"/>
      <c r="J97" s="31">
        <f>J96+Cty_Hoa_Hung[[#This Row],[THÀNH TIỀN]]-Cty_Hoa_Hung[[#This Row],[THANH TOÁN]]</f>
        <v>1651955324</v>
      </c>
      <c r="K97" s="24"/>
    </row>
    <row r="98" spans="1:11" x14ac:dyDescent="0.25">
      <c r="A98" s="22">
        <v>9681</v>
      </c>
      <c r="B98" s="29">
        <v>46171</v>
      </c>
      <c r="C98" s="23" t="s">
        <v>13</v>
      </c>
      <c r="D98" s="37" t="s">
        <v>109</v>
      </c>
      <c r="E98" s="23" t="s">
        <v>947</v>
      </c>
      <c r="F98" s="31">
        <v>440</v>
      </c>
      <c r="G98" s="31">
        <v>59000</v>
      </c>
      <c r="H98" s="31">
        <f>Cty_Hoa_Hung[[#This Row],[ĐƠN GIÁ]]*Cty_Hoa_Hung[[#This Row],[SỐ LƯỢNG]]</f>
        <v>25960000</v>
      </c>
      <c r="I98" s="31"/>
      <c r="J98" s="31">
        <f>J97+Cty_Hoa_Hung[[#This Row],[THÀNH TIỀN]]-Cty_Hoa_Hung[[#This Row],[THANH TOÁN]]</f>
        <v>1677915324</v>
      </c>
      <c r="K98" s="24"/>
    </row>
    <row r="99" spans="1:11" x14ac:dyDescent="0.25">
      <c r="A99" s="22">
        <v>9740</v>
      </c>
      <c r="B99" s="29">
        <v>46174</v>
      </c>
      <c r="C99" s="23" t="s">
        <v>13</v>
      </c>
      <c r="D99" s="37" t="s">
        <v>43</v>
      </c>
      <c r="E99" s="23" t="s">
        <v>203</v>
      </c>
      <c r="F99" s="31">
        <v>2256</v>
      </c>
      <c r="G99" s="31">
        <v>62000</v>
      </c>
      <c r="H99" s="31">
        <f>Cty_Hoa_Hung[[#This Row],[ĐƠN GIÁ]]*Cty_Hoa_Hung[[#This Row],[SỐ LƯỢNG]]</f>
        <v>139872000</v>
      </c>
      <c r="I99" s="31"/>
      <c r="J99" s="31">
        <f>J98+Cty_Hoa_Hung[[#This Row],[THÀNH TIỀN]]-Cty_Hoa_Hung[[#This Row],[THANH TOÁN]]</f>
        <v>1817787324</v>
      </c>
      <c r="K99" s="24"/>
    </row>
    <row r="100" spans="1:11" x14ac:dyDescent="0.25">
      <c r="A100" s="22">
        <v>9740</v>
      </c>
      <c r="B100" s="29">
        <v>46174</v>
      </c>
      <c r="C100" s="23" t="s">
        <v>13</v>
      </c>
      <c r="D100" s="37" t="s">
        <v>43</v>
      </c>
      <c r="E100" s="23" t="s">
        <v>2545</v>
      </c>
      <c r="F100" s="31">
        <v>564</v>
      </c>
      <c r="G100" s="31">
        <v>61000</v>
      </c>
      <c r="H100" s="31">
        <f>Cty_Hoa_Hung[[#This Row],[ĐƠN GIÁ]]*Cty_Hoa_Hung[[#This Row],[SỐ LƯỢNG]]</f>
        <v>34404000</v>
      </c>
      <c r="I100" s="31"/>
      <c r="J100" s="31">
        <f>J99+Cty_Hoa_Hung[[#This Row],[THÀNH TIỀN]]-Cty_Hoa_Hung[[#This Row],[THANH TOÁN]]</f>
        <v>1852191324</v>
      </c>
      <c r="K100" s="24"/>
    </row>
    <row r="101" spans="1:11" x14ac:dyDescent="0.25">
      <c r="A101" s="22">
        <v>9753</v>
      </c>
      <c r="B101" s="29">
        <v>46175</v>
      </c>
      <c r="C101" s="23" t="s">
        <v>13</v>
      </c>
      <c r="D101" s="37" t="s">
        <v>43</v>
      </c>
      <c r="E101" s="23" t="s">
        <v>2543</v>
      </c>
      <c r="F101" s="31">
        <v>1718</v>
      </c>
      <c r="G101" s="31">
        <v>59000</v>
      </c>
      <c r="H101" s="31">
        <f>Cty_Hoa_Hung[[#This Row],[ĐƠN GIÁ]]*Cty_Hoa_Hung[[#This Row],[SỐ LƯỢNG]]</f>
        <v>101362000</v>
      </c>
      <c r="I101" s="31"/>
      <c r="J101" s="31">
        <f>J100+Cty_Hoa_Hung[[#This Row],[THÀNH TIỀN]]-Cty_Hoa_Hung[[#This Row],[THANH TOÁN]]</f>
        <v>1953553324</v>
      </c>
      <c r="K101" s="24"/>
    </row>
    <row r="102" spans="1:11" x14ac:dyDescent="0.25">
      <c r="A102" s="22">
        <v>9753</v>
      </c>
      <c r="B102" s="29">
        <v>46175</v>
      </c>
      <c r="C102" s="23" t="s">
        <v>13</v>
      </c>
      <c r="D102" s="37" t="s">
        <v>43</v>
      </c>
      <c r="E102" s="23" t="s">
        <v>886</v>
      </c>
      <c r="F102" s="31">
        <v>214</v>
      </c>
      <c r="G102" s="31">
        <v>59000</v>
      </c>
      <c r="H102" s="31">
        <f>Cty_Hoa_Hung[[#This Row],[ĐƠN GIÁ]]*Cty_Hoa_Hung[[#This Row],[SỐ LƯỢNG]]</f>
        <v>12626000</v>
      </c>
      <c r="I102" s="31"/>
      <c r="J102" s="31">
        <f>J101+Cty_Hoa_Hung[[#This Row],[THÀNH TIỀN]]-Cty_Hoa_Hung[[#This Row],[THANH TOÁN]]</f>
        <v>1966179324</v>
      </c>
      <c r="K102" s="24"/>
    </row>
    <row r="103" spans="1:11" x14ac:dyDescent="0.25">
      <c r="A103" s="22">
        <v>9753</v>
      </c>
      <c r="B103" s="29">
        <v>46175</v>
      </c>
      <c r="C103" s="23" t="s">
        <v>13</v>
      </c>
      <c r="D103" s="37" t="s">
        <v>68</v>
      </c>
      <c r="E103" s="23" t="s">
        <v>2551</v>
      </c>
      <c r="F103" s="31">
        <v>1016</v>
      </c>
      <c r="G103" s="31">
        <v>42500</v>
      </c>
      <c r="H103" s="31">
        <f>Cty_Hoa_Hung[[#This Row],[ĐƠN GIÁ]]*Cty_Hoa_Hung[[#This Row],[SỐ LƯỢNG]]</f>
        <v>43180000</v>
      </c>
      <c r="I103" s="31"/>
      <c r="J103" s="31">
        <f>J102+Cty_Hoa_Hung[[#This Row],[THÀNH TIỀN]]-Cty_Hoa_Hung[[#This Row],[THANH TOÁN]]</f>
        <v>2009359324</v>
      </c>
      <c r="K103" s="24"/>
    </row>
    <row r="104" spans="1:11" x14ac:dyDescent="0.25">
      <c r="A104" s="22">
        <v>9753</v>
      </c>
      <c r="B104" s="29">
        <v>46175</v>
      </c>
      <c r="C104" s="23" t="s">
        <v>13</v>
      </c>
      <c r="D104" s="37" t="s">
        <v>14</v>
      </c>
      <c r="E104" s="23" t="s">
        <v>136</v>
      </c>
      <c r="F104" s="31">
        <v>1130</v>
      </c>
      <c r="G104" s="31">
        <v>41500</v>
      </c>
      <c r="H104" s="31">
        <f>Cty_Hoa_Hung[[#This Row],[ĐƠN GIÁ]]*Cty_Hoa_Hung[[#This Row],[SỐ LƯỢNG]]</f>
        <v>46895000</v>
      </c>
      <c r="I104" s="31"/>
      <c r="J104" s="31">
        <f>J103+Cty_Hoa_Hung[[#This Row],[THÀNH TIỀN]]-Cty_Hoa_Hung[[#This Row],[THANH TOÁN]]</f>
        <v>2056254324</v>
      </c>
      <c r="K104" s="24"/>
    </row>
    <row r="105" spans="1:11" x14ac:dyDescent="0.25">
      <c r="A105" s="22"/>
      <c r="B105" s="29">
        <v>46175</v>
      </c>
      <c r="C105" s="23" t="s">
        <v>21</v>
      </c>
      <c r="D105" s="37" t="s">
        <v>22</v>
      </c>
      <c r="E105" s="23" t="s">
        <v>147</v>
      </c>
      <c r="F105" s="31">
        <v>0</v>
      </c>
      <c r="G105" s="31"/>
      <c r="H105" s="31">
        <f>Cty_Hoa_Hung[[#This Row],[ĐƠN GIÁ]]*Cty_Hoa_Hung[[#This Row],[SỐ LƯỢNG]]</f>
        <v>0</v>
      </c>
      <c r="I105" s="31">
        <v>300000000</v>
      </c>
      <c r="J105" s="31">
        <f>J104+Cty_Hoa_Hung[[#This Row],[THÀNH TIỀN]]-Cty_Hoa_Hung[[#This Row],[THANH TOÁN]]</f>
        <v>1756254324</v>
      </c>
      <c r="K105" s="24"/>
    </row>
    <row r="106" spans="1:11" x14ac:dyDescent="0.25">
      <c r="A106" s="22"/>
      <c r="B106" s="29">
        <v>46178</v>
      </c>
      <c r="C106" s="23" t="s">
        <v>21</v>
      </c>
      <c r="D106" s="37" t="s">
        <v>22</v>
      </c>
      <c r="E106" s="23" t="s">
        <v>147</v>
      </c>
      <c r="F106" s="31">
        <v>0</v>
      </c>
      <c r="G106" s="31"/>
      <c r="H106" s="31">
        <f>Cty_Hoa_Hung[[#This Row],[ĐƠN GIÁ]]*Cty_Hoa_Hung[[#This Row],[SỐ LƯỢNG]]</f>
        <v>0</v>
      </c>
      <c r="I106" s="31">
        <v>700000000</v>
      </c>
      <c r="J106" s="31">
        <f>J105+Cty_Hoa_Hung[[#This Row],[THÀNH TIỀN]]-Cty_Hoa_Hung[[#This Row],[THANH TOÁN]]</f>
        <v>1056254324</v>
      </c>
      <c r="K106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5CFA5-CFD7-48F0-986F-308E383E9105}">
  <sheetPr codeName="Sheet60"/>
  <dimension ref="A5:K50"/>
  <sheetViews>
    <sheetView topLeftCell="A19" workbookViewId="0">
      <selection activeCell="F51" sqref="F51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495905238</v>
      </c>
    </row>
    <row r="6" spans="1:11" ht="22.5" x14ac:dyDescent="0.25">
      <c r="D6" s="34" t="s">
        <v>996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Cty_Quang_Long_HD[[#This Row],[ĐƠN GIÁ]]*Cty_Quang_Long_HD[[#This Row],[SỐ LƯỢNG]]</f>
        <v>0</v>
      </c>
      <c r="I10" s="31"/>
      <c r="J10" s="31">
        <v>43447900</v>
      </c>
      <c r="K10" s="24"/>
    </row>
    <row r="11" spans="1:11" x14ac:dyDescent="0.25">
      <c r="A11" s="22"/>
      <c r="B11" s="29">
        <v>46084</v>
      </c>
      <c r="C11" s="23" t="s">
        <v>21</v>
      </c>
      <c r="D11" s="37" t="s">
        <v>24</v>
      </c>
      <c r="E11" s="23"/>
      <c r="F11" s="31">
        <v>0</v>
      </c>
      <c r="G11" s="31"/>
      <c r="H11" s="31">
        <f>Cty_Quang_Long_HD[[#This Row],[ĐƠN GIÁ]]*Cty_Quang_Long_HD[[#This Row],[SỐ LƯỢNG]]</f>
        <v>0</v>
      </c>
      <c r="I11" s="31">
        <v>43450000</v>
      </c>
      <c r="J11" s="31">
        <f>J10+Cty_Quang_Long_HD[[#This Row],[THÀNH TIỀN]]-Cty_Quang_Long_HD[[#This Row],[THANH TOÁN]]</f>
        <v>-2100</v>
      </c>
      <c r="K11" s="24"/>
    </row>
    <row r="12" spans="1:11" x14ac:dyDescent="0.25">
      <c r="A12" s="22">
        <v>7869</v>
      </c>
      <c r="B12" s="29">
        <v>46086</v>
      </c>
      <c r="C12" s="23" t="s">
        <v>13</v>
      </c>
      <c r="D12" s="37" t="s">
        <v>43</v>
      </c>
      <c r="E12" s="23" t="s">
        <v>204</v>
      </c>
      <c r="F12" s="31">
        <v>251</v>
      </c>
      <c r="G12" s="31">
        <v>57000</v>
      </c>
      <c r="H12" s="31">
        <f>Cty_Quang_Long_HD[[#This Row],[ĐƠN GIÁ]]*Cty_Quang_Long_HD[[#This Row],[SỐ LƯỢNG]]</f>
        <v>14307000</v>
      </c>
      <c r="I12" s="31"/>
      <c r="J12" s="31">
        <f>J11+Cty_Quang_Long_HD[[#This Row],[THÀNH TIỀN]]-Cty_Quang_Long_HD[[#This Row],[THANH TOÁN]]</f>
        <v>14304900</v>
      </c>
      <c r="K12" s="24" t="s">
        <v>128</v>
      </c>
    </row>
    <row r="13" spans="1:11" x14ac:dyDescent="0.25">
      <c r="A13" s="25">
        <v>9354</v>
      </c>
      <c r="B13" s="30">
        <v>46088</v>
      </c>
      <c r="C13" s="26" t="s">
        <v>166</v>
      </c>
      <c r="D13" s="38" t="s">
        <v>43</v>
      </c>
      <c r="E13" s="26" t="s">
        <v>204</v>
      </c>
      <c r="F13" s="28">
        <v>-251</v>
      </c>
      <c r="G13" s="28">
        <v>57000</v>
      </c>
      <c r="H13" s="28">
        <f>Cty_Quang_Long_HD[[#This Row],[ĐƠN GIÁ]]*Cty_Quang_Long_HD[[#This Row],[SỐ LƯỢNG]]</f>
        <v>-14307000</v>
      </c>
      <c r="I13" s="28"/>
      <c r="J13" s="28">
        <f>J12+Cty_Quang_Long_HD[[#This Row],[THÀNH TIỀN]]-Cty_Quang_Long_HD[[#This Row],[THANH TOÁN]]</f>
        <v>-2100</v>
      </c>
      <c r="K13" s="27"/>
    </row>
    <row r="14" spans="1:11" x14ac:dyDescent="0.25">
      <c r="A14" s="25">
        <v>7917</v>
      </c>
      <c r="B14" s="30">
        <v>46088</v>
      </c>
      <c r="C14" s="26" t="s">
        <v>13</v>
      </c>
      <c r="D14" s="38" t="s">
        <v>50</v>
      </c>
      <c r="E14" s="26" t="s">
        <v>997</v>
      </c>
      <c r="F14" s="28">
        <v>922</v>
      </c>
      <c r="G14" s="28">
        <v>55000</v>
      </c>
      <c r="H14" s="28">
        <f>Cty_Quang_Long_HD[[#This Row],[ĐƠN GIÁ]]*Cty_Quang_Long_HD[[#This Row],[SỐ LƯỢNG]]</f>
        <v>50710000</v>
      </c>
      <c r="I14" s="28"/>
      <c r="J14" s="28">
        <f>J13+Cty_Quang_Long_HD[[#This Row],[THÀNH TIỀN]]-Cty_Quang_Long_HD[[#This Row],[THANH TOÁN]]</f>
        <v>50707900</v>
      </c>
      <c r="K14" s="27" t="s">
        <v>128</v>
      </c>
    </row>
    <row r="15" spans="1:11" x14ac:dyDescent="0.25">
      <c r="A15" s="25">
        <v>7917</v>
      </c>
      <c r="B15" s="30">
        <v>46088</v>
      </c>
      <c r="C15" s="26" t="s">
        <v>13</v>
      </c>
      <c r="D15" s="38" t="s">
        <v>26</v>
      </c>
      <c r="E15" s="26" t="s">
        <v>998</v>
      </c>
      <c r="F15" s="28">
        <f>192+192+154+154</f>
        <v>692</v>
      </c>
      <c r="G15" s="28">
        <v>34000</v>
      </c>
      <c r="H15" s="28">
        <f>Cty_Quang_Long_HD[[#This Row],[ĐƠN GIÁ]]*Cty_Quang_Long_HD[[#This Row],[SỐ LƯỢNG]]</f>
        <v>23528000</v>
      </c>
      <c r="I15" s="28"/>
      <c r="J15" s="28">
        <f>J14+Cty_Quang_Long_HD[[#This Row],[THÀNH TIỀN]]-Cty_Quang_Long_HD[[#This Row],[THANH TOÁN]]</f>
        <v>74235900</v>
      </c>
      <c r="K15" s="27" t="s">
        <v>128</v>
      </c>
    </row>
    <row r="16" spans="1:11" x14ac:dyDescent="0.25">
      <c r="A16" s="25"/>
      <c r="B16" s="30">
        <v>46088</v>
      </c>
      <c r="C16" s="26" t="s">
        <v>21</v>
      </c>
      <c r="D16" s="38" t="s">
        <v>24</v>
      </c>
      <c r="E16" s="26"/>
      <c r="F16" s="28">
        <v>0</v>
      </c>
      <c r="G16" s="28">
        <v>0</v>
      </c>
      <c r="H16" s="28">
        <f>Cty_Quang_Long_HD[[#This Row],[ĐƠN GIÁ]]*Cty_Quang_Long_HD[[#This Row],[SỐ LƯỢNG]]</f>
        <v>0</v>
      </c>
      <c r="I16" s="28">
        <v>74240000</v>
      </c>
      <c r="J16" s="28">
        <f>J15+Cty_Quang_Long_HD[[#This Row],[THÀNH TIỀN]]-Cty_Quang_Long_HD[[#This Row],[THANH TOÁN]]</f>
        <v>-4100</v>
      </c>
      <c r="K16" s="27"/>
    </row>
    <row r="17" spans="1:11" x14ac:dyDescent="0.25">
      <c r="A17" s="25">
        <v>7981</v>
      </c>
      <c r="B17" s="30">
        <v>46091</v>
      </c>
      <c r="C17" s="26" t="s">
        <v>13</v>
      </c>
      <c r="D17" s="38" t="s">
        <v>135</v>
      </c>
      <c r="E17" s="26" t="s">
        <v>134</v>
      </c>
      <c r="F17" s="28">
        <v>882</v>
      </c>
      <c r="G17" s="28">
        <v>36000</v>
      </c>
      <c r="H17" s="28">
        <f>Cty_Quang_Long_HD[[#This Row],[ĐƠN GIÁ]]*Cty_Quang_Long_HD[[#This Row],[SỐ LƯỢNG]]</f>
        <v>31752000</v>
      </c>
      <c r="I17" s="28"/>
      <c r="J17" s="28">
        <f>J16+Cty_Quang_Long_HD[[#This Row],[THÀNH TIỀN]]-Cty_Quang_Long_HD[[#This Row],[THANH TOÁN]]</f>
        <v>31747900</v>
      </c>
      <c r="K17" s="27" t="s">
        <v>128</v>
      </c>
    </row>
    <row r="18" spans="1:11" x14ac:dyDescent="0.25">
      <c r="A18" s="25">
        <v>8069</v>
      </c>
      <c r="B18" s="30">
        <v>46094</v>
      </c>
      <c r="C18" s="26" t="s">
        <v>13</v>
      </c>
      <c r="D18" s="38" t="s">
        <v>26</v>
      </c>
      <c r="E18" s="23" t="s">
        <v>206</v>
      </c>
      <c r="F18" s="31">
        <v>714</v>
      </c>
      <c r="G18" s="31">
        <v>34000</v>
      </c>
      <c r="H18" s="31">
        <f>Cty_Quang_Long_HD[[#This Row],[ĐƠN GIÁ]]*Cty_Quang_Long_HD[[#This Row],[SỐ LƯỢNG]]</f>
        <v>24276000</v>
      </c>
      <c r="I18" s="31"/>
      <c r="J18" s="31">
        <f>J17+Cty_Quang_Long_HD[[#This Row],[THÀNH TIỀN]]-Cty_Quang_Long_HD[[#This Row],[THANH TOÁN]]</f>
        <v>56023900</v>
      </c>
      <c r="K18" s="24" t="s">
        <v>128</v>
      </c>
    </row>
    <row r="19" spans="1:11" x14ac:dyDescent="0.25">
      <c r="A19" s="25">
        <v>8184</v>
      </c>
      <c r="B19" s="30">
        <v>46099</v>
      </c>
      <c r="C19" s="26" t="s">
        <v>13</v>
      </c>
      <c r="D19" s="38" t="s">
        <v>168</v>
      </c>
      <c r="E19" s="26" t="s">
        <v>136</v>
      </c>
      <c r="F19" s="28">
        <v>638</v>
      </c>
      <c r="G19" s="28">
        <v>41500</v>
      </c>
      <c r="H19" s="28">
        <f>Cty_Quang_Long_HD[[#This Row],[ĐƠN GIÁ]]*Cty_Quang_Long_HD[[#This Row],[SỐ LƯỢNG]]</f>
        <v>26477000</v>
      </c>
      <c r="I19" s="28"/>
      <c r="J19" s="28">
        <f>J18+Cty_Quang_Long_HD[[#This Row],[THÀNH TIỀN]]-Cty_Quang_Long_HD[[#This Row],[THANH TOÁN]]</f>
        <v>82500900</v>
      </c>
      <c r="K19" s="27"/>
    </row>
    <row r="20" spans="1:11" x14ac:dyDescent="0.25">
      <c r="A20" s="25">
        <v>8184</v>
      </c>
      <c r="B20" s="30">
        <v>46099</v>
      </c>
      <c r="C20" s="26" t="s">
        <v>13</v>
      </c>
      <c r="D20" s="38" t="s">
        <v>14</v>
      </c>
      <c r="E20" s="26" t="s">
        <v>62</v>
      </c>
      <c r="F20" s="28">
        <v>508</v>
      </c>
      <c r="G20" s="28">
        <v>43000</v>
      </c>
      <c r="H20" s="28">
        <f>Cty_Quang_Long_HD[[#This Row],[ĐƠN GIÁ]]*Cty_Quang_Long_HD[[#This Row],[SỐ LƯỢNG]]</f>
        <v>21844000</v>
      </c>
      <c r="I20" s="28"/>
      <c r="J20" s="28">
        <f>J19+Cty_Quang_Long_HD[[#This Row],[THÀNH TIỀN]]-Cty_Quang_Long_HD[[#This Row],[THANH TOÁN]]</f>
        <v>104344900</v>
      </c>
      <c r="K20" s="27"/>
    </row>
    <row r="21" spans="1:11" x14ac:dyDescent="0.25">
      <c r="A21" s="25">
        <v>8184</v>
      </c>
      <c r="B21" s="30">
        <v>46099</v>
      </c>
      <c r="C21" s="26" t="s">
        <v>13</v>
      </c>
      <c r="D21" s="38" t="s">
        <v>265</v>
      </c>
      <c r="E21" s="26" t="s">
        <v>41</v>
      </c>
      <c r="F21" s="28">
        <v>316</v>
      </c>
      <c r="G21" s="28">
        <v>63000</v>
      </c>
      <c r="H21" s="28">
        <f>Cty_Quang_Long_HD[[#This Row],[ĐƠN GIÁ]]*Cty_Quang_Long_HD[[#This Row],[SỐ LƯỢNG]]</f>
        <v>19908000</v>
      </c>
      <c r="I21" s="28"/>
      <c r="J21" s="28">
        <f>J20+Cty_Quang_Long_HD[[#This Row],[THÀNH TIỀN]]-Cty_Quang_Long_HD[[#This Row],[THANH TOÁN]]</f>
        <v>124252900</v>
      </c>
      <c r="K21" s="27"/>
    </row>
    <row r="22" spans="1:11" x14ac:dyDescent="0.25">
      <c r="A22" s="25">
        <v>8354</v>
      </c>
      <c r="B22" s="30">
        <v>46107</v>
      </c>
      <c r="C22" s="26" t="s">
        <v>13</v>
      </c>
      <c r="D22" s="38" t="s">
        <v>43</v>
      </c>
      <c r="E22" s="26" t="s">
        <v>248</v>
      </c>
      <c r="F22" s="28">
        <v>1240</v>
      </c>
      <c r="G22" s="31">
        <v>61000</v>
      </c>
      <c r="H22" s="31">
        <f>Cty_Quang_Long_HD[[#This Row],[ĐƠN GIÁ]]*Cty_Quang_Long_HD[[#This Row],[SỐ LƯỢNG]]</f>
        <v>75640000</v>
      </c>
      <c r="I22" s="31"/>
      <c r="J22" s="31">
        <f>J21+Cty_Quang_Long_HD[[#This Row],[THÀNH TIỀN]]-Cty_Quang_Long_HD[[#This Row],[THANH TOÁN]]</f>
        <v>199892900</v>
      </c>
      <c r="K22" s="24"/>
    </row>
    <row r="23" spans="1:11" x14ac:dyDescent="0.25">
      <c r="A23" s="25"/>
      <c r="B23" s="30">
        <v>46108</v>
      </c>
      <c r="C23" s="26" t="s">
        <v>21</v>
      </c>
      <c r="D23" s="38" t="s">
        <v>24</v>
      </c>
      <c r="E23" s="26"/>
      <c r="F23" s="28">
        <v>0</v>
      </c>
      <c r="G23" s="28"/>
      <c r="H23" s="28">
        <f>Cty_Quang_Long_HD[[#This Row],[ĐƠN GIÁ]]*Cty_Quang_Long_HD[[#This Row],[SỐ LƯỢNG]]</f>
        <v>0</v>
      </c>
      <c r="I23" s="28">
        <v>55000000</v>
      </c>
      <c r="J23" s="28">
        <f>J22+Cty_Quang_Long_HD[[#This Row],[THÀNH TIỀN]]-Cty_Quang_Long_HD[[#This Row],[THANH TOÁN]]</f>
        <v>144892900</v>
      </c>
      <c r="K23" s="27"/>
    </row>
    <row r="24" spans="1:11" x14ac:dyDescent="0.25">
      <c r="A24" s="25">
        <v>8399</v>
      </c>
      <c r="B24" s="30">
        <v>46109</v>
      </c>
      <c r="C24" s="26" t="s">
        <v>13</v>
      </c>
      <c r="D24" s="38" t="s">
        <v>17</v>
      </c>
      <c r="E24" s="26" t="s">
        <v>999</v>
      </c>
      <c r="F24" s="28">
        <v>2766</v>
      </c>
      <c r="G24" s="28">
        <v>57500</v>
      </c>
      <c r="H24" s="28">
        <f>Cty_Quang_Long_HD[[#This Row],[ĐƠN GIÁ]]*Cty_Quang_Long_HD[[#This Row],[SỐ LƯỢNG]]</f>
        <v>159045000</v>
      </c>
      <c r="I24" s="28"/>
      <c r="J24" s="28">
        <f>J23+Cty_Quang_Long_HD[[#This Row],[THÀNH TIỀN]]-Cty_Quang_Long_HD[[#This Row],[THANH TOÁN]]</f>
        <v>303937900</v>
      </c>
      <c r="K24" s="27"/>
    </row>
    <row r="25" spans="1:11" x14ac:dyDescent="0.25">
      <c r="A25" s="22">
        <v>8399</v>
      </c>
      <c r="B25" s="29">
        <v>46109</v>
      </c>
      <c r="C25" s="23" t="s">
        <v>972</v>
      </c>
      <c r="D25" s="37" t="s">
        <v>17</v>
      </c>
      <c r="E25" s="23" t="s">
        <v>999</v>
      </c>
      <c r="F25" s="31">
        <v>2767</v>
      </c>
      <c r="G25" s="31">
        <v>500</v>
      </c>
      <c r="H25" s="31">
        <f>Cty_Quang_Long_HD[[#This Row],[ĐƠN GIÁ]]*Cty_Quang_Long_HD[[#This Row],[SỐ LƯỢNG]]</f>
        <v>1383500</v>
      </c>
      <c r="I25" s="31"/>
      <c r="J25" s="31">
        <f>J24+Cty_Quang_Long_HD[[#This Row],[THÀNH TIỀN]]-Cty_Quang_Long_HD[[#This Row],[THANH TOÁN]]</f>
        <v>305321400</v>
      </c>
      <c r="K25" s="24"/>
    </row>
    <row r="26" spans="1:11" x14ac:dyDescent="0.25">
      <c r="A26" s="22">
        <v>8497</v>
      </c>
      <c r="B26" s="29">
        <v>46114</v>
      </c>
      <c r="C26" s="23" t="s">
        <v>13</v>
      </c>
      <c r="D26" s="37" t="s">
        <v>17</v>
      </c>
      <c r="E26" s="23" t="s">
        <v>251</v>
      </c>
      <c r="F26" s="31">
        <v>649</v>
      </c>
      <c r="G26" s="31">
        <v>65000</v>
      </c>
      <c r="H26" s="31">
        <f>Cty_Quang_Long_HD[[#This Row],[ĐƠN GIÁ]]*Cty_Quang_Long_HD[[#This Row],[SỐ LƯỢNG]]</f>
        <v>42185000</v>
      </c>
      <c r="I26" s="31"/>
      <c r="J26" s="31">
        <f>J25+Cty_Quang_Long_HD[[#This Row],[THÀNH TIỀN]]-Cty_Quang_Long_HD[[#This Row],[THANH TOÁN]]</f>
        <v>347506400</v>
      </c>
      <c r="K26" s="24" t="s">
        <v>42</v>
      </c>
    </row>
    <row r="27" spans="1:11" x14ac:dyDescent="0.25">
      <c r="A27" s="22">
        <v>8497</v>
      </c>
      <c r="B27" s="29">
        <v>46114</v>
      </c>
      <c r="C27" s="23" t="s">
        <v>13</v>
      </c>
      <c r="D27" s="37" t="s">
        <v>43</v>
      </c>
      <c r="E27" s="23" t="s">
        <v>136</v>
      </c>
      <c r="F27" s="31">
        <v>650</v>
      </c>
      <c r="G27" s="31">
        <v>61000</v>
      </c>
      <c r="H27" s="31">
        <f>Cty_Quang_Long_HD[[#This Row],[ĐƠN GIÁ]]*Cty_Quang_Long_HD[[#This Row],[SỐ LƯỢNG]]</f>
        <v>39650000</v>
      </c>
      <c r="I27" s="31"/>
      <c r="J27" s="31">
        <f>J26+Cty_Quang_Long_HD[[#This Row],[THÀNH TIỀN]]-Cty_Quang_Long_HD[[#This Row],[THANH TOÁN]]</f>
        <v>387156400</v>
      </c>
      <c r="K27" s="24" t="s">
        <v>42</v>
      </c>
    </row>
    <row r="28" spans="1:11" x14ac:dyDescent="0.25">
      <c r="A28" s="22">
        <v>8497</v>
      </c>
      <c r="B28" s="29">
        <v>46114</v>
      </c>
      <c r="C28" s="23" t="s">
        <v>13</v>
      </c>
      <c r="D28" s="37" t="s">
        <v>17</v>
      </c>
      <c r="E28" s="23" t="s">
        <v>33</v>
      </c>
      <c r="F28" s="31">
        <v>1152</v>
      </c>
      <c r="G28" s="31">
        <v>61000</v>
      </c>
      <c r="H28" s="31">
        <f>Cty_Quang_Long_HD[[#This Row],[ĐƠN GIÁ]]*Cty_Quang_Long_HD[[#This Row],[SỐ LƯỢNG]]</f>
        <v>70272000</v>
      </c>
      <c r="I28" s="31"/>
      <c r="J28" s="31">
        <f>J27+Cty_Quang_Long_HD[[#This Row],[THÀNH TIỀN]]-Cty_Quang_Long_HD[[#This Row],[THANH TOÁN]]</f>
        <v>457428400</v>
      </c>
      <c r="K28" s="24" t="s">
        <v>42</v>
      </c>
    </row>
    <row r="29" spans="1:11" x14ac:dyDescent="0.25">
      <c r="A29" s="22"/>
      <c r="B29" s="29">
        <v>46114</v>
      </c>
      <c r="C29" s="23" t="s">
        <v>21</v>
      </c>
      <c r="D29" s="37" t="s">
        <v>24</v>
      </c>
      <c r="E29" s="23"/>
      <c r="F29" s="31">
        <v>0</v>
      </c>
      <c r="G29" s="31"/>
      <c r="H29" s="31">
        <f>Cty_Quang_Long_HD[[#This Row],[ĐƠN GIÁ]]*Cty_Quang_Long_HD[[#This Row],[SỐ LƯỢNG]]</f>
        <v>0</v>
      </c>
      <c r="I29" s="31">
        <v>200000000</v>
      </c>
      <c r="J29" s="31">
        <f>J28+Cty_Quang_Long_HD[[#This Row],[THÀNH TIỀN]]-Cty_Quang_Long_HD[[#This Row],[THANH TOÁN]]</f>
        <v>257428400</v>
      </c>
      <c r="K29" s="24"/>
    </row>
    <row r="30" spans="1:11" x14ac:dyDescent="0.25">
      <c r="A30" s="22">
        <v>8552</v>
      </c>
      <c r="B30" s="29">
        <v>46116</v>
      </c>
      <c r="C30" s="23" t="s">
        <v>13</v>
      </c>
      <c r="D30" s="37" t="s">
        <v>17</v>
      </c>
      <c r="E30" s="23" t="s">
        <v>1000</v>
      </c>
      <c r="F30" s="31">
        <v>1968</v>
      </c>
      <c r="G30" s="31">
        <v>61000</v>
      </c>
      <c r="H30" s="31">
        <f>Cty_Quang_Long_HD[[#This Row],[ĐƠN GIÁ]]*Cty_Quang_Long_HD[[#This Row],[SỐ LƯỢNG]]</f>
        <v>120048000</v>
      </c>
      <c r="I30" s="31"/>
      <c r="J30" s="31">
        <f>J29+Cty_Quang_Long_HD[[#This Row],[THÀNH TIỀN]]-Cty_Quang_Long_HD[[#This Row],[THANH TOÁN]]</f>
        <v>377476400</v>
      </c>
      <c r="K30" s="24" t="s">
        <v>231</v>
      </c>
    </row>
    <row r="31" spans="1:11" x14ac:dyDescent="0.25">
      <c r="A31" s="22">
        <v>8552</v>
      </c>
      <c r="B31" s="29">
        <v>46116</v>
      </c>
      <c r="C31" s="23" t="s">
        <v>13</v>
      </c>
      <c r="D31" s="37" t="s">
        <v>17</v>
      </c>
      <c r="E31" s="23" t="s">
        <v>234</v>
      </c>
      <c r="F31" s="31">
        <v>686</v>
      </c>
      <c r="G31" s="31">
        <v>61500</v>
      </c>
      <c r="H31" s="31">
        <f>Cty_Quang_Long_HD[[#This Row],[ĐƠN GIÁ]]*Cty_Quang_Long_HD[[#This Row],[SỐ LƯỢNG]]</f>
        <v>42189000</v>
      </c>
      <c r="I31" s="31"/>
      <c r="J31" s="31">
        <f>J30+Cty_Quang_Long_HD[[#This Row],[THÀNH TIỀN]]-Cty_Quang_Long_HD[[#This Row],[THANH TOÁN]]</f>
        <v>419665400</v>
      </c>
      <c r="K31" s="24" t="s">
        <v>231</v>
      </c>
    </row>
    <row r="32" spans="1:11" x14ac:dyDescent="0.25">
      <c r="A32" s="22">
        <v>8633</v>
      </c>
      <c r="B32" s="29">
        <v>46120</v>
      </c>
      <c r="C32" s="23" t="s">
        <v>13</v>
      </c>
      <c r="D32" s="37" t="s">
        <v>17</v>
      </c>
      <c r="E32" s="23" t="s">
        <v>1001</v>
      </c>
      <c r="F32" s="31">
        <v>1484</v>
      </c>
      <c r="G32" s="31">
        <v>61000</v>
      </c>
      <c r="H32" s="31">
        <f>Cty_Quang_Long_HD[[#This Row],[ĐƠN GIÁ]]*Cty_Quang_Long_HD[[#This Row],[SỐ LƯỢNG]]</f>
        <v>90524000</v>
      </c>
      <c r="I32" s="31"/>
      <c r="J32" s="31">
        <f>J31+Cty_Quang_Long_HD[[#This Row],[THÀNH TIỀN]]-Cty_Quang_Long_HD[[#This Row],[THANH TOÁN]]</f>
        <v>510189400</v>
      </c>
      <c r="K32" s="24" t="s">
        <v>231</v>
      </c>
    </row>
    <row r="33" spans="1:11" x14ac:dyDescent="0.25">
      <c r="A33" s="22"/>
      <c r="B33" s="29">
        <v>46128</v>
      </c>
      <c r="C33" s="23" t="s">
        <v>21</v>
      </c>
      <c r="D33" s="37" t="s">
        <v>24</v>
      </c>
      <c r="E33" s="23"/>
      <c r="F33" s="31">
        <v>0</v>
      </c>
      <c r="G33" s="31"/>
      <c r="H33" s="31">
        <f>Cty_Quang_Long_HD[[#This Row],[ĐƠN GIÁ]]*Cty_Quang_Long_HD[[#This Row],[SỐ LƯỢNG]]</f>
        <v>0</v>
      </c>
      <c r="I33" s="31">
        <v>284490000</v>
      </c>
      <c r="J33" s="31">
        <f>J32+Cty_Quang_Long_HD[[#This Row],[THÀNH TIỀN]]-Cty_Quang_Long_HD[[#This Row],[THANH TOÁN]]</f>
        <v>225699400</v>
      </c>
      <c r="K33" s="24"/>
    </row>
    <row r="34" spans="1:11" x14ac:dyDescent="0.25">
      <c r="A34" s="22">
        <v>8863</v>
      </c>
      <c r="B34" s="29">
        <v>46129</v>
      </c>
      <c r="C34" s="23" t="s">
        <v>13</v>
      </c>
      <c r="D34" s="37" t="s">
        <v>43</v>
      </c>
      <c r="E34" s="23" t="s">
        <v>41</v>
      </c>
      <c r="F34" s="31">
        <v>946</v>
      </c>
      <c r="G34" s="31">
        <v>62000</v>
      </c>
      <c r="H34" s="31">
        <f>Cty_Quang_Long_HD[[#This Row],[ĐƠN GIÁ]]*Cty_Quang_Long_HD[[#This Row],[SỐ LƯỢNG]]</f>
        <v>58652000</v>
      </c>
      <c r="I34" s="31"/>
      <c r="J34" s="31">
        <f>J33+Cty_Quang_Long_HD[[#This Row],[THÀNH TIỀN]]-Cty_Quang_Long_HD[[#This Row],[THANH TOÁN]]</f>
        <v>284351400</v>
      </c>
      <c r="K34" s="24"/>
    </row>
    <row r="35" spans="1:11" x14ac:dyDescent="0.25">
      <c r="A35" s="22">
        <v>8863</v>
      </c>
      <c r="B35" s="29">
        <v>46129</v>
      </c>
      <c r="C35" s="23" t="s">
        <v>13</v>
      </c>
      <c r="D35" s="37" t="s">
        <v>17</v>
      </c>
      <c r="E35" s="23" t="s">
        <v>62</v>
      </c>
      <c r="F35" s="31">
        <v>294</v>
      </c>
      <c r="G35" s="31">
        <v>65500</v>
      </c>
      <c r="H35" s="31">
        <f>Cty_Quang_Long_HD[[#This Row],[ĐƠN GIÁ]]*Cty_Quang_Long_HD[[#This Row],[SỐ LƯỢNG]]</f>
        <v>19257000</v>
      </c>
      <c r="I35" s="31"/>
      <c r="J35" s="31">
        <f>J34+Cty_Quang_Long_HD[[#This Row],[THÀNH TIỀN]]-Cty_Quang_Long_HD[[#This Row],[THANH TOÁN]]</f>
        <v>303608400</v>
      </c>
      <c r="K35" s="24"/>
    </row>
    <row r="36" spans="1:11" x14ac:dyDescent="0.25">
      <c r="A36" s="22">
        <v>8901</v>
      </c>
      <c r="B36" s="29">
        <v>46132</v>
      </c>
      <c r="C36" s="23" t="s">
        <v>13</v>
      </c>
      <c r="D36" s="37" t="s">
        <v>17</v>
      </c>
      <c r="E36" s="23" t="s">
        <v>33</v>
      </c>
      <c r="F36" s="31">
        <v>1810</v>
      </c>
      <c r="G36" s="31">
        <v>61000</v>
      </c>
      <c r="H36" s="31">
        <f>Cty_Quang_Long_HD[[#This Row],[ĐƠN GIÁ]]*Cty_Quang_Long_HD[[#This Row],[SỐ LƯỢNG]]</f>
        <v>110410000</v>
      </c>
      <c r="I36" s="31"/>
      <c r="J36" s="31">
        <f>J35+Cty_Quang_Long_HD[[#This Row],[THÀNH TIỀN]]-Cty_Quang_Long_HD[[#This Row],[THANH TOÁN]]</f>
        <v>414018400</v>
      </c>
      <c r="K36" s="24" t="s">
        <v>42</v>
      </c>
    </row>
    <row r="37" spans="1:11" x14ac:dyDescent="0.25">
      <c r="A37" s="22"/>
      <c r="B37" s="29">
        <v>46133</v>
      </c>
      <c r="C37" s="23" t="s">
        <v>21</v>
      </c>
      <c r="D37" s="37" t="s">
        <v>22</v>
      </c>
      <c r="E37" s="23" t="s">
        <v>83</v>
      </c>
      <c r="F37" s="31">
        <v>0</v>
      </c>
      <c r="G37" s="31"/>
      <c r="H37" s="31">
        <f>Cty_Quang_Long_HD[[#This Row],[ĐƠN GIÁ]]*Cty_Quang_Long_HD[[#This Row],[SỐ LƯỢNG]]</f>
        <v>0</v>
      </c>
      <c r="I37" s="31">
        <v>130792766</v>
      </c>
      <c r="J37" s="31">
        <f>J36+Cty_Quang_Long_HD[[#This Row],[THÀNH TIỀN]]-Cty_Quang_Long_HD[[#This Row],[THANH TOÁN]]</f>
        <v>283225634</v>
      </c>
      <c r="K37" s="24"/>
    </row>
    <row r="38" spans="1:11" x14ac:dyDescent="0.25">
      <c r="A38" s="22">
        <v>8989</v>
      </c>
      <c r="B38" s="29">
        <v>46136</v>
      </c>
      <c r="C38" s="23" t="s">
        <v>13</v>
      </c>
      <c r="D38" s="37" t="s">
        <v>135</v>
      </c>
      <c r="E38" s="23" t="s">
        <v>148</v>
      </c>
      <c r="F38" s="31">
        <v>824</v>
      </c>
      <c r="G38" s="31">
        <v>37000</v>
      </c>
      <c r="H38" s="31">
        <f>Cty_Quang_Long_HD[[#This Row],[ĐƠN GIÁ]]*Cty_Quang_Long_HD[[#This Row],[SỐ LƯỢNG]]</f>
        <v>30488000</v>
      </c>
      <c r="I38" s="31"/>
      <c r="J38" s="31">
        <f>J37+Cty_Quang_Long_HD[[#This Row],[THÀNH TIỀN]]-Cty_Quang_Long_HD[[#This Row],[THANH TOÁN]]</f>
        <v>313713634</v>
      </c>
      <c r="K38" s="24" t="s">
        <v>42</v>
      </c>
    </row>
    <row r="39" spans="1:11" x14ac:dyDescent="0.25">
      <c r="A39" s="25">
        <v>8989</v>
      </c>
      <c r="B39" s="30">
        <v>46136</v>
      </c>
      <c r="C39" s="26" t="s">
        <v>13</v>
      </c>
      <c r="D39" s="38" t="s">
        <v>43</v>
      </c>
      <c r="E39" s="26" t="s">
        <v>44</v>
      </c>
      <c r="F39" s="28">
        <v>834</v>
      </c>
      <c r="G39" s="28">
        <v>58500</v>
      </c>
      <c r="H39" s="28">
        <f>Cty_Quang_Long_HD[[#This Row],[ĐƠN GIÁ]]*Cty_Quang_Long_HD[[#This Row],[SỐ LƯỢNG]]</f>
        <v>48789000</v>
      </c>
      <c r="I39" s="28"/>
      <c r="J39" s="28">
        <f>J38+Cty_Quang_Long_HD[[#This Row],[THÀNH TIỀN]]-Cty_Quang_Long_HD[[#This Row],[THANH TOÁN]]</f>
        <v>362502634</v>
      </c>
      <c r="K39" s="27" t="s">
        <v>42</v>
      </c>
    </row>
    <row r="40" spans="1:11" x14ac:dyDescent="0.25">
      <c r="A40" s="22">
        <v>9214</v>
      </c>
      <c r="B40" s="29">
        <v>46148</v>
      </c>
      <c r="C40" s="23" t="s">
        <v>13</v>
      </c>
      <c r="D40" s="37" t="s">
        <v>17</v>
      </c>
      <c r="E40" s="23" t="s">
        <v>134</v>
      </c>
      <c r="F40" s="31">
        <v>1337</v>
      </c>
      <c r="G40" s="31">
        <v>60500</v>
      </c>
      <c r="H40" s="31">
        <f>Cty_Quang_Long_HD[[#This Row],[ĐƠN GIÁ]]*Cty_Quang_Long_HD[[#This Row],[SỐ LƯỢNG]]</f>
        <v>80888500</v>
      </c>
      <c r="I40" s="31"/>
      <c r="J40" s="31">
        <f>J39+Cty_Quang_Long_HD[[#This Row],[THÀNH TIỀN]]-Cty_Quang_Long_HD[[#This Row],[THANH TOÁN]]</f>
        <v>443391134</v>
      </c>
      <c r="K40" s="24"/>
    </row>
    <row r="41" spans="1:11" x14ac:dyDescent="0.25">
      <c r="A41" s="22">
        <v>9274</v>
      </c>
      <c r="B41" s="29">
        <v>46151</v>
      </c>
      <c r="C41" s="23" t="s">
        <v>13</v>
      </c>
      <c r="D41" s="37" t="s">
        <v>43</v>
      </c>
      <c r="E41" s="23" t="s">
        <v>154</v>
      </c>
      <c r="F41" s="31">
        <v>1511</v>
      </c>
      <c r="G41" s="31">
        <v>62000</v>
      </c>
      <c r="H41" s="31">
        <f>Cty_Quang_Long_HD[[#This Row],[ĐƠN GIÁ]]*Cty_Quang_Long_HD[[#This Row],[SỐ LƯỢNG]]</f>
        <v>93682000</v>
      </c>
      <c r="I41" s="31"/>
      <c r="J41" s="31">
        <f>J40+Cty_Quang_Long_HD[[#This Row],[THÀNH TIỀN]]-Cty_Quang_Long_HD[[#This Row],[THANH TOÁN]]</f>
        <v>537073134</v>
      </c>
      <c r="K41" s="24"/>
    </row>
    <row r="42" spans="1:11" x14ac:dyDescent="0.25">
      <c r="A42" s="22">
        <v>9439</v>
      </c>
      <c r="B42" s="29">
        <v>46158</v>
      </c>
      <c r="C42" s="23" t="s">
        <v>13</v>
      </c>
      <c r="D42" s="37" t="s">
        <v>43</v>
      </c>
      <c r="E42" s="23" t="s">
        <v>134</v>
      </c>
      <c r="F42" s="31">
        <v>586</v>
      </c>
      <c r="G42" s="31">
        <v>60000</v>
      </c>
      <c r="H42" s="31">
        <f>Cty_Quang_Long_HD[[#This Row],[ĐƠN GIÁ]]*Cty_Quang_Long_HD[[#This Row],[SỐ LƯỢNG]]</f>
        <v>35160000</v>
      </c>
      <c r="I42" s="31"/>
      <c r="J42" s="31">
        <f>J41+Cty_Quang_Long_HD[[#This Row],[THÀNH TIỀN]]-Cty_Quang_Long_HD[[#This Row],[THANH TOÁN]]</f>
        <v>572233134</v>
      </c>
      <c r="K42" s="24"/>
    </row>
    <row r="43" spans="1:11" x14ac:dyDescent="0.25">
      <c r="A43" s="22">
        <v>9439</v>
      </c>
      <c r="B43" s="29">
        <v>46158</v>
      </c>
      <c r="C43" s="23" t="s">
        <v>13</v>
      </c>
      <c r="D43" s="37" t="s">
        <v>43</v>
      </c>
      <c r="E43" s="23" t="s">
        <v>148</v>
      </c>
      <c r="F43" s="31">
        <v>748</v>
      </c>
      <c r="G43" s="31">
        <v>60000</v>
      </c>
      <c r="H43" s="31">
        <f>Cty_Quang_Long_HD[[#This Row],[ĐƠN GIÁ]]*Cty_Quang_Long_HD[[#This Row],[SỐ LƯỢNG]]</f>
        <v>44880000</v>
      </c>
      <c r="I43" s="31"/>
      <c r="J43" s="31">
        <f>J42+Cty_Quang_Long_HD[[#This Row],[THÀNH TIỀN]]-Cty_Quang_Long_HD[[#This Row],[THANH TOÁN]]</f>
        <v>617113134</v>
      </c>
      <c r="K43" s="24"/>
    </row>
    <row r="44" spans="1:11" x14ac:dyDescent="0.25">
      <c r="A44" s="22">
        <v>9439</v>
      </c>
      <c r="B44" s="29">
        <v>46158</v>
      </c>
      <c r="C44" s="23" t="s">
        <v>13</v>
      </c>
      <c r="D44" s="37" t="s">
        <v>17</v>
      </c>
      <c r="E44" s="23" t="s">
        <v>134</v>
      </c>
      <c r="F44" s="31">
        <v>2214</v>
      </c>
      <c r="G44" s="31">
        <v>61000</v>
      </c>
      <c r="H44" s="31">
        <f>Cty_Quang_Long_HD[[#This Row],[ĐƠN GIÁ]]*Cty_Quang_Long_HD[[#This Row],[SỐ LƯỢNG]]</f>
        <v>135054000</v>
      </c>
      <c r="I44" s="31"/>
      <c r="J44" s="31">
        <f>J43+Cty_Quang_Long_HD[[#This Row],[THÀNH TIỀN]]-Cty_Quang_Long_HD[[#This Row],[THANH TOÁN]]</f>
        <v>752167134</v>
      </c>
      <c r="K44" s="24"/>
    </row>
    <row r="45" spans="1:11" x14ac:dyDescent="0.25">
      <c r="A45" s="22"/>
      <c r="B45" s="29">
        <v>46150</v>
      </c>
      <c r="C45" s="23" t="s">
        <v>21</v>
      </c>
      <c r="D45" s="37" t="s">
        <v>22</v>
      </c>
      <c r="E45" s="23" t="s">
        <v>83</v>
      </c>
      <c r="F45" s="31">
        <v>0</v>
      </c>
      <c r="G45" s="31"/>
      <c r="H45" s="31">
        <f>Cty_Quang_Long_HD[[#This Row],[ĐƠN GIÁ]]*Cty_Quang_Long_HD[[#This Row],[SỐ LƯỢNG]]</f>
        <v>0</v>
      </c>
      <c r="I45" s="31">
        <v>240144538</v>
      </c>
      <c r="J45" s="31">
        <f>J44+Cty_Quang_Long_HD[[#This Row],[THÀNH TIỀN]]-Cty_Quang_Long_HD[[#This Row],[THANH TOÁN]]</f>
        <v>512022596</v>
      </c>
      <c r="K45" s="24"/>
    </row>
    <row r="46" spans="1:11" x14ac:dyDescent="0.25">
      <c r="A46" s="22"/>
      <c r="B46" s="29">
        <v>46158</v>
      </c>
      <c r="C46" s="23" t="s">
        <v>21</v>
      </c>
      <c r="D46" s="37" t="s">
        <v>22</v>
      </c>
      <c r="E46" s="23" t="s">
        <v>83</v>
      </c>
      <c r="F46" s="31">
        <v>0</v>
      </c>
      <c r="G46" s="31"/>
      <c r="H46" s="31">
        <f>Cty_Quang_Long_HD[[#This Row],[ĐƠN GIÁ]]*Cty_Quang_Long_HD[[#This Row],[SỐ LƯỢNG]]</f>
        <v>0</v>
      </c>
      <c r="I46" s="31">
        <v>90988508</v>
      </c>
      <c r="J46" s="31">
        <f>J45+Cty_Quang_Long_HD[[#This Row],[THÀNH TIỀN]]-Cty_Quang_Long_HD[[#This Row],[THANH TOÁN]]</f>
        <v>421034088</v>
      </c>
      <c r="K46" s="24"/>
    </row>
    <row r="47" spans="1:11" x14ac:dyDescent="0.25">
      <c r="A47" s="22">
        <v>9633</v>
      </c>
      <c r="B47" s="29">
        <v>46168</v>
      </c>
      <c r="C47" s="23" t="s">
        <v>13</v>
      </c>
      <c r="D47" s="37" t="s">
        <v>17</v>
      </c>
      <c r="E47" s="23" t="s">
        <v>2361</v>
      </c>
      <c r="F47" s="31">
        <v>1026</v>
      </c>
      <c r="G47" s="31">
        <v>65000</v>
      </c>
      <c r="H47" s="31">
        <f>Cty_Quang_Long_HD[[#This Row],[ĐƠN GIÁ]]*Cty_Quang_Long_HD[[#This Row],[SỐ LƯỢNG]]</f>
        <v>66690000</v>
      </c>
      <c r="I47" s="31"/>
      <c r="J47" s="31">
        <f>J46+Cty_Quang_Long_HD[[#This Row],[THÀNH TIỀN]]-Cty_Quang_Long_HD[[#This Row],[THANH TOÁN]]</f>
        <v>487724088</v>
      </c>
      <c r="K47" s="24" t="s">
        <v>42</v>
      </c>
    </row>
    <row r="48" spans="1:11" x14ac:dyDescent="0.25">
      <c r="A48" s="22"/>
      <c r="B48" s="29">
        <v>46169</v>
      </c>
      <c r="C48" s="23" t="s">
        <v>21</v>
      </c>
      <c r="D48" s="37" t="s">
        <v>22</v>
      </c>
      <c r="E48" s="23" t="s">
        <v>83</v>
      </c>
      <c r="F48" s="31">
        <v>0</v>
      </c>
      <c r="G48" s="31"/>
      <c r="H48" s="31">
        <f>Cty_Quang_Long_HD[[#This Row],[ĐƠN GIÁ]]*Cty_Quang_Long_HD[[#This Row],[SỐ LƯỢNG]]</f>
        <v>0</v>
      </c>
      <c r="I48" s="31">
        <v>96660850</v>
      </c>
      <c r="J48" s="31">
        <f>J47+Cty_Quang_Long_HD[[#This Row],[THÀNH TIỀN]]-Cty_Quang_Long_HD[[#This Row],[THANH TOÁN]]</f>
        <v>391063238</v>
      </c>
      <c r="K48" s="24"/>
    </row>
    <row r="49" spans="1:11" x14ac:dyDescent="0.25">
      <c r="A49" s="22">
        <v>9741</v>
      </c>
      <c r="B49" s="29">
        <v>46174</v>
      </c>
      <c r="C49" s="23" t="s">
        <v>13</v>
      </c>
      <c r="D49" s="37" t="s">
        <v>43</v>
      </c>
      <c r="E49" s="23" t="s">
        <v>248</v>
      </c>
      <c r="F49" s="31">
        <v>1691</v>
      </c>
      <c r="G49" s="31">
        <v>62000</v>
      </c>
      <c r="H49" s="31">
        <f>Cty_Quang_Long_HD[[#This Row],[ĐƠN GIÁ]]*Cty_Quang_Long_HD[[#This Row],[SỐ LƯỢNG]]</f>
        <v>104842000</v>
      </c>
      <c r="I49" s="31"/>
      <c r="J49" s="31">
        <f>J48+Cty_Quang_Long_HD[[#This Row],[THÀNH TIỀN]]-Cty_Quang_Long_HD[[#This Row],[THANH TOÁN]]</f>
        <v>495905238</v>
      </c>
      <c r="K49" s="24"/>
    </row>
    <row r="50" spans="1:11" x14ac:dyDescent="0.25">
      <c r="A50" s="22"/>
      <c r="B50" s="29">
        <v>46176</v>
      </c>
      <c r="C50" s="23" t="s">
        <v>21</v>
      </c>
      <c r="D50" s="37" t="s">
        <v>22</v>
      </c>
      <c r="E50" s="23" t="s">
        <v>147</v>
      </c>
      <c r="F50" s="31">
        <v>0</v>
      </c>
      <c r="G50" s="31"/>
      <c r="H50" s="31">
        <f>Cty_Quang_Long_HD[[#This Row],[ĐƠN GIÁ]]*Cty_Quang_Long_HD[[#This Row],[SỐ LƯỢNG]]</f>
        <v>0</v>
      </c>
      <c r="I50" s="31">
        <v>215095016</v>
      </c>
      <c r="J50" s="31">
        <f>J49+Cty_Quang_Long_HD[[#This Row],[THÀNH TIỀN]]-Cty_Quang_Long_HD[[#This Row],[THANH TOÁN]]</f>
        <v>280810222</v>
      </c>
      <c r="K50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4F99A1-B981-4225-A232-386E6C97C7DF}">
  <sheetPr codeName="Sheet65"/>
  <dimension ref="A5:K78"/>
  <sheetViews>
    <sheetView topLeftCell="A21" workbookViewId="0">
      <selection activeCell="E49" sqref="E49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661978311</v>
      </c>
    </row>
    <row r="6" spans="1:11" ht="22.5" x14ac:dyDescent="0.25">
      <c r="D6" s="34" t="s">
        <v>1002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Cty_Minh_Chau_TN[[#This Row],[ĐƠN GIÁ]]*Cty_Minh_Chau_TN[[#This Row],[SỐ LƯỢNG]]</f>
        <v>0</v>
      </c>
      <c r="I10" s="31"/>
      <c r="J10" s="31">
        <v>372613000</v>
      </c>
      <c r="K10" s="24"/>
    </row>
    <row r="11" spans="1:11" x14ac:dyDescent="0.25">
      <c r="A11" s="22">
        <v>7876</v>
      </c>
      <c r="B11" s="29">
        <v>46086</v>
      </c>
      <c r="C11" s="23" t="s">
        <v>13</v>
      </c>
      <c r="D11" s="37" t="s">
        <v>17</v>
      </c>
      <c r="E11" s="23" t="s">
        <v>31</v>
      </c>
      <c r="F11" s="31">
        <v>1162</v>
      </c>
      <c r="G11" s="31">
        <v>62000</v>
      </c>
      <c r="H11" s="31">
        <f>Cty_Minh_Chau_TN[[#This Row],[ĐƠN GIÁ]]*Cty_Minh_Chau_TN[[#This Row],[SỐ LƯỢNG]]</f>
        <v>72044000</v>
      </c>
      <c r="I11" s="31"/>
      <c r="J11" s="31">
        <f>J10+Cty_Minh_Chau_TN[[#This Row],[THÀNH TIỀN]]-Cty_Minh_Chau_TN[[#This Row],[THANH TOÁN]]</f>
        <v>444657000</v>
      </c>
      <c r="K11" s="24"/>
    </row>
    <row r="12" spans="1:11" x14ac:dyDescent="0.25">
      <c r="A12" s="22">
        <v>7876</v>
      </c>
      <c r="B12" s="29">
        <v>46086</v>
      </c>
      <c r="C12" s="23" t="s">
        <v>13</v>
      </c>
      <c r="D12" s="37" t="s">
        <v>17</v>
      </c>
      <c r="E12" s="23" t="s">
        <v>25</v>
      </c>
      <c r="F12" s="31">
        <v>484</v>
      </c>
      <c r="G12" s="31">
        <v>62000</v>
      </c>
      <c r="H12" s="31">
        <f>Cty_Minh_Chau_TN[[#This Row],[ĐƠN GIÁ]]*Cty_Minh_Chau_TN[[#This Row],[SỐ LƯỢNG]]</f>
        <v>30008000</v>
      </c>
      <c r="I12" s="31"/>
      <c r="J12" s="31">
        <f>J11+Cty_Minh_Chau_TN[[#This Row],[THÀNH TIỀN]]-Cty_Minh_Chau_TN[[#This Row],[THANH TOÁN]]</f>
        <v>474665000</v>
      </c>
      <c r="K12" s="24"/>
    </row>
    <row r="13" spans="1:11" x14ac:dyDescent="0.25">
      <c r="A13" s="22">
        <v>7876</v>
      </c>
      <c r="B13" s="29">
        <v>46086</v>
      </c>
      <c r="C13" s="23" t="s">
        <v>13</v>
      </c>
      <c r="D13" s="38" t="s">
        <v>26</v>
      </c>
      <c r="E13" s="26" t="s">
        <v>136</v>
      </c>
      <c r="F13" s="28">
        <v>198</v>
      </c>
      <c r="G13" s="28">
        <v>36000</v>
      </c>
      <c r="H13" s="28">
        <f>Cty_Minh_Chau_TN[[#This Row],[ĐƠN GIÁ]]*Cty_Minh_Chau_TN[[#This Row],[SỐ LƯỢNG]]</f>
        <v>7128000</v>
      </c>
      <c r="I13" s="28"/>
      <c r="J13" s="31">
        <f>J12+Cty_Minh_Chau_TN[[#This Row],[THÀNH TIỀN]]-Cty_Minh_Chau_TN[[#This Row],[THANH TOÁN]]</f>
        <v>481793000</v>
      </c>
      <c r="K13" s="27"/>
    </row>
    <row r="14" spans="1:11" x14ac:dyDescent="0.25">
      <c r="A14" s="22">
        <v>7876</v>
      </c>
      <c r="B14" s="29">
        <v>46086</v>
      </c>
      <c r="C14" s="23" t="s">
        <v>13</v>
      </c>
      <c r="D14" s="38" t="s">
        <v>26</v>
      </c>
      <c r="E14" s="23" t="s">
        <v>134</v>
      </c>
      <c r="F14" s="31">
        <v>88</v>
      </c>
      <c r="G14" s="31">
        <v>36000</v>
      </c>
      <c r="H14" s="31">
        <f>Cty_Minh_Chau_TN[[#This Row],[ĐƠN GIÁ]]*Cty_Minh_Chau_TN[[#This Row],[SỐ LƯỢNG]]</f>
        <v>3168000</v>
      </c>
      <c r="I14" s="31"/>
      <c r="J14" s="31">
        <f>J13+Cty_Minh_Chau_TN[[#This Row],[THÀNH TIỀN]]-Cty_Minh_Chau_TN[[#This Row],[THANH TOÁN]]</f>
        <v>484961000</v>
      </c>
      <c r="K14" s="24"/>
    </row>
    <row r="15" spans="1:11" x14ac:dyDescent="0.25">
      <c r="A15" s="22">
        <v>7876</v>
      </c>
      <c r="B15" s="29">
        <v>46086</v>
      </c>
      <c r="C15" s="23" t="s">
        <v>13</v>
      </c>
      <c r="D15" s="38" t="s">
        <v>14</v>
      </c>
      <c r="E15" s="23" t="s">
        <v>146</v>
      </c>
      <c r="F15" s="31">
        <v>352</v>
      </c>
      <c r="G15" s="31">
        <v>41000</v>
      </c>
      <c r="H15" s="31">
        <f>Cty_Minh_Chau_TN[[#This Row],[ĐƠN GIÁ]]*Cty_Minh_Chau_TN[[#This Row],[SỐ LƯỢNG]]</f>
        <v>14432000</v>
      </c>
      <c r="I15" s="31"/>
      <c r="J15" s="31">
        <f>J14+Cty_Minh_Chau_TN[[#This Row],[THÀNH TIỀN]]-Cty_Minh_Chau_TN[[#This Row],[THANH TOÁN]]</f>
        <v>499393000</v>
      </c>
      <c r="K15" s="24"/>
    </row>
    <row r="16" spans="1:11" x14ac:dyDescent="0.25">
      <c r="A16" s="22">
        <v>7876</v>
      </c>
      <c r="B16" s="29">
        <v>46086</v>
      </c>
      <c r="C16" s="23" t="s">
        <v>13</v>
      </c>
      <c r="D16" s="38" t="s">
        <v>1003</v>
      </c>
      <c r="E16" s="26" t="s">
        <v>40</v>
      </c>
      <c r="F16" s="28">
        <f>1518-16</f>
        <v>1502</v>
      </c>
      <c r="G16" s="28">
        <v>42000</v>
      </c>
      <c r="H16" s="28">
        <f>Cty_Minh_Chau_TN[[#This Row],[ĐƠN GIÁ]]*Cty_Minh_Chau_TN[[#This Row],[SỐ LƯỢNG]]</f>
        <v>63084000</v>
      </c>
      <c r="I16" s="28"/>
      <c r="J16" s="31">
        <f>J15+Cty_Minh_Chau_TN[[#This Row],[THÀNH TIỀN]]-Cty_Minh_Chau_TN[[#This Row],[THANH TOÁN]]</f>
        <v>562477000</v>
      </c>
      <c r="K16" s="27"/>
    </row>
    <row r="17" spans="1:11" x14ac:dyDescent="0.25">
      <c r="A17" s="25"/>
      <c r="B17" s="30">
        <v>46086</v>
      </c>
      <c r="C17" s="26" t="s">
        <v>21</v>
      </c>
      <c r="D17" s="38" t="s">
        <v>22</v>
      </c>
      <c r="E17" s="26" t="s">
        <v>83</v>
      </c>
      <c r="F17" s="28">
        <v>0</v>
      </c>
      <c r="G17" s="28">
        <v>0</v>
      </c>
      <c r="H17" s="28">
        <f>Cty_Minh_Chau_TN[[#This Row],[ĐƠN GIÁ]]*Cty_Minh_Chau_TN[[#This Row],[SỐ LƯỢNG]]</f>
        <v>0</v>
      </c>
      <c r="I17" s="28">
        <v>100000000</v>
      </c>
      <c r="J17" s="28">
        <f>J16+Cty_Minh_Chau_TN[[#This Row],[THÀNH TIỀN]]-Cty_Minh_Chau_TN[[#This Row],[THANH TOÁN]]</f>
        <v>462477000</v>
      </c>
      <c r="K17" s="27"/>
    </row>
    <row r="18" spans="1:11" x14ac:dyDescent="0.25">
      <c r="A18" s="25">
        <v>7986</v>
      </c>
      <c r="B18" s="30">
        <v>46091</v>
      </c>
      <c r="C18" s="26" t="s">
        <v>13</v>
      </c>
      <c r="D18" s="38" t="s">
        <v>26</v>
      </c>
      <c r="E18" s="26" t="s">
        <v>46</v>
      </c>
      <c r="F18" s="28">
        <v>1180</v>
      </c>
      <c r="G18" s="28">
        <v>33500</v>
      </c>
      <c r="H18" s="28">
        <f>Cty_Minh_Chau_TN[[#This Row],[ĐƠN GIÁ]]*Cty_Minh_Chau_TN[[#This Row],[SỐ LƯỢNG]]</f>
        <v>39530000</v>
      </c>
      <c r="I18" s="28"/>
      <c r="J18" s="28">
        <f>J17+Cty_Minh_Chau_TN[[#This Row],[THÀNH TIỀN]]-Cty_Minh_Chau_TN[[#This Row],[THANH TOÁN]]</f>
        <v>502007000</v>
      </c>
      <c r="K18" s="27"/>
    </row>
    <row r="19" spans="1:11" x14ac:dyDescent="0.25">
      <c r="A19" s="25">
        <v>7986</v>
      </c>
      <c r="B19" s="30">
        <v>46091</v>
      </c>
      <c r="C19" s="26" t="s">
        <v>13</v>
      </c>
      <c r="D19" s="38" t="s">
        <v>17</v>
      </c>
      <c r="E19" s="26" t="s">
        <v>127</v>
      </c>
      <c r="F19" s="28">
        <f>490+490</f>
        <v>980</v>
      </c>
      <c r="G19" s="28">
        <v>64000</v>
      </c>
      <c r="H19" s="28">
        <f>Cty_Minh_Chau_TN[[#This Row],[ĐƠN GIÁ]]*Cty_Minh_Chau_TN[[#This Row],[SỐ LƯỢNG]]</f>
        <v>62720000</v>
      </c>
      <c r="I19" s="28"/>
      <c r="J19" s="28">
        <f>J18+Cty_Minh_Chau_TN[[#This Row],[THÀNH TIỀN]]-Cty_Minh_Chau_TN[[#This Row],[THANH TOÁN]]</f>
        <v>564727000</v>
      </c>
      <c r="K19" s="27"/>
    </row>
    <row r="20" spans="1:11" x14ac:dyDescent="0.25">
      <c r="A20" s="25">
        <v>7986</v>
      </c>
      <c r="B20" s="30">
        <v>46091</v>
      </c>
      <c r="C20" s="26" t="s">
        <v>13</v>
      </c>
      <c r="D20" s="38" t="s">
        <v>1004</v>
      </c>
      <c r="E20" s="26" t="s">
        <v>33</v>
      </c>
      <c r="F20" s="28">
        <v>502</v>
      </c>
      <c r="G20" s="28">
        <v>64000</v>
      </c>
      <c r="H20" s="28">
        <f>Cty_Minh_Chau_TN[[#This Row],[ĐƠN GIÁ]]*Cty_Minh_Chau_TN[[#This Row],[SỐ LƯỢNG]]</f>
        <v>32128000</v>
      </c>
      <c r="I20" s="28"/>
      <c r="J20" s="28">
        <f>J19+Cty_Minh_Chau_TN[[#This Row],[THÀNH TIỀN]]-Cty_Minh_Chau_TN[[#This Row],[THANH TOÁN]]</f>
        <v>596855000</v>
      </c>
      <c r="K20" s="27"/>
    </row>
    <row r="21" spans="1:11" x14ac:dyDescent="0.25">
      <c r="A21" s="25"/>
      <c r="B21" s="30">
        <v>46091</v>
      </c>
      <c r="C21" s="26" t="s">
        <v>21</v>
      </c>
      <c r="D21" s="38" t="s">
        <v>22</v>
      </c>
      <c r="E21" s="26" t="s">
        <v>83</v>
      </c>
      <c r="F21" s="28">
        <v>0</v>
      </c>
      <c r="G21" s="28">
        <v>0</v>
      </c>
      <c r="H21" s="28">
        <f>Cty_Minh_Chau_TN[[#This Row],[ĐƠN GIÁ]]*Cty_Minh_Chau_TN[[#This Row],[SỐ LƯỢNG]]</f>
        <v>0</v>
      </c>
      <c r="I21" s="28">
        <v>150000000</v>
      </c>
      <c r="J21" s="28">
        <f>J20+Cty_Minh_Chau_TN[[#This Row],[THÀNH TIỀN]]-Cty_Minh_Chau_TN[[#This Row],[THANH TOÁN]]</f>
        <v>446855000</v>
      </c>
      <c r="K21" s="27"/>
    </row>
    <row r="22" spans="1:11" ht="31.5" x14ac:dyDescent="0.25">
      <c r="A22" s="63">
        <v>8038</v>
      </c>
      <c r="B22" s="64">
        <v>46093</v>
      </c>
      <c r="C22" s="65" t="s">
        <v>13</v>
      </c>
      <c r="D22" s="50" t="s">
        <v>68</v>
      </c>
      <c r="E22" s="51" t="s">
        <v>1005</v>
      </c>
      <c r="F22" s="52">
        <v>614</v>
      </c>
      <c r="G22" s="52">
        <v>43000</v>
      </c>
      <c r="H22" s="52">
        <f>Cty_Minh_Chau_TN[[#This Row],[ĐƠN GIÁ]]*Cty_Minh_Chau_TN[[#This Row],[SỐ LƯỢNG]]</f>
        <v>26402000</v>
      </c>
      <c r="I22" s="52"/>
      <c r="J22" s="52">
        <f>J21+Cty_Minh_Chau_TN[[#This Row],[THÀNH TIỀN]]-Cty_Minh_Chau_TN[[#This Row],[THANH TOÁN]]</f>
        <v>473257000</v>
      </c>
      <c r="K22" s="27"/>
    </row>
    <row r="23" spans="1:11" x14ac:dyDescent="0.25">
      <c r="A23" s="63">
        <v>8038</v>
      </c>
      <c r="B23" s="64">
        <v>46093</v>
      </c>
      <c r="C23" s="65" t="s">
        <v>13</v>
      </c>
      <c r="D23" s="38" t="s">
        <v>26</v>
      </c>
      <c r="E23" s="26" t="s">
        <v>211</v>
      </c>
      <c r="F23" s="28">
        <v>854</v>
      </c>
      <c r="G23" s="28">
        <v>36000</v>
      </c>
      <c r="H23" s="28">
        <f>Cty_Minh_Chau_TN[[#This Row],[ĐƠN GIÁ]]*Cty_Minh_Chau_TN[[#This Row],[SỐ LƯỢNG]]</f>
        <v>30744000</v>
      </c>
      <c r="I23" s="28"/>
      <c r="J23" s="28">
        <f>J22+Cty_Minh_Chau_TN[[#This Row],[THÀNH TIỀN]]-Cty_Minh_Chau_TN[[#This Row],[THANH TOÁN]]</f>
        <v>504001000</v>
      </c>
      <c r="K23" s="27"/>
    </row>
    <row r="24" spans="1:11" x14ac:dyDescent="0.25">
      <c r="A24" s="25"/>
      <c r="B24" s="30">
        <v>46093</v>
      </c>
      <c r="C24" s="26" t="s">
        <v>21</v>
      </c>
      <c r="D24" s="38" t="s">
        <v>22</v>
      </c>
      <c r="E24" s="26" t="s">
        <v>83</v>
      </c>
      <c r="F24" s="28">
        <v>0</v>
      </c>
      <c r="G24" s="28"/>
      <c r="H24" s="28">
        <f>Cty_Minh_Chau_TN[[#This Row],[ĐƠN GIÁ]]*Cty_Minh_Chau_TN[[#This Row],[SỐ LƯỢNG]]</f>
        <v>0</v>
      </c>
      <c r="I24" s="28">
        <v>74243013</v>
      </c>
      <c r="J24" s="28">
        <f>J23+Cty_Minh_Chau_TN[[#This Row],[THÀNH TIỀN]]-Cty_Minh_Chau_TN[[#This Row],[THANH TOÁN]]</f>
        <v>429757987</v>
      </c>
      <c r="K24" s="27"/>
    </row>
    <row r="25" spans="1:11" x14ac:dyDescent="0.25">
      <c r="A25" s="25">
        <v>8154</v>
      </c>
      <c r="B25" s="30">
        <v>46098</v>
      </c>
      <c r="C25" s="26" t="s">
        <v>13</v>
      </c>
      <c r="D25" s="38" t="s">
        <v>43</v>
      </c>
      <c r="E25" s="26" t="s">
        <v>1006</v>
      </c>
      <c r="F25" s="28">
        <v>324</v>
      </c>
      <c r="G25" s="28">
        <v>61000</v>
      </c>
      <c r="H25" s="28">
        <f>Cty_Minh_Chau_TN[[#This Row],[ĐƠN GIÁ]]*Cty_Minh_Chau_TN[[#This Row],[SỐ LƯỢNG]]</f>
        <v>19764000</v>
      </c>
      <c r="I25" s="28"/>
      <c r="J25" s="28">
        <f>J24+Cty_Minh_Chau_TN[[#This Row],[THÀNH TIỀN]]-Cty_Minh_Chau_TN[[#This Row],[THANH TOÁN]]</f>
        <v>449521987</v>
      </c>
      <c r="K25" s="27"/>
    </row>
    <row r="26" spans="1:11" x14ac:dyDescent="0.25">
      <c r="A26" s="25"/>
      <c r="B26" s="30">
        <v>46098</v>
      </c>
      <c r="C26" s="26" t="s">
        <v>21</v>
      </c>
      <c r="D26" s="38" t="s">
        <v>22</v>
      </c>
      <c r="E26" s="26" t="s">
        <v>83</v>
      </c>
      <c r="F26" s="28">
        <v>0</v>
      </c>
      <c r="G26" s="28"/>
      <c r="H26" s="28">
        <f>Cty_Minh_Chau_TN[[#This Row],[ĐƠN GIÁ]]*Cty_Minh_Chau_TN[[#This Row],[SỐ LƯỢNG]]</f>
        <v>0</v>
      </c>
      <c r="I26" s="28">
        <v>35000000</v>
      </c>
      <c r="J26" s="28">
        <f>J25+Cty_Minh_Chau_TN[[#This Row],[THÀNH TIỀN]]-Cty_Minh_Chau_TN[[#This Row],[THANH TOÁN]]</f>
        <v>414521987</v>
      </c>
      <c r="K26" s="27"/>
    </row>
    <row r="27" spans="1:11" x14ac:dyDescent="0.25">
      <c r="A27" s="22">
        <v>8359</v>
      </c>
      <c r="B27" s="29">
        <v>46107</v>
      </c>
      <c r="C27" s="23" t="s">
        <v>13</v>
      </c>
      <c r="D27" s="37" t="s">
        <v>17</v>
      </c>
      <c r="E27" s="23" t="s">
        <v>1007</v>
      </c>
      <c r="F27" s="31">
        <v>1808</v>
      </c>
      <c r="G27" s="31">
        <v>66000</v>
      </c>
      <c r="H27" s="31">
        <f>Cty_Minh_Chau_TN[[#This Row],[ĐƠN GIÁ]]*Cty_Minh_Chau_TN[[#This Row],[SỐ LƯỢNG]]</f>
        <v>119328000</v>
      </c>
      <c r="I27" s="31"/>
      <c r="J27" s="31">
        <f>J26+Cty_Minh_Chau_TN[[#This Row],[THÀNH TIỀN]]-Cty_Minh_Chau_TN[[#This Row],[THANH TOÁN]]</f>
        <v>533849987</v>
      </c>
      <c r="K27" s="24"/>
    </row>
    <row r="28" spans="1:11" x14ac:dyDescent="0.25">
      <c r="A28" s="22">
        <v>8359</v>
      </c>
      <c r="B28" s="29">
        <v>46107</v>
      </c>
      <c r="C28" s="23" t="s">
        <v>13</v>
      </c>
      <c r="D28" s="37" t="s">
        <v>17</v>
      </c>
      <c r="E28" s="23" t="s">
        <v>40</v>
      </c>
      <c r="F28" s="31">
        <v>509</v>
      </c>
      <c r="G28" s="31">
        <v>66000</v>
      </c>
      <c r="H28" s="31">
        <f>Cty_Minh_Chau_TN[[#This Row],[ĐƠN GIÁ]]*Cty_Minh_Chau_TN[[#This Row],[SỐ LƯỢNG]]</f>
        <v>33594000</v>
      </c>
      <c r="I28" s="31"/>
      <c r="J28" s="31">
        <f>J27+Cty_Minh_Chau_TN[[#This Row],[THÀNH TIỀN]]-Cty_Minh_Chau_TN[[#This Row],[THANH TOÁN]]</f>
        <v>567443987</v>
      </c>
      <c r="K28" s="24"/>
    </row>
    <row r="29" spans="1:11" x14ac:dyDescent="0.25">
      <c r="A29" s="22"/>
      <c r="B29" s="29">
        <v>46122</v>
      </c>
      <c r="C29" s="23" t="s">
        <v>21</v>
      </c>
      <c r="D29" s="37" t="s">
        <v>22</v>
      </c>
      <c r="E29" s="23" t="s">
        <v>83</v>
      </c>
      <c r="F29" s="31">
        <v>0</v>
      </c>
      <c r="G29" s="31"/>
      <c r="H29" s="31">
        <f>Cty_Minh_Chau_TN[[#This Row],[ĐƠN GIÁ]]*Cty_Minh_Chau_TN[[#This Row],[SỐ LƯỢNG]]</f>
        <v>0</v>
      </c>
      <c r="I29" s="31">
        <v>100000000</v>
      </c>
      <c r="J29" s="31">
        <f>J28+Cty_Minh_Chau_TN[[#This Row],[THÀNH TIỀN]]-Cty_Minh_Chau_TN[[#This Row],[THANH TOÁN]]</f>
        <v>467443987</v>
      </c>
      <c r="K29" s="24"/>
    </row>
    <row r="30" spans="1:11" x14ac:dyDescent="0.25">
      <c r="A30" s="22">
        <v>8745</v>
      </c>
      <c r="B30" s="29">
        <v>46125</v>
      </c>
      <c r="C30" s="23" t="s">
        <v>13</v>
      </c>
      <c r="D30" s="37" t="s">
        <v>45</v>
      </c>
      <c r="E30" s="23" t="s">
        <v>25</v>
      </c>
      <c r="F30" s="31">
        <v>968</v>
      </c>
      <c r="G30" s="31">
        <v>34500</v>
      </c>
      <c r="H30" s="31">
        <f>Cty_Minh_Chau_TN[[#This Row],[ĐƠN GIÁ]]*Cty_Minh_Chau_TN[[#This Row],[SỐ LƯỢNG]]</f>
        <v>33396000</v>
      </c>
      <c r="I30" s="31"/>
      <c r="J30" s="31">
        <f>J29+Cty_Minh_Chau_TN[[#This Row],[THÀNH TIỀN]]-Cty_Minh_Chau_TN[[#This Row],[THANH TOÁN]]</f>
        <v>500839987</v>
      </c>
      <c r="K30" s="24"/>
    </row>
    <row r="31" spans="1:11" x14ac:dyDescent="0.25">
      <c r="A31" s="22">
        <v>8745</v>
      </c>
      <c r="B31" s="29">
        <v>46125</v>
      </c>
      <c r="C31" s="23" t="s">
        <v>13</v>
      </c>
      <c r="D31" s="37" t="s">
        <v>26</v>
      </c>
      <c r="E31" s="23" t="s">
        <v>649</v>
      </c>
      <c r="F31" s="31">
        <v>1010</v>
      </c>
      <c r="G31" s="31">
        <v>35000</v>
      </c>
      <c r="H31" s="31">
        <f>Cty_Minh_Chau_TN[[#This Row],[ĐƠN GIÁ]]*Cty_Minh_Chau_TN[[#This Row],[SỐ LƯỢNG]]</f>
        <v>35350000</v>
      </c>
      <c r="I31" s="31"/>
      <c r="J31" s="31">
        <f>J30+Cty_Minh_Chau_TN[[#This Row],[THÀNH TIỀN]]-Cty_Minh_Chau_TN[[#This Row],[THANH TOÁN]]</f>
        <v>536189987</v>
      </c>
      <c r="K31" s="24"/>
    </row>
    <row r="32" spans="1:11" x14ac:dyDescent="0.25">
      <c r="A32" s="22">
        <v>8745</v>
      </c>
      <c r="B32" s="29">
        <v>46125</v>
      </c>
      <c r="C32" s="23" t="s">
        <v>13</v>
      </c>
      <c r="D32" s="37" t="s">
        <v>68</v>
      </c>
      <c r="E32" s="23" t="s">
        <v>1008</v>
      </c>
      <c r="F32" s="31">
        <v>24</v>
      </c>
      <c r="G32" s="31">
        <v>42000</v>
      </c>
      <c r="H32" s="31">
        <f>Cty_Minh_Chau_TN[[#This Row],[ĐƠN GIÁ]]*Cty_Minh_Chau_TN[[#This Row],[SỐ LƯỢNG]]</f>
        <v>1008000</v>
      </c>
      <c r="I32" s="31"/>
      <c r="J32" s="31">
        <f>J31+Cty_Minh_Chau_TN[[#This Row],[THÀNH TIỀN]]-Cty_Minh_Chau_TN[[#This Row],[THANH TOÁN]]</f>
        <v>537197987</v>
      </c>
      <c r="K32" s="24"/>
    </row>
    <row r="33" spans="1:11" x14ac:dyDescent="0.25">
      <c r="A33" s="22">
        <v>8745</v>
      </c>
      <c r="B33" s="29">
        <v>46125</v>
      </c>
      <c r="C33" s="23" t="s">
        <v>13</v>
      </c>
      <c r="D33" s="37" t="s">
        <v>68</v>
      </c>
      <c r="E33" s="23" t="s">
        <v>40</v>
      </c>
      <c r="F33" s="31">
        <v>250</v>
      </c>
      <c r="G33" s="31">
        <v>47000</v>
      </c>
      <c r="H33" s="31">
        <f>Cty_Minh_Chau_TN[[#This Row],[ĐƠN GIÁ]]*Cty_Minh_Chau_TN[[#This Row],[SỐ LƯỢNG]]</f>
        <v>11750000</v>
      </c>
      <c r="I33" s="31"/>
      <c r="J33" s="31">
        <f>J32+Cty_Minh_Chau_TN[[#This Row],[THÀNH TIỀN]]-Cty_Minh_Chau_TN[[#This Row],[THANH TOÁN]]</f>
        <v>548947987</v>
      </c>
      <c r="K33" s="24"/>
    </row>
    <row r="34" spans="1:11" x14ac:dyDescent="0.25">
      <c r="A34" s="22">
        <v>8748</v>
      </c>
      <c r="B34" s="29">
        <v>46125</v>
      </c>
      <c r="C34" s="23" t="s">
        <v>13</v>
      </c>
      <c r="D34" s="37" t="s">
        <v>17</v>
      </c>
      <c r="E34" s="23" t="s">
        <v>249</v>
      </c>
      <c r="F34" s="31">
        <v>5049</v>
      </c>
      <c r="G34" s="31">
        <v>66500</v>
      </c>
      <c r="H34" s="31">
        <f>Cty_Minh_Chau_TN[[#This Row],[ĐƠN GIÁ]]*Cty_Minh_Chau_TN[[#This Row],[SỐ LƯỢNG]]</f>
        <v>335758500</v>
      </c>
      <c r="I34" s="31"/>
      <c r="J34" s="31">
        <f>J33+Cty_Minh_Chau_TN[[#This Row],[THÀNH TIỀN]]-Cty_Minh_Chau_TN[[#This Row],[THANH TOÁN]]</f>
        <v>884706487</v>
      </c>
      <c r="K34" s="24"/>
    </row>
    <row r="35" spans="1:11" x14ac:dyDescent="0.25">
      <c r="A35" s="22"/>
      <c r="B35" s="29">
        <v>46125</v>
      </c>
      <c r="C35" s="23" t="s">
        <v>21</v>
      </c>
      <c r="D35" s="37" t="s">
        <v>22</v>
      </c>
      <c r="E35" s="23" t="s">
        <v>83</v>
      </c>
      <c r="F35" s="31">
        <v>0</v>
      </c>
      <c r="G35" s="31"/>
      <c r="H35" s="31">
        <f>Cty_Minh_Chau_TN[[#This Row],[ĐƠN GIÁ]]*Cty_Minh_Chau_TN[[#This Row],[SỐ LƯỢNG]]</f>
        <v>0</v>
      </c>
      <c r="I35" s="31">
        <v>52831967</v>
      </c>
      <c r="J35" s="31">
        <f>J34+Cty_Minh_Chau_TN[[#This Row],[THÀNH TIỀN]]-Cty_Minh_Chau_TN[[#This Row],[THANH TOÁN]]</f>
        <v>831874520</v>
      </c>
      <c r="K35" s="24"/>
    </row>
    <row r="36" spans="1:11" x14ac:dyDescent="0.25">
      <c r="A36" s="22"/>
      <c r="B36" s="29">
        <v>46125</v>
      </c>
      <c r="C36" s="23" t="s">
        <v>21</v>
      </c>
      <c r="D36" s="37" t="s">
        <v>22</v>
      </c>
      <c r="E36" s="23" t="s">
        <v>83</v>
      </c>
      <c r="F36" s="31">
        <v>0</v>
      </c>
      <c r="G36" s="31"/>
      <c r="H36" s="31">
        <f>Cty_Minh_Chau_TN[[#This Row],[ĐƠN GIÁ]]*Cty_Minh_Chau_TN[[#This Row],[SỐ LƯỢNG]]</f>
        <v>0</v>
      </c>
      <c r="I36" s="31">
        <v>250000000</v>
      </c>
      <c r="J36" s="31">
        <f>J35+Cty_Minh_Chau_TN[[#This Row],[THÀNH TIỀN]]-Cty_Minh_Chau_TN[[#This Row],[THANH TOÁN]]</f>
        <v>581874520</v>
      </c>
      <c r="K36" s="24"/>
    </row>
    <row r="37" spans="1:11" x14ac:dyDescent="0.25">
      <c r="A37" s="22">
        <v>8777</v>
      </c>
      <c r="B37" s="29">
        <v>46126</v>
      </c>
      <c r="C37" s="23" t="s">
        <v>13</v>
      </c>
      <c r="D37" s="37" t="s">
        <v>14</v>
      </c>
      <c r="E37" s="23" t="s">
        <v>40</v>
      </c>
      <c r="F37" s="31">
        <v>318</v>
      </c>
      <c r="G37" s="31">
        <v>47000</v>
      </c>
      <c r="H37" s="31">
        <f>Cty_Minh_Chau_TN[[#This Row],[ĐƠN GIÁ]]*Cty_Minh_Chau_TN[[#This Row],[SỐ LƯỢNG]]</f>
        <v>14946000</v>
      </c>
      <c r="I37" s="31"/>
      <c r="J37" s="31">
        <f>J36+Cty_Minh_Chau_TN[[#This Row],[THÀNH TIỀN]]-Cty_Minh_Chau_TN[[#This Row],[THANH TOÁN]]</f>
        <v>596820520</v>
      </c>
      <c r="K37" s="24"/>
    </row>
    <row r="38" spans="1:11" x14ac:dyDescent="0.25">
      <c r="A38" s="22">
        <v>8777</v>
      </c>
      <c r="B38" s="29">
        <v>46126</v>
      </c>
      <c r="C38" s="23" t="s">
        <v>13</v>
      </c>
      <c r="D38" s="37" t="s">
        <v>14</v>
      </c>
      <c r="E38" s="23" t="s">
        <v>41</v>
      </c>
      <c r="F38" s="31">
        <v>190</v>
      </c>
      <c r="G38" s="31">
        <v>42000</v>
      </c>
      <c r="H38" s="31">
        <f>Cty_Minh_Chau_TN[[#This Row],[ĐƠN GIÁ]]*Cty_Minh_Chau_TN[[#This Row],[SỐ LƯỢNG]]</f>
        <v>7980000</v>
      </c>
      <c r="I38" s="31"/>
      <c r="J38" s="31">
        <f>J37+Cty_Minh_Chau_TN[[#This Row],[THÀNH TIỀN]]-Cty_Minh_Chau_TN[[#This Row],[THANH TOÁN]]</f>
        <v>604800520</v>
      </c>
      <c r="K38" s="24"/>
    </row>
    <row r="39" spans="1:11" x14ac:dyDescent="0.25">
      <c r="A39" s="22">
        <v>8777</v>
      </c>
      <c r="B39" s="29">
        <v>46126</v>
      </c>
      <c r="C39" s="23" t="s">
        <v>13</v>
      </c>
      <c r="D39" s="37" t="s">
        <v>14</v>
      </c>
      <c r="E39" s="23" t="s">
        <v>40</v>
      </c>
      <c r="F39" s="31">
        <v>202</v>
      </c>
      <c r="G39" s="31">
        <v>36000</v>
      </c>
      <c r="H39" s="31">
        <f>Cty_Minh_Chau_TN[[#This Row],[ĐƠN GIÁ]]*Cty_Minh_Chau_TN[[#This Row],[SỐ LƯỢNG]]</f>
        <v>7272000</v>
      </c>
      <c r="I39" s="31"/>
      <c r="J39" s="31">
        <f>J38+Cty_Minh_Chau_TN[[#This Row],[THÀNH TIỀN]]-Cty_Minh_Chau_TN[[#This Row],[THANH TOÁN]]</f>
        <v>612072520</v>
      </c>
      <c r="K39" s="24"/>
    </row>
    <row r="40" spans="1:11" x14ac:dyDescent="0.25">
      <c r="A40" s="22">
        <v>8875</v>
      </c>
      <c r="B40" s="29">
        <v>46130</v>
      </c>
      <c r="C40" s="23" t="s">
        <v>13</v>
      </c>
      <c r="D40" s="37" t="s">
        <v>26</v>
      </c>
      <c r="E40" s="23" t="s">
        <v>200</v>
      </c>
      <c r="F40" s="31">
        <v>1792</v>
      </c>
      <c r="G40" s="31">
        <v>35000</v>
      </c>
      <c r="H40" s="31">
        <f>Cty_Minh_Chau_TN[[#This Row],[ĐƠN GIÁ]]*Cty_Minh_Chau_TN[[#This Row],[SỐ LƯỢNG]]</f>
        <v>62720000</v>
      </c>
      <c r="I40" s="31"/>
      <c r="J40" s="31">
        <f>J39+Cty_Minh_Chau_TN[[#This Row],[THÀNH TIỀN]]-Cty_Minh_Chau_TN[[#This Row],[THANH TOÁN]]</f>
        <v>674792520</v>
      </c>
      <c r="K40" s="24"/>
    </row>
    <row r="41" spans="1:11" x14ac:dyDescent="0.25">
      <c r="A41" s="22"/>
      <c r="B41" s="29">
        <v>46130</v>
      </c>
      <c r="C41" s="23" t="s">
        <v>21</v>
      </c>
      <c r="D41" s="37" t="s">
        <v>22</v>
      </c>
      <c r="E41" s="23" t="s">
        <v>83</v>
      </c>
      <c r="F41" s="31">
        <v>0</v>
      </c>
      <c r="G41" s="31"/>
      <c r="H41" s="31">
        <f>Cty_Minh_Chau_TN[[#This Row],[ĐƠN GIÁ]]*Cty_Minh_Chau_TN[[#This Row],[SỐ LƯỢNG]]</f>
        <v>0</v>
      </c>
      <c r="I41" s="31">
        <v>70000000</v>
      </c>
      <c r="J41" s="31">
        <f>J40+Cty_Minh_Chau_TN[[#This Row],[THÀNH TIỀN]]-Cty_Minh_Chau_TN[[#This Row],[THANH TOÁN]]</f>
        <v>604792520</v>
      </c>
      <c r="K41" s="24"/>
    </row>
    <row r="42" spans="1:11" x14ac:dyDescent="0.25">
      <c r="A42" s="22">
        <v>9065</v>
      </c>
      <c r="B42" s="29">
        <v>46139</v>
      </c>
      <c r="C42" s="23" t="s">
        <v>13</v>
      </c>
      <c r="D42" s="37" t="s">
        <v>75</v>
      </c>
      <c r="E42" s="23" t="s">
        <v>117</v>
      </c>
      <c r="F42" s="31">
        <v>168</v>
      </c>
      <c r="G42" s="31">
        <v>40000</v>
      </c>
      <c r="H42" s="31">
        <f>Cty_Minh_Chau_TN[[#This Row],[ĐƠN GIÁ]]*Cty_Minh_Chau_TN[[#This Row],[SỐ LƯỢNG]]</f>
        <v>6720000</v>
      </c>
      <c r="I42" s="31"/>
      <c r="J42" s="31">
        <f>J41+Cty_Minh_Chau_TN[[#This Row],[THÀNH TIỀN]]-Cty_Minh_Chau_TN[[#This Row],[THANH TOÁN]]</f>
        <v>611512520</v>
      </c>
      <c r="K42" s="24"/>
    </row>
    <row r="43" spans="1:11" x14ac:dyDescent="0.25">
      <c r="A43" s="22">
        <v>9065</v>
      </c>
      <c r="B43" s="29">
        <v>46139</v>
      </c>
      <c r="C43" s="23" t="s">
        <v>13</v>
      </c>
      <c r="D43" s="37" t="s">
        <v>26</v>
      </c>
      <c r="E43" s="23" t="s">
        <v>62</v>
      </c>
      <c r="F43" s="31">
        <v>42</v>
      </c>
      <c r="G43" s="31">
        <v>37000</v>
      </c>
      <c r="H43" s="31">
        <f>Cty_Minh_Chau_TN[[#This Row],[ĐƠN GIÁ]]*Cty_Minh_Chau_TN[[#This Row],[SỐ LƯỢNG]]</f>
        <v>1554000</v>
      </c>
      <c r="I43" s="31"/>
      <c r="J43" s="31">
        <f>J42+Cty_Minh_Chau_TN[[#This Row],[THÀNH TIỀN]]-Cty_Minh_Chau_TN[[#This Row],[THANH TOÁN]]</f>
        <v>613066520</v>
      </c>
      <c r="K43" s="24"/>
    </row>
    <row r="44" spans="1:11" x14ac:dyDescent="0.25">
      <c r="A44" s="22">
        <v>9065</v>
      </c>
      <c r="B44" s="29">
        <v>46139</v>
      </c>
      <c r="C44" s="23" t="s">
        <v>13</v>
      </c>
      <c r="D44" s="37" t="s">
        <v>32</v>
      </c>
      <c r="E44" s="23" t="s">
        <v>46</v>
      </c>
      <c r="F44" s="31">
        <v>1296</v>
      </c>
      <c r="G44" s="31">
        <v>42500</v>
      </c>
      <c r="H44" s="31">
        <f>Cty_Minh_Chau_TN[[#This Row],[ĐƠN GIÁ]]*Cty_Minh_Chau_TN[[#This Row],[SỐ LƯỢNG]]</f>
        <v>55080000</v>
      </c>
      <c r="I44" s="31"/>
      <c r="J44" s="31">
        <f>J43+Cty_Minh_Chau_TN[[#This Row],[THÀNH TIỀN]]-Cty_Minh_Chau_TN[[#This Row],[THANH TOÁN]]</f>
        <v>668146520</v>
      </c>
      <c r="K44" s="24" t="s">
        <v>1815</v>
      </c>
    </row>
    <row r="45" spans="1:11" x14ac:dyDescent="0.25">
      <c r="A45" s="22">
        <v>9065</v>
      </c>
      <c r="B45" s="29">
        <v>46139</v>
      </c>
      <c r="C45" s="23" t="s">
        <v>13</v>
      </c>
      <c r="D45" s="37" t="s">
        <v>32</v>
      </c>
      <c r="E45" s="23" t="s">
        <v>25</v>
      </c>
      <c r="F45" s="31">
        <v>1548</v>
      </c>
      <c r="G45" s="31">
        <v>42500</v>
      </c>
      <c r="H45" s="31">
        <f>Cty_Minh_Chau_TN[[#This Row],[ĐƠN GIÁ]]*Cty_Minh_Chau_TN[[#This Row],[SỐ LƯỢNG]]</f>
        <v>65790000</v>
      </c>
      <c r="I45" s="31"/>
      <c r="J45" s="31">
        <f>J44+Cty_Minh_Chau_TN[[#This Row],[THÀNH TIỀN]]-Cty_Minh_Chau_TN[[#This Row],[THANH TOÁN]]</f>
        <v>733936520</v>
      </c>
      <c r="K45" s="24" t="s">
        <v>1815</v>
      </c>
    </row>
    <row r="46" spans="1:11" x14ac:dyDescent="0.25">
      <c r="A46" s="22"/>
      <c r="B46" s="29">
        <v>46139</v>
      </c>
      <c r="C46" s="23" t="s">
        <v>21</v>
      </c>
      <c r="D46" s="37" t="s">
        <v>22</v>
      </c>
      <c r="E46" s="23" t="s">
        <v>261</v>
      </c>
      <c r="F46" s="31">
        <v>0</v>
      </c>
      <c r="G46" s="31"/>
      <c r="H46" s="31">
        <f>Cty_Minh_Chau_TN[[#This Row],[ĐƠN GIÁ]]*Cty_Minh_Chau_TN[[#This Row],[SỐ LƯỢNG]]</f>
        <v>0</v>
      </c>
      <c r="I46" s="31">
        <v>135000000</v>
      </c>
      <c r="J46" s="31">
        <f>J45+Cty_Minh_Chau_TN[[#This Row],[THÀNH TIỀN]]-Cty_Minh_Chau_TN[[#This Row],[THANH TOÁN]]</f>
        <v>598936520</v>
      </c>
      <c r="K46" s="24"/>
    </row>
    <row r="47" spans="1:11" x14ac:dyDescent="0.25">
      <c r="A47" s="22">
        <v>9110</v>
      </c>
      <c r="B47" s="29">
        <v>46141</v>
      </c>
      <c r="C47" s="23" t="s">
        <v>13</v>
      </c>
      <c r="D47" s="37" t="s">
        <v>32</v>
      </c>
      <c r="E47" s="23" t="s">
        <v>33</v>
      </c>
      <c r="F47" s="31">
        <v>1182</v>
      </c>
      <c r="G47" s="31">
        <v>42500</v>
      </c>
      <c r="H47" s="31">
        <f>Cty_Minh_Chau_TN[[#This Row],[ĐƠN GIÁ]]*Cty_Minh_Chau_TN[[#This Row],[SỐ LƯỢNG]]</f>
        <v>50235000</v>
      </c>
      <c r="I47" s="31"/>
      <c r="J47" s="31">
        <f>J46+Cty_Minh_Chau_TN[[#This Row],[THÀNH TIỀN]]-Cty_Minh_Chau_TN[[#This Row],[THANH TOÁN]]</f>
        <v>649171520</v>
      </c>
      <c r="K47" s="24" t="s">
        <v>1815</v>
      </c>
    </row>
    <row r="48" spans="1:11" x14ac:dyDescent="0.25">
      <c r="A48" s="22">
        <v>9110</v>
      </c>
      <c r="B48" s="29">
        <v>46141</v>
      </c>
      <c r="C48" s="23" t="s">
        <v>13</v>
      </c>
      <c r="D48" s="37" t="s">
        <v>32</v>
      </c>
      <c r="E48" s="23" t="s">
        <v>39</v>
      </c>
      <c r="F48" s="31">
        <v>1206</v>
      </c>
      <c r="G48" s="31">
        <v>42500</v>
      </c>
      <c r="H48" s="31">
        <f>Cty_Minh_Chau_TN[[#This Row],[ĐƠN GIÁ]]*Cty_Minh_Chau_TN[[#This Row],[SỐ LƯỢNG]]</f>
        <v>51255000</v>
      </c>
      <c r="I48" s="31"/>
      <c r="J48" s="31">
        <f>J47+Cty_Minh_Chau_TN[[#This Row],[THÀNH TIỀN]]-Cty_Minh_Chau_TN[[#This Row],[THANH TOÁN]]</f>
        <v>700426520</v>
      </c>
      <c r="K48" s="24" t="s">
        <v>1815</v>
      </c>
    </row>
    <row r="49" spans="1:11" x14ac:dyDescent="0.25">
      <c r="A49" s="22">
        <v>9129</v>
      </c>
      <c r="B49" s="29">
        <v>46141</v>
      </c>
      <c r="C49" s="23" t="s">
        <v>13</v>
      </c>
      <c r="D49" s="37" t="s">
        <v>26</v>
      </c>
      <c r="E49" s="23" t="s">
        <v>145</v>
      </c>
      <c r="F49" s="31">
        <v>1381</v>
      </c>
      <c r="G49" s="31">
        <v>35500</v>
      </c>
      <c r="H49" s="31">
        <f>Cty_Minh_Chau_TN[[#This Row],[ĐƠN GIÁ]]*Cty_Minh_Chau_TN[[#This Row],[SỐ LƯỢNG]]</f>
        <v>49025500</v>
      </c>
      <c r="I49" s="31"/>
      <c r="J49" s="31">
        <f>J48+Cty_Minh_Chau_TN[[#This Row],[THÀNH TIỀN]]-Cty_Minh_Chau_TN[[#This Row],[THANH TOÁN]]</f>
        <v>749452020</v>
      </c>
      <c r="K49" s="24"/>
    </row>
    <row r="50" spans="1:11" x14ac:dyDescent="0.25">
      <c r="A50" s="22"/>
      <c r="B50" s="29">
        <v>46146</v>
      </c>
      <c r="C50" s="23" t="s">
        <v>21</v>
      </c>
      <c r="D50" s="37" t="s">
        <v>22</v>
      </c>
      <c r="E50" s="23" t="s">
        <v>261</v>
      </c>
      <c r="F50" s="31">
        <v>0</v>
      </c>
      <c r="G50" s="31"/>
      <c r="H50" s="31">
        <f>Cty_Minh_Chau_TN[[#This Row],[ĐƠN GIÁ]]*Cty_Minh_Chau_TN[[#This Row],[SỐ LƯỢNG]]</f>
        <v>0</v>
      </c>
      <c r="I50" s="31">
        <v>92917469</v>
      </c>
      <c r="J50" s="31">
        <f>J49+Cty_Minh_Chau_TN[[#This Row],[THÀNH TIỀN]]-Cty_Minh_Chau_TN[[#This Row],[THANH TOÁN]]</f>
        <v>656534551</v>
      </c>
      <c r="K50" s="24"/>
    </row>
    <row r="51" spans="1:11" x14ac:dyDescent="0.25">
      <c r="A51" s="22"/>
      <c r="B51" s="29">
        <v>46146</v>
      </c>
      <c r="C51" s="23" t="s">
        <v>21</v>
      </c>
      <c r="D51" s="37" t="s">
        <v>22</v>
      </c>
      <c r="E51" s="23" t="s">
        <v>261</v>
      </c>
      <c r="F51" s="31">
        <v>0</v>
      </c>
      <c r="G51" s="31"/>
      <c r="H51" s="31">
        <f>Cty_Minh_Chau_TN[[#This Row],[ĐƠN GIÁ]]*Cty_Minh_Chau_TN[[#This Row],[SỐ LƯỢNG]]</f>
        <v>0</v>
      </c>
      <c r="I51" s="31">
        <v>127720639</v>
      </c>
      <c r="J51" s="31">
        <f>J50+Cty_Minh_Chau_TN[[#This Row],[THÀNH TIỀN]]-Cty_Minh_Chau_TN[[#This Row],[THANH TOÁN]]</f>
        <v>528813912</v>
      </c>
      <c r="K51" s="24"/>
    </row>
    <row r="52" spans="1:11" x14ac:dyDescent="0.25">
      <c r="A52" s="22">
        <v>9155</v>
      </c>
      <c r="B52" s="29">
        <v>46146</v>
      </c>
      <c r="C52" s="23" t="s">
        <v>13</v>
      </c>
      <c r="D52" s="37" t="s">
        <v>14</v>
      </c>
      <c r="E52" s="23" t="s">
        <v>1925</v>
      </c>
      <c r="F52" s="31">
        <v>352</v>
      </c>
      <c r="G52" s="31">
        <v>42000</v>
      </c>
      <c r="H52" s="31">
        <f>Cty_Minh_Chau_TN[[#This Row],[ĐƠN GIÁ]]*Cty_Minh_Chau_TN[[#This Row],[SỐ LƯỢNG]]</f>
        <v>14784000</v>
      </c>
      <c r="I52" s="31"/>
      <c r="J52" s="31">
        <f>J51+Cty_Minh_Chau_TN[[#This Row],[THÀNH TIỀN]]-Cty_Minh_Chau_TN[[#This Row],[THANH TOÁN]]</f>
        <v>543597912</v>
      </c>
      <c r="K52" s="24"/>
    </row>
    <row r="53" spans="1:11" x14ac:dyDescent="0.25">
      <c r="A53" s="22">
        <v>9155</v>
      </c>
      <c r="B53" s="29">
        <v>46146</v>
      </c>
      <c r="C53" s="23" t="s">
        <v>13</v>
      </c>
      <c r="D53" s="37" t="s">
        <v>75</v>
      </c>
      <c r="E53" s="23" t="s">
        <v>1127</v>
      </c>
      <c r="F53" s="31">
        <v>176</v>
      </c>
      <c r="G53" s="31">
        <v>40000</v>
      </c>
      <c r="H53" s="31">
        <f>Cty_Minh_Chau_TN[[#This Row],[ĐƠN GIÁ]]*Cty_Minh_Chau_TN[[#This Row],[SỐ LƯỢNG]]</f>
        <v>7040000</v>
      </c>
      <c r="I53" s="31"/>
      <c r="J53" s="31">
        <f>J52+Cty_Minh_Chau_TN[[#This Row],[THÀNH TIỀN]]-Cty_Minh_Chau_TN[[#This Row],[THANH TOÁN]]</f>
        <v>550637912</v>
      </c>
      <c r="K53" s="24"/>
    </row>
    <row r="54" spans="1:11" x14ac:dyDescent="0.25">
      <c r="A54" s="22">
        <v>9155</v>
      </c>
      <c r="B54" s="29">
        <v>46146</v>
      </c>
      <c r="C54" s="23" t="s">
        <v>13</v>
      </c>
      <c r="D54" s="37" t="s">
        <v>26</v>
      </c>
      <c r="E54" s="23" t="s">
        <v>78</v>
      </c>
      <c r="F54" s="31">
        <v>511</v>
      </c>
      <c r="G54" s="31">
        <v>35000</v>
      </c>
      <c r="H54" s="31">
        <f>Cty_Minh_Chau_TN[[#This Row],[ĐƠN GIÁ]]*Cty_Minh_Chau_TN[[#This Row],[SỐ LƯỢNG]]</f>
        <v>17885000</v>
      </c>
      <c r="I54" s="31"/>
      <c r="J54" s="31">
        <f>J53+Cty_Minh_Chau_TN[[#This Row],[THÀNH TIỀN]]-Cty_Minh_Chau_TN[[#This Row],[THANH TOÁN]]</f>
        <v>568522912</v>
      </c>
      <c r="K54" s="24"/>
    </row>
    <row r="55" spans="1:11" x14ac:dyDescent="0.25">
      <c r="A55" s="22">
        <v>9155</v>
      </c>
      <c r="B55" s="29">
        <v>46146</v>
      </c>
      <c r="C55" s="23" t="s">
        <v>13</v>
      </c>
      <c r="D55" s="37" t="s">
        <v>17</v>
      </c>
      <c r="E55" s="23" t="s">
        <v>40</v>
      </c>
      <c r="F55" s="31">
        <v>358</v>
      </c>
      <c r="G55" s="31">
        <v>68000</v>
      </c>
      <c r="H55" s="31">
        <f>Cty_Minh_Chau_TN[[#This Row],[ĐƠN GIÁ]]*Cty_Minh_Chau_TN[[#This Row],[SỐ LƯỢNG]]</f>
        <v>24344000</v>
      </c>
      <c r="I55" s="31"/>
      <c r="J55" s="31">
        <f>J54+Cty_Minh_Chau_TN[[#This Row],[THÀNH TIỀN]]-Cty_Minh_Chau_TN[[#This Row],[THANH TOÁN]]</f>
        <v>592866912</v>
      </c>
      <c r="K55" s="24"/>
    </row>
    <row r="56" spans="1:11" x14ac:dyDescent="0.25">
      <c r="A56" s="22">
        <v>9315</v>
      </c>
      <c r="B56" s="29">
        <v>46153</v>
      </c>
      <c r="C56" s="23" t="s">
        <v>13</v>
      </c>
      <c r="D56" s="37" t="s">
        <v>17</v>
      </c>
      <c r="E56" s="23" t="s">
        <v>2013</v>
      </c>
      <c r="F56" s="31">
        <v>224</v>
      </c>
      <c r="G56" s="31">
        <v>68000</v>
      </c>
      <c r="H56" s="31">
        <f>Cty_Minh_Chau_TN[[#This Row],[ĐƠN GIÁ]]*Cty_Minh_Chau_TN[[#This Row],[SỐ LƯỢNG]]</f>
        <v>15232000</v>
      </c>
      <c r="I56" s="31"/>
      <c r="J56" s="31">
        <f>J55+Cty_Minh_Chau_TN[[#This Row],[THÀNH TIỀN]]-Cty_Minh_Chau_TN[[#This Row],[THANH TOÁN]]</f>
        <v>608098912</v>
      </c>
      <c r="K56" s="24"/>
    </row>
    <row r="57" spans="1:11" x14ac:dyDescent="0.25">
      <c r="A57" s="22">
        <v>9315</v>
      </c>
      <c r="B57" s="29">
        <v>46153</v>
      </c>
      <c r="C57" s="23" t="s">
        <v>13</v>
      </c>
      <c r="D57" s="37" t="s">
        <v>43</v>
      </c>
      <c r="E57" s="23" t="s">
        <v>44</v>
      </c>
      <c r="F57" s="31">
        <v>142</v>
      </c>
      <c r="G57" s="31">
        <v>62500</v>
      </c>
      <c r="H57" s="31">
        <f>Cty_Minh_Chau_TN[[#This Row],[ĐƠN GIÁ]]*Cty_Minh_Chau_TN[[#This Row],[SỐ LƯỢNG]]</f>
        <v>8875000</v>
      </c>
      <c r="I57" s="31"/>
      <c r="J57" s="31">
        <f>J56+Cty_Minh_Chau_TN[[#This Row],[THÀNH TIỀN]]-Cty_Minh_Chau_TN[[#This Row],[THANH TOÁN]]</f>
        <v>616973912</v>
      </c>
      <c r="K57" s="24"/>
    </row>
    <row r="58" spans="1:11" x14ac:dyDescent="0.25">
      <c r="A58" s="22">
        <v>9315</v>
      </c>
      <c r="B58" s="29">
        <v>46153</v>
      </c>
      <c r="C58" s="23" t="s">
        <v>13</v>
      </c>
      <c r="D58" s="37" t="s">
        <v>43</v>
      </c>
      <c r="E58" s="23" t="s">
        <v>848</v>
      </c>
      <c r="F58" s="31">
        <v>430</v>
      </c>
      <c r="G58" s="31">
        <v>62500</v>
      </c>
      <c r="H58" s="31">
        <f>Cty_Minh_Chau_TN[[#This Row],[ĐƠN GIÁ]]*Cty_Minh_Chau_TN[[#This Row],[SỐ LƯỢNG]]</f>
        <v>26875000</v>
      </c>
      <c r="I58" s="31"/>
      <c r="J58" s="31">
        <f>J57+Cty_Minh_Chau_TN[[#This Row],[THÀNH TIỀN]]-Cty_Minh_Chau_TN[[#This Row],[THANH TOÁN]]</f>
        <v>643848912</v>
      </c>
      <c r="K58" s="24"/>
    </row>
    <row r="59" spans="1:11" x14ac:dyDescent="0.25">
      <c r="A59" s="22">
        <v>9315</v>
      </c>
      <c r="B59" s="29">
        <v>46153</v>
      </c>
      <c r="C59" s="23" t="s">
        <v>13</v>
      </c>
      <c r="D59" s="37" t="s">
        <v>45</v>
      </c>
      <c r="E59" s="23" t="s">
        <v>38</v>
      </c>
      <c r="F59" s="31">
        <v>1438</v>
      </c>
      <c r="G59" s="31">
        <v>33500</v>
      </c>
      <c r="H59" s="31">
        <f>Cty_Minh_Chau_TN[[#This Row],[ĐƠN GIÁ]]*Cty_Minh_Chau_TN[[#This Row],[SỐ LƯỢNG]]</f>
        <v>48173000</v>
      </c>
      <c r="I59" s="31"/>
      <c r="J59" s="31">
        <f>J58+Cty_Minh_Chau_TN[[#This Row],[THÀNH TIỀN]]-Cty_Minh_Chau_TN[[#This Row],[THANH TOÁN]]</f>
        <v>692021912</v>
      </c>
      <c r="K59" s="24"/>
    </row>
    <row r="60" spans="1:11" x14ac:dyDescent="0.25">
      <c r="A60" s="22">
        <v>9315</v>
      </c>
      <c r="B60" s="29">
        <v>46153</v>
      </c>
      <c r="C60" s="23" t="s">
        <v>13</v>
      </c>
      <c r="D60" s="37" t="s">
        <v>252</v>
      </c>
      <c r="E60" s="23" t="s">
        <v>148</v>
      </c>
      <c r="F60" s="31">
        <v>110</v>
      </c>
      <c r="G60" s="31">
        <v>40000</v>
      </c>
      <c r="H60" s="31">
        <f>Cty_Minh_Chau_TN[[#This Row],[ĐƠN GIÁ]]*Cty_Minh_Chau_TN[[#This Row],[SỐ LƯỢNG]]</f>
        <v>4400000</v>
      </c>
      <c r="I60" s="31"/>
      <c r="J60" s="31">
        <f>J59+Cty_Minh_Chau_TN[[#This Row],[THÀNH TIỀN]]-Cty_Minh_Chau_TN[[#This Row],[THANH TOÁN]]</f>
        <v>696421912</v>
      </c>
      <c r="K60" s="24"/>
    </row>
    <row r="61" spans="1:11" x14ac:dyDescent="0.25">
      <c r="A61" s="22">
        <v>9315</v>
      </c>
      <c r="B61" s="29">
        <v>46153</v>
      </c>
      <c r="C61" s="23" t="s">
        <v>13</v>
      </c>
      <c r="D61" s="37" t="s">
        <v>26</v>
      </c>
      <c r="E61" s="23" t="s">
        <v>2014</v>
      </c>
      <c r="F61" s="31">
        <v>1800</v>
      </c>
      <c r="G61" s="31">
        <v>35000</v>
      </c>
      <c r="H61" s="31">
        <f>Cty_Minh_Chau_TN[[#This Row],[ĐƠN GIÁ]]*Cty_Minh_Chau_TN[[#This Row],[SỐ LƯỢNG]]</f>
        <v>63000000</v>
      </c>
      <c r="I61" s="31"/>
      <c r="J61" s="31">
        <f>J60+Cty_Minh_Chau_TN[[#This Row],[THÀNH TIỀN]]-Cty_Minh_Chau_TN[[#This Row],[THANH TOÁN]]</f>
        <v>759421912</v>
      </c>
      <c r="K61" s="24"/>
    </row>
    <row r="62" spans="1:11" x14ac:dyDescent="0.25">
      <c r="A62" s="22">
        <v>9443</v>
      </c>
      <c r="B62" s="29">
        <v>46158</v>
      </c>
      <c r="C62" s="23" t="s">
        <v>13</v>
      </c>
      <c r="D62" s="37" t="s">
        <v>103</v>
      </c>
      <c r="E62" s="23" t="s">
        <v>243</v>
      </c>
      <c r="F62" s="31">
        <v>540</v>
      </c>
      <c r="G62" s="31">
        <v>37500</v>
      </c>
      <c r="H62" s="31">
        <f>Cty_Minh_Chau_TN[[#This Row],[ĐƠN GIÁ]]*Cty_Minh_Chau_TN[[#This Row],[SỐ LƯỢNG]]</f>
        <v>20250000</v>
      </c>
      <c r="I62" s="31"/>
      <c r="J62" s="31">
        <f>J61+Cty_Minh_Chau_TN[[#This Row],[THÀNH TIỀN]]-Cty_Minh_Chau_TN[[#This Row],[THANH TOÁN]]</f>
        <v>779671912</v>
      </c>
      <c r="K62" s="24"/>
    </row>
    <row r="63" spans="1:11" x14ac:dyDescent="0.25">
      <c r="A63" s="22">
        <v>9443</v>
      </c>
      <c r="B63" s="29">
        <v>46158</v>
      </c>
      <c r="C63" s="23" t="s">
        <v>13</v>
      </c>
      <c r="D63" s="37" t="s">
        <v>17</v>
      </c>
      <c r="E63" s="23" t="s">
        <v>46</v>
      </c>
      <c r="F63" s="31">
        <v>1834</v>
      </c>
      <c r="G63" s="31">
        <v>66600</v>
      </c>
      <c r="H63" s="31">
        <f>Cty_Minh_Chau_TN[[#This Row],[ĐƠN GIÁ]]*Cty_Minh_Chau_TN[[#This Row],[SỐ LƯỢNG]]</f>
        <v>122144400</v>
      </c>
      <c r="I63" s="31"/>
      <c r="J63" s="31">
        <f>J62+Cty_Minh_Chau_TN[[#This Row],[THÀNH TIỀN]]-Cty_Minh_Chau_TN[[#This Row],[THANH TOÁN]]</f>
        <v>901816312</v>
      </c>
      <c r="K63" s="24" t="s">
        <v>2192</v>
      </c>
    </row>
    <row r="64" spans="1:11" x14ac:dyDescent="0.25">
      <c r="A64" s="22">
        <v>9443</v>
      </c>
      <c r="B64" s="29">
        <v>46158</v>
      </c>
      <c r="C64" s="23" t="s">
        <v>13</v>
      </c>
      <c r="D64" s="37" t="s">
        <v>17</v>
      </c>
      <c r="E64" s="23" t="s">
        <v>41</v>
      </c>
      <c r="F64" s="31">
        <v>56</v>
      </c>
      <c r="G64" s="31">
        <v>42500</v>
      </c>
      <c r="H64" s="31">
        <f>Cty_Minh_Chau_TN[[#This Row],[ĐƠN GIÁ]]*Cty_Minh_Chau_TN[[#This Row],[SỐ LƯỢNG]]</f>
        <v>2380000</v>
      </c>
      <c r="I64" s="31"/>
      <c r="J64" s="31">
        <f>J63+Cty_Minh_Chau_TN[[#This Row],[THÀNH TIỀN]]-Cty_Minh_Chau_TN[[#This Row],[THANH TOÁN]]</f>
        <v>904196312</v>
      </c>
      <c r="K64" s="24"/>
    </row>
    <row r="65" spans="1:11" x14ac:dyDescent="0.25">
      <c r="A65" s="22">
        <v>9506</v>
      </c>
      <c r="B65" s="29">
        <v>46162</v>
      </c>
      <c r="C65" s="23" t="s">
        <v>13</v>
      </c>
      <c r="D65" s="37" t="s">
        <v>135</v>
      </c>
      <c r="E65" s="23" t="s">
        <v>148</v>
      </c>
      <c r="F65" s="31">
        <v>201</v>
      </c>
      <c r="G65" s="31">
        <v>38000</v>
      </c>
      <c r="H65" s="31">
        <f>Cty_Minh_Chau_TN[[#This Row],[ĐƠN GIÁ]]*Cty_Minh_Chau_TN[[#This Row],[SỐ LƯỢNG]]</f>
        <v>7638000</v>
      </c>
      <c r="I65" s="31"/>
      <c r="J65" s="31">
        <f>J64+Cty_Minh_Chau_TN[[#This Row],[THÀNH TIỀN]]-Cty_Minh_Chau_TN[[#This Row],[THANH TOÁN]]</f>
        <v>911834312</v>
      </c>
      <c r="K65" s="24"/>
    </row>
    <row r="66" spans="1:11" x14ac:dyDescent="0.25">
      <c r="A66" s="22">
        <v>9506</v>
      </c>
      <c r="B66" s="29">
        <v>46162</v>
      </c>
      <c r="C66" s="23" t="s">
        <v>13</v>
      </c>
      <c r="D66" s="37" t="s">
        <v>1162</v>
      </c>
      <c r="E66" s="23" t="s">
        <v>110</v>
      </c>
      <c r="F66" s="31">
        <v>180</v>
      </c>
      <c r="G66" s="31">
        <v>36000</v>
      </c>
      <c r="H66" s="31">
        <f>Cty_Minh_Chau_TN[[#This Row],[ĐƠN GIÁ]]*Cty_Minh_Chau_TN[[#This Row],[SỐ LƯỢNG]]</f>
        <v>6480000</v>
      </c>
      <c r="I66" s="31"/>
      <c r="J66" s="31">
        <f>J65+Cty_Minh_Chau_TN[[#This Row],[THÀNH TIỀN]]-Cty_Minh_Chau_TN[[#This Row],[THANH TOÁN]]</f>
        <v>918314312</v>
      </c>
      <c r="K66" s="24"/>
    </row>
    <row r="67" spans="1:11" x14ac:dyDescent="0.25">
      <c r="A67" s="25">
        <v>9506</v>
      </c>
      <c r="B67" s="30">
        <v>46162</v>
      </c>
      <c r="C67" s="26" t="s">
        <v>13</v>
      </c>
      <c r="D67" s="38" t="s">
        <v>50</v>
      </c>
      <c r="E67" s="26" t="s">
        <v>1106</v>
      </c>
      <c r="F67" s="28">
        <v>118</v>
      </c>
      <c r="G67" s="28">
        <v>64000</v>
      </c>
      <c r="H67" s="28">
        <f>Cty_Minh_Chau_TN[[#This Row],[ĐƠN GIÁ]]*Cty_Minh_Chau_TN[[#This Row],[SỐ LƯỢNG]]</f>
        <v>7552000</v>
      </c>
      <c r="I67" s="28"/>
      <c r="J67" s="28">
        <f>J66+Cty_Minh_Chau_TN[[#This Row],[THÀNH TIỀN]]-Cty_Minh_Chau_TN[[#This Row],[THANH TOÁN]]</f>
        <v>925866312</v>
      </c>
      <c r="K67" s="27"/>
    </row>
    <row r="68" spans="1:11" x14ac:dyDescent="0.25">
      <c r="A68" s="25">
        <v>9506</v>
      </c>
      <c r="B68" s="30">
        <v>46162</v>
      </c>
      <c r="C68" s="26" t="s">
        <v>13</v>
      </c>
      <c r="D68" s="38" t="s">
        <v>45</v>
      </c>
      <c r="E68" s="26" t="s">
        <v>38</v>
      </c>
      <c r="F68" s="28">
        <v>916</v>
      </c>
      <c r="G68" s="28">
        <v>33500</v>
      </c>
      <c r="H68" s="28">
        <f>Cty_Minh_Chau_TN[[#This Row],[ĐƠN GIÁ]]*Cty_Minh_Chau_TN[[#This Row],[SỐ LƯỢNG]]</f>
        <v>30686000</v>
      </c>
      <c r="I68" s="28"/>
      <c r="J68" s="28">
        <f>J67+Cty_Minh_Chau_TN[[#This Row],[THÀNH TIỀN]]-Cty_Minh_Chau_TN[[#This Row],[THANH TOÁN]]</f>
        <v>956552312</v>
      </c>
      <c r="K68" s="27"/>
    </row>
    <row r="69" spans="1:11" x14ac:dyDescent="0.25">
      <c r="A69" s="22"/>
      <c r="B69" s="29">
        <v>46161</v>
      </c>
      <c r="C69" s="23" t="s">
        <v>21</v>
      </c>
      <c r="D69" s="37" t="s">
        <v>22</v>
      </c>
      <c r="E69" s="23" t="s">
        <v>261</v>
      </c>
      <c r="F69" s="31">
        <v>0</v>
      </c>
      <c r="G69" s="31"/>
      <c r="H69" s="31">
        <f>Cty_Minh_Chau_TN[[#This Row],[ĐƠN GIÁ]]*Cty_Minh_Chau_TN[[#This Row],[SỐ LƯỢNG]]</f>
        <v>0</v>
      </c>
      <c r="I69" s="31">
        <v>143674001</v>
      </c>
      <c r="J69" s="31">
        <f>J68+Cty_Minh_Chau_TN[[#This Row],[THÀNH TIỀN]]-Cty_Minh_Chau_TN[[#This Row],[THANH TOÁN]]</f>
        <v>812878311</v>
      </c>
      <c r="K69" s="24"/>
    </row>
    <row r="70" spans="1:11" x14ac:dyDescent="0.25">
      <c r="A70" s="22"/>
      <c r="B70" s="29">
        <v>46153</v>
      </c>
      <c r="C70" s="23" t="s">
        <v>21</v>
      </c>
      <c r="D70" s="37" t="s">
        <v>22</v>
      </c>
      <c r="E70" s="23" t="s">
        <v>83</v>
      </c>
      <c r="F70" s="31">
        <v>0</v>
      </c>
      <c r="G70" s="31"/>
      <c r="H70" s="31">
        <f>Cty_Minh_Chau_TN[[#This Row],[ĐƠN GIÁ]]*Cty_Minh_Chau_TN[[#This Row],[SỐ LƯỢNG]]</f>
        <v>0</v>
      </c>
      <c r="I70" s="31">
        <v>160000000</v>
      </c>
      <c r="J70" s="31">
        <f>J69+Cty_Minh_Chau_TN[[#This Row],[THÀNH TIỀN]]-Cty_Minh_Chau_TN[[#This Row],[THANH TOÁN]]</f>
        <v>652878311</v>
      </c>
      <c r="K70" s="24"/>
    </row>
    <row r="71" spans="1:11" x14ac:dyDescent="0.25">
      <c r="A71" s="22">
        <v>9651</v>
      </c>
      <c r="B71" s="29">
        <v>46169</v>
      </c>
      <c r="C71" s="23" t="s">
        <v>13</v>
      </c>
      <c r="D71" s="37" t="s">
        <v>43</v>
      </c>
      <c r="E71" s="23" t="s">
        <v>259</v>
      </c>
      <c r="F71" s="31">
        <v>140</v>
      </c>
      <c r="G71" s="31">
        <v>65000</v>
      </c>
      <c r="H71" s="31">
        <f>Cty_Minh_Chau_TN[[#This Row],[ĐƠN GIÁ]]*Cty_Minh_Chau_TN[[#This Row],[SỐ LƯỢNG]]</f>
        <v>9100000</v>
      </c>
      <c r="I71" s="31"/>
      <c r="J71" s="31">
        <f>J70+Cty_Minh_Chau_TN[[#This Row],[THÀNH TIỀN]]-Cty_Minh_Chau_TN[[#This Row],[THANH TOÁN]]</f>
        <v>661978311</v>
      </c>
      <c r="K71" s="24"/>
    </row>
    <row r="78" spans="1:11" x14ac:dyDescent="0.25">
      <c r="G78" s="3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15C56-B28F-4102-A039-65B7E01A4C11}">
  <sheetPr codeName="Sheet67"/>
  <dimension ref="A5:K27"/>
  <sheetViews>
    <sheetView workbookViewId="0"/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141347915</v>
      </c>
    </row>
    <row r="6" spans="1:11" ht="22.5" x14ac:dyDescent="0.25">
      <c r="D6" s="34" t="s">
        <v>1009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Cty_Anh_Linh_TT[[#This Row],[ĐƠN GIÁ]]*Cty_Anh_Linh_TT[[#This Row],[SỐ LƯỢNG]]</f>
        <v>0</v>
      </c>
      <c r="I10" s="31"/>
      <c r="J10" s="31">
        <v>0</v>
      </c>
      <c r="K10" s="24"/>
    </row>
    <row r="11" spans="1:11" x14ac:dyDescent="0.25">
      <c r="A11" s="22">
        <v>7880</v>
      </c>
      <c r="B11" s="29">
        <v>46087</v>
      </c>
      <c r="C11" s="23" t="s">
        <v>13</v>
      </c>
      <c r="D11" s="37" t="s">
        <v>68</v>
      </c>
      <c r="E11" s="23" t="s">
        <v>116</v>
      </c>
      <c r="F11" s="31">
        <v>730</v>
      </c>
      <c r="G11" s="31">
        <v>40000</v>
      </c>
      <c r="H11" s="31">
        <f>Cty_Anh_Linh_TT[[#This Row],[ĐƠN GIÁ]]*Cty_Anh_Linh_TT[[#This Row],[SỐ LƯỢNG]]</f>
        <v>29200000</v>
      </c>
      <c r="I11" s="31"/>
      <c r="J11" s="31">
        <f>J10+Cty_Anh_Linh_TT[[#This Row],[THÀNH TIỀN]]-Cty_Anh_Linh_TT[[#This Row],[THANH TOÁN]]</f>
        <v>29200000</v>
      </c>
      <c r="K11" s="24"/>
    </row>
    <row r="12" spans="1:11" x14ac:dyDescent="0.25">
      <c r="A12" s="22">
        <v>7880</v>
      </c>
      <c r="B12" s="29">
        <v>46087</v>
      </c>
      <c r="C12" s="23" t="s">
        <v>13</v>
      </c>
      <c r="D12" s="37" t="s">
        <v>68</v>
      </c>
      <c r="E12" s="23" t="s">
        <v>1010</v>
      </c>
      <c r="F12" s="31">
        <v>222</v>
      </c>
      <c r="G12" s="31">
        <v>40000</v>
      </c>
      <c r="H12" s="31">
        <f>Cty_Anh_Linh_TT[[#This Row],[ĐƠN GIÁ]]*Cty_Anh_Linh_TT[[#This Row],[SỐ LƯỢNG]]</f>
        <v>8880000</v>
      </c>
      <c r="I12" s="31"/>
      <c r="J12" s="31">
        <f>J11+Cty_Anh_Linh_TT[[#This Row],[THÀNH TIỀN]]-Cty_Anh_Linh_TT[[#This Row],[THANH TOÁN]]</f>
        <v>38080000</v>
      </c>
      <c r="K12" s="24"/>
    </row>
    <row r="13" spans="1:11" x14ac:dyDescent="0.25">
      <c r="A13" s="25">
        <v>7989</v>
      </c>
      <c r="B13" s="30">
        <v>46092</v>
      </c>
      <c r="C13" s="26" t="s">
        <v>13</v>
      </c>
      <c r="D13" s="38" t="s">
        <v>170</v>
      </c>
      <c r="E13" s="26" t="s">
        <v>1011</v>
      </c>
      <c r="F13" s="28">
        <v>102</v>
      </c>
      <c r="G13" s="28">
        <v>62000</v>
      </c>
      <c r="H13" s="31">
        <f>Cty_Anh_Linh_TT[[#This Row],[ĐƠN GIÁ]]*Cty_Anh_Linh_TT[[#This Row],[SỐ LƯỢNG]]</f>
        <v>6324000</v>
      </c>
      <c r="I13" s="28"/>
      <c r="J13" s="28">
        <f>J12+Cty_Anh_Linh_TT[[#This Row],[THÀNH TIỀN]]-Cty_Anh_Linh_TT[[#This Row],[THANH TOÁN]]</f>
        <v>44404000</v>
      </c>
      <c r="K13" s="27"/>
    </row>
    <row r="14" spans="1:11" x14ac:dyDescent="0.25">
      <c r="A14" s="25">
        <v>7989</v>
      </c>
      <c r="B14" s="30">
        <v>46092</v>
      </c>
      <c r="C14" s="26" t="s">
        <v>13</v>
      </c>
      <c r="D14" s="38" t="s">
        <v>170</v>
      </c>
      <c r="E14" s="23" t="s">
        <v>1012</v>
      </c>
      <c r="F14" s="31">
        <v>70</v>
      </c>
      <c r="G14" s="31">
        <v>61000</v>
      </c>
      <c r="H14" s="31">
        <f>Cty_Anh_Linh_TT[[#This Row],[ĐƠN GIÁ]]*Cty_Anh_Linh_TT[[#This Row],[SỐ LƯỢNG]]</f>
        <v>4270000</v>
      </c>
      <c r="I14" s="31"/>
      <c r="J14" s="31">
        <f>J13+Cty_Anh_Linh_TT[[#This Row],[THÀNH TIỀN]]-Cty_Anh_Linh_TT[[#This Row],[THANH TOÁN]]</f>
        <v>48674000</v>
      </c>
      <c r="K14" s="24"/>
    </row>
    <row r="15" spans="1:11" ht="31.5" x14ac:dyDescent="0.25">
      <c r="A15" s="25">
        <v>7989</v>
      </c>
      <c r="B15" s="30">
        <v>46092</v>
      </c>
      <c r="C15" s="26" t="s">
        <v>13</v>
      </c>
      <c r="D15" s="38" t="s">
        <v>103</v>
      </c>
      <c r="E15" s="67" t="s">
        <v>1013</v>
      </c>
      <c r="F15" s="28">
        <v>712</v>
      </c>
      <c r="G15" s="28">
        <v>38500</v>
      </c>
      <c r="H15" s="31">
        <f>Cty_Anh_Linh_TT[[#This Row],[ĐƠN GIÁ]]*Cty_Anh_Linh_TT[[#This Row],[SỐ LƯỢNG]]</f>
        <v>27412000</v>
      </c>
      <c r="I15" s="28"/>
      <c r="J15" s="28">
        <f>J14+Cty_Anh_Linh_TT[[#This Row],[THÀNH TIỀN]]-Cty_Anh_Linh_TT[[#This Row],[THANH TOÁN]]</f>
        <v>76086000</v>
      </c>
      <c r="K15" s="27"/>
    </row>
    <row r="16" spans="1:11" x14ac:dyDescent="0.25">
      <c r="A16" s="25">
        <v>8138</v>
      </c>
      <c r="B16" s="30">
        <v>46098</v>
      </c>
      <c r="C16" s="26" t="s">
        <v>13</v>
      </c>
      <c r="D16" s="38" t="s">
        <v>68</v>
      </c>
      <c r="E16" s="26" t="s">
        <v>1014</v>
      </c>
      <c r="F16" s="28">
        <v>690</v>
      </c>
      <c r="G16" s="28">
        <v>42000</v>
      </c>
      <c r="H16" s="28">
        <f>Cty_Anh_Linh_TT[[#This Row],[ĐƠN GIÁ]]*Cty_Anh_Linh_TT[[#This Row],[SỐ LƯỢNG]]</f>
        <v>28980000</v>
      </c>
      <c r="I16" s="28"/>
      <c r="J16" s="28">
        <f>J15+Cty_Anh_Linh_TT[[#This Row],[THÀNH TIỀN]]-Cty_Anh_Linh_TT[[#This Row],[THANH TOÁN]]</f>
        <v>105066000</v>
      </c>
      <c r="K16" s="27"/>
    </row>
    <row r="17" spans="1:11" x14ac:dyDescent="0.25">
      <c r="A17" s="25">
        <v>8138</v>
      </c>
      <c r="B17" s="30">
        <v>46098</v>
      </c>
      <c r="C17" s="26" t="s">
        <v>13</v>
      </c>
      <c r="D17" s="38" t="s">
        <v>317</v>
      </c>
      <c r="E17" s="26" t="s">
        <v>1015</v>
      </c>
      <c r="F17" s="28">
        <v>296</v>
      </c>
      <c r="G17" s="28">
        <v>62000</v>
      </c>
      <c r="H17" s="28">
        <f>Cty_Anh_Linh_TT[[#This Row],[ĐƠN GIÁ]]*Cty_Anh_Linh_TT[[#This Row],[SỐ LƯỢNG]]</f>
        <v>18352000</v>
      </c>
      <c r="I17" s="28"/>
      <c r="J17" s="28">
        <f>J16+Cty_Anh_Linh_TT[[#This Row],[THÀNH TIỀN]]-Cty_Anh_Linh_TT[[#This Row],[THANH TOÁN]]</f>
        <v>123418000</v>
      </c>
      <c r="K17" s="27"/>
    </row>
    <row r="18" spans="1:11" x14ac:dyDescent="0.25">
      <c r="A18" s="25">
        <v>8138</v>
      </c>
      <c r="B18" s="30">
        <v>46098</v>
      </c>
      <c r="C18" s="26" t="s">
        <v>13</v>
      </c>
      <c r="D18" s="38" t="s">
        <v>317</v>
      </c>
      <c r="E18" s="26" t="s">
        <v>1016</v>
      </c>
      <c r="F18" s="28">
        <v>96</v>
      </c>
      <c r="G18" s="28">
        <v>62000</v>
      </c>
      <c r="H18" s="28">
        <f>Cty_Anh_Linh_TT[[#This Row],[ĐƠN GIÁ]]*Cty_Anh_Linh_TT[[#This Row],[SỐ LƯỢNG]]</f>
        <v>5952000</v>
      </c>
      <c r="I18" s="28"/>
      <c r="J18" s="28">
        <f>J17+Cty_Anh_Linh_TT[[#This Row],[THÀNH TIỀN]]-Cty_Anh_Linh_TT[[#This Row],[THANH TOÁN]]</f>
        <v>129370000</v>
      </c>
      <c r="K18" s="27"/>
    </row>
    <row r="19" spans="1:11" x14ac:dyDescent="0.25">
      <c r="A19" s="25">
        <v>8138</v>
      </c>
      <c r="B19" s="30">
        <v>46098</v>
      </c>
      <c r="C19" s="26" t="s">
        <v>166</v>
      </c>
      <c r="D19" s="38" t="s">
        <v>27</v>
      </c>
      <c r="E19" s="26" t="s">
        <v>1017</v>
      </c>
      <c r="F19" s="28">
        <v>-16</v>
      </c>
      <c r="G19" s="28">
        <v>53000</v>
      </c>
      <c r="H19" s="28">
        <f>Cty_Anh_Linh_TT[[#This Row],[ĐƠN GIÁ]]*Cty_Anh_Linh_TT[[#This Row],[SỐ LƯỢNG]]</f>
        <v>-848000</v>
      </c>
      <c r="I19" s="28"/>
      <c r="J19" s="28">
        <f>J18+Cty_Anh_Linh_TT[[#This Row],[THÀNH TIỀN]]-Cty_Anh_Linh_TT[[#This Row],[THANH TOÁN]]</f>
        <v>128522000</v>
      </c>
      <c r="K19" s="27"/>
    </row>
    <row r="20" spans="1:11" x14ac:dyDescent="0.25">
      <c r="A20" s="25">
        <v>8218</v>
      </c>
      <c r="B20" s="30">
        <v>46104</v>
      </c>
      <c r="C20" s="26" t="s">
        <v>13</v>
      </c>
      <c r="D20" s="38" t="s">
        <v>68</v>
      </c>
      <c r="E20" s="26" t="s">
        <v>116</v>
      </c>
      <c r="F20" s="28">
        <v>464</v>
      </c>
      <c r="G20" s="28">
        <v>42000</v>
      </c>
      <c r="H20" s="28">
        <f>Cty_Anh_Linh_TT[[#This Row],[ĐƠN GIÁ]]*Cty_Anh_Linh_TT[[#This Row],[SỐ LƯỢNG]]</f>
        <v>19488000</v>
      </c>
      <c r="I20" s="28"/>
      <c r="J20" s="28">
        <f>J19+Cty_Anh_Linh_TT[[#This Row],[THÀNH TIỀN]]-Cty_Anh_Linh_TT[[#This Row],[THANH TOÁN]]</f>
        <v>148010000</v>
      </c>
      <c r="K20" s="27"/>
    </row>
    <row r="21" spans="1:11" x14ac:dyDescent="0.25">
      <c r="A21" s="22">
        <v>8540</v>
      </c>
      <c r="B21" s="29">
        <v>46115</v>
      </c>
      <c r="C21" s="23" t="s">
        <v>13</v>
      </c>
      <c r="D21" s="37" t="s">
        <v>103</v>
      </c>
      <c r="E21" s="23" t="s">
        <v>117</v>
      </c>
      <c r="F21" s="31">
        <v>656</v>
      </c>
      <c r="G21" s="31">
        <v>38000</v>
      </c>
      <c r="H21" s="31">
        <f>Cty_Anh_Linh_TT[[#This Row],[ĐƠN GIÁ]]*Cty_Anh_Linh_TT[[#This Row],[SỐ LƯỢNG]]</f>
        <v>24928000</v>
      </c>
      <c r="I21" s="31"/>
      <c r="J21" s="31">
        <f>J20+Cty_Anh_Linh_TT[[#This Row],[THÀNH TIỀN]]-Cty_Anh_Linh_TT[[#This Row],[THANH TOÁN]]</f>
        <v>172938000</v>
      </c>
      <c r="K21" s="24"/>
    </row>
    <row r="22" spans="1:11" x14ac:dyDescent="0.25">
      <c r="A22" s="22"/>
      <c r="B22" s="29">
        <v>46126</v>
      </c>
      <c r="C22" s="23" t="s">
        <v>21</v>
      </c>
      <c r="D22" s="37" t="s">
        <v>22</v>
      </c>
      <c r="E22" s="23" t="s">
        <v>83</v>
      </c>
      <c r="F22" s="31">
        <v>0</v>
      </c>
      <c r="G22" s="31"/>
      <c r="H22" s="31">
        <f>Cty_Anh_Linh_TT[[#This Row],[ĐƠN GIÁ]]*Cty_Anh_Linh_TT[[#This Row],[SỐ LƯỢNG]]</f>
        <v>0</v>
      </c>
      <c r="I22" s="31">
        <v>148007585</v>
      </c>
      <c r="J22" s="31">
        <f>J21+Cty_Anh_Linh_TT[[#This Row],[THÀNH TIỀN]]-Cty_Anh_Linh_TT[[#This Row],[THANH TOÁN]]</f>
        <v>24930415</v>
      </c>
      <c r="K22" s="24"/>
    </row>
    <row r="23" spans="1:11" x14ac:dyDescent="0.25">
      <c r="A23" s="22">
        <v>9082</v>
      </c>
      <c r="B23" s="29">
        <v>46140</v>
      </c>
      <c r="C23" s="23" t="s">
        <v>13</v>
      </c>
      <c r="D23" s="37" t="s">
        <v>75</v>
      </c>
      <c r="E23" s="23" t="s">
        <v>1861</v>
      </c>
      <c r="F23" s="31">
        <v>586</v>
      </c>
      <c r="G23" s="31">
        <v>39000</v>
      </c>
      <c r="H23" s="31">
        <f>Cty_Anh_Linh_TT[[#This Row],[ĐƠN GIÁ]]*Cty_Anh_Linh_TT[[#This Row],[SỐ LƯỢNG]]</f>
        <v>22854000</v>
      </c>
      <c r="I23" s="31"/>
      <c r="J23" s="31">
        <f>J22+Cty_Anh_Linh_TT[[#This Row],[THÀNH TIỀN]]-Cty_Anh_Linh_TT[[#This Row],[THANH TOÁN]]</f>
        <v>47784415</v>
      </c>
      <c r="K23" s="24"/>
    </row>
    <row r="24" spans="1:11" x14ac:dyDescent="0.25">
      <c r="A24" s="22">
        <v>9082</v>
      </c>
      <c r="B24" s="29">
        <v>46140</v>
      </c>
      <c r="C24" s="23" t="s">
        <v>13</v>
      </c>
      <c r="D24" s="37" t="s">
        <v>68</v>
      </c>
      <c r="E24" s="23" t="s">
        <v>116</v>
      </c>
      <c r="F24" s="31">
        <v>800</v>
      </c>
      <c r="G24" s="31">
        <v>41500</v>
      </c>
      <c r="H24" s="31">
        <f>Cty_Anh_Linh_TT[[#This Row],[ĐƠN GIÁ]]*Cty_Anh_Linh_TT[[#This Row],[SỐ LƯỢNG]]</f>
        <v>33200000</v>
      </c>
      <c r="I24" s="31"/>
      <c r="J24" s="31">
        <f>J23+Cty_Anh_Linh_TT[[#This Row],[THÀNH TIỀN]]-Cty_Anh_Linh_TT[[#This Row],[THANH TOÁN]]</f>
        <v>80984415</v>
      </c>
      <c r="K24" s="24"/>
    </row>
    <row r="25" spans="1:11" x14ac:dyDescent="0.25">
      <c r="A25" s="22">
        <v>9082</v>
      </c>
      <c r="B25" s="29">
        <v>46140</v>
      </c>
      <c r="C25" s="23" t="s">
        <v>13</v>
      </c>
      <c r="D25" s="37" t="s">
        <v>68</v>
      </c>
      <c r="E25" s="23" t="s">
        <v>1862</v>
      </c>
      <c r="F25" s="31">
        <v>225</v>
      </c>
      <c r="G25" s="31">
        <v>41500</v>
      </c>
      <c r="H25" s="31">
        <f>Cty_Anh_Linh_TT[[#This Row],[ĐƠN GIÁ]]*Cty_Anh_Linh_TT[[#This Row],[SỐ LƯỢNG]]</f>
        <v>9337500</v>
      </c>
      <c r="I25" s="31"/>
      <c r="J25" s="31">
        <f>J24+Cty_Anh_Linh_TT[[#This Row],[THÀNH TIỀN]]-Cty_Anh_Linh_TT[[#This Row],[THANH TOÁN]]</f>
        <v>90321915</v>
      </c>
      <c r="K25" s="24"/>
    </row>
    <row r="26" spans="1:11" x14ac:dyDescent="0.25">
      <c r="A26" s="22">
        <v>9082</v>
      </c>
      <c r="B26" s="29">
        <v>46140</v>
      </c>
      <c r="C26" s="23" t="s">
        <v>13</v>
      </c>
      <c r="D26" s="37" t="s">
        <v>1863</v>
      </c>
      <c r="E26" s="23" t="s">
        <v>78</v>
      </c>
      <c r="F26" s="31">
        <v>356</v>
      </c>
      <c r="G26" s="31">
        <v>41500</v>
      </c>
      <c r="H26" s="31">
        <f>Cty_Anh_Linh_TT[[#This Row],[ĐƠN GIÁ]]*Cty_Anh_Linh_TT[[#This Row],[SỐ LƯỢNG]]</f>
        <v>14774000</v>
      </c>
      <c r="I26" s="31"/>
      <c r="J26" s="31">
        <f>J25+Cty_Anh_Linh_TT[[#This Row],[THÀNH TIỀN]]-Cty_Anh_Linh_TT[[#This Row],[THANH TOÁN]]</f>
        <v>105095915</v>
      </c>
      <c r="K26" s="24"/>
    </row>
    <row r="27" spans="1:11" x14ac:dyDescent="0.25">
      <c r="A27" s="22">
        <v>9696</v>
      </c>
      <c r="B27" s="29">
        <v>46171</v>
      </c>
      <c r="C27" s="23" t="s">
        <v>13</v>
      </c>
      <c r="D27" s="37" t="s">
        <v>103</v>
      </c>
      <c r="E27" s="23" t="s">
        <v>1372</v>
      </c>
      <c r="F27" s="31">
        <v>954</v>
      </c>
      <c r="G27" s="31">
        <v>38000</v>
      </c>
      <c r="H27" s="31">
        <f>Cty_Anh_Linh_TT[[#This Row],[ĐƠN GIÁ]]*Cty_Anh_Linh_TT[[#This Row],[SỐ LƯỢNG]]</f>
        <v>36252000</v>
      </c>
      <c r="I27" s="31"/>
      <c r="J27" s="31">
        <f>J26+Cty_Anh_Linh_TT[[#This Row],[THÀNH TIỀN]]-Cty_Anh_Linh_TT[[#This Row],[THANH TOÁN]]</f>
        <v>141347915</v>
      </c>
      <c r="K27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5060D-A389-4249-839C-4D088A9A6413}">
  <sheetPr codeName="Sheet68"/>
  <dimension ref="A5:K24"/>
  <sheetViews>
    <sheetView workbookViewId="0">
      <selection activeCell="B21" sqref="B21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15751366</v>
      </c>
    </row>
    <row r="6" spans="1:11" ht="22.5" x14ac:dyDescent="0.25">
      <c r="D6" s="34" t="s">
        <v>1018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Cty_Dung_Tuoi_Yen_Bai[[#This Row],[ĐƠN GIÁ]]*Cty_Dung_Tuoi_Yen_Bai[[#This Row],[SỐ LƯỢNG]]</f>
        <v>0</v>
      </c>
      <c r="I10" s="31"/>
      <c r="J10" s="31">
        <v>0</v>
      </c>
      <c r="K10" s="24"/>
    </row>
    <row r="11" spans="1:11" x14ac:dyDescent="0.25">
      <c r="A11" s="22">
        <v>7881</v>
      </c>
      <c r="B11" s="29">
        <v>46087</v>
      </c>
      <c r="C11" s="23" t="s">
        <v>13</v>
      </c>
      <c r="D11" s="37" t="s">
        <v>68</v>
      </c>
      <c r="E11" s="23" t="s">
        <v>1019</v>
      </c>
      <c r="F11" s="31">
        <v>568</v>
      </c>
      <c r="G11" s="31">
        <v>43000</v>
      </c>
      <c r="H11" s="31">
        <f>Cty_Dung_Tuoi_Yen_Bai[[#This Row],[ĐƠN GIÁ]]*Cty_Dung_Tuoi_Yen_Bai[[#This Row],[SỐ LƯỢNG]]</f>
        <v>24424000</v>
      </c>
      <c r="I11" s="31"/>
      <c r="J11" s="31">
        <f>J10+Cty_Dung_Tuoi_Yen_Bai[[#This Row],[THÀNH TIỀN]]-Cty_Dung_Tuoi_Yen_Bai[[#This Row],[THANH TOÁN]]</f>
        <v>24424000</v>
      </c>
      <c r="K11" s="24"/>
    </row>
    <row r="12" spans="1:11" x14ac:dyDescent="0.25">
      <c r="A12" s="22"/>
      <c r="B12" s="29">
        <v>46090</v>
      </c>
      <c r="C12" s="23" t="s">
        <v>21</v>
      </c>
      <c r="D12" s="37" t="s">
        <v>22</v>
      </c>
      <c r="E12" s="23" t="s">
        <v>83</v>
      </c>
      <c r="F12" s="31">
        <v>0</v>
      </c>
      <c r="G12" s="31">
        <v>0</v>
      </c>
      <c r="H12" s="31">
        <f>Cty_Dung_Tuoi_Yen_Bai[[#This Row],[ĐƠN GIÁ]]*Cty_Dung_Tuoi_Yen_Bai[[#This Row],[SỐ LƯỢNG]]</f>
        <v>0</v>
      </c>
      <c r="I12" s="31">
        <v>24421650</v>
      </c>
      <c r="J12" s="31">
        <f>J11+Cty_Dung_Tuoi_Yen_Bai[[#This Row],[THÀNH TIỀN]]-Cty_Dung_Tuoi_Yen_Bai[[#This Row],[THANH TOÁN]]</f>
        <v>2350</v>
      </c>
      <c r="K12" s="24"/>
    </row>
    <row r="13" spans="1:11" x14ac:dyDescent="0.25">
      <c r="A13" s="25">
        <v>8117</v>
      </c>
      <c r="B13" s="30">
        <v>46097</v>
      </c>
      <c r="C13" s="26" t="s">
        <v>13</v>
      </c>
      <c r="D13" s="38" t="s">
        <v>68</v>
      </c>
      <c r="E13" s="26" t="s">
        <v>1020</v>
      </c>
      <c r="F13" s="28">
        <v>526</v>
      </c>
      <c r="G13" s="28">
        <v>45000</v>
      </c>
      <c r="H13" s="28">
        <f>Cty_Dung_Tuoi_Yen_Bai[[#This Row],[ĐƠN GIÁ]]*Cty_Dung_Tuoi_Yen_Bai[[#This Row],[SỐ LƯỢNG]]</f>
        <v>23670000</v>
      </c>
      <c r="I13" s="28"/>
      <c r="J13" s="28">
        <f>J12+Cty_Dung_Tuoi_Yen_Bai[[#This Row],[THÀNH TIỀN]]-Cty_Dung_Tuoi_Yen_Bai[[#This Row],[THANH TOÁN]]</f>
        <v>23672350</v>
      </c>
      <c r="K13" s="27"/>
    </row>
    <row r="14" spans="1:11" x14ac:dyDescent="0.25">
      <c r="A14" s="25"/>
      <c r="B14" s="30">
        <v>46101</v>
      </c>
      <c r="C14" s="26" t="s">
        <v>21</v>
      </c>
      <c r="D14" s="38" t="s">
        <v>22</v>
      </c>
      <c r="E14" s="26" t="s">
        <v>83</v>
      </c>
      <c r="F14" s="28">
        <v>0</v>
      </c>
      <c r="G14" s="28">
        <v>0</v>
      </c>
      <c r="H14" s="28">
        <f>Cty_Dung_Tuoi_Yen_Bai[[#This Row],[ĐƠN GIÁ]]*Cty_Dung_Tuoi_Yen_Bai[[#This Row],[SỐ LƯỢNG]]</f>
        <v>0</v>
      </c>
      <c r="I14" s="28">
        <v>23669250</v>
      </c>
      <c r="J14" s="28">
        <f>J13+Cty_Dung_Tuoi_Yen_Bai[[#This Row],[THÀNH TIỀN]]-Cty_Dung_Tuoi_Yen_Bai[[#This Row],[THANH TOÁN]]</f>
        <v>3100</v>
      </c>
      <c r="K14" s="27"/>
    </row>
    <row r="15" spans="1:11" x14ac:dyDescent="0.25">
      <c r="A15" s="25">
        <v>8293</v>
      </c>
      <c r="B15" s="30">
        <v>46102</v>
      </c>
      <c r="C15" s="26" t="s">
        <v>13</v>
      </c>
      <c r="D15" s="38" t="s">
        <v>68</v>
      </c>
      <c r="E15" s="26" t="s">
        <v>1021</v>
      </c>
      <c r="F15" s="28">
        <v>586</v>
      </c>
      <c r="G15" s="28">
        <v>45000</v>
      </c>
      <c r="H15" s="28">
        <f>Cty_Dung_Tuoi_Yen_Bai[[#This Row],[ĐƠN GIÁ]]*Cty_Dung_Tuoi_Yen_Bai[[#This Row],[SỐ LƯỢNG]]</f>
        <v>26370000</v>
      </c>
      <c r="I15" s="28"/>
      <c r="J15" s="28">
        <f>J14+Cty_Dung_Tuoi_Yen_Bai[[#This Row],[THÀNH TIỀN]]-Cty_Dung_Tuoi_Yen_Bai[[#This Row],[THANH TOÁN]]</f>
        <v>26373100</v>
      </c>
      <c r="K15" s="27"/>
    </row>
    <row r="16" spans="1:11" x14ac:dyDescent="0.25">
      <c r="A16" s="25">
        <v>8232</v>
      </c>
      <c r="B16" s="30">
        <v>46105</v>
      </c>
      <c r="C16" s="26" t="s">
        <v>13</v>
      </c>
      <c r="D16" s="38" t="s">
        <v>68</v>
      </c>
      <c r="E16" s="26" t="s">
        <v>1022</v>
      </c>
      <c r="F16" s="28">
        <v>528</v>
      </c>
      <c r="G16" s="28">
        <v>45000</v>
      </c>
      <c r="H16" s="28">
        <f>Cty_Dung_Tuoi_Yen_Bai[[#This Row],[ĐƠN GIÁ]]*Cty_Dung_Tuoi_Yen_Bai[[#This Row],[SỐ LƯỢNG]]</f>
        <v>23760000</v>
      </c>
      <c r="I16" s="28"/>
      <c r="J16" s="28">
        <f>J15+Cty_Dung_Tuoi_Yen_Bai[[#This Row],[THÀNH TIỀN]]-Cty_Dung_Tuoi_Yen_Bai[[#This Row],[THANH TOÁN]]</f>
        <v>50133100</v>
      </c>
      <c r="K16" s="27"/>
    </row>
    <row r="17" spans="1:11" x14ac:dyDescent="0.25">
      <c r="A17" s="178">
        <v>8232</v>
      </c>
      <c r="B17" s="179">
        <v>46105</v>
      </c>
      <c r="C17" s="180" t="s">
        <v>13</v>
      </c>
      <c r="D17" s="181" t="s">
        <v>68</v>
      </c>
      <c r="E17" s="180" t="s">
        <v>1023</v>
      </c>
      <c r="F17" s="182">
        <v>440</v>
      </c>
      <c r="G17" s="182">
        <v>45000</v>
      </c>
      <c r="H17" s="182">
        <f>Cty_Dung_Tuoi_Yen_Bai[[#This Row],[ĐƠN GIÁ]]*Cty_Dung_Tuoi_Yen_Bai[[#This Row],[SỐ LƯỢNG]]</f>
        <v>19800000</v>
      </c>
      <c r="I17" s="182"/>
      <c r="J17" s="182">
        <f>J16+Cty_Dung_Tuoi_Yen_Bai[[#This Row],[THÀNH TIỀN]]-Cty_Dung_Tuoi_Yen_Bai[[#This Row],[THANH TOÁN]]</f>
        <v>69933100</v>
      </c>
      <c r="K17" s="183"/>
    </row>
    <row r="18" spans="1:11" x14ac:dyDescent="0.25">
      <c r="A18" s="25"/>
      <c r="B18" s="30">
        <v>46108</v>
      </c>
      <c r="C18" s="26" t="s">
        <v>21</v>
      </c>
      <c r="D18" s="38" t="s">
        <v>22</v>
      </c>
      <c r="E18" s="26" t="s">
        <v>83</v>
      </c>
      <c r="F18" s="28">
        <v>0</v>
      </c>
      <c r="G18" s="28">
        <v>0</v>
      </c>
      <c r="H18" s="28">
        <f>Cty_Dung_Tuoi_Yen_Bai[[#This Row],[ĐƠN GIÁ]]*Cty_Dung_Tuoi_Yen_Bai[[#This Row],[SỐ LƯỢNG]]</f>
        <v>0</v>
      </c>
      <c r="I18" s="28">
        <v>26371576</v>
      </c>
      <c r="J18" s="28">
        <f>J17+Cty_Dung_Tuoi_Yen_Bai[[#This Row],[THÀNH TIỀN]]-Cty_Dung_Tuoi_Yen_Bai[[#This Row],[THANH TOÁN]]</f>
        <v>43561524</v>
      </c>
      <c r="K18" s="27"/>
    </row>
    <row r="19" spans="1:11" x14ac:dyDescent="0.25">
      <c r="A19" s="22"/>
      <c r="B19" s="29">
        <v>46113</v>
      </c>
      <c r="C19" s="23" t="s">
        <v>21</v>
      </c>
      <c r="D19" s="37" t="s">
        <v>22</v>
      </c>
      <c r="E19" s="23" t="s">
        <v>83</v>
      </c>
      <c r="F19" s="31">
        <v>0</v>
      </c>
      <c r="G19" s="31"/>
      <c r="H19" s="31">
        <f>Cty_Dung_Tuoi_Yen_Bai[[#This Row],[ĐƠN GIÁ]]*Cty_Dung_Tuoi_Yen_Bai[[#This Row],[SỐ LƯỢNG]]</f>
        <v>0</v>
      </c>
      <c r="I19" s="31">
        <v>43560743</v>
      </c>
      <c r="J19" s="31">
        <f>J18+Cty_Dung_Tuoi_Yen_Bai[[#This Row],[THÀNH TIỀN]]-Cty_Dung_Tuoi_Yen_Bai[[#This Row],[THANH TOÁN]]</f>
        <v>781</v>
      </c>
      <c r="K19" s="24"/>
    </row>
    <row r="20" spans="1:11" x14ac:dyDescent="0.25">
      <c r="A20" s="22">
        <v>9100</v>
      </c>
      <c r="B20" s="29">
        <v>46141</v>
      </c>
      <c r="C20" s="23" t="s">
        <v>13</v>
      </c>
      <c r="D20" s="37" t="s">
        <v>68</v>
      </c>
      <c r="E20" s="23" t="s">
        <v>1881</v>
      </c>
      <c r="F20" s="31">
        <v>444</v>
      </c>
      <c r="G20" s="31">
        <v>45000</v>
      </c>
      <c r="H20" s="31">
        <f>Cty_Dung_Tuoi_Yen_Bai[[#This Row],[ĐƠN GIÁ]]*Cty_Dung_Tuoi_Yen_Bai[[#This Row],[SỐ LƯỢNG]]</f>
        <v>19980000</v>
      </c>
      <c r="I20" s="31"/>
      <c r="J20" s="31">
        <f>J19+Cty_Dung_Tuoi_Yen_Bai[[#This Row],[THÀNH TIỀN]]-Cty_Dung_Tuoi_Yen_Bai[[#This Row],[THANH TOÁN]]</f>
        <v>19980781</v>
      </c>
      <c r="K20" s="24"/>
    </row>
    <row r="21" spans="1:11" x14ac:dyDescent="0.25">
      <c r="A21" s="22">
        <v>9329</v>
      </c>
      <c r="B21" s="29">
        <v>46154</v>
      </c>
      <c r="C21" s="23" t="s">
        <v>13</v>
      </c>
      <c r="D21" s="37" t="s">
        <v>150</v>
      </c>
      <c r="E21" s="23" t="s">
        <v>2048</v>
      </c>
      <c r="F21" s="31">
        <v>170</v>
      </c>
      <c r="G21" s="31">
        <v>40000</v>
      </c>
      <c r="H21" s="31">
        <f>Cty_Dung_Tuoi_Yen_Bai[[#This Row],[ĐƠN GIÁ]]*Cty_Dung_Tuoi_Yen_Bai[[#This Row],[SỐ LƯỢNG]]</f>
        <v>6800000</v>
      </c>
      <c r="I21" s="31"/>
      <c r="J21" s="31">
        <f>J20+Cty_Dung_Tuoi_Yen_Bai[[#This Row],[THÀNH TIỀN]]-Cty_Dung_Tuoi_Yen_Bai[[#This Row],[THANH TOÁN]]</f>
        <v>26780781</v>
      </c>
      <c r="K21" s="24"/>
    </row>
    <row r="22" spans="1:11" x14ac:dyDescent="0.25">
      <c r="A22" s="22">
        <v>9329</v>
      </c>
      <c r="B22" s="29">
        <v>46154</v>
      </c>
      <c r="C22" s="23" t="s">
        <v>13</v>
      </c>
      <c r="D22" s="37" t="s">
        <v>68</v>
      </c>
      <c r="E22" s="23" t="s">
        <v>2049</v>
      </c>
      <c r="F22" s="31">
        <v>258</v>
      </c>
      <c r="G22" s="31">
        <v>45000</v>
      </c>
      <c r="H22" s="31">
        <f>Cty_Dung_Tuoi_Yen_Bai[[#This Row],[ĐƠN GIÁ]]*Cty_Dung_Tuoi_Yen_Bai[[#This Row],[SỐ LƯỢNG]]</f>
        <v>11610000</v>
      </c>
      <c r="I22" s="31"/>
      <c r="J22" s="31">
        <f>J21+Cty_Dung_Tuoi_Yen_Bai[[#This Row],[THÀNH TIỀN]]-Cty_Dung_Tuoi_Yen_Bai[[#This Row],[THANH TOÁN]]</f>
        <v>38390781</v>
      </c>
      <c r="K22" s="24"/>
    </row>
    <row r="23" spans="1:11" x14ac:dyDescent="0.25">
      <c r="A23" s="22"/>
      <c r="B23" s="29">
        <v>46158</v>
      </c>
      <c r="C23" s="23" t="s">
        <v>21</v>
      </c>
      <c r="D23" s="37" t="s">
        <v>22</v>
      </c>
      <c r="E23" s="23" t="s">
        <v>261</v>
      </c>
      <c r="F23" s="31">
        <v>0</v>
      </c>
      <c r="G23" s="31"/>
      <c r="H23" s="31">
        <f>Cty_Dung_Tuoi_Yen_Bai[[#This Row],[ĐƠN GIÁ]]*Cty_Dung_Tuoi_Yen_Bai[[#This Row],[SỐ LƯỢNG]]</f>
        <v>0</v>
      </c>
      <c r="I23" s="31">
        <v>38389415</v>
      </c>
      <c r="J23" s="31">
        <f>J22+Cty_Dung_Tuoi_Yen_Bai[[#This Row],[THÀNH TIỀN]]-Cty_Dung_Tuoi_Yen_Bai[[#This Row],[THANH TOÁN]]</f>
        <v>1366</v>
      </c>
      <c r="K23" s="24"/>
    </row>
    <row r="24" spans="1:11" x14ac:dyDescent="0.25">
      <c r="A24" s="22">
        <v>9523</v>
      </c>
      <c r="B24" s="29">
        <v>46163</v>
      </c>
      <c r="C24" s="23" t="s">
        <v>13</v>
      </c>
      <c r="D24" s="37" t="s">
        <v>2262</v>
      </c>
      <c r="E24" s="23" t="s">
        <v>2226</v>
      </c>
      <c r="F24" s="31">
        <v>225</v>
      </c>
      <c r="G24" s="31">
        <v>70000</v>
      </c>
      <c r="H24" s="31">
        <f>Cty_Dung_Tuoi_Yen_Bai[[#This Row],[ĐƠN GIÁ]]*Cty_Dung_Tuoi_Yen_Bai[[#This Row],[SỐ LƯỢNG]]</f>
        <v>15750000</v>
      </c>
      <c r="I24" s="31"/>
      <c r="J24" s="31">
        <f>J23+Cty_Dung_Tuoi_Yen_Bai[[#This Row],[THÀNH TIỀN]]-Cty_Dung_Tuoi_Yen_Bai[[#This Row],[THANH TOÁN]]</f>
        <v>15751366</v>
      </c>
      <c r="K24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D1C819-A2A9-4FE4-B03D-3FC1F4C98FCE}">
  <sheetPr codeName="Sheet71"/>
  <dimension ref="A5:K52"/>
  <sheetViews>
    <sheetView topLeftCell="A34" workbookViewId="0">
      <selection activeCell="J27" sqref="J27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1685566500</v>
      </c>
    </row>
    <row r="6" spans="1:11" ht="22.5" x14ac:dyDescent="0.25">
      <c r="D6" s="34" t="s">
        <v>1024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Cty_Hoang_Anh_Viet_Nam[[#This Row],[ĐƠN GIÁ]]*Cty_Hoang_Anh_Viet_Nam[[#This Row],[SỐ LƯỢNG]]</f>
        <v>0</v>
      </c>
      <c r="I10" s="31"/>
      <c r="J10" s="31">
        <v>888717000</v>
      </c>
      <c r="K10" s="24"/>
    </row>
    <row r="11" spans="1:11" x14ac:dyDescent="0.25">
      <c r="A11" s="22">
        <v>7886</v>
      </c>
      <c r="B11" s="29">
        <v>46087</v>
      </c>
      <c r="C11" s="23" t="s">
        <v>13</v>
      </c>
      <c r="D11" s="37" t="s">
        <v>14</v>
      </c>
      <c r="E11" s="23" t="s">
        <v>1025</v>
      </c>
      <c r="F11" s="31">
        <f>334+346+1226</f>
        <v>1906</v>
      </c>
      <c r="G11" s="31">
        <v>42500</v>
      </c>
      <c r="H11" s="31">
        <f>Cty_Hoang_Anh_Viet_Nam[[#This Row],[ĐƠN GIÁ]]*Cty_Hoang_Anh_Viet_Nam[[#This Row],[SỐ LƯỢNG]]</f>
        <v>81005000</v>
      </c>
      <c r="I11" s="31"/>
      <c r="J11" s="31">
        <f>J10+Cty_Hoang_Anh_Viet_Nam[[#This Row],[THÀNH TIỀN]]-Cty_Hoang_Anh_Viet_Nam[[#This Row],[THANH TOÁN]]</f>
        <v>969722000</v>
      </c>
      <c r="K11" s="24"/>
    </row>
    <row r="12" spans="1:11" x14ac:dyDescent="0.25">
      <c r="A12" s="22">
        <v>7886</v>
      </c>
      <c r="B12" s="29">
        <v>46087</v>
      </c>
      <c r="C12" s="23" t="s">
        <v>13</v>
      </c>
      <c r="D12" s="37" t="s">
        <v>14</v>
      </c>
      <c r="E12" s="23" t="s">
        <v>1026</v>
      </c>
      <c r="F12" s="31">
        <v>894</v>
      </c>
      <c r="G12" s="31">
        <v>41000</v>
      </c>
      <c r="H12" s="31">
        <f>Cty_Hoang_Anh_Viet_Nam[[#This Row],[ĐƠN GIÁ]]*Cty_Hoang_Anh_Viet_Nam[[#This Row],[SỐ LƯỢNG]]</f>
        <v>36654000</v>
      </c>
      <c r="I12" s="31"/>
      <c r="J12" s="31">
        <f>J11+Cty_Hoang_Anh_Viet_Nam[[#This Row],[THÀNH TIỀN]]-Cty_Hoang_Anh_Viet_Nam[[#This Row],[THANH TOÁN]]</f>
        <v>1006376000</v>
      </c>
      <c r="K12" s="24"/>
    </row>
    <row r="13" spans="1:11" x14ac:dyDescent="0.25">
      <c r="A13" s="22">
        <v>7886</v>
      </c>
      <c r="B13" s="29">
        <v>46087</v>
      </c>
      <c r="C13" s="23" t="s">
        <v>13</v>
      </c>
      <c r="D13" s="37" t="s">
        <v>14</v>
      </c>
      <c r="E13" s="23" t="s">
        <v>1027</v>
      </c>
      <c r="F13" s="31">
        <v>294</v>
      </c>
      <c r="G13" s="31">
        <v>41000</v>
      </c>
      <c r="H13" s="31">
        <f>Cty_Hoang_Anh_Viet_Nam[[#This Row],[ĐƠN GIÁ]]*Cty_Hoang_Anh_Viet_Nam[[#This Row],[SỐ LƯỢNG]]</f>
        <v>12054000</v>
      </c>
      <c r="I13" s="31"/>
      <c r="J13" s="31">
        <f>J12+Cty_Hoang_Anh_Viet_Nam[[#This Row],[THÀNH TIỀN]]-Cty_Hoang_Anh_Viet_Nam[[#This Row],[THANH TOÁN]]</f>
        <v>1018430000</v>
      </c>
      <c r="K13" s="24"/>
    </row>
    <row r="14" spans="1:11" x14ac:dyDescent="0.25">
      <c r="A14" s="22">
        <v>7905</v>
      </c>
      <c r="B14" s="29">
        <v>46087</v>
      </c>
      <c r="C14" s="23" t="s">
        <v>13</v>
      </c>
      <c r="D14" s="37" t="s">
        <v>14</v>
      </c>
      <c r="E14" s="23" t="s">
        <v>134</v>
      </c>
      <c r="F14" s="31">
        <v>538</v>
      </c>
      <c r="G14" s="31">
        <v>41000</v>
      </c>
      <c r="H14" s="31">
        <f>Cty_Hoang_Anh_Viet_Nam[[#This Row],[ĐƠN GIÁ]]*Cty_Hoang_Anh_Viet_Nam[[#This Row],[SỐ LƯỢNG]]</f>
        <v>22058000</v>
      </c>
      <c r="I14" s="31"/>
      <c r="J14" s="31">
        <f>J13+Cty_Hoang_Anh_Viet_Nam[[#This Row],[THÀNH TIỀN]]-Cty_Hoang_Anh_Viet_Nam[[#This Row],[THANH TOÁN]]</f>
        <v>1040488000</v>
      </c>
      <c r="K14" s="24"/>
    </row>
    <row r="15" spans="1:11" x14ac:dyDescent="0.25">
      <c r="A15" s="25">
        <v>56323</v>
      </c>
      <c r="B15" s="30">
        <v>46087</v>
      </c>
      <c r="C15" s="23" t="s">
        <v>692</v>
      </c>
      <c r="D15" s="38" t="s">
        <v>195</v>
      </c>
      <c r="E15" s="26" t="s">
        <v>1028</v>
      </c>
      <c r="F15" s="28">
        <v>7594</v>
      </c>
      <c r="G15" s="28">
        <v>-27000</v>
      </c>
      <c r="H15" s="28">
        <f>Cty_Hoang_Anh_Viet_Nam[[#This Row],[ĐƠN GIÁ]]*Cty_Hoang_Anh_Viet_Nam[[#This Row],[SỐ LƯỢNG]]</f>
        <v>-205038000</v>
      </c>
      <c r="I15" s="28"/>
      <c r="J15" s="28">
        <f>J14+Cty_Hoang_Anh_Viet_Nam[[#This Row],[THÀNH TIỀN]]-Cty_Hoang_Anh_Viet_Nam[[#This Row],[THANH TOÁN]]</f>
        <v>835450000</v>
      </c>
      <c r="K15" s="27"/>
    </row>
    <row r="16" spans="1:11" x14ac:dyDescent="0.25">
      <c r="A16" s="25">
        <v>56333</v>
      </c>
      <c r="B16" s="30">
        <v>46088</v>
      </c>
      <c r="C16" s="23" t="s">
        <v>692</v>
      </c>
      <c r="D16" s="38" t="s">
        <v>1029</v>
      </c>
      <c r="E16" s="23" t="s">
        <v>1030</v>
      </c>
      <c r="F16" s="31">
        <v>10263</v>
      </c>
      <c r="G16" s="31">
        <v>-27000</v>
      </c>
      <c r="H16" s="31">
        <f>Cty_Hoang_Anh_Viet_Nam[[#This Row],[ĐƠN GIÁ]]*Cty_Hoang_Anh_Viet_Nam[[#This Row],[SỐ LƯỢNG]]</f>
        <v>-277101000</v>
      </c>
      <c r="I16" s="31"/>
      <c r="J16" s="31">
        <f>J15+Cty_Hoang_Anh_Viet_Nam[[#This Row],[THÀNH TIỀN]]-Cty_Hoang_Anh_Viet_Nam[[#This Row],[THANH TOÁN]]</f>
        <v>558349000</v>
      </c>
      <c r="K16" s="24"/>
    </row>
    <row r="17" spans="1:11" x14ac:dyDescent="0.25">
      <c r="A17" s="25">
        <v>8004</v>
      </c>
      <c r="B17" s="30">
        <v>46092</v>
      </c>
      <c r="C17" s="23" t="s">
        <v>13</v>
      </c>
      <c r="D17" s="38" t="s">
        <v>14</v>
      </c>
      <c r="E17" s="26" t="s">
        <v>65</v>
      </c>
      <c r="F17" s="28">
        <f>542-8</f>
        <v>534</v>
      </c>
      <c r="G17" s="28">
        <v>45000</v>
      </c>
      <c r="H17" s="28">
        <f>Cty_Hoang_Anh_Viet_Nam[[#This Row],[ĐƠN GIÁ]]*Cty_Hoang_Anh_Viet_Nam[[#This Row],[SỐ LƯỢNG]]</f>
        <v>24030000</v>
      </c>
      <c r="I17" s="28"/>
      <c r="J17" s="28">
        <f>J16+Cty_Hoang_Anh_Viet_Nam[[#This Row],[THÀNH TIỀN]]-Cty_Hoang_Anh_Viet_Nam[[#This Row],[THANH TOÁN]]</f>
        <v>582379000</v>
      </c>
      <c r="K17" s="27"/>
    </row>
    <row r="18" spans="1:11" x14ac:dyDescent="0.25">
      <c r="A18" s="25">
        <v>8004</v>
      </c>
      <c r="B18" s="30">
        <v>46092</v>
      </c>
      <c r="C18" s="26" t="s">
        <v>13</v>
      </c>
      <c r="D18" s="38" t="s">
        <v>14</v>
      </c>
      <c r="E18" s="26" t="s">
        <v>220</v>
      </c>
      <c r="F18" s="28">
        <v>132</v>
      </c>
      <c r="G18" s="28">
        <v>43000</v>
      </c>
      <c r="H18" s="28">
        <f>Cty_Hoang_Anh_Viet_Nam[[#This Row],[ĐƠN GIÁ]]*Cty_Hoang_Anh_Viet_Nam[[#This Row],[SỐ LƯỢNG]]</f>
        <v>5676000</v>
      </c>
      <c r="I18" s="28"/>
      <c r="J18" s="28">
        <f>J17+Cty_Hoang_Anh_Viet_Nam[[#This Row],[THÀNH TIỀN]]-Cty_Hoang_Anh_Viet_Nam[[#This Row],[THANH TOÁN]]</f>
        <v>588055000</v>
      </c>
      <c r="K18" s="27"/>
    </row>
    <row r="19" spans="1:11" x14ac:dyDescent="0.25">
      <c r="A19" s="25">
        <v>8042</v>
      </c>
      <c r="B19" s="30">
        <v>46093</v>
      </c>
      <c r="C19" s="26" t="s">
        <v>13</v>
      </c>
      <c r="D19" s="38" t="s">
        <v>14</v>
      </c>
      <c r="E19" s="23" t="s">
        <v>220</v>
      </c>
      <c r="F19" s="31">
        <f>316+516</f>
        <v>832</v>
      </c>
      <c r="G19" s="31">
        <v>43000</v>
      </c>
      <c r="H19" s="31">
        <f>Cty_Hoang_Anh_Viet_Nam[[#This Row],[ĐƠN GIÁ]]*Cty_Hoang_Anh_Viet_Nam[[#This Row],[SỐ LƯỢNG]]</f>
        <v>35776000</v>
      </c>
      <c r="I19" s="31"/>
      <c r="J19" s="31">
        <f>J18+Cty_Hoang_Anh_Viet_Nam[[#This Row],[THÀNH TIỀN]]-Cty_Hoang_Anh_Viet_Nam[[#This Row],[THANH TOÁN]]</f>
        <v>623831000</v>
      </c>
      <c r="K19" s="24"/>
    </row>
    <row r="20" spans="1:11" x14ac:dyDescent="0.25">
      <c r="A20" s="25">
        <v>8143</v>
      </c>
      <c r="B20" s="30">
        <v>46098</v>
      </c>
      <c r="C20" s="26" t="s">
        <v>13</v>
      </c>
      <c r="D20" s="38" t="s">
        <v>265</v>
      </c>
      <c r="E20" s="23" t="s">
        <v>41</v>
      </c>
      <c r="F20" s="31">
        <v>434</v>
      </c>
      <c r="G20" s="31">
        <v>63000</v>
      </c>
      <c r="H20" s="31">
        <f>Cty_Hoang_Anh_Viet_Nam[[#This Row],[ĐƠN GIÁ]]*Cty_Hoang_Anh_Viet_Nam[[#This Row],[SỐ LƯỢNG]]</f>
        <v>27342000</v>
      </c>
      <c r="I20" s="31"/>
      <c r="J20" s="31">
        <f>J19+Cty_Hoang_Anh_Viet_Nam[[#This Row],[THÀNH TIỀN]]-Cty_Hoang_Anh_Viet_Nam[[#This Row],[THANH TOÁN]]</f>
        <v>651173000</v>
      </c>
      <c r="K20" s="24"/>
    </row>
    <row r="21" spans="1:11" x14ac:dyDescent="0.25">
      <c r="A21" s="25">
        <v>8143</v>
      </c>
      <c r="B21" s="30">
        <v>46098</v>
      </c>
      <c r="C21" s="26" t="s">
        <v>13</v>
      </c>
      <c r="D21" s="38" t="s">
        <v>265</v>
      </c>
      <c r="E21" s="26" t="s">
        <v>136</v>
      </c>
      <c r="F21" s="28">
        <v>546</v>
      </c>
      <c r="G21" s="28">
        <v>62000</v>
      </c>
      <c r="H21" s="28">
        <f>Cty_Hoang_Anh_Viet_Nam[[#This Row],[ĐƠN GIÁ]]*Cty_Hoang_Anh_Viet_Nam[[#This Row],[SỐ LƯỢNG]]</f>
        <v>33852000</v>
      </c>
      <c r="I21" s="28"/>
      <c r="J21" s="28">
        <f>J20+Cty_Hoang_Anh_Viet_Nam[[#This Row],[THÀNH TIỀN]]-Cty_Hoang_Anh_Viet_Nam[[#This Row],[THANH TOÁN]]</f>
        <v>685025000</v>
      </c>
      <c r="K21" s="27"/>
    </row>
    <row r="22" spans="1:11" x14ac:dyDescent="0.25">
      <c r="A22" s="25">
        <v>8143</v>
      </c>
      <c r="B22" s="30">
        <v>46098</v>
      </c>
      <c r="C22" s="26" t="s">
        <v>13</v>
      </c>
      <c r="D22" s="38" t="s">
        <v>17</v>
      </c>
      <c r="E22" s="26" t="s">
        <v>33</v>
      </c>
      <c r="F22" s="28">
        <v>633</v>
      </c>
      <c r="G22" s="28">
        <v>65000</v>
      </c>
      <c r="H22" s="28">
        <f>Cty_Hoang_Anh_Viet_Nam[[#This Row],[ĐƠN GIÁ]]*Cty_Hoang_Anh_Viet_Nam[[#This Row],[SỐ LƯỢNG]]</f>
        <v>41145000</v>
      </c>
      <c r="I22" s="28"/>
      <c r="J22" s="28">
        <f>J21+Cty_Hoang_Anh_Viet_Nam[[#This Row],[THÀNH TIỀN]]-Cty_Hoang_Anh_Viet_Nam[[#This Row],[THANH TOÁN]]</f>
        <v>726170000</v>
      </c>
      <c r="K22" s="27"/>
    </row>
    <row r="23" spans="1:11" x14ac:dyDescent="0.25">
      <c r="A23" s="22">
        <v>8143</v>
      </c>
      <c r="B23" s="29">
        <v>46098</v>
      </c>
      <c r="C23" s="23" t="s">
        <v>13</v>
      </c>
      <c r="D23" s="37" t="s">
        <v>701</v>
      </c>
      <c r="E23" s="23" t="s">
        <v>148</v>
      </c>
      <c r="F23" s="31">
        <v>2286</v>
      </c>
      <c r="G23" s="31">
        <v>41500</v>
      </c>
      <c r="H23" s="31">
        <f>Cty_Hoang_Anh_Viet_Nam[[#This Row],[ĐƠN GIÁ]]*Cty_Hoang_Anh_Viet_Nam[[#This Row],[SỐ LƯỢNG]]</f>
        <v>94869000</v>
      </c>
      <c r="I23" s="31"/>
      <c r="J23" s="31">
        <f>J22+Cty_Hoang_Anh_Viet_Nam[[#This Row],[THÀNH TIỀN]]-Cty_Hoang_Anh_Viet_Nam[[#This Row],[THANH TOÁN]]</f>
        <v>821039000</v>
      </c>
      <c r="K23" s="24"/>
    </row>
    <row r="24" spans="1:11" x14ac:dyDescent="0.25">
      <c r="A24" s="25">
        <v>56490</v>
      </c>
      <c r="B24" s="30">
        <v>46098</v>
      </c>
      <c r="C24" s="26" t="s">
        <v>692</v>
      </c>
      <c r="D24" s="38" t="s">
        <v>701</v>
      </c>
      <c r="E24" s="26" t="s">
        <v>148</v>
      </c>
      <c r="F24" s="28">
        <v>1524</v>
      </c>
      <c r="G24" s="28">
        <v>-41500</v>
      </c>
      <c r="H24" s="28">
        <f>Cty_Hoang_Anh_Viet_Nam[[#This Row],[ĐƠN GIÁ]]*Cty_Hoang_Anh_Viet_Nam[[#This Row],[SỐ LƯỢNG]]</f>
        <v>-63246000</v>
      </c>
      <c r="I24" s="28"/>
      <c r="J24" s="28">
        <f>J23+Cty_Hoang_Anh_Viet_Nam[[#This Row],[THÀNH TIỀN]]-Cty_Hoang_Anh_Viet_Nam[[#This Row],[THANH TOÁN]]</f>
        <v>757793000</v>
      </c>
      <c r="K24" s="27"/>
    </row>
    <row r="25" spans="1:11" x14ac:dyDescent="0.25">
      <c r="A25" s="25"/>
      <c r="B25" s="30">
        <v>46108</v>
      </c>
      <c r="C25" s="26" t="s">
        <v>21</v>
      </c>
      <c r="D25" s="38" t="s">
        <v>22</v>
      </c>
      <c r="E25" s="26" t="s">
        <v>83</v>
      </c>
      <c r="F25" s="28">
        <v>0</v>
      </c>
      <c r="G25" s="28">
        <v>0</v>
      </c>
      <c r="H25" s="28">
        <f>Cty_Hoang_Anh_Viet_Nam[[#This Row],[ĐƠN GIÁ]]*Cty_Hoang_Anh_Viet_Nam[[#This Row],[SỐ LƯỢNG]]</f>
        <v>0</v>
      </c>
      <c r="I25" s="28">
        <v>300000000</v>
      </c>
      <c r="J25" s="28">
        <f>J24+Cty_Hoang_Anh_Viet_Nam[[#This Row],[THÀNH TIỀN]]-Cty_Hoang_Anh_Viet_Nam[[#This Row],[THANH TOÁN]]</f>
        <v>457793000</v>
      </c>
      <c r="K25" s="27"/>
    </row>
    <row r="26" spans="1:11" x14ac:dyDescent="0.25">
      <c r="A26" s="25">
        <v>8454</v>
      </c>
      <c r="B26" s="30">
        <v>46113</v>
      </c>
      <c r="C26" s="26" t="s">
        <v>13</v>
      </c>
      <c r="D26" s="38" t="s">
        <v>26</v>
      </c>
      <c r="E26" s="26" t="s">
        <v>148</v>
      </c>
      <c r="F26" s="28">
        <v>7084</v>
      </c>
      <c r="G26" s="28">
        <v>35000</v>
      </c>
      <c r="H26" s="28">
        <f>Cty_Hoang_Anh_Viet_Nam[[#This Row],[ĐƠN GIÁ]]*Cty_Hoang_Anh_Viet_Nam[[#This Row],[SỐ LƯỢNG]]</f>
        <v>247940000</v>
      </c>
      <c r="I26" s="28"/>
      <c r="J26" s="28">
        <f>J25+Cty_Hoang_Anh_Viet_Nam[[#This Row],[THÀNH TIỀN]]-Cty_Hoang_Anh_Viet_Nam[[#This Row],[THANH TOÁN]]</f>
        <v>705733000</v>
      </c>
      <c r="K26" s="27"/>
    </row>
    <row r="27" spans="1:11" x14ac:dyDescent="0.25">
      <c r="A27" s="22">
        <v>8454</v>
      </c>
      <c r="B27" s="29">
        <v>46113</v>
      </c>
      <c r="C27" s="23" t="s">
        <v>13</v>
      </c>
      <c r="D27" s="37" t="s">
        <v>17</v>
      </c>
      <c r="E27" s="23" t="s">
        <v>33</v>
      </c>
      <c r="F27" s="31">
        <v>808</v>
      </c>
      <c r="G27" s="31">
        <v>66000</v>
      </c>
      <c r="H27" s="31">
        <f>Cty_Hoang_Anh_Viet_Nam[[#This Row],[ĐƠN GIÁ]]*Cty_Hoang_Anh_Viet_Nam[[#This Row],[SỐ LƯỢNG]]</f>
        <v>53328000</v>
      </c>
      <c r="I27" s="31"/>
      <c r="J27" s="31">
        <f>J26+Cty_Hoang_Anh_Viet_Nam[[#This Row],[THÀNH TIỀN]]-Cty_Hoang_Anh_Viet_Nam[[#This Row],[THANH TOÁN]]</f>
        <v>759061000</v>
      </c>
      <c r="K27" s="24"/>
    </row>
    <row r="28" spans="1:11" x14ac:dyDescent="0.25">
      <c r="A28" s="22">
        <v>8568</v>
      </c>
      <c r="B28" s="29">
        <v>46118</v>
      </c>
      <c r="C28" s="23" t="s">
        <v>13</v>
      </c>
      <c r="D28" s="37" t="s">
        <v>26</v>
      </c>
      <c r="E28" s="23" t="s">
        <v>40</v>
      </c>
      <c r="F28" s="31">
        <v>7534</v>
      </c>
      <c r="G28" s="31">
        <v>36000</v>
      </c>
      <c r="H28" s="31">
        <f>Cty_Hoang_Anh_Viet_Nam[[#This Row],[ĐƠN GIÁ]]*Cty_Hoang_Anh_Viet_Nam[[#This Row],[SỐ LƯỢNG]]</f>
        <v>271224000</v>
      </c>
      <c r="I28" s="31"/>
      <c r="J28" s="31">
        <f>J27+Cty_Hoang_Anh_Viet_Nam[[#This Row],[THÀNH TIỀN]]-Cty_Hoang_Anh_Viet_Nam[[#This Row],[THANH TOÁN]]</f>
        <v>1030285000</v>
      </c>
      <c r="K28" s="24"/>
    </row>
    <row r="29" spans="1:11" x14ac:dyDescent="0.25">
      <c r="A29" s="22">
        <v>8619</v>
      </c>
      <c r="B29" s="29">
        <v>46119</v>
      </c>
      <c r="C29" s="23" t="s">
        <v>13</v>
      </c>
      <c r="D29" s="37" t="s">
        <v>17</v>
      </c>
      <c r="E29" s="23" t="s">
        <v>40</v>
      </c>
      <c r="F29" s="31">
        <v>4980</v>
      </c>
      <c r="G29" s="31">
        <v>0</v>
      </c>
      <c r="H29" s="31">
        <f>Cty_Hoang_Anh_Viet_Nam[[#This Row],[ĐƠN GIÁ]]*Cty_Hoang_Anh_Viet_Nam[[#This Row],[SỐ LƯỢNG]]</f>
        <v>0</v>
      </c>
      <c r="I29" s="31"/>
      <c r="J29" s="31">
        <f>J28+Cty_Hoang_Anh_Viet_Nam[[#This Row],[THÀNH TIỀN]]-Cty_Hoang_Anh_Viet_Nam[[#This Row],[THANH TOÁN]]</f>
        <v>1030285000</v>
      </c>
      <c r="K29" s="24"/>
    </row>
    <row r="30" spans="1:11" x14ac:dyDescent="0.25">
      <c r="A30" s="22">
        <v>56789</v>
      </c>
      <c r="B30" s="29">
        <v>46119</v>
      </c>
      <c r="C30" s="23" t="s">
        <v>692</v>
      </c>
      <c r="D30" s="37" t="s">
        <v>150</v>
      </c>
      <c r="E30" s="23" t="s">
        <v>372</v>
      </c>
      <c r="F30" s="31">
        <v>1548</v>
      </c>
      <c r="G30" s="31">
        <v>-36500</v>
      </c>
      <c r="H30" s="31">
        <f>Cty_Hoang_Anh_Viet_Nam[[#This Row],[ĐƠN GIÁ]]*Cty_Hoang_Anh_Viet_Nam[[#This Row],[SỐ LƯỢNG]]</f>
        <v>-56502000</v>
      </c>
      <c r="I30" s="31"/>
      <c r="J30" s="31">
        <f>J29+Cty_Hoang_Anh_Viet_Nam[[#This Row],[THÀNH TIỀN]]-Cty_Hoang_Anh_Viet_Nam[[#This Row],[THANH TOÁN]]</f>
        <v>973783000</v>
      </c>
      <c r="K30" s="24"/>
    </row>
    <row r="31" spans="1:11" x14ac:dyDescent="0.25">
      <c r="A31" s="22"/>
      <c r="B31" s="29">
        <v>46119</v>
      </c>
      <c r="C31" s="23" t="s">
        <v>21</v>
      </c>
      <c r="D31" s="37" t="s">
        <v>22</v>
      </c>
      <c r="E31" s="23" t="s">
        <v>147</v>
      </c>
      <c r="F31" s="31">
        <v>0</v>
      </c>
      <c r="G31" s="31"/>
      <c r="H31" s="31">
        <f>Cty_Hoang_Anh_Viet_Nam[[#This Row],[ĐƠN GIÁ]]*Cty_Hoang_Anh_Viet_Nam[[#This Row],[SỐ LƯỢNG]]</f>
        <v>0</v>
      </c>
      <c r="I31" s="31">
        <v>200000000</v>
      </c>
      <c r="J31" s="31">
        <f>J30+Cty_Hoang_Anh_Viet_Nam[[#This Row],[THÀNH TIỀN]]-Cty_Hoang_Anh_Viet_Nam[[#This Row],[THANH TOÁN]]</f>
        <v>773783000</v>
      </c>
      <c r="K31" s="24"/>
    </row>
    <row r="32" spans="1:11" x14ac:dyDescent="0.25">
      <c r="A32" s="22">
        <v>56834</v>
      </c>
      <c r="B32" s="29">
        <v>46120</v>
      </c>
      <c r="C32" s="23" t="s">
        <v>692</v>
      </c>
      <c r="D32" s="37" t="s">
        <v>150</v>
      </c>
      <c r="E32" s="23" t="s">
        <v>1031</v>
      </c>
      <c r="F32" s="31">
        <v>108</v>
      </c>
      <c r="G32" s="31">
        <v>-36000</v>
      </c>
      <c r="H32" s="31">
        <f>Cty_Hoang_Anh_Viet_Nam[[#This Row],[ĐƠN GIÁ]]*Cty_Hoang_Anh_Viet_Nam[[#This Row],[SỐ LƯỢNG]]</f>
        <v>-3888000</v>
      </c>
      <c r="I32" s="31"/>
      <c r="J32" s="31">
        <f>J31+Cty_Hoang_Anh_Viet_Nam[[#This Row],[THÀNH TIỀN]]-Cty_Hoang_Anh_Viet_Nam[[#This Row],[THANH TOÁN]]</f>
        <v>769895000</v>
      </c>
      <c r="K32" s="24"/>
    </row>
    <row r="33" spans="1:11" x14ac:dyDescent="0.25">
      <c r="A33" s="22">
        <v>8671</v>
      </c>
      <c r="B33" s="29">
        <v>46122</v>
      </c>
      <c r="C33" s="23" t="s">
        <v>13</v>
      </c>
      <c r="D33" s="37" t="s">
        <v>701</v>
      </c>
      <c r="E33" s="23" t="s">
        <v>136</v>
      </c>
      <c r="F33" s="31">
        <v>5196</v>
      </c>
      <c r="G33" s="31">
        <v>41500</v>
      </c>
      <c r="H33" s="31">
        <f>Cty_Hoang_Anh_Viet_Nam[[#This Row],[ĐƠN GIÁ]]*Cty_Hoang_Anh_Viet_Nam[[#This Row],[SỐ LƯỢNG]]</f>
        <v>215634000</v>
      </c>
      <c r="I33" s="31"/>
      <c r="J33" s="31">
        <f>J32+Cty_Hoang_Anh_Viet_Nam[[#This Row],[THÀNH TIỀN]]-Cty_Hoang_Anh_Viet_Nam[[#This Row],[THANH TOÁN]]</f>
        <v>985529000</v>
      </c>
      <c r="K33" s="24"/>
    </row>
    <row r="34" spans="1:11" x14ac:dyDescent="0.25">
      <c r="A34" s="22">
        <v>8677</v>
      </c>
      <c r="B34" s="29">
        <v>46122</v>
      </c>
      <c r="C34" s="23" t="s">
        <v>13</v>
      </c>
      <c r="D34" s="37" t="s">
        <v>701</v>
      </c>
      <c r="E34" s="23" t="s">
        <v>148</v>
      </c>
      <c r="F34" s="31">
        <v>5114</v>
      </c>
      <c r="G34" s="31">
        <v>41500</v>
      </c>
      <c r="H34" s="31">
        <f>Cty_Hoang_Anh_Viet_Nam[[#This Row],[ĐƠN GIÁ]]*Cty_Hoang_Anh_Viet_Nam[[#This Row],[SỐ LƯỢNG]]</f>
        <v>212231000</v>
      </c>
      <c r="I34" s="31"/>
      <c r="J34" s="31">
        <f>J33+Cty_Hoang_Anh_Viet_Nam[[#This Row],[THÀNH TIỀN]]-Cty_Hoang_Anh_Viet_Nam[[#This Row],[THANH TOÁN]]</f>
        <v>1197760000</v>
      </c>
      <c r="K34" s="24"/>
    </row>
    <row r="35" spans="1:11" x14ac:dyDescent="0.25">
      <c r="A35" s="22">
        <v>8678</v>
      </c>
      <c r="B35" s="29">
        <v>46122</v>
      </c>
      <c r="C35" s="23" t="s">
        <v>13</v>
      </c>
      <c r="D35" s="37" t="s">
        <v>14</v>
      </c>
      <c r="E35" s="23" t="s">
        <v>134</v>
      </c>
      <c r="F35" s="31">
        <v>5098</v>
      </c>
      <c r="G35" s="31">
        <v>41500</v>
      </c>
      <c r="H35" s="31">
        <f>Cty_Hoang_Anh_Viet_Nam[[#This Row],[ĐƠN GIÁ]]*Cty_Hoang_Anh_Viet_Nam[[#This Row],[SỐ LƯỢNG]]</f>
        <v>211567000</v>
      </c>
      <c r="I35" s="31"/>
      <c r="J35" s="31">
        <f>J34+Cty_Hoang_Anh_Viet_Nam[[#This Row],[THÀNH TIỀN]]-Cty_Hoang_Anh_Viet_Nam[[#This Row],[THANH TOÁN]]</f>
        <v>1409327000</v>
      </c>
      <c r="K35" s="24"/>
    </row>
    <row r="36" spans="1:11" x14ac:dyDescent="0.25">
      <c r="A36" s="22">
        <v>56870</v>
      </c>
      <c r="B36" s="29">
        <v>46122</v>
      </c>
      <c r="C36" s="23" t="s">
        <v>692</v>
      </c>
      <c r="D36" s="37" t="s">
        <v>1032</v>
      </c>
      <c r="E36" s="23" t="s">
        <v>28</v>
      </c>
      <c r="F36" s="31">
        <v>1073</v>
      </c>
      <c r="G36" s="31">
        <v>-35500</v>
      </c>
      <c r="H36" s="31">
        <f>Cty_Hoang_Anh_Viet_Nam[[#This Row],[ĐƠN GIÁ]]*Cty_Hoang_Anh_Viet_Nam[[#This Row],[SỐ LƯỢNG]]</f>
        <v>-38091500</v>
      </c>
      <c r="I36" s="31"/>
      <c r="J36" s="31">
        <f>J35+Cty_Hoang_Anh_Viet_Nam[[#This Row],[THÀNH TIỀN]]-Cty_Hoang_Anh_Viet_Nam[[#This Row],[THANH TOÁN]]</f>
        <v>1371235500</v>
      </c>
      <c r="K36" s="24"/>
    </row>
    <row r="37" spans="1:11" x14ac:dyDescent="0.25">
      <c r="A37" s="22">
        <v>8713</v>
      </c>
      <c r="B37" s="29">
        <v>46123</v>
      </c>
      <c r="C37" s="23" t="s">
        <v>13</v>
      </c>
      <c r="D37" s="37" t="s">
        <v>17</v>
      </c>
      <c r="E37" s="23" t="s">
        <v>40</v>
      </c>
      <c r="F37" s="31">
        <v>1097</v>
      </c>
      <c r="G37" s="31">
        <v>66500</v>
      </c>
      <c r="H37" s="31">
        <f>Cty_Hoang_Anh_Viet_Nam[[#This Row],[ĐƠN GIÁ]]*Cty_Hoang_Anh_Viet_Nam[[#This Row],[SỐ LƯỢNG]]</f>
        <v>72950500</v>
      </c>
      <c r="I37" s="31"/>
      <c r="J37" s="31">
        <f>J36+Cty_Hoang_Anh_Viet_Nam[[#This Row],[THÀNH TIỀN]]-Cty_Hoang_Anh_Viet_Nam[[#This Row],[THANH TOÁN]]</f>
        <v>1444186000</v>
      </c>
      <c r="K37" s="24"/>
    </row>
    <row r="38" spans="1:11" x14ac:dyDescent="0.25">
      <c r="A38" s="22">
        <v>8733</v>
      </c>
      <c r="B38" s="29">
        <v>46125</v>
      </c>
      <c r="C38" s="23" t="s">
        <v>13</v>
      </c>
      <c r="D38" s="37" t="s">
        <v>17</v>
      </c>
      <c r="E38" s="23" t="s">
        <v>40</v>
      </c>
      <c r="F38" s="31">
        <v>200</v>
      </c>
      <c r="G38" s="31">
        <v>67000</v>
      </c>
      <c r="H38" s="31">
        <f>Cty_Hoang_Anh_Viet_Nam[[#This Row],[ĐƠN GIÁ]]*Cty_Hoang_Anh_Viet_Nam[[#This Row],[SỐ LƯỢNG]]</f>
        <v>13400000</v>
      </c>
      <c r="I38" s="31"/>
      <c r="J38" s="31">
        <f>J37+Cty_Hoang_Anh_Viet_Nam[[#This Row],[THÀNH TIỀN]]-Cty_Hoang_Anh_Viet_Nam[[#This Row],[THANH TOÁN]]</f>
        <v>1457586000</v>
      </c>
      <c r="K38" s="24"/>
    </row>
    <row r="39" spans="1:11" x14ac:dyDescent="0.25">
      <c r="A39" s="22">
        <v>8733</v>
      </c>
      <c r="B39" s="29">
        <v>46125</v>
      </c>
      <c r="C39" s="23" t="s">
        <v>13</v>
      </c>
      <c r="D39" s="37" t="s">
        <v>26</v>
      </c>
      <c r="E39" s="23" t="s">
        <v>41</v>
      </c>
      <c r="F39" s="31">
        <v>150</v>
      </c>
      <c r="G39" s="31">
        <v>36000</v>
      </c>
      <c r="H39" s="31">
        <f>Cty_Hoang_Anh_Viet_Nam[[#This Row],[ĐƠN GIÁ]]*Cty_Hoang_Anh_Viet_Nam[[#This Row],[SỐ LƯỢNG]]</f>
        <v>5400000</v>
      </c>
      <c r="I39" s="31"/>
      <c r="J39" s="31">
        <f>J38+Cty_Hoang_Anh_Viet_Nam[[#This Row],[THÀNH TIỀN]]-Cty_Hoang_Anh_Viet_Nam[[#This Row],[THANH TOÁN]]</f>
        <v>1462986000</v>
      </c>
      <c r="K39" s="24"/>
    </row>
    <row r="40" spans="1:11" x14ac:dyDescent="0.25">
      <c r="A40" s="22">
        <v>56897</v>
      </c>
      <c r="B40" s="29">
        <v>46125</v>
      </c>
      <c r="C40" s="23" t="s">
        <v>692</v>
      </c>
      <c r="D40" s="37" t="s">
        <v>14</v>
      </c>
      <c r="E40" s="23" t="s">
        <v>134</v>
      </c>
      <c r="F40" s="31">
        <v>627</v>
      </c>
      <c r="G40" s="31">
        <v>-41500</v>
      </c>
      <c r="H40" s="31">
        <f>Cty_Hoang_Anh_Viet_Nam[[#This Row],[ĐƠN GIÁ]]*Cty_Hoang_Anh_Viet_Nam[[#This Row],[SỐ LƯỢNG]]</f>
        <v>-26020500</v>
      </c>
      <c r="I40" s="31"/>
      <c r="J40" s="31">
        <f>J39+Cty_Hoang_Anh_Viet_Nam[[#This Row],[THÀNH TIỀN]]-Cty_Hoang_Anh_Viet_Nam[[#This Row],[THANH TOÁN]]</f>
        <v>1436965500</v>
      </c>
      <c r="K40" s="24"/>
    </row>
    <row r="41" spans="1:11" x14ac:dyDescent="0.25">
      <c r="A41" s="22">
        <v>56918</v>
      </c>
      <c r="B41" s="29">
        <v>46126</v>
      </c>
      <c r="C41" s="23" t="s">
        <v>692</v>
      </c>
      <c r="D41" s="37" t="s">
        <v>1032</v>
      </c>
      <c r="E41" s="23" t="s">
        <v>990</v>
      </c>
      <c r="F41" s="31">
        <v>2808</v>
      </c>
      <c r="G41" s="31">
        <v>-35500</v>
      </c>
      <c r="H41" s="31">
        <f>Cty_Hoang_Anh_Viet_Nam[[#This Row],[ĐƠN GIÁ]]*Cty_Hoang_Anh_Viet_Nam[[#This Row],[SỐ LƯỢNG]]</f>
        <v>-99684000</v>
      </c>
      <c r="I41" s="31"/>
      <c r="J41" s="31">
        <f>J40+Cty_Hoang_Anh_Viet_Nam[[#This Row],[THÀNH TIỀN]]-Cty_Hoang_Anh_Viet_Nam[[#This Row],[THANH TOÁN]]</f>
        <v>1337281500</v>
      </c>
      <c r="K41" s="24"/>
    </row>
    <row r="42" spans="1:11" x14ac:dyDescent="0.25">
      <c r="A42" s="22"/>
      <c r="B42" s="29">
        <v>46137</v>
      </c>
      <c r="C42" s="23" t="s">
        <v>21</v>
      </c>
      <c r="D42" s="37" t="s">
        <v>22</v>
      </c>
      <c r="E42" s="23" t="s">
        <v>83</v>
      </c>
      <c r="F42" s="31">
        <v>0</v>
      </c>
      <c r="G42" s="31"/>
      <c r="H42" s="31">
        <f>Cty_Hoang_Anh_Viet_Nam[[#This Row],[ĐƠN GIÁ]]*Cty_Hoang_Anh_Viet_Nam[[#This Row],[SỐ LƯỢNG]]</f>
        <v>0</v>
      </c>
      <c r="I42" s="31">
        <v>300000000</v>
      </c>
      <c r="J42" s="31">
        <f>J41+Cty_Hoang_Anh_Viet_Nam[[#This Row],[THÀNH TIỀN]]-Cty_Hoang_Anh_Viet_Nam[[#This Row],[THANH TOÁN]]</f>
        <v>1037281500</v>
      </c>
      <c r="K42" s="24"/>
    </row>
    <row r="43" spans="1:11" x14ac:dyDescent="0.25">
      <c r="A43" s="22">
        <v>9015</v>
      </c>
      <c r="B43" s="29">
        <v>46137</v>
      </c>
      <c r="C43" s="23" t="s">
        <v>13</v>
      </c>
      <c r="D43" s="37" t="s">
        <v>1831</v>
      </c>
      <c r="E43" s="23" t="s">
        <v>283</v>
      </c>
      <c r="F43" s="31">
        <v>5522</v>
      </c>
      <c r="G43" s="31">
        <v>70000</v>
      </c>
      <c r="H43" s="31">
        <f>Cty_Hoang_Anh_Viet_Nam[[#This Row],[ĐƠN GIÁ]]*Cty_Hoang_Anh_Viet_Nam[[#This Row],[SỐ LƯỢNG]]</f>
        <v>386540000</v>
      </c>
      <c r="I43" s="31"/>
      <c r="J43" s="31">
        <f>J42+Cty_Hoang_Anh_Viet_Nam[[#This Row],[THÀNH TIỀN]]-Cty_Hoang_Anh_Viet_Nam[[#This Row],[THANH TOÁN]]</f>
        <v>1423821500</v>
      </c>
      <c r="K43" s="24"/>
    </row>
    <row r="44" spans="1:11" x14ac:dyDescent="0.25">
      <c r="A44" s="22">
        <v>9039</v>
      </c>
      <c r="B44" s="29">
        <v>46139</v>
      </c>
      <c r="C44" s="23" t="s">
        <v>13</v>
      </c>
      <c r="D44" s="37" t="s">
        <v>1831</v>
      </c>
      <c r="E44" s="23" t="s">
        <v>148</v>
      </c>
      <c r="F44" s="31">
        <v>5532</v>
      </c>
      <c r="G44" s="31">
        <v>70000</v>
      </c>
      <c r="H44" s="31">
        <f>Cty_Hoang_Anh_Viet_Nam[[#This Row],[ĐƠN GIÁ]]*Cty_Hoang_Anh_Viet_Nam[[#This Row],[SỐ LƯỢNG]]</f>
        <v>387240000</v>
      </c>
      <c r="I44" s="31"/>
      <c r="J44" s="31">
        <f>J43+Cty_Hoang_Anh_Viet_Nam[[#This Row],[THÀNH TIỀN]]-Cty_Hoang_Anh_Viet_Nam[[#This Row],[THANH TOÁN]]</f>
        <v>1811061500</v>
      </c>
      <c r="K44" s="24"/>
    </row>
    <row r="45" spans="1:11" x14ac:dyDescent="0.25">
      <c r="A45" s="22">
        <v>9206</v>
      </c>
      <c r="B45" s="29">
        <v>46148</v>
      </c>
      <c r="C45" s="23" t="s">
        <v>13</v>
      </c>
      <c r="D45" s="37" t="s">
        <v>17</v>
      </c>
      <c r="E45" s="23" t="s">
        <v>230</v>
      </c>
      <c r="F45" s="31">
        <v>525</v>
      </c>
      <c r="G45" s="31">
        <v>71000</v>
      </c>
      <c r="H45" s="31">
        <f>Cty_Hoang_Anh_Viet_Nam[[#This Row],[ĐƠN GIÁ]]*Cty_Hoang_Anh_Viet_Nam[[#This Row],[SỐ LƯỢNG]]</f>
        <v>37275000</v>
      </c>
      <c r="I45" s="31"/>
      <c r="J45" s="31">
        <f>J44+Cty_Hoang_Anh_Viet_Nam[[#This Row],[THÀNH TIỀN]]-Cty_Hoang_Anh_Viet_Nam[[#This Row],[THANH TOÁN]]</f>
        <v>1848336500</v>
      </c>
      <c r="K45" s="24"/>
    </row>
    <row r="46" spans="1:11" x14ac:dyDescent="0.25">
      <c r="A46" s="22">
        <v>9206</v>
      </c>
      <c r="B46" s="29">
        <v>46148</v>
      </c>
      <c r="C46" s="23" t="s">
        <v>13</v>
      </c>
      <c r="D46" s="37" t="s">
        <v>14</v>
      </c>
      <c r="E46" s="23" t="s">
        <v>148</v>
      </c>
      <c r="F46" s="31">
        <v>4616</v>
      </c>
      <c r="G46" s="31">
        <v>41500</v>
      </c>
      <c r="H46" s="31">
        <f>Cty_Hoang_Anh_Viet_Nam[[#This Row],[ĐƠN GIÁ]]*Cty_Hoang_Anh_Viet_Nam[[#This Row],[SỐ LƯỢNG]]</f>
        <v>191564000</v>
      </c>
      <c r="I46" s="31"/>
      <c r="J46" s="31">
        <f>J45+Cty_Hoang_Anh_Viet_Nam[[#This Row],[THÀNH TIỀN]]-Cty_Hoang_Anh_Viet_Nam[[#This Row],[THANH TOÁN]]</f>
        <v>2039900500</v>
      </c>
      <c r="K46" s="24"/>
    </row>
    <row r="47" spans="1:11" x14ac:dyDescent="0.25">
      <c r="A47" s="22">
        <v>57340</v>
      </c>
      <c r="B47" s="29">
        <v>46153</v>
      </c>
      <c r="C47" s="23" t="s">
        <v>692</v>
      </c>
      <c r="D47" s="37" t="s">
        <v>195</v>
      </c>
      <c r="E47" s="23" t="s">
        <v>2019</v>
      </c>
      <c r="F47" s="31">
        <v>784</v>
      </c>
      <c r="G47" s="31">
        <v>-28000</v>
      </c>
      <c r="H47" s="31">
        <f>Cty_Hoang_Anh_Viet_Nam[[#This Row],[ĐƠN GIÁ]]*Cty_Hoang_Anh_Viet_Nam[[#This Row],[SỐ LƯỢNG]]</f>
        <v>-21952000</v>
      </c>
      <c r="I47" s="31"/>
      <c r="J47" s="31">
        <f>J46+Cty_Hoang_Anh_Viet_Nam[[#This Row],[THÀNH TIỀN]]-Cty_Hoang_Anh_Viet_Nam[[#This Row],[THANH TOÁN]]</f>
        <v>2017948500</v>
      </c>
      <c r="K47" s="24"/>
    </row>
    <row r="48" spans="1:11" x14ac:dyDescent="0.25">
      <c r="A48" s="22">
        <v>57340</v>
      </c>
      <c r="B48" s="29">
        <v>46153</v>
      </c>
      <c r="C48" s="23" t="s">
        <v>692</v>
      </c>
      <c r="D48" s="37" t="s">
        <v>195</v>
      </c>
      <c r="E48" s="23" t="s">
        <v>2020</v>
      </c>
      <c r="F48" s="31">
        <v>828</v>
      </c>
      <c r="G48" s="31">
        <v>-29000</v>
      </c>
      <c r="H48" s="31">
        <f>Cty_Hoang_Anh_Viet_Nam[[#This Row],[ĐƠN GIÁ]]*Cty_Hoang_Anh_Viet_Nam[[#This Row],[SỐ LƯỢNG]]</f>
        <v>-24012000</v>
      </c>
      <c r="I48" s="31"/>
      <c r="J48" s="31">
        <f>J47+Cty_Hoang_Anh_Viet_Nam[[#This Row],[THÀNH TIỀN]]-Cty_Hoang_Anh_Viet_Nam[[#This Row],[THANH TOÁN]]</f>
        <v>1993936500</v>
      </c>
      <c r="K48" s="24"/>
    </row>
    <row r="49" spans="1:11" x14ac:dyDescent="0.25">
      <c r="A49" s="22"/>
      <c r="B49" s="29">
        <v>46153</v>
      </c>
      <c r="C49" s="23" t="s">
        <v>21</v>
      </c>
      <c r="D49" s="37" t="s">
        <v>22</v>
      </c>
      <c r="E49" s="23" t="s">
        <v>83</v>
      </c>
      <c r="F49" s="31">
        <v>0</v>
      </c>
      <c r="G49" s="31"/>
      <c r="H49" s="31">
        <f>Cty_Hoang_Anh_Viet_Nam[[#This Row],[ĐƠN GIÁ]]*Cty_Hoang_Anh_Viet_Nam[[#This Row],[SỐ LƯỢNG]]</f>
        <v>0</v>
      </c>
      <c r="I49" s="31">
        <v>300000000</v>
      </c>
      <c r="J49" s="31">
        <f>J48+Cty_Hoang_Anh_Viet_Nam[[#This Row],[THÀNH TIỀN]]-Cty_Hoang_Anh_Viet_Nam[[#This Row],[THANH TOÁN]]</f>
        <v>1693936500</v>
      </c>
      <c r="K49" s="24"/>
    </row>
    <row r="50" spans="1:11" x14ac:dyDescent="0.25">
      <c r="A50" s="22">
        <v>57534</v>
      </c>
      <c r="B50" s="29">
        <v>46167</v>
      </c>
      <c r="C50" s="23" t="s">
        <v>692</v>
      </c>
      <c r="D50" s="37" t="s">
        <v>195</v>
      </c>
      <c r="E50" s="23" t="s">
        <v>2350</v>
      </c>
      <c r="F50" s="31">
        <v>270</v>
      </c>
      <c r="G50" s="31">
        <v>-31000</v>
      </c>
      <c r="H50" s="31">
        <f>Cty_Hoang_Anh_Viet_Nam[[#This Row],[ĐƠN GIÁ]]*Cty_Hoang_Anh_Viet_Nam[[#This Row],[SỐ LƯỢNG]]</f>
        <v>-8370000</v>
      </c>
      <c r="I50" s="31"/>
      <c r="J50" s="31">
        <f>J49+Cty_Hoang_Anh_Viet_Nam[[#This Row],[THÀNH TIỀN]]-Cty_Hoang_Anh_Viet_Nam[[#This Row],[THANH TOÁN]]</f>
        <v>1685566500</v>
      </c>
      <c r="K50" s="24"/>
    </row>
    <row r="51" spans="1:11" x14ac:dyDescent="0.25">
      <c r="A51" s="22"/>
      <c r="B51" s="29">
        <v>46174</v>
      </c>
      <c r="C51" s="23" t="s">
        <v>21</v>
      </c>
      <c r="D51" s="37" t="s">
        <v>22</v>
      </c>
      <c r="E51" s="23" t="s">
        <v>147</v>
      </c>
      <c r="F51" s="31">
        <v>0</v>
      </c>
      <c r="G51" s="31"/>
      <c r="H51" s="31">
        <f>Cty_Hoang_Anh_Viet_Nam[[#This Row],[ĐƠN GIÁ]]*Cty_Hoang_Anh_Viet_Nam[[#This Row],[SỐ LƯỢNG]]</f>
        <v>0</v>
      </c>
      <c r="I51" s="31">
        <v>200000000</v>
      </c>
      <c r="J51" s="31">
        <f>J50+Cty_Hoang_Anh_Viet_Nam[[#This Row],[THÀNH TIỀN]]-Cty_Hoang_Anh_Viet_Nam[[#This Row],[THANH TOÁN]]</f>
        <v>1485566500</v>
      </c>
      <c r="K51" s="24"/>
    </row>
    <row r="52" spans="1:11" x14ac:dyDescent="0.25">
      <c r="A52" s="22"/>
      <c r="B52" s="29">
        <v>46178</v>
      </c>
      <c r="C52" s="23" t="s">
        <v>21</v>
      </c>
      <c r="D52" s="37" t="s">
        <v>22</v>
      </c>
      <c r="E52" s="23" t="s">
        <v>147</v>
      </c>
      <c r="F52" s="31">
        <v>0</v>
      </c>
      <c r="G52" s="31"/>
      <c r="H52" s="31">
        <f>Cty_Hoang_Anh_Viet_Nam[[#This Row],[ĐƠN GIÁ]]*Cty_Hoang_Anh_Viet_Nam[[#This Row],[SỐ LƯỢNG]]</f>
        <v>0</v>
      </c>
      <c r="I52" s="31">
        <v>100000000</v>
      </c>
      <c r="J52" s="31">
        <f>J51+Cty_Hoang_Anh_Viet_Nam[[#This Row],[THÀNH TIỀN]]-Cty_Hoang_Anh_Viet_Nam[[#This Row],[THANH TOÁN]]</f>
        <v>1385566500</v>
      </c>
      <c r="K52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6A4BF-99DB-46CB-A225-CA9801530951}">
  <sheetPr codeName="Sheet73"/>
  <dimension ref="A5:K33"/>
  <sheetViews>
    <sheetView topLeftCell="A6" workbookViewId="0">
      <selection activeCell="F31" sqref="F31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637202000</v>
      </c>
    </row>
    <row r="6" spans="1:11" ht="22.5" x14ac:dyDescent="0.25">
      <c r="D6" s="34" t="s">
        <v>1033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Cty_Hoang_Quan_Phat[[#This Row],[ĐƠN GIÁ]]*Cty_Hoang_Quan_Phat[[#This Row],[SỐ LƯỢNG]]</f>
        <v>0</v>
      </c>
      <c r="I10" s="31"/>
      <c r="J10" s="31">
        <v>-7456000</v>
      </c>
      <c r="K10" s="24"/>
    </row>
    <row r="11" spans="1:11" x14ac:dyDescent="0.25">
      <c r="A11" s="22">
        <v>7887</v>
      </c>
      <c r="B11" s="29">
        <v>46087</v>
      </c>
      <c r="C11" s="23" t="s">
        <v>13</v>
      </c>
      <c r="D11" s="37" t="s">
        <v>17</v>
      </c>
      <c r="E11" s="23" t="s">
        <v>1034</v>
      </c>
      <c r="F11" s="31">
        <v>288</v>
      </c>
      <c r="G11" s="31">
        <v>54000</v>
      </c>
      <c r="H11" s="31">
        <f>Cty_Hoang_Quan_Phat[[#This Row],[ĐƠN GIÁ]]*Cty_Hoang_Quan_Phat[[#This Row],[SỐ LƯỢNG]]</f>
        <v>15552000</v>
      </c>
      <c r="I11" s="31"/>
      <c r="J11" s="31">
        <f>J10+Cty_Hoang_Quan_Phat[[#This Row],[THÀNH TIỀN]]-Cty_Hoang_Quan_Phat[[#This Row],[THANH TOÁN]]</f>
        <v>8096000</v>
      </c>
      <c r="K11" s="24"/>
    </row>
    <row r="12" spans="1:11" x14ac:dyDescent="0.25">
      <c r="A12" s="22">
        <v>7887</v>
      </c>
      <c r="B12" s="29">
        <v>46087</v>
      </c>
      <c r="C12" s="23" t="s">
        <v>13</v>
      </c>
      <c r="D12" s="37" t="s">
        <v>17</v>
      </c>
      <c r="E12" s="23" t="s">
        <v>1035</v>
      </c>
      <c r="F12" s="31">
        <f>559+537+245+294+298+289+520+504</f>
        <v>3246</v>
      </c>
      <c r="G12" s="31">
        <v>54000</v>
      </c>
      <c r="H12" s="31">
        <f>Cty_Hoang_Quan_Phat[[#This Row],[ĐƠN GIÁ]]*Cty_Hoang_Quan_Phat[[#This Row],[SỐ LƯỢNG]]</f>
        <v>175284000</v>
      </c>
      <c r="I12" s="31"/>
      <c r="J12" s="31">
        <f>J11+Cty_Hoang_Quan_Phat[[#This Row],[THÀNH TIỀN]]-Cty_Hoang_Quan_Phat[[#This Row],[THANH TOÁN]]</f>
        <v>183380000</v>
      </c>
      <c r="K12" s="24"/>
    </row>
    <row r="13" spans="1:11" x14ac:dyDescent="0.25">
      <c r="A13" s="22">
        <v>8503</v>
      </c>
      <c r="B13" s="29">
        <v>46114</v>
      </c>
      <c r="C13" s="23" t="s">
        <v>13</v>
      </c>
      <c r="D13" s="37" t="s">
        <v>17</v>
      </c>
      <c r="E13" s="23" t="s">
        <v>46</v>
      </c>
      <c r="F13" s="31">
        <v>812</v>
      </c>
      <c r="G13" s="31">
        <v>61000</v>
      </c>
      <c r="H13" s="31">
        <f>Cty_Hoang_Quan_Phat[[#This Row],[ĐƠN GIÁ]]*Cty_Hoang_Quan_Phat[[#This Row],[SỐ LƯỢNG]]</f>
        <v>49532000</v>
      </c>
      <c r="I13" s="31"/>
      <c r="J13" s="31">
        <f>J12+Cty_Hoang_Quan_Phat[[#This Row],[THÀNH TIỀN]]-Cty_Hoang_Quan_Phat[[#This Row],[THANH TOÁN]]</f>
        <v>232912000</v>
      </c>
      <c r="K13" s="24" t="s">
        <v>42</v>
      </c>
    </row>
    <row r="14" spans="1:11" x14ac:dyDescent="0.25">
      <c r="A14" s="22">
        <v>8548</v>
      </c>
      <c r="B14" s="29">
        <v>46116</v>
      </c>
      <c r="C14" s="23" t="s">
        <v>49</v>
      </c>
      <c r="D14" s="37" t="s">
        <v>45</v>
      </c>
      <c r="E14" s="23" t="s">
        <v>462</v>
      </c>
      <c r="F14" s="31">
        <v>5656</v>
      </c>
      <c r="G14" s="31"/>
      <c r="H14" s="31">
        <f>Cty_Hoang_Quan_Phat[[#This Row],[ĐƠN GIÁ]]*Cty_Hoang_Quan_Phat[[#This Row],[SỐ LƯỢNG]]</f>
        <v>0</v>
      </c>
      <c r="I14" s="31"/>
      <c r="J14" s="31">
        <f>J13+Cty_Hoang_Quan_Phat[[#This Row],[THÀNH TIỀN]]-Cty_Hoang_Quan_Phat[[#This Row],[THANH TOÁN]]</f>
        <v>232912000</v>
      </c>
      <c r="K14" s="24" t="s">
        <v>1036</v>
      </c>
    </row>
    <row r="15" spans="1:11" x14ac:dyDescent="0.25">
      <c r="A15" s="22">
        <v>8627</v>
      </c>
      <c r="B15" s="29">
        <v>46120</v>
      </c>
      <c r="C15" s="23" t="s">
        <v>49</v>
      </c>
      <c r="D15" s="37" t="s">
        <v>45</v>
      </c>
      <c r="E15" s="23" t="s">
        <v>215</v>
      </c>
      <c r="F15" s="31">
        <v>966</v>
      </c>
      <c r="G15" s="31"/>
      <c r="H15" s="31">
        <f>Cty_Hoang_Quan_Phat[[#This Row],[ĐƠN GIÁ]]*Cty_Hoang_Quan_Phat[[#This Row],[SỐ LƯỢNG]]</f>
        <v>0</v>
      </c>
      <c r="I15" s="31"/>
      <c r="J15" s="31">
        <f>J14+Cty_Hoang_Quan_Phat[[#This Row],[THÀNH TIỀN]]-Cty_Hoang_Quan_Phat[[#This Row],[THANH TOÁN]]</f>
        <v>232912000</v>
      </c>
      <c r="K15" s="24" t="s">
        <v>1037</v>
      </c>
    </row>
    <row r="16" spans="1:11" x14ac:dyDescent="0.25">
      <c r="A16" s="22">
        <v>0</v>
      </c>
      <c r="B16" s="29">
        <v>46120</v>
      </c>
      <c r="C16" s="23" t="s">
        <v>84</v>
      </c>
      <c r="D16" s="37" t="s">
        <v>93</v>
      </c>
      <c r="E16" s="23"/>
      <c r="F16" s="31">
        <v>1606</v>
      </c>
      <c r="G16" s="31">
        <v>-311.33250311329999</v>
      </c>
      <c r="H16" s="31">
        <f>Cty_Hoang_Quan_Phat[[#This Row],[ĐƠN GIÁ]]*Cty_Hoang_Quan_Phat[[#This Row],[SỐ LƯỢNG]]</f>
        <v>-499999.99999995978</v>
      </c>
      <c r="I16" s="31"/>
      <c r="J16" s="31">
        <f>J15+Cty_Hoang_Quan_Phat[[#This Row],[THÀNH TIỀN]]-Cty_Hoang_Quan_Phat[[#This Row],[THANH TOÁN]]</f>
        <v>232412000.00000003</v>
      </c>
      <c r="K16" s="24"/>
    </row>
    <row r="17" spans="1:11" x14ac:dyDescent="0.25">
      <c r="A17" s="22"/>
      <c r="B17" s="29">
        <v>46122</v>
      </c>
      <c r="C17" s="23" t="s">
        <v>21</v>
      </c>
      <c r="D17" s="37" t="s">
        <v>22</v>
      </c>
      <c r="E17" s="23" t="s">
        <v>261</v>
      </c>
      <c r="F17" s="31">
        <v>0</v>
      </c>
      <c r="G17" s="31"/>
      <c r="H17" s="31">
        <f>Cty_Hoang_Quan_Phat[[#This Row],[ĐƠN GIÁ]]*Cty_Hoang_Quan_Phat[[#This Row],[SỐ LƯỢNG]]</f>
        <v>0</v>
      </c>
      <c r="I17" s="31">
        <v>100000000</v>
      </c>
      <c r="J17" s="31">
        <f>J16+Cty_Hoang_Quan_Phat[[#This Row],[THÀNH TIỀN]]-Cty_Hoang_Quan_Phat[[#This Row],[THANH TOÁN]]</f>
        <v>132412000.00000003</v>
      </c>
      <c r="K17" s="24"/>
    </row>
    <row r="18" spans="1:11" x14ac:dyDescent="0.25">
      <c r="A18" s="22">
        <v>8834</v>
      </c>
      <c r="B18" s="29">
        <v>46128</v>
      </c>
      <c r="C18" s="23" t="s">
        <v>49</v>
      </c>
      <c r="D18" s="37" t="s">
        <v>27</v>
      </c>
      <c r="E18" s="23" t="s">
        <v>705</v>
      </c>
      <c r="F18" s="31">
        <v>122</v>
      </c>
      <c r="G18" s="31"/>
      <c r="H18" s="31">
        <f>Cty_Hoang_Quan_Phat[[#This Row],[ĐƠN GIÁ]]*Cty_Hoang_Quan_Phat[[#This Row],[SỐ LƯỢNG]]</f>
        <v>0</v>
      </c>
      <c r="I18" s="31"/>
      <c r="J18" s="31">
        <f>J17+Cty_Hoang_Quan_Phat[[#This Row],[THÀNH TIỀN]]-Cty_Hoang_Quan_Phat[[#This Row],[THANH TOÁN]]</f>
        <v>132412000.00000003</v>
      </c>
      <c r="K18" s="24" t="s">
        <v>1038</v>
      </c>
    </row>
    <row r="19" spans="1:11" x14ac:dyDescent="0.25">
      <c r="A19" s="22">
        <v>2033</v>
      </c>
      <c r="B19" s="29">
        <v>46128</v>
      </c>
      <c r="C19" s="23" t="s">
        <v>84</v>
      </c>
      <c r="D19" s="37" t="s">
        <v>27</v>
      </c>
      <c r="E19" s="23" t="s">
        <v>705</v>
      </c>
      <c r="F19" s="31">
        <v>121</v>
      </c>
      <c r="G19" s="31">
        <v>-2000</v>
      </c>
      <c r="H19" s="31">
        <f>Cty_Hoang_Quan_Phat[[#This Row],[ĐƠN GIÁ]]*Cty_Hoang_Quan_Phat[[#This Row],[SỐ LƯỢNG]]</f>
        <v>-242000</v>
      </c>
      <c r="I19" s="31"/>
      <c r="J19" s="31">
        <f>J18+Cty_Hoang_Quan_Phat[[#This Row],[THÀNH TIỀN]]-Cty_Hoang_Quan_Phat[[#This Row],[THANH TOÁN]]</f>
        <v>132170000.00000003</v>
      </c>
      <c r="K19" s="24"/>
    </row>
    <row r="20" spans="1:11" x14ac:dyDescent="0.25">
      <c r="A20" s="22">
        <v>8841</v>
      </c>
      <c r="B20" s="29">
        <v>46129</v>
      </c>
      <c r="C20" s="23" t="s">
        <v>13</v>
      </c>
      <c r="D20" s="37" t="s">
        <v>17</v>
      </c>
      <c r="E20" s="23" t="s">
        <v>1039</v>
      </c>
      <c r="F20" s="31">
        <v>8709</v>
      </c>
      <c r="G20" s="31">
        <v>55000</v>
      </c>
      <c r="H20" s="31">
        <f>Cty_Hoang_Quan_Phat[[#This Row],[ĐƠN GIÁ]]*Cty_Hoang_Quan_Phat[[#This Row],[SỐ LƯỢNG]]</f>
        <v>478995000</v>
      </c>
      <c r="I20" s="31"/>
      <c r="J20" s="31">
        <f>J19+Cty_Hoang_Quan_Phat[[#This Row],[THÀNH TIỀN]]-Cty_Hoang_Quan_Phat[[#This Row],[THANH TOÁN]]</f>
        <v>611165000</v>
      </c>
      <c r="K20" s="24"/>
    </row>
    <row r="21" spans="1:11" x14ac:dyDescent="0.25">
      <c r="A21" s="22">
        <v>8859</v>
      </c>
      <c r="B21" s="29">
        <v>46129</v>
      </c>
      <c r="C21" s="23" t="s">
        <v>13</v>
      </c>
      <c r="D21" s="37" t="s">
        <v>17</v>
      </c>
      <c r="E21" s="23" t="s">
        <v>1039</v>
      </c>
      <c r="F21" s="31">
        <v>1712</v>
      </c>
      <c r="G21" s="31">
        <v>55000</v>
      </c>
      <c r="H21" s="31">
        <f>Cty_Hoang_Quan_Phat[[#This Row],[ĐƠN GIÁ]]*Cty_Hoang_Quan_Phat[[#This Row],[SỐ LƯỢNG]]</f>
        <v>94160000</v>
      </c>
      <c r="I21" s="31"/>
      <c r="J21" s="31">
        <f>J20+Cty_Hoang_Quan_Phat[[#This Row],[THÀNH TIỀN]]-Cty_Hoang_Quan_Phat[[#This Row],[THANH TOÁN]]</f>
        <v>705325000</v>
      </c>
      <c r="K21" s="24"/>
    </row>
    <row r="22" spans="1:11" x14ac:dyDescent="0.25">
      <c r="A22" s="22">
        <v>8859</v>
      </c>
      <c r="B22" s="29">
        <v>46129</v>
      </c>
      <c r="C22" s="23" t="s">
        <v>13</v>
      </c>
      <c r="D22" s="37" t="s">
        <v>50</v>
      </c>
      <c r="E22" s="23" t="s">
        <v>69</v>
      </c>
      <c r="F22" s="31">
        <v>132</v>
      </c>
      <c r="G22" s="31">
        <v>61000</v>
      </c>
      <c r="H22" s="31">
        <f>Cty_Hoang_Quan_Phat[[#This Row],[ĐƠN GIÁ]]*Cty_Hoang_Quan_Phat[[#This Row],[SỐ LƯỢNG]]</f>
        <v>8052000</v>
      </c>
      <c r="I22" s="31"/>
      <c r="J22" s="31">
        <f>J21+Cty_Hoang_Quan_Phat[[#This Row],[THÀNH TIỀN]]-Cty_Hoang_Quan_Phat[[#This Row],[THANH TOÁN]]</f>
        <v>713377000</v>
      </c>
      <c r="K22" s="24"/>
    </row>
    <row r="23" spans="1:11" x14ac:dyDescent="0.25">
      <c r="A23" s="22">
        <v>8859</v>
      </c>
      <c r="B23" s="29">
        <v>46129</v>
      </c>
      <c r="C23" s="23" t="s">
        <v>13</v>
      </c>
      <c r="D23" s="37" t="s">
        <v>50</v>
      </c>
      <c r="E23" s="23" t="s">
        <v>1040</v>
      </c>
      <c r="F23" s="31">
        <v>98</v>
      </c>
      <c r="G23" s="31">
        <v>62000</v>
      </c>
      <c r="H23" s="31">
        <f>Cty_Hoang_Quan_Phat[[#This Row],[ĐƠN GIÁ]]*Cty_Hoang_Quan_Phat[[#This Row],[SỐ LƯỢNG]]</f>
        <v>6076000</v>
      </c>
      <c r="I23" s="31"/>
      <c r="J23" s="31">
        <f>J22+Cty_Hoang_Quan_Phat[[#This Row],[THÀNH TIỀN]]-Cty_Hoang_Quan_Phat[[#This Row],[THANH TOÁN]]</f>
        <v>719453000</v>
      </c>
      <c r="K23" s="24"/>
    </row>
    <row r="24" spans="1:11" x14ac:dyDescent="0.25">
      <c r="A24" s="22"/>
      <c r="B24" s="29">
        <v>46129</v>
      </c>
      <c r="C24" s="23" t="s">
        <v>21</v>
      </c>
      <c r="D24" s="37" t="s">
        <v>22</v>
      </c>
      <c r="E24" s="23" t="s">
        <v>261</v>
      </c>
      <c r="F24" s="31">
        <v>0</v>
      </c>
      <c r="G24" s="31"/>
      <c r="H24" s="31">
        <f>Cty_Hoang_Quan_Phat[[#This Row],[ĐƠN GIÁ]]*Cty_Hoang_Quan_Phat[[#This Row],[SỐ LƯỢNG]]</f>
        <v>0</v>
      </c>
      <c r="I24" s="31">
        <v>100000000</v>
      </c>
      <c r="J24" s="31">
        <f>J23+Cty_Hoang_Quan_Phat[[#This Row],[THÀNH TIỀN]]-Cty_Hoang_Quan_Phat[[#This Row],[THANH TOÁN]]</f>
        <v>619453000</v>
      </c>
      <c r="K24" s="24"/>
    </row>
    <row r="25" spans="1:11" x14ac:dyDescent="0.25">
      <c r="A25" s="22">
        <v>9276</v>
      </c>
      <c r="B25" s="29">
        <v>46151</v>
      </c>
      <c r="C25" s="23" t="s">
        <v>49</v>
      </c>
      <c r="D25" s="37" t="s">
        <v>50</v>
      </c>
      <c r="E25" s="23" t="s">
        <v>1255</v>
      </c>
      <c r="F25" s="31">
        <v>122</v>
      </c>
      <c r="G25" s="31"/>
      <c r="H25" s="31">
        <f>Cty_Hoang_Quan_Phat[[#This Row],[ĐƠN GIÁ]]*Cty_Hoang_Quan_Phat[[#This Row],[SỐ LƯỢNG]]</f>
        <v>0</v>
      </c>
      <c r="I25" s="31"/>
      <c r="J25" s="31">
        <f>J24+Cty_Hoang_Quan_Phat[[#This Row],[THÀNH TIỀN]]-Cty_Hoang_Quan_Phat[[#This Row],[THANH TOÁN]]</f>
        <v>619453000</v>
      </c>
      <c r="K25" s="24" t="s">
        <v>1993</v>
      </c>
    </row>
    <row r="26" spans="1:11" x14ac:dyDescent="0.25">
      <c r="A26" s="22"/>
      <c r="B26" s="29">
        <v>46151</v>
      </c>
      <c r="C26" s="23" t="s">
        <v>84</v>
      </c>
      <c r="D26" s="37" t="s">
        <v>2003</v>
      </c>
      <c r="E26" s="23" t="s">
        <v>1255</v>
      </c>
      <c r="F26" s="31">
        <v>122</v>
      </c>
      <c r="G26" s="31">
        <v>-2000</v>
      </c>
      <c r="H26" s="31">
        <f>Cty_Hoang_Quan_Phat[[#This Row],[ĐƠN GIÁ]]*Cty_Hoang_Quan_Phat[[#This Row],[SỐ LƯỢNG]]</f>
        <v>-244000</v>
      </c>
      <c r="I26" s="31"/>
      <c r="J26" s="31">
        <f>J25+Cty_Hoang_Quan_Phat[[#This Row],[THÀNH TIỀN]]-Cty_Hoang_Quan_Phat[[#This Row],[THANH TOÁN]]</f>
        <v>619209000</v>
      </c>
      <c r="K26" s="24"/>
    </row>
    <row r="27" spans="1:11" x14ac:dyDescent="0.25">
      <c r="A27" s="22">
        <v>9453</v>
      </c>
      <c r="B27" s="29">
        <v>46160</v>
      </c>
      <c r="C27" s="23" t="s">
        <v>13</v>
      </c>
      <c r="D27" s="37" t="s">
        <v>17</v>
      </c>
      <c r="E27" s="23" t="s">
        <v>134</v>
      </c>
      <c r="F27" s="31">
        <v>510</v>
      </c>
      <c r="G27" s="31">
        <v>60500</v>
      </c>
      <c r="H27" s="31">
        <f>Cty_Hoang_Quan_Phat[[#This Row],[ĐƠN GIÁ]]*Cty_Hoang_Quan_Phat[[#This Row],[SỐ LƯỢNG]]</f>
        <v>30855000</v>
      </c>
      <c r="I27" s="31"/>
      <c r="J27" s="31">
        <f>J26+Cty_Hoang_Quan_Phat[[#This Row],[THÀNH TIỀN]]-Cty_Hoang_Quan_Phat[[#This Row],[THANH TOÁN]]</f>
        <v>650064000</v>
      </c>
      <c r="K27" s="24"/>
    </row>
    <row r="28" spans="1:11" x14ac:dyDescent="0.25">
      <c r="A28" s="22">
        <v>9453</v>
      </c>
      <c r="B28" s="29">
        <v>46160</v>
      </c>
      <c r="C28" s="23" t="s">
        <v>13</v>
      </c>
      <c r="D28" s="37" t="s">
        <v>17</v>
      </c>
      <c r="E28" s="23" t="s">
        <v>136</v>
      </c>
      <c r="F28" s="31">
        <v>599</v>
      </c>
      <c r="G28" s="31">
        <v>62000</v>
      </c>
      <c r="H28" s="31">
        <f>Cty_Hoang_Quan_Phat[[#This Row],[ĐƠN GIÁ]]*Cty_Hoang_Quan_Phat[[#This Row],[SỐ LƯỢNG]]</f>
        <v>37138000</v>
      </c>
      <c r="I28" s="31"/>
      <c r="J28" s="31">
        <f>J27+Cty_Hoang_Quan_Phat[[#This Row],[THÀNH TIỀN]]-Cty_Hoang_Quan_Phat[[#This Row],[THANH TOÁN]]</f>
        <v>687202000</v>
      </c>
      <c r="K28" s="24"/>
    </row>
    <row r="29" spans="1:11" x14ac:dyDescent="0.25">
      <c r="A29" s="22"/>
      <c r="B29" s="29">
        <v>46158</v>
      </c>
      <c r="C29" s="23" t="s">
        <v>21</v>
      </c>
      <c r="D29" s="37" t="s">
        <v>22</v>
      </c>
      <c r="E29" s="23" t="s">
        <v>261</v>
      </c>
      <c r="F29" s="31">
        <v>0</v>
      </c>
      <c r="G29" s="31"/>
      <c r="H29" s="31">
        <f>Cty_Hoang_Quan_Phat[[#This Row],[ĐƠN GIÁ]]*Cty_Hoang_Quan_Phat[[#This Row],[SỐ LƯỢNG]]</f>
        <v>0</v>
      </c>
      <c r="I29" s="31">
        <v>50000000</v>
      </c>
      <c r="J29" s="31">
        <f>J28+Cty_Hoang_Quan_Phat[[#This Row],[THÀNH TIỀN]]-Cty_Hoang_Quan_Phat[[#This Row],[THANH TOÁN]]</f>
        <v>637202000</v>
      </c>
      <c r="K29" s="24"/>
    </row>
    <row r="30" spans="1:11" x14ac:dyDescent="0.25">
      <c r="A30" s="22">
        <v>9710</v>
      </c>
      <c r="B30" s="29">
        <v>46172</v>
      </c>
      <c r="C30" s="23" t="s">
        <v>49</v>
      </c>
      <c r="D30" s="37" t="s">
        <v>26</v>
      </c>
      <c r="E30" s="23" t="s">
        <v>2525</v>
      </c>
      <c r="F30" s="31">
        <v>710</v>
      </c>
      <c r="G30" s="31"/>
      <c r="H30" s="31">
        <f>Cty_Hoang_Quan_Phat[[#This Row],[ĐƠN GIÁ]]*Cty_Hoang_Quan_Phat[[#This Row],[SỐ LƯỢNG]]</f>
        <v>0</v>
      </c>
      <c r="I30" s="31"/>
      <c r="J30" s="31">
        <f>J29+Cty_Hoang_Quan_Phat[[#This Row],[THÀNH TIỀN]]-Cty_Hoang_Quan_Phat[[#This Row],[THANH TOÁN]]</f>
        <v>637202000</v>
      </c>
      <c r="K30" s="24" t="s">
        <v>2526</v>
      </c>
    </row>
    <row r="31" spans="1:11" x14ac:dyDescent="0.25">
      <c r="A31" s="71"/>
      <c r="B31" s="72">
        <v>46172</v>
      </c>
      <c r="C31" s="73" t="s">
        <v>84</v>
      </c>
      <c r="D31" s="56" t="s">
        <v>26</v>
      </c>
      <c r="E31" s="73" t="s">
        <v>2525</v>
      </c>
      <c r="F31" s="74">
        <v>377</v>
      </c>
      <c r="G31" s="74"/>
      <c r="H31" s="74">
        <f>Cty_Hoang_Quan_Phat[[#This Row],[ĐƠN GIÁ]]*Cty_Hoang_Quan_Phat[[#This Row],[SỐ LƯỢNG]]</f>
        <v>0</v>
      </c>
      <c r="I31" s="74"/>
      <c r="J31" s="74">
        <f>J30+Cty_Hoang_Quan_Phat[[#This Row],[THÀNH TIỀN]]-Cty_Hoang_Quan_Phat[[#This Row],[THANH TOÁN]]</f>
        <v>637202000</v>
      </c>
      <c r="K31" s="75"/>
    </row>
    <row r="32" spans="1:11" x14ac:dyDescent="0.25">
      <c r="A32" s="25"/>
      <c r="B32" s="30">
        <v>46172</v>
      </c>
      <c r="C32" s="26" t="s">
        <v>426</v>
      </c>
      <c r="D32" s="38" t="s">
        <v>26</v>
      </c>
      <c r="E32" s="26" t="s">
        <v>2525</v>
      </c>
      <c r="F32" s="28">
        <v>332</v>
      </c>
      <c r="G32" s="28"/>
      <c r="H32" s="28">
        <f>Cty_Hoang_Quan_Phat[[#This Row],[ĐƠN GIÁ]]*Cty_Hoang_Quan_Phat[[#This Row],[SỐ LƯỢNG]]</f>
        <v>0</v>
      </c>
      <c r="I32" s="28"/>
      <c r="J32" s="28">
        <f>J31+Cty_Hoang_Quan_Phat[[#This Row],[THÀNH TIỀN]]-Cty_Hoang_Quan_Phat[[#This Row],[THANH TOÁN]]</f>
        <v>637202000</v>
      </c>
      <c r="K32" s="27"/>
    </row>
    <row r="33" spans="1:11" x14ac:dyDescent="0.25">
      <c r="A33" s="22">
        <v>7765</v>
      </c>
      <c r="B33" s="29">
        <v>46081</v>
      </c>
      <c r="C33" s="23" t="s">
        <v>49</v>
      </c>
      <c r="D33" s="37" t="s">
        <v>45</v>
      </c>
      <c r="E33" s="23" t="s">
        <v>2576</v>
      </c>
      <c r="F33" s="31">
        <v>476</v>
      </c>
      <c r="G33" s="31"/>
      <c r="H33" s="31">
        <f>Cty_Hoang_Quan_Phat[[#This Row],[ĐƠN GIÁ]]*Cty_Hoang_Quan_Phat[[#This Row],[SỐ LƯỢNG]]</f>
        <v>0</v>
      </c>
      <c r="I33" s="31"/>
      <c r="J33" s="31">
        <f>J32+Cty_Hoang_Quan_Phat[[#This Row],[THÀNH TIỀN]]-Cty_Hoang_Quan_Phat[[#This Row],[THANH TOÁN]]</f>
        <v>637202000</v>
      </c>
      <c r="K33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759D5F-9455-4B80-B028-57B3FF803FEE}">
  <sheetPr codeName="Sheet75"/>
  <dimension ref="A5:K20"/>
  <sheetViews>
    <sheetView workbookViewId="0">
      <selection activeCell="D20" sqref="D20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343328804</v>
      </c>
    </row>
    <row r="6" spans="1:11" ht="22.5" x14ac:dyDescent="0.25">
      <c r="D6" s="34" t="s">
        <v>1041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Cty_Tan_Hung[[#This Row],[ĐƠN GIÁ]]*Cty_Tan_Hung[[#This Row],[SỐ LƯỢNG]]</f>
        <v>0</v>
      </c>
      <c r="I10" s="31"/>
      <c r="J10" s="31">
        <v>0</v>
      </c>
      <c r="K10" s="24"/>
    </row>
    <row r="11" spans="1:11" x14ac:dyDescent="0.25">
      <c r="A11" s="22">
        <v>7888</v>
      </c>
      <c r="B11" s="29">
        <v>46087</v>
      </c>
      <c r="C11" s="23" t="s">
        <v>13</v>
      </c>
      <c r="D11" s="37" t="s">
        <v>50</v>
      </c>
      <c r="E11" s="23" t="s">
        <v>717</v>
      </c>
      <c r="F11" s="31">
        <v>1287</v>
      </c>
      <c r="G11" s="31">
        <v>55000</v>
      </c>
      <c r="H11" s="31">
        <f>Cty_Tan_Hung[[#This Row],[ĐƠN GIÁ]]*Cty_Tan_Hung[[#This Row],[SỐ LƯỢNG]]</f>
        <v>70785000</v>
      </c>
      <c r="I11" s="31"/>
      <c r="J11" s="31">
        <f>J10+Cty_Tan_Hung[[#This Row],[THÀNH TIỀN]]-Cty_Tan_Hung[[#This Row],[THANH TOÁN]]</f>
        <v>70785000</v>
      </c>
      <c r="K11" s="24"/>
    </row>
    <row r="12" spans="1:11" x14ac:dyDescent="0.25">
      <c r="A12" s="22">
        <v>7948</v>
      </c>
      <c r="B12" s="29">
        <v>46090</v>
      </c>
      <c r="C12" s="23" t="s">
        <v>13</v>
      </c>
      <c r="D12" s="37" t="s">
        <v>68</v>
      </c>
      <c r="E12" s="23" t="s">
        <v>1042</v>
      </c>
      <c r="F12" s="31">
        <v>2670</v>
      </c>
      <c r="G12" s="31">
        <v>40500</v>
      </c>
      <c r="H12" s="31">
        <f>Cty_Tan_Hung[[#This Row],[ĐƠN GIÁ]]*Cty_Tan_Hung[[#This Row],[SỐ LƯỢNG]]</f>
        <v>108135000</v>
      </c>
      <c r="I12" s="31"/>
      <c r="J12" s="31">
        <f>J11+Cty_Tan_Hung[[#This Row],[THÀNH TIỀN]]-Cty_Tan_Hung[[#This Row],[THANH TOÁN]]</f>
        <v>178920000</v>
      </c>
      <c r="K12" s="24"/>
    </row>
    <row r="13" spans="1:11" x14ac:dyDescent="0.25">
      <c r="A13" s="22">
        <v>7948</v>
      </c>
      <c r="B13" s="29">
        <v>46090</v>
      </c>
      <c r="C13" s="23" t="s">
        <v>13</v>
      </c>
      <c r="D13" s="37" t="s">
        <v>68</v>
      </c>
      <c r="E13" s="23" t="s">
        <v>1043</v>
      </c>
      <c r="F13" s="31">
        <v>1348</v>
      </c>
      <c r="G13" s="31">
        <v>40500</v>
      </c>
      <c r="H13" s="31">
        <f>Cty_Tan_Hung[[#This Row],[ĐƠN GIÁ]]*Cty_Tan_Hung[[#This Row],[SỐ LƯỢNG]]</f>
        <v>54594000</v>
      </c>
      <c r="I13" s="31"/>
      <c r="J13" s="31">
        <f>J12+Cty_Tan_Hung[[#This Row],[THÀNH TIỀN]]-Cty_Tan_Hung[[#This Row],[THANH TOÁN]]</f>
        <v>233514000</v>
      </c>
      <c r="K13" s="24"/>
    </row>
    <row r="14" spans="1:11" x14ac:dyDescent="0.25">
      <c r="A14" s="22"/>
      <c r="B14" s="29">
        <v>46128</v>
      </c>
      <c r="C14" s="23" t="s">
        <v>21</v>
      </c>
      <c r="D14" s="37" t="s">
        <v>22</v>
      </c>
      <c r="E14" s="23" t="s">
        <v>83</v>
      </c>
      <c r="F14" s="31">
        <v>0</v>
      </c>
      <c r="G14" s="31"/>
      <c r="H14" s="31">
        <f>Cty_Tan_Hung[[#This Row],[ĐƠN GIÁ]]*Cty_Tan_Hung[[#This Row],[SỐ LƯỢNG]]</f>
        <v>0</v>
      </c>
      <c r="I14" s="31">
        <v>233513196</v>
      </c>
      <c r="J14" s="31">
        <f>J13+Cty_Tan_Hung[[#This Row],[THÀNH TIỀN]]-Cty_Tan_Hung[[#This Row],[THANH TOÁN]]</f>
        <v>804</v>
      </c>
      <c r="K14" s="24"/>
    </row>
    <row r="15" spans="1:11" x14ac:dyDescent="0.25">
      <c r="A15" s="22">
        <v>9346</v>
      </c>
      <c r="B15" s="29">
        <v>46154</v>
      </c>
      <c r="C15" s="23" t="s">
        <v>13</v>
      </c>
      <c r="D15" s="37" t="s">
        <v>45</v>
      </c>
      <c r="E15" s="23" t="s">
        <v>1832</v>
      </c>
      <c r="F15" s="31">
        <v>196</v>
      </c>
      <c r="G15" s="31">
        <v>34000</v>
      </c>
      <c r="H15" s="31">
        <f>Cty_Tan_Hung[[#This Row],[ĐƠN GIÁ]]*Cty_Tan_Hung[[#This Row],[SỐ LƯỢNG]]</f>
        <v>6664000</v>
      </c>
      <c r="I15" s="31"/>
      <c r="J15" s="31">
        <f>J14+Cty_Tan_Hung[[#This Row],[THÀNH TIỀN]]-Cty_Tan_Hung[[#This Row],[THANH TOÁN]]</f>
        <v>6664804</v>
      </c>
      <c r="K15" s="24"/>
    </row>
    <row r="16" spans="1:11" x14ac:dyDescent="0.25">
      <c r="A16" s="22">
        <v>9481</v>
      </c>
      <c r="B16" s="29">
        <v>46161</v>
      </c>
      <c r="C16" s="23" t="s">
        <v>49</v>
      </c>
      <c r="D16" s="37" t="s">
        <v>50</v>
      </c>
      <c r="E16" s="23" t="s">
        <v>1127</v>
      </c>
      <c r="F16" s="31">
        <v>564</v>
      </c>
      <c r="G16" s="31"/>
      <c r="H16" s="31">
        <f>Cty_Tan_Hung[[#This Row],[ĐƠN GIÁ]]*Cty_Tan_Hung[[#This Row],[SỐ LƯỢNG]]</f>
        <v>0</v>
      </c>
      <c r="I16" s="31"/>
      <c r="J16" s="31">
        <f>J15+Cty_Tan_Hung[[#This Row],[THÀNH TIỀN]]-Cty_Tan_Hung[[#This Row],[THANH TOÁN]]</f>
        <v>6664804</v>
      </c>
      <c r="K16" s="24"/>
    </row>
    <row r="17" spans="1:11" x14ac:dyDescent="0.25">
      <c r="A17" s="22">
        <v>13121</v>
      </c>
      <c r="B17" s="29">
        <v>46161</v>
      </c>
      <c r="C17" s="23" t="s">
        <v>84</v>
      </c>
      <c r="D17" s="37" t="s">
        <v>50</v>
      </c>
      <c r="E17" s="23" t="s">
        <v>117</v>
      </c>
      <c r="F17" s="31">
        <v>564</v>
      </c>
      <c r="G17" s="31">
        <v>-2500</v>
      </c>
      <c r="H17" s="31">
        <f>Cty_Tan_Hung[[#This Row],[ĐƠN GIÁ]]*Cty_Tan_Hung[[#This Row],[SỐ LƯỢNG]]</f>
        <v>-1410000</v>
      </c>
      <c r="I17" s="31"/>
      <c r="J17" s="31">
        <f>J16+Cty_Tan_Hung[[#This Row],[THÀNH TIỀN]]-Cty_Tan_Hung[[#This Row],[THANH TOÁN]]</f>
        <v>5254804</v>
      </c>
      <c r="K17" s="24"/>
    </row>
    <row r="18" spans="1:11" x14ac:dyDescent="0.25">
      <c r="A18" s="22">
        <v>9532</v>
      </c>
      <c r="B18" s="29">
        <v>46163</v>
      </c>
      <c r="C18" s="23" t="s">
        <v>13</v>
      </c>
      <c r="D18" s="37" t="s">
        <v>43</v>
      </c>
      <c r="E18" s="23" t="s">
        <v>134</v>
      </c>
      <c r="F18" s="31">
        <v>5275</v>
      </c>
      <c r="G18" s="31">
        <v>63500</v>
      </c>
      <c r="H18" s="31">
        <f>Cty_Tan_Hung[[#This Row],[ĐƠN GIÁ]]*Cty_Tan_Hung[[#This Row],[SỐ LƯỢNG]]</f>
        <v>334962500</v>
      </c>
      <c r="I18" s="31"/>
      <c r="J18" s="31">
        <f>J17+Cty_Tan_Hung[[#This Row],[THÀNH TIỀN]]-Cty_Tan_Hung[[#This Row],[THANH TOÁN]]</f>
        <v>340217304</v>
      </c>
      <c r="K18" s="24"/>
    </row>
    <row r="19" spans="1:11" x14ac:dyDescent="0.25">
      <c r="A19" s="25">
        <v>9541</v>
      </c>
      <c r="B19" s="29">
        <v>46163</v>
      </c>
      <c r="C19" s="23" t="s">
        <v>13</v>
      </c>
      <c r="D19" s="37" t="s">
        <v>43</v>
      </c>
      <c r="E19" s="23" t="s">
        <v>134</v>
      </c>
      <c r="F19" s="28">
        <v>5324</v>
      </c>
      <c r="G19" s="28">
        <v>63500</v>
      </c>
      <c r="H19" s="28">
        <f>Cty_Tan_Hung[[#This Row],[ĐƠN GIÁ]]*Cty_Tan_Hung[[#This Row],[SỐ LƯỢNG]]</f>
        <v>338074000</v>
      </c>
      <c r="I19" s="28"/>
      <c r="J19" s="28">
        <f>J18+Cty_Tan_Hung[[#This Row],[THÀNH TIỀN]]-Cty_Tan_Hung[[#This Row],[THANH TOÁN]]</f>
        <v>678291304</v>
      </c>
      <c r="K19" s="27"/>
    </row>
    <row r="20" spans="1:11" x14ac:dyDescent="0.25">
      <c r="A20" s="25">
        <v>9541</v>
      </c>
      <c r="B20" s="29">
        <v>46163</v>
      </c>
      <c r="C20" s="23" t="s">
        <v>426</v>
      </c>
      <c r="D20" s="37" t="s">
        <v>43</v>
      </c>
      <c r="E20" s="23" t="s">
        <v>134</v>
      </c>
      <c r="F20" s="31">
        <v>5275</v>
      </c>
      <c r="G20" s="31">
        <v>-63500</v>
      </c>
      <c r="H20" s="31">
        <f>Cty_Tan_Hung[[#This Row],[ĐƠN GIÁ]]*Cty_Tan_Hung[[#This Row],[SỐ LƯỢNG]]</f>
        <v>-334962500</v>
      </c>
      <c r="I20" s="31"/>
      <c r="J20" s="31">
        <f>J19+Cty_Tan_Hung[[#This Row],[THÀNH TIỀN]]-Cty_Tan_Hung[[#This Row],[THANH TOÁN]]</f>
        <v>343328804</v>
      </c>
      <c r="K20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C0283-C07B-4ECF-9B8B-C4B25AD41DDC}">
  <sheetPr codeName="Sheet77"/>
  <dimension ref="A5:K31"/>
  <sheetViews>
    <sheetView workbookViewId="0">
      <selection activeCell="A22" sqref="A22:K22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253537850</v>
      </c>
    </row>
    <row r="6" spans="1:11" ht="22.5" x14ac:dyDescent="0.25">
      <c r="D6" s="34" t="s">
        <v>1044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Cty_Thanh_Duong_DN[[#This Row],[ĐƠN GIÁ]]*Cty_Thanh_Duong_DN[[#This Row],[SỐ LƯỢNG]]</f>
        <v>0</v>
      </c>
      <c r="I10" s="31"/>
      <c r="J10" s="31">
        <v>0</v>
      </c>
      <c r="K10" s="24"/>
    </row>
    <row r="11" spans="1:11" x14ac:dyDescent="0.25">
      <c r="A11" s="22">
        <v>7889</v>
      </c>
      <c r="B11" s="29">
        <v>46087</v>
      </c>
      <c r="C11" s="23" t="s">
        <v>13</v>
      </c>
      <c r="D11" s="37" t="s">
        <v>50</v>
      </c>
      <c r="E11" s="23" t="s">
        <v>1045</v>
      </c>
      <c r="F11" s="31">
        <v>160</v>
      </c>
      <c r="G11" s="31">
        <v>57000</v>
      </c>
      <c r="H11" s="31">
        <f>Cty_Thanh_Duong_DN[[#This Row],[ĐƠN GIÁ]]*Cty_Thanh_Duong_DN[[#This Row],[SỐ LƯỢNG]]</f>
        <v>9120000</v>
      </c>
      <c r="I11" s="31"/>
      <c r="J11" s="31">
        <f>J10+Cty_Thanh_Duong_DN[[#This Row],[THÀNH TIỀN]]-Cty_Thanh_Duong_DN[[#This Row],[THANH TOÁN]]</f>
        <v>9120000</v>
      </c>
      <c r="K11" s="24"/>
    </row>
    <row r="12" spans="1:11" x14ac:dyDescent="0.25">
      <c r="A12" s="22">
        <v>7889</v>
      </c>
      <c r="B12" s="29">
        <v>46087</v>
      </c>
      <c r="C12" s="23" t="s">
        <v>13</v>
      </c>
      <c r="D12" s="37" t="s">
        <v>50</v>
      </c>
      <c r="E12" s="23" t="s">
        <v>717</v>
      </c>
      <c r="F12" s="31">
        <v>720</v>
      </c>
      <c r="G12" s="31">
        <v>57000</v>
      </c>
      <c r="H12" s="31">
        <f>Cty_Thanh_Duong_DN[[#This Row],[ĐƠN GIÁ]]*Cty_Thanh_Duong_DN[[#This Row],[SỐ LƯỢNG]]</f>
        <v>41040000</v>
      </c>
      <c r="I12" s="31"/>
      <c r="J12" s="31">
        <f>J11+Cty_Thanh_Duong_DN[[#This Row],[THÀNH TIỀN]]-Cty_Thanh_Duong_DN[[#This Row],[THANH TOÁN]]</f>
        <v>50160000</v>
      </c>
      <c r="K12" s="24"/>
    </row>
    <row r="13" spans="1:11" x14ac:dyDescent="0.25">
      <c r="A13" s="22">
        <v>7889</v>
      </c>
      <c r="B13" s="29">
        <v>46087</v>
      </c>
      <c r="C13" s="23" t="s">
        <v>13</v>
      </c>
      <c r="D13" s="37" t="s">
        <v>50</v>
      </c>
      <c r="E13" s="23" t="s">
        <v>714</v>
      </c>
      <c r="F13" s="31">
        <v>540</v>
      </c>
      <c r="G13" s="31">
        <v>57000</v>
      </c>
      <c r="H13" s="31">
        <f>Cty_Thanh_Duong_DN[[#This Row],[ĐƠN GIÁ]]*Cty_Thanh_Duong_DN[[#This Row],[SỐ LƯỢNG]]</f>
        <v>30780000</v>
      </c>
      <c r="I13" s="31"/>
      <c r="J13" s="31">
        <f>J12+Cty_Thanh_Duong_DN[[#This Row],[THÀNH TIỀN]]-Cty_Thanh_Duong_DN[[#This Row],[THANH TOÁN]]</f>
        <v>80940000</v>
      </c>
      <c r="K13" s="24"/>
    </row>
    <row r="14" spans="1:11" x14ac:dyDescent="0.25">
      <c r="A14" s="22">
        <v>7889</v>
      </c>
      <c r="B14" s="29">
        <v>46087</v>
      </c>
      <c r="C14" s="23" t="s">
        <v>13</v>
      </c>
      <c r="D14" s="38" t="s">
        <v>270</v>
      </c>
      <c r="E14" s="26" t="s">
        <v>41</v>
      </c>
      <c r="F14" s="28">
        <f>1028-24</f>
        <v>1004</v>
      </c>
      <c r="G14" s="28">
        <v>62000</v>
      </c>
      <c r="H14" s="28">
        <f>Cty_Thanh_Duong_DN[[#This Row],[ĐƠN GIÁ]]*Cty_Thanh_Duong_DN[[#This Row],[SỐ LƯỢNG]]</f>
        <v>62248000</v>
      </c>
      <c r="I14" s="28"/>
      <c r="J14" s="31">
        <f>J13+Cty_Thanh_Duong_DN[[#This Row],[THÀNH TIỀN]]-Cty_Thanh_Duong_DN[[#This Row],[THANH TOÁN]]</f>
        <v>143188000</v>
      </c>
      <c r="K14" s="27"/>
    </row>
    <row r="15" spans="1:11" x14ac:dyDescent="0.25">
      <c r="A15" s="22">
        <v>7889</v>
      </c>
      <c r="B15" s="29">
        <v>46087</v>
      </c>
      <c r="C15" s="23" t="s">
        <v>13</v>
      </c>
      <c r="D15" s="38" t="s">
        <v>270</v>
      </c>
      <c r="E15" s="23" t="s">
        <v>136</v>
      </c>
      <c r="F15" s="31">
        <f>778-22-6</f>
        <v>750</v>
      </c>
      <c r="G15" s="31">
        <v>61000</v>
      </c>
      <c r="H15" s="31">
        <f>Cty_Thanh_Duong_DN[[#This Row],[ĐƠN GIÁ]]*Cty_Thanh_Duong_DN[[#This Row],[SỐ LƯỢNG]]</f>
        <v>45750000</v>
      </c>
      <c r="I15" s="31"/>
      <c r="J15" s="31">
        <f>J14+Cty_Thanh_Duong_DN[[#This Row],[THÀNH TIỀN]]-Cty_Thanh_Duong_DN[[#This Row],[THANH TOÁN]]</f>
        <v>188938000</v>
      </c>
      <c r="K15" s="24"/>
    </row>
    <row r="16" spans="1:11" x14ac:dyDescent="0.25">
      <c r="A16" s="22">
        <v>7889</v>
      </c>
      <c r="B16" s="29">
        <v>46087</v>
      </c>
      <c r="C16" s="23" t="s">
        <v>13</v>
      </c>
      <c r="D16" s="38" t="s">
        <v>252</v>
      </c>
      <c r="E16" s="26" t="s">
        <v>41</v>
      </c>
      <c r="F16" s="28">
        <v>534</v>
      </c>
      <c r="G16" s="28">
        <v>39000</v>
      </c>
      <c r="H16" s="28">
        <f>Cty_Thanh_Duong_DN[[#This Row],[ĐƠN GIÁ]]*Cty_Thanh_Duong_DN[[#This Row],[SỐ LƯỢNG]]</f>
        <v>20826000</v>
      </c>
      <c r="I16" s="28"/>
      <c r="J16" s="31">
        <f>J15+Cty_Thanh_Duong_DN[[#This Row],[THÀNH TIỀN]]-Cty_Thanh_Duong_DN[[#This Row],[THANH TOÁN]]</f>
        <v>209764000</v>
      </c>
      <c r="K16" s="27"/>
    </row>
    <row r="17" spans="1:11" x14ac:dyDescent="0.25">
      <c r="A17" s="25">
        <v>7938</v>
      </c>
      <c r="B17" s="30">
        <v>46088</v>
      </c>
      <c r="C17" s="26" t="s">
        <v>13</v>
      </c>
      <c r="D17" s="38" t="s">
        <v>265</v>
      </c>
      <c r="E17" s="26" t="s">
        <v>65</v>
      </c>
      <c r="F17" s="28">
        <f>514-16</f>
        <v>498</v>
      </c>
      <c r="G17" s="28">
        <v>64000</v>
      </c>
      <c r="H17" s="28">
        <f>Cty_Thanh_Duong_DN[[#This Row],[ĐƠN GIÁ]]*Cty_Thanh_Duong_DN[[#This Row],[SỐ LƯỢNG]]</f>
        <v>31872000</v>
      </c>
      <c r="I17" s="28"/>
      <c r="J17" s="28">
        <f>J16+Cty_Thanh_Duong_DN[[#This Row],[THÀNH TIỀN]]-Cty_Thanh_Duong_DN[[#This Row],[THANH TOÁN]]</f>
        <v>241636000</v>
      </c>
      <c r="K17" s="27"/>
    </row>
    <row r="18" spans="1:11" x14ac:dyDescent="0.25">
      <c r="A18" s="25">
        <v>7938</v>
      </c>
      <c r="B18" s="30">
        <v>46088</v>
      </c>
      <c r="C18" s="26" t="s">
        <v>13</v>
      </c>
      <c r="D18" s="38" t="s">
        <v>109</v>
      </c>
      <c r="E18" s="26" t="s">
        <v>1046</v>
      </c>
      <c r="F18" s="28">
        <v>356</v>
      </c>
      <c r="G18" s="28">
        <v>56500</v>
      </c>
      <c r="H18" s="28">
        <f>Cty_Thanh_Duong_DN[[#This Row],[ĐƠN GIÁ]]*Cty_Thanh_Duong_DN[[#This Row],[SỐ LƯỢNG]]</f>
        <v>20114000</v>
      </c>
      <c r="I18" s="28"/>
      <c r="J18" s="28">
        <f>J17+Cty_Thanh_Duong_DN[[#This Row],[THÀNH TIỀN]]-Cty_Thanh_Duong_DN[[#This Row],[THANH TOÁN]]</f>
        <v>261750000</v>
      </c>
      <c r="K18" s="27"/>
    </row>
    <row r="19" spans="1:11" x14ac:dyDescent="0.25">
      <c r="A19" s="25"/>
      <c r="B19" s="30">
        <v>46097</v>
      </c>
      <c r="C19" s="26" t="s">
        <v>21</v>
      </c>
      <c r="D19" s="38" t="s">
        <v>22</v>
      </c>
      <c r="E19" s="26" t="s">
        <v>147</v>
      </c>
      <c r="F19" s="28">
        <v>0</v>
      </c>
      <c r="G19" s="28">
        <v>0</v>
      </c>
      <c r="H19" s="28">
        <f>Cty_Thanh_Duong_DN[[#This Row],[ĐƠN GIÁ]]*Cty_Thanh_Duong_DN[[#This Row],[SỐ LƯỢNG]]</f>
        <v>0</v>
      </c>
      <c r="I19" s="28">
        <v>261457691</v>
      </c>
      <c r="J19" s="28">
        <f>J18+Cty_Thanh_Duong_DN[[#This Row],[THÀNH TIỀN]]-Cty_Thanh_Duong_DN[[#This Row],[THANH TOÁN]]</f>
        <v>292309</v>
      </c>
      <c r="K19" s="27"/>
    </row>
    <row r="20" spans="1:11" x14ac:dyDescent="0.25">
      <c r="A20" s="22">
        <v>8565</v>
      </c>
      <c r="B20" s="29">
        <v>46116</v>
      </c>
      <c r="C20" s="23" t="s">
        <v>13</v>
      </c>
      <c r="D20" s="37" t="s">
        <v>265</v>
      </c>
      <c r="E20" s="23" t="s">
        <v>41</v>
      </c>
      <c r="F20" s="31">
        <v>2020</v>
      </c>
      <c r="G20" s="31">
        <v>65000</v>
      </c>
      <c r="H20" s="31">
        <f>Cty_Thanh_Duong_DN[[#This Row],[ĐƠN GIÁ]]*Cty_Thanh_Duong_DN[[#This Row],[SỐ LƯỢNG]]</f>
        <v>131300000</v>
      </c>
      <c r="I20" s="31"/>
      <c r="J20" s="31">
        <f>J19+Cty_Thanh_Duong_DN[[#This Row],[THÀNH TIỀN]]-Cty_Thanh_Duong_DN[[#This Row],[THANH TOÁN]]</f>
        <v>131592309</v>
      </c>
      <c r="K20" s="24"/>
    </row>
    <row r="21" spans="1:11" x14ac:dyDescent="0.25">
      <c r="A21" s="22">
        <v>8565</v>
      </c>
      <c r="B21" s="29">
        <v>46116</v>
      </c>
      <c r="C21" s="23" t="s">
        <v>13</v>
      </c>
      <c r="D21" s="37" t="s">
        <v>265</v>
      </c>
      <c r="E21" s="23" t="s">
        <v>149</v>
      </c>
      <c r="F21" s="31">
        <v>870</v>
      </c>
      <c r="G21" s="31">
        <v>63500</v>
      </c>
      <c r="H21" s="31">
        <f>Cty_Thanh_Duong_DN[[#This Row],[ĐƠN GIÁ]]*Cty_Thanh_Duong_DN[[#This Row],[SỐ LƯỢNG]]</f>
        <v>55245000</v>
      </c>
      <c r="I21" s="31"/>
      <c r="J21" s="31">
        <f>J20+Cty_Thanh_Duong_DN[[#This Row],[THÀNH TIỀN]]-Cty_Thanh_Duong_DN[[#This Row],[THANH TOÁN]]</f>
        <v>186837309</v>
      </c>
      <c r="K21" s="24"/>
    </row>
    <row r="22" spans="1:11" x14ac:dyDescent="0.25">
      <c r="A22" s="22"/>
      <c r="B22" s="29">
        <v>46134</v>
      </c>
      <c r="C22" s="23" t="s">
        <v>21</v>
      </c>
      <c r="D22" s="37" t="s">
        <v>22</v>
      </c>
      <c r="E22" s="23" t="s">
        <v>147</v>
      </c>
      <c r="F22" s="31">
        <v>0</v>
      </c>
      <c r="G22" s="31"/>
      <c r="H22" s="31">
        <f>Cty_Thanh_Duong_DN[[#This Row],[ĐƠN GIÁ]]*Cty_Thanh_Duong_DN[[#This Row],[SỐ LƯỢNG]]</f>
        <v>0</v>
      </c>
      <c r="I22" s="31">
        <v>186543720</v>
      </c>
      <c r="J22" s="31">
        <f>J21+Cty_Thanh_Duong_DN[[#This Row],[THÀNH TIỀN]]-Cty_Thanh_Duong_DN[[#This Row],[THANH TOÁN]]</f>
        <v>293589</v>
      </c>
      <c r="K22" s="24"/>
    </row>
    <row r="23" spans="1:11" x14ac:dyDescent="0.25">
      <c r="A23" s="22">
        <v>9151</v>
      </c>
      <c r="B23" s="29">
        <v>46146</v>
      </c>
      <c r="C23" s="23" t="s">
        <v>13</v>
      </c>
      <c r="D23" s="37" t="s">
        <v>265</v>
      </c>
      <c r="E23" s="23" t="s">
        <v>136</v>
      </c>
      <c r="F23" s="31">
        <v>1326</v>
      </c>
      <c r="G23" s="31">
        <v>66000</v>
      </c>
      <c r="H23" s="31">
        <f>Cty_Thanh_Duong_DN[[#This Row],[ĐƠN GIÁ]]*Cty_Thanh_Duong_DN[[#This Row],[SỐ LƯỢNG]]</f>
        <v>87516000</v>
      </c>
      <c r="I23" s="31"/>
      <c r="J23" s="31">
        <f>J22+Cty_Thanh_Duong_DN[[#This Row],[THÀNH TIỀN]]-Cty_Thanh_Duong_DN[[#This Row],[THANH TOÁN]]</f>
        <v>87809589</v>
      </c>
      <c r="K23" s="24"/>
    </row>
    <row r="24" spans="1:11" x14ac:dyDescent="0.25">
      <c r="A24" s="22">
        <v>9151</v>
      </c>
      <c r="B24" s="29">
        <v>46146</v>
      </c>
      <c r="C24" s="23" t="s">
        <v>13</v>
      </c>
      <c r="D24" s="37" t="s">
        <v>50</v>
      </c>
      <c r="E24" s="23" t="s">
        <v>717</v>
      </c>
      <c r="F24" s="31">
        <v>506</v>
      </c>
      <c r="G24" s="31">
        <v>62000</v>
      </c>
      <c r="H24" s="31">
        <f>Cty_Thanh_Duong_DN[[#This Row],[ĐƠN GIÁ]]*Cty_Thanh_Duong_DN[[#This Row],[SỐ LƯỢNG]]</f>
        <v>31372000</v>
      </c>
      <c r="I24" s="31"/>
      <c r="J24" s="31">
        <f>J23+Cty_Thanh_Duong_DN[[#This Row],[THÀNH TIỀN]]-Cty_Thanh_Duong_DN[[#This Row],[THANH TOÁN]]</f>
        <v>119181589</v>
      </c>
      <c r="K24" s="24"/>
    </row>
    <row r="25" spans="1:11" x14ac:dyDescent="0.25">
      <c r="A25" s="22"/>
      <c r="B25" s="29">
        <v>46153</v>
      </c>
      <c r="C25" s="23" t="s">
        <v>21</v>
      </c>
      <c r="D25" s="37" t="s">
        <v>22</v>
      </c>
      <c r="E25" s="23" t="s">
        <v>147</v>
      </c>
      <c r="F25" s="31">
        <v>0</v>
      </c>
      <c r="G25" s="31"/>
      <c r="H25" s="31">
        <f>Cty_Thanh_Duong_DN[[#This Row],[ĐƠN GIÁ]]*Cty_Thanh_Duong_DN[[#This Row],[SỐ LƯỢNG]]</f>
        <v>0</v>
      </c>
      <c r="I25" s="31">
        <v>118888739</v>
      </c>
      <c r="J25" s="31">
        <f>J24+Cty_Thanh_Duong_DN[[#This Row],[THÀNH TIỀN]]-Cty_Thanh_Duong_DN[[#This Row],[THANH TOÁN]]</f>
        <v>292850</v>
      </c>
      <c r="K25" s="24"/>
    </row>
    <row r="26" spans="1:11" x14ac:dyDescent="0.25">
      <c r="A26" s="22">
        <v>9581</v>
      </c>
      <c r="B26" s="29">
        <v>46165</v>
      </c>
      <c r="C26" s="23" t="s">
        <v>13</v>
      </c>
      <c r="D26" s="37" t="s">
        <v>50</v>
      </c>
      <c r="E26" s="23" t="s">
        <v>73</v>
      </c>
      <c r="F26" s="31">
        <v>436</v>
      </c>
      <c r="G26" s="31">
        <v>64000</v>
      </c>
      <c r="H26" s="31">
        <f>Cty_Thanh_Duong_DN[[#This Row],[ĐƠN GIÁ]]*Cty_Thanh_Duong_DN[[#This Row],[SỐ LƯỢNG]]</f>
        <v>27904000</v>
      </c>
      <c r="I26" s="31"/>
      <c r="J26" s="31">
        <f>J25+Cty_Thanh_Duong_DN[[#This Row],[THÀNH TIỀN]]-Cty_Thanh_Duong_DN[[#This Row],[THANH TOÁN]]</f>
        <v>28196850</v>
      </c>
      <c r="K26" s="24"/>
    </row>
    <row r="27" spans="1:11" x14ac:dyDescent="0.25">
      <c r="A27" s="22">
        <v>9581</v>
      </c>
      <c r="B27" s="29">
        <v>46165</v>
      </c>
      <c r="C27" s="23" t="s">
        <v>13</v>
      </c>
      <c r="D27" s="37" t="s">
        <v>265</v>
      </c>
      <c r="E27" s="23" t="s">
        <v>41</v>
      </c>
      <c r="F27" s="31">
        <v>1026</v>
      </c>
      <c r="G27" s="31">
        <v>68500</v>
      </c>
      <c r="H27" s="31">
        <f>Cty_Thanh_Duong_DN[[#This Row],[ĐƠN GIÁ]]*Cty_Thanh_Duong_DN[[#This Row],[SỐ LƯỢNG]]</f>
        <v>70281000</v>
      </c>
      <c r="I27" s="31"/>
      <c r="J27" s="31">
        <f>J26+Cty_Thanh_Duong_DN[[#This Row],[THÀNH TIỀN]]-Cty_Thanh_Duong_DN[[#This Row],[THANH TOÁN]]</f>
        <v>98477850</v>
      </c>
      <c r="K27" s="24"/>
    </row>
    <row r="28" spans="1:11" x14ac:dyDescent="0.25">
      <c r="A28" s="22">
        <v>9581</v>
      </c>
      <c r="B28" s="29">
        <v>46165</v>
      </c>
      <c r="C28" s="23" t="s">
        <v>13</v>
      </c>
      <c r="D28" s="37" t="s">
        <v>265</v>
      </c>
      <c r="E28" s="23" t="s">
        <v>136</v>
      </c>
      <c r="F28" s="31">
        <v>1056</v>
      </c>
      <c r="G28" s="31">
        <v>67500</v>
      </c>
      <c r="H28" s="31">
        <f>Cty_Thanh_Duong_DN[[#This Row],[ĐƠN GIÁ]]*Cty_Thanh_Duong_DN[[#This Row],[SỐ LƯỢNG]]</f>
        <v>71280000</v>
      </c>
      <c r="I28" s="31"/>
      <c r="J28" s="31">
        <f>J27+Cty_Thanh_Duong_DN[[#This Row],[THÀNH TIỀN]]-Cty_Thanh_Duong_DN[[#This Row],[THANH TOÁN]]</f>
        <v>169757850</v>
      </c>
      <c r="K28" s="24"/>
    </row>
    <row r="29" spans="1:11" x14ac:dyDescent="0.25">
      <c r="A29" s="22">
        <v>9581</v>
      </c>
      <c r="B29" s="29">
        <v>46165</v>
      </c>
      <c r="C29" s="23" t="s">
        <v>13</v>
      </c>
      <c r="D29" s="37" t="s">
        <v>265</v>
      </c>
      <c r="E29" s="23" t="s">
        <v>78</v>
      </c>
      <c r="F29" s="31">
        <v>640</v>
      </c>
      <c r="G29" s="31">
        <v>69500</v>
      </c>
      <c r="H29" s="31">
        <f>Cty_Thanh_Duong_DN[[#This Row],[ĐƠN GIÁ]]*Cty_Thanh_Duong_DN[[#This Row],[SỐ LƯỢNG]]</f>
        <v>44480000</v>
      </c>
      <c r="I29" s="31"/>
      <c r="J29" s="31">
        <f>J28+Cty_Thanh_Duong_DN[[#This Row],[THÀNH TIỀN]]-Cty_Thanh_Duong_DN[[#This Row],[THANH TOÁN]]</f>
        <v>214237850</v>
      </c>
      <c r="K29" s="24"/>
    </row>
    <row r="30" spans="1:11" x14ac:dyDescent="0.25">
      <c r="A30" s="22">
        <v>9581</v>
      </c>
      <c r="B30" s="29">
        <v>46165</v>
      </c>
      <c r="C30" s="23" t="s">
        <v>13</v>
      </c>
      <c r="D30" s="37" t="s">
        <v>17</v>
      </c>
      <c r="E30" s="23" t="s">
        <v>41</v>
      </c>
      <c r="F30" s="31">
        <v>300</v>
      </c>
      <c r="G30" s="31">
        <v>65500</v>
      </c>
      <c r="H30" s="31">
        <f>Cty_Thanh_Duong_DN[[#This Row],[ĐƠN GIÁ]]*Cty_Thanh_Duong_DN[[#This Row],[SỐ LƯỢNG]]</f>
        <v>19650000</v>
      </c>
      <c r="I30" s="31"/>
      <c r="J30" s="31">
        <f>J29+Cty_Thanh_Duong_DN[[#This Row],[THÀNH TIỀN]]-Cty_Thanh_Duong_DN[[#This Row],[THANH TOÁN]]</f>
        <v>233887850</v>
      </c>
      <c r="K30" s="24"/>
    </row>
    <row r="31" spans="1:11" x14ac:dyDescent="0.25">
      <c r="A31" s="22">
        <v>9581</v>
      </c>
      <c r="B31" s="29">
        <v>46165</v>
      </c>
      <c r="C31" s="23" t="s">
        <v>13</v>
      </c>
      <c r="D31" s="37" t="s">
        <v>17</v>
      </c>
      <c r="E31" s="23" t="s">
        <v>136</v>
      </c>
      <c r="F31" s="31">
        <v>300</v>
      </c>
      <c r="G31" s="31">
        <v>65500</v>
      </c>
      <c r="H31" s="31">
        <f>Cty_Thanh_Duong_DN[[#This Row],[ĐƠN GIÁ]]*Cty_Thanh_Duong_DN[[#This Row],[SỐ LƯỢNG]]</f>
        <v>19650000</v>
      </c>
      <c r="I31" s="31"/>
      <c r="J31" s="31">
        <f>J30+Cty_Thanh_Duong_DN[[#This Row],[THÀNH TIỀN]]-Cty_Thanh_Duong_DN[[#This Row],[THANH TOÁN]]</f>
        <v>253537850</v>
      </c>
      <c r="K31" s="24"/>
    </row>
  </sheetData>
  <phoneticPr fontId="9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E48CD2-B752-418C-83A1-28BE90E343BF}">
  <sheetPr codeName="Sheet79"/>
  <dimension ref="A5:K100"/>
  <sheetViews>
    <sheetView topLeftCell="A74" workbookViewId="0">
      <selection activeCell="E98" sqref="E98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376291454</v>
      </c>
    </row>
    <row r="6" spans="1:11" ht="22.5" x14ac:dyDescent="0.25">
      <c r="D6" s="34" t="s">
        <v>1047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Cty_Thep_Viet[[#This Row],[ĐƠN GIÁ]]*Cty_Thep_Viet[[#This Row],[SỐ LƯỢNG]]</f>
        <v>0</v>
      </c>
      <c r="I10" s="31"/>
      <c r="J10" s="31">
        <v>596669861</v>
      </c>
      <c r="K10" s="24"/>
    </row>
    <row r="11" spans="1:11" x14ac:dyDescent="0.25">
      <c r="A11" s="22">
        <v>7890</v>
      </c>
      <c r="B11" s="29">
        <v>46087</v>
      </c>
      <c r="C11" s="23" t="s">
        <v>13</v>
      </c>
      <c r="D11" s="37" t="s">
        <v>1048</v>
      </c>
      <c r="E11" s="23" t="s">
        <v>148</v>
      </c>
      <c r="F11" s="31">
        <v>5758</v>
      </c>
      <c r="G11" s="31">
        <v>68500</v>
      </c>
      <c r="H11" s="31">
        <f>Cty_Thep_Viet[[#This Row],[ĐƠN GIÁ]]*Cty_Thep_Viet[[#This Row],[SỐ LƯỢNG]]</f>
        <v>394423000</v>
      </c>
      <c r="I11" s="31"/>
      <c r="J11" s="31">
        <f>J10+Cty_Thep_Viet[[#This Row],[THÀNH TIỀN]]-Cty_Thep_Viet[[#This Row],[THANH TOÁN]]</f>
        <v>991092861</v>
      </c>
      <c r="K11" s="24"/>
    </row>
    <row r="12" spans="1:11" x14ac:dyDescent="0.25">
      <c r="A12" s="22">
        <v>7891</v>
      </c>
      <c r="B12" s="29">
        <v>46087</v>
      </c>
      <c r="C12" s="23" t="s">
        <v>49</v>
      </c>
      <c r="D12" s="37" t="s">
        <v>43</v>
      </c>
      <c r="E12" s="23" t="s">
        <v>78</v>
      </c>
      <c r="F12" s="31">
        <v>532</v>
      </c>
      <c r="G12" s="31"/>
      <c r="H12" s="31">
        <f>Cty_Thep_Viet[[#This Row],[ĐƠN GIÁ]]*Cty_Thep_Viet[[#This Row],[SỐ LƯỢNG]]</f>
        <v>0</v>
      </c>
      <c r="I12" s="31"/>
      <c r="J12" s="31">
        <f>J11+Cty_Thep_Viet[[#This Row],[THÀNH TIỀN]]-Cty_Thep_Viet[[#This Row],[THANH TOÁN]]</f>
        <v>991092861</v>
      </c>
      <c r="K12" s="24"/>
    </row>
    <row r="13" spans="1:11" x14ac:dyDescent="0.25">
      <c r="A13" s="25"/>
      <c r="B13" s="30">
        <v>46087</v>
      </c>
      <c r="C13" s="26" t="s">
        <v>21</v>
      </c>
      <c r="D13" s="38" t="s">
        <v>22</v>
      </c>
      <c r="E13" s="26" t="s">
        <v>261</v>
      </c>
      <c r="F13" s="28">
        <v>0</v>
      </c>
      <c r="G13" s="28">
        <v>0</v>
      </c>
      <c r="H13" s="28">
        <f>Cty_Thep_Viet[[#This Row],[ĐƠN GIÁ]]*Cty_Thep_Viet[[#This Row],[SỐ LƯỢNG]]</f>
        <v>0</v>
      </c>
      <c r="I13" s="28">
        <v>216835929</v>
      </c>
      <c r="J13" s="28">
        <f>J12+Cty_Thep_Viet[[#This Row],[THÀNH TIỀN]]-Cty_Thep_Viet[[#This Row],[THANH TOÁN]]</f>
        <v>774256932</v>
      </c>
      <c r="K13" s="27"/>
    </row>
    <row r="14" spans="1:11" x14ac:dyDescent="0.25">
      <c r="A14" s="25">
        <v>44392</v>
      </c>
      <c r="B14" s="30">
        <v>46087</v>
      </c>
      <c r="C14" s="26" t="s">
        <v>84</v>
      </c>
      <c r="D14" s="38" t="s">
        <v>43</v>
      </c>
      <c r="E14" s="23" t="s">
        <v>1049</v>
      </c>
      <c r="F14" s="31">
        <v>500</v>
      </c>
      <c r="G14" s="31">
        <v>-3500</v>
      </c>
      <c r="H14" s="31">
        <f>Cty_Thep_Viet[[#This Row],[ĐƠN GIÁ]]*Cty_Thep_Viet[[#This Row],[SỐ LƯỢNG]]</f>
        <v>-1750000</v>
      </c>
      <c r="I14" s="31"/>
      <c r="J14" s="31">
        <f>J13+Cty_Thep_Viet[[#This Row],[THÀNH TIỀN]]-Cty_Thep_Viet[[#This Row],[THANH TOÁN]]</f>
        <v>772506932</v>
      </c>
      <c r="K14" s="24"/>
    </row>
    <row r="15" spans="1:11" x14ac:dyDescent="0.25">
      <c r="A15" s="25"/>
      <c r="B15" s="30">
        <v>46094</v>
      </c>
      <c r="C15" s="26" t="s">
        <v>21</v>
      </c>
      <c r="D15" s="38" t="s">
        <v>22</v>
      </c>
      <c r="E15" s="26" t="s">
        <v>261</v>
      </c>
      <c r="F15" s="28">
        <v>0</v>
      </c>
      <c r="G15" s="28">
        <v>0</v>
      </c>
      <c r="H15" s="28">
        <f>Cty_Thep_Viet[[#This Row],[ĐƠN GIÁ]]*Cty_Thep_Viet[[#This Row],[SỐ LƯỢNG]]</f>
        <v>0</v>
      </c>
      <c r="I15" s="28">
        <v>100000000</v>
      </c>
      <c r="J15" s="28">
        <f>J14+Cty_Thep_Viet[[#This Row],[THÀNH TIỀN]]-Cty_Thep_Viet[[#This Row],[THANH TOÁN]]</f>
        <v>672506932</v>
      </c>
      <c r="K15" s="27"/>
    </row>
    <row r="16" spans="1:11" x14ac:dyDescent="0.25">
      <c r="A16" s="25">
        <v>8139</v>
      </c>
      <c r="B16" s="30">
        <v>46098</v>
      </c>
      <c r="C16" s="26" t="s">
        <v>49</v>
      </c>
      <c r="D16" s="38" t="s">
        <v>43</v>
      </c>
      <c r="E16" s="26" t="s">
        <v>283</v>
      </c>
      <c r="F16" s="28">
        <v>5208</v>
      </c>
      <c r="G16" s="28"/>
      <c r="H16" s="28">
        <f>Cty_Thep_Viet[[#This Row],[ĐƠN GIÁ]]*Cty_Thep_Viet[[#This Row],[SỐ LƯỢNG]]</f>
        <v>0</v>
      </c>
      <c r="I16" s="28"/>
      <c r="J16" s="28">
        <f>J15+Cty_Thep_Viet[[#This Row],[THÀNH TIỀN]]-Cty_Thep_Viet[[#This Row],[THANH TOÁN]]</f>
        <v>672506932</v>
      </c>
      <c r="K16" s="27"/>
    </row>
    <row r="17" spans="1:11" x14ac:dyDescent="0.25">
      <c r="A17" s="25">
        <v>8139</v>
      </c>
      <c r="B17" s="30">
        <v>46098</v>
      </c>
      <c r="C17" s="26" t="s">
        <v>49</v>
      </c>
      <c r="D17" s="38" t="s">
        <v>43</v>
      </c>
      <c r="E17" s="26" t="s">
        <v>62</v>
      </c>
      <c r="F17" s="28">
        <v>2030</v>
      </c>
      <c r="G17" s="28"/>
      <c r="H17" s="28">
        <f>Cty_Thep_Viet[[#This Row],[ĐƠN GIÁ]]*Cty_Thep_Viet[[#This Row],[SỐ LƯỢNG]]</f>
        <v>0</v>
      </c>
      <c r="I17" s="28"/>
      <c r="J17" s="28">
        <f>J16+Cty_Thep_Viet[[#This Row],[THÀNH TIỀN]]-Cty_Thep_Viet[[#This Row],[THANH TOÁN]]</f>
        <v>672506932</v>
      </c>
      <c r="K17" s="27"/>
    </row>
    <row r="18" spans="1:11" x14ac:dyDescent="0.25">
      <c r="A18" s="25">
        <v>44553</v>
      </c>
      <c r="B18" s="30">
        <v>46098</v>
      </c>
      <c r="C18" s="26" t="s">
        <v>84</v>
      </c>
      <c r="D18" s="38" t="s">
        <v>43</v>
      </c>
      <c r="E18" s="26" t="s">
        <v>1050</v>
      </c>
      <c r="F18" s="28">
        <v>2342</v>
      </c>
      <c r="G18" s="28">
        <v>-3000</v>
      </c>
      <c r="H18" s="28">
        <f>Cty_Thep_Viet[[#This Row],[ĐƠN GIÁ]]*Cty_Thep_Viet[[#This Row],[SỐ LƯỢNG]]</f>
        <v>-7026000</v>
      </c>
      <c r="I18" s="28"/>
      <c r="J18" s="28">
        <f>J17+Cty_Thep_Viet[[#This Row],[THÀNH TIỀN]]-Cty_Thep_Viet[[#This Row],[THANH TOÁN]]</f>
        <v>665480932</v>
      </c>
      <c r="K18" s="27"/>
    </row>
    <row r="19" spans="1:11" x14ac:dyDescent="0.25">
      <c r="A19" s="25">
        <v>44579</v>
      </c>
      <c r="B19" s="30">
        <v>46100</v>
      </c>
      <c r="C19" s="26" t="s">
        <v>84</v>
      </c>
      <c r="D19" s="38" t="s">
        <v>43</v>
      </c>
      <c r="E19" s="26" t="s">
        <v>62</v>
      </c>
      <c r="F19" s="28">
        <v>2030</v>
      </c>
      <c r="G19" s="28">
        <v>-3500</v>
      </c>
      <c r="H19" s="28">
        <f>Cty_Thep_Viet[[#This Row],[ĐƠN GIÁ]]*Cty_Thep_Viet[[#This Row],[SỐ LƯỢNG]]</f>
        <v>-7105000</v>
      </c>
      <c r="I19" s="28"/>
      <c r="J19" s="28">
        <f>J18+Cty_Thep_Viet[[#This Row],[THÀNH TIỀN]]-Cty_Thep_Viet[[#This Row],[THANH TOÁN]]</f>
        <v>658375932</v>
      </c>
      <c r="K19" s="27"/>
    </row>
    <row r="20" spans="1:11" x14ac:dyDescent="0.25">
      <c r="A20" s="25">
        <v>8224</v>
      </c>
      <c r="B20" s="30">
        <v>46104</v>
      </c>
      <c r="C20" s="26" t="s">
        <v>49</v>
      </c>
      <c r="D20" s="38" t="s">
        <v>43</v>
      </c>
      <c r="E20" s="26" t="s">
        <v>62</v>
      </c>
      <c r="F20" s="28">
        <v>2474</v>
      </c>
      <c r="G20" s="28"/>
      <c r="H20" s="28">
        <f>Cty_Thep_Viet[[#This Row],[ĐƠN GIÁ]]*Cty_Thep_Viet[[#This Row],[SỐ LƯỢNG]]</f>
        <v>0</v>
      </c>
      <c r="I20" s="28"/>
      <c r="J20" s="28">
        <f>J19+Cty_Thep_Viet[[#This Row],[THÀNH TIỀN]]-Cty_Thep_Viet[[#This Row],[THANH TOÁN]]</f>
        <v>658375932</v>
      </c>
      <c r="K20" s="27"/>
    </row>
    <row r="21" spans="1:11" x14ac:dyDescent="0.25">
      <c r="A21" s="25">
        <v>44684</v>
      </c>
      <c r="B21" s="30">
        <v>46106</v>
      </c>
      <c r="C21" s="26" t="s">
        <v>84</v>
      </c>
      <c r="D21" s="38" t="s">
        <v>43</v>
      </c>
      <c r="E21" s="26" t="s">
        <v>1051</v>
      </c>
      <c r="F21" s="28">
        <v>2476</v>
      </c>
      <c r="G21" s="28">
        <v>-3500</v>
      </c>
      <c r="H21" s="28">
        <f>Cty_Thep_Viet[[#This Row],[ĐƠN GIÁ]]*Cty_Thep_Viet[[#This Row],[SỐ LƯỢNG]]</f>
        <v>-8666000</v>
      </c>
      <c r="I21" s="28"/>
      <c r="J21" s="28">
        <f>J20+Cty_Thep_Viet[[#This Row],[THÀNH TIỀN]]-Cty_Thep_Viet[[#This Row],[THANH TOÁN]]</f>
        <v>649709932</v>
      </c>
      <c r="K21" s="27"/>
    </row>
    <row r="22" spans="1:11" x14ac:dyDescent="0.25">
      <c r="A22" s="22">
        <v>8430</v>
      </c>
      <c r="B22" s="29">
        <v>46112</v>
      </c>
      <c r="C22" s="23" t="s">
        <v>49</v>
      </c>
      <c r="D22" s="37" t="s">
        <v>77</v>
      </c>
      <c r="E22" s="23" t="s">
        <v>78</v>
      </c>
      <c r="F22" s="31">
        <v>1374</v>
      </c>
      <c r="G22" s="31"/>
      <c r="H22" s="31">
        <f>Cty_Thep_Viet[[#This Row],[ĐƠN GIÁ]]*Cty_Thep_Viet[[#This Row],[SỐ LƯỢNG]]</f>
        <v>0</v>
      </c>
      <c r="I22" s="31"/>
      <c r="J22" s="31">
        <f>J21+Cty_Thep_Viet[[#This Row],[THÀNH TIỀN]]-Cty_Thep_Viet[[#This Row],[THANH TOÁN]]</f>
        <v>649709932</v>
      </c>
      <c r="K22" s="24"/>
    </row>
    <row r="23" spans="1:11" x14ac:dyDescent="0.25">
      <c r="A23" s="22">
        <v>44783</v>
      </c>
      <c r="B23" s="29">
        <v>46112</v>
      </c>
      <c r="C23" s="23" t="s">
        <v>84</v>
      </c>
      <c r="D23" s="37" t="s">
        <v>77</v>
      </c>
      <c r="E23" s="23" t="s">
        <v>1052</v>
      </c>
      <c r="F23" s="31">
        <v>1374</v>
      </c>
      <c r="G23" s="31">
        <v>-3500</v>
      </c>
      <c r="H23" s="31">
        <f>Cty_Thep_Viet[[#This Row],[ĐƠN GIÁ]]*Cty_Thep_Viet[[#This Row],[SỐ LƯỢNG]]</f>
        <v>-4809000</v>
      </c>
      <c r="I23" s="31"/>
      <c r="J23" s="31">
        <f>J22+Cty_Thep_Viet[[#This Row],[THÀNH TIỀN]]-Cty_Thep_Viet[[#This Row],[THANH TOÁN]]</f>
        <v>644900932</v>
      </c>
      <c r="K23" s="24"/>
    </row>
    <row r="24" spans="1:11" x14ac:dyDescent="0.25">
      <c r="A24" s="25">
        <v>8478</v>
      </c>
      <c r="B24" s="30">
        <v>46113</v>
      </c>
      <c r="C24" s="26" t="s">
        <v>49</v>
      </c>
      <c r="D24" s="38" t="s">
        <v>43</v>
      </c>
      <c r="E24" s="26" t="s">
        <v>136</v>
      </c>
      <c r="F24" s="28">
        <v>5547</v>
      </c>
      <c r="G24" s="28"/>
      <c r="H24" s="28">
        <f>Cty_Viet_Anh[[#This Row],[ĐƠN GIÁ]]*Cty_Viet_Anh[[#This Row],[SỐ LƯỢNG]]</f>
        <v>0</v>
      </c>
      <c r="I24" s="28"/>
      <c r="J24" s="28">
        <f>J23+Cty_Thep_Viet[[#This Row],[THÀNH TIỀN]]-Cty_Thep_Viet[[#This Row],[THANH TOÁN]]</f>
        <v>644900932</v>
      </c>
      <c r="K24" s="27" t="s">
        <v>1053</v>
      </c>
    </row>
    <row r="25" spans="1:11" x14ac:dyDescent="0.25">
      <c r="A25" s="22">
        <v>8486</v>
      </c>
      <c r="B25" s="29">
        <v>46114</v>
      </c>
      <c r="C25" s="23" t="s">
        <v>13</v>
      </c>
      <c r="D25" s="37" t="s">
        <v>135</v>
      </c>
      <c r="E25" s="23" t="s">
        <v>148</v>
      </c>
      <c r="F25" s="31">
        <v>5668</v>
      </c>
      <c r="G25" s="31">
        <v>37500</v>
      </c>
      <c r="H25" s="31">
        <f>Cty_Thep_Viet[[#This Row],[ĐƠN GIÁ]]*Cty_Thep_Viet[[#This Row],[SỐ LƯỢNG]]</f>
        <v>212550000</v>
      </c>
      <c r="I25" s="31"/>
      <c r="J25" s="31">
        <f>J24+Cty_Thep_Viet[[#This Row],[THÀNH TIỀN]]-Cty_Thep_Viet[[#This Row],[THANH TOÁN]]</f>
        <v>857450932</v>
      </c>
      <c r="K25" s="24"/>
    </row>
    <row r="26" spans="1:11" x14ac:dyDescent="0.25">
      <c r="A26" s="22">
        <v>8487</v>
      </c>
      <c r="B26" s="29">
        <v>46114</v>
      </c>
      <c r="C26" s="23" t="s">
        <v>49</v>
      </c>
      <c r="D26" s="37" t="s">
        <v>77</v>
      </c>
      <c r="E26" s="23" t="s">
        <v>65</v>
      </c>
      <c r="F26" s="31">
        <v>610</v>
      </c>
      <c r="G26" s="31">
        <v>0</v>
      </c>
      <c r="H26" s="31">
        <f>Cty_Thep_Viet[[#This Row],[ĐƠN GIÁ]]*Cty_Thep_Viet[[#This Row],[SỐ LƯỢNG]]</f>
        <v>0</v>
      </c>
      <c r="I26" s="31"/>
      <c r="J26" s="31">
        <f>J25+Cty_Thep_Viet[[#This Row],[THÀNH TIỀN]]-Cty_Thep_Viet[[#This Row],[THANH TOÁN]]</f>
        <v>857450932</v>
      </c>
      <c r="K26" s="24" t="s">
        <v>1054</v>
      </c>
    </row>
    <row r="27" spans="1:11" x14ac:dyDescent="0.25">
      <c r="A27" s="22">
        <v>44807</v>
      </c>
      <c r="B27" s="29">
        <v>46114</v>
      </c>
      <c r="C27" s="23" t="s">
        <v>84</v>
      </c>
      <c r="D27" s="37" t="s">
        <v>43</v>
      </c>
      <c r="E27" s="23" t="s">
        <v>136</v>
      </c>
      <c r="F27" s="31">
        <v>5547</v>
      </c>
      <c r="G27" s="31">
        <v>-3000</v>
      </c>
      <c r="H27" s="31">
        <f>Cty_Thep_Viet[[#This Row],[ĐƠN GIÁ]]*Cty_Thep_Viet[[#This Row],[SỐ LƯỢNG]]</f>
        <v>-16641000</v>
      </c>
      <c r="I27" s="31"/>
      <c r="J27" s="31">
        <f>J26+Cty_Thep_Viet[[#This Row],[THÀNH TIỀN]]-Cty_Thep_Viet[[#This Row],[THANH TOÁN]]</f>
        <v>840809932</v>
      </c>
      <c r="K27" s="24" t="s">
        <v>1060</v>
      </c>
    </row>
    <row r="28" spans="1:11" x14ac:dyDescent="0.25">
      <c r="A28" s="22">
        <v>8531</v>
      </c>
      <c r="B28" s="29">
        <v>46115</v>
      </c>
      <c r="C28" s="23" t="s">
        <v>13</v>
      </c>
      <c r="D28" s="37" t="s">
        <v>135</v>
      </c>
      <c r="E28" s="23" t="s">
        <v>148</v>
      </c>
      <c r="F28" s="31">
        <v>5404</v>
      </c>
      <c r="G28" s="31">
        <v>37500</v>
      </c>
      <c r="H28" s="31">
        <f>Cty_Thep_Viet[[#This Row],[ĐƠN GIÁ]]*Cty_Thep_Viet[[#This Row],[SỐ LƯỢNG]]</f>
        <v>202650000</v>
      </c>
      <c r="I28" s="31"/>
      <c r="J28" s="31">
        <f>J27+Cty_Thep_Viet[[#This Row],[THÀNH TIỀN]]-Cty_Thep_Viet[[#This Row],[THANH TOÁN]]</f>
        <v>1043459932</v>
      </c>
      <c r="K28" s="24"/>
    </row>
    <row r="29" spans="1:11" x14ac:dyDescent="0.25">
      <c r="A29" s="22">
        <v>8532</v>
      </c>
      <c r="B29" s="29">
        <v>46115</v>
      </c>
      <c r="C29" s="23" t="s">
        <v>49</v>
      </c>
      <c r="D29" s="37" t="s">
        <v>77</v>
      </c>
      <c r="E29" s="23" t="s">
        <v>78</v>
      </c>
      <c r="F29" s="31">
        <v>550</v>
      </c>
      <c r="G29" s="31"/>
      <c r="H29" s="31">
        <f>Cty_Thep_Viet[[#This Row],[ĐƠN GIÁ]]*Cty_Thep_Viet[[#This Row],[SỐ LƯỢNG]]</f>
        <v>0</v>
      </c>
      <c r="I29" s="31"/>
      <c r="J29" s="31">
        <f>J28+Cty_Thep_Viet[[#This Row],[THÀNH TIỀN]]-Cty_Thep_Viet[[#This Row],[THANH TOÁN]]</f>
        <v>1043459932</v>
      </c>
      <c r="K29" s="24" t="s">
        <v>1055</v>
      </c>
    </row>
    <row r="30" spans="1:11" x14ac:dyDescent="0.25">
      <c r="A30" s="22">
        <v>44831</v>
      </c>
      <c r="B30" s="29">
        <v>46115</v>
      </c>
      <c r="C30" s="23" t="s">
        <v>84</v>
      </c>
      <c r="D30" s="37" t="s">
        <v>77</v>
      </c>
      <c r="E30" s="23" t="s">
        <v>78</v>
      </c>
      <c r="F30" s="31">
        <v>610</v>
      </c>
      <c r="G30" s="31">
        <v>-3500</v>
      </c>
      <c r="H30" s="31">
        <f>Cty_Thep_Viet[[#This Row],[ĐƠN GIÁ]]*Cty_Thep_Viet[[#This Row],[SỐ LƯỢNG]]</f>
        <v>-2135000</v>
      </c>
      <c r="I30" s="31"/>
      <c r="J30" s="31">
        <f>J29+Cty_Thep_Viet[[#This Row],[THÀNH TIỀN]]-Cty_Thep_Viet[[#This Row],[THANH TOÁN]]</f>
        <v>1041324932</v>
      </c>
      <c r="K30" s="24"/>
    </row>
    <row r="31" spans="1:11" x14ac:dyDescent="0.25">
      <c r="A31" s="22"/>
      <c r="B31" s="29">
        <v>46115</v>
      </c>
      <c r="C31" s="23" t="s">
        <v>21</v>
      </c>
      <c r="D31" s="37" t="s">
        <v>22</v>
      </c>
      <c r="E31" s="23" t="s">
        <v>261</v>
      </c>
      <c r="F31" s="31">
        <v>0</v>
      </c>
      <c r="G31" s="31"/>
      <c r="H31" s="31">
        <f>Cty_Thep_Viet[[#This Row],[ĐƠN GIÁ]]*Cty_Thep_Viet[[#This Row],[SỐ LƯỢNG]]</f>
        <v>0</v>
      </c>
      <c r="I31" s="31">
        <v>201047578</v>
      </c>
      <c r="J31" s="31">
        <f>J30+Cty_Thep_Viet[[#This Row],[THÀNH TIỀN]]-Cty_Thep_Viet[[#This Row],[THANH TOÁN]]</f>
        <v>840277354</v>
      </c>
      <c r="K31" s="24"/>
    </row>
    <row r="32" spans="1:11" x14ac:dyDescent="0.25">
      <c r="A32" s="22">
        <v>8586</v>
      </c>
      <c r="B32" s="29">
        <v>46118</v>
      </c>
      <c r="C32" s="23" t="s">
        <v>13</v>
      </c>
      <c r="D32" s="37" t="s">
        <v>135</v>
      </c>
      <c r="E32" s="23" t="s">
        <v>214</v>
      </c>
      <c r="F32" s="31">
        <v>2460</v>
      </c>
      <c r="G32" s="31">
        <v>37500</v>
      </c>
      <c r="H32" s="31">
        <f>Cty_Thep_Viet[[#This Row],[ĐƠN GIÁ]]*Cty_Thep_Viet[[#This Row],[SỐ LƯỢNG]]</f>
        <v>92250000</v>
      </c>
      <c r="I32" s="31"/>
      <c r="J32" s="31">
        <f>J31+Cty_Thep_Viet[[#This Row],[THÀNH TIỀN]]-Cty_Thep_Viet[[#This Row],[THANH TOÁN]]</f>
        <v>932527354</v>
      </c>
      <c r="K32" s="24"/>
    </row>
    <row r="33" spans="1:11" x14ac:dyDescent="0.25">
      <c r="A33" s="22">
        <v>44871</v>
      </c>
      <c r="B33" s="29">
        <v>46118</v>
      </c>
      <c r="C33" s="23" t="s">
        <v>84</v>
      </c>
      <c r="D33" s="37" t="s">
        <v>77</v>
      </c>
      <c r="E33" s="23" t="s">
        <v>78</v>
      </c>
      <c r="F33" s="31">
        <v>550</v>
      </c>
      <c r="G33" s="31">
        <v>-2000</v>
      </c>
      <c r="H33" s="31">
        <f>Cty_Thep_Viet[[#This Row],[ĐƠN GIÁ]]*Cty_Thep_Viet[[#This Row],[SỐ LƯỢNG]]</f>
        <v>-1100000</v>
      </c>
      <c r="I33" s="31"/>
      <c r="J33" s="31">
        <f>J32+Cty_Thep_Viet[[#This Row],[THÀNH TIỀN]]-Cty_Thep_Viet[[#This Row],[THANH TOÁN]]</f>
        <v>931427354</v>
      </c>
      <c r="K33" s="24"/>
    </row>
    <row r="34" spans="1:11" x14ac:dyDescent="0.25">
      <c r="A34" s="22">
        <v>8640</v>
      </c>
      <c r="B34" s="29">
        <v>46121</v>
      </c>
      <c r="C34" s="23" t="s">
        <v>49</v>
      </c>
      <c r="D34" s="37" t="s">
        <v>45</v>
      </c>
      <c r="E34" s="23" t="s">
        <v>215</v>
      </c>
      <c r="F34" s="31">
        <v>1178</v>
      </c>
      <c r="G34" s="31"/>
      <c r="H34" s="31">
        <f>Cty_Thep_Viet[[#This Row],[ĐƠN GIÁ]]*Cty_Thep_Viet[[#This Row],[SỐ LƯỢNG]]</f>
        <v>0</v>
      </c>
      <c r="I34" s="31"/>
      <c r="J34" s="31">
        <f>J33+Cty_Thep_Viet[[#This Row],[THÀNH TIỀN]]-Cty_Thep_Viet[[#This Row],[THANH TOÁN]]</f>
        <v>931427354</v>
      </c>
      <c r="K34" s="24" t="s">
        <v>1056</v>
      </c>
    </row>
    <row r="35" spans="1:11" x14ac:dyDescent="0.25">
      <c r="A35" s="22">
        <v>44942</v>
      </c>
      <c r="B35" s="29">
        <v>46122</v>
      </c>
      <c r="C35" s="23" t="s">
        <v>84</v>
      </c>
      <c r="D35" s="37" t="s">
        <v>45</v>
      </c>
      <c r="E35" s="23" t="s">
        <v>215</v>
      </c>
      <c r="F35" s="31">
        <v>1178</v>
      </c>
      <c r="G35" s="31">
        <v>-3300</v>
      </c>
      <c r="H35" s="31">
        <f>Cty_Thep_Viet[[#This Row],[ĐƠN GIÁ]]*Cty_Thep_Viet[[#This Row],[SỐ LƯỢNG]]</f>
        <v>-3887400</v>
      </c>
      <c r="I35" s="31"/>
      <c r="J35" s="31">
        <f>J34+Cty_Thep_Viet[[#This Row],[THÀNH TIỀN]]-Cty_Thep_Viet[[#This Row],[THANH TOÁN]]</f>
        <v>927539954</v>
      </c>
      <c r="K35" s="24"/>
    </row>
    <row r="36" spans="1:11" x14ac:dyDescent="0.25">
      <c r="A36" s="22">
        <v>8742</v>
      </c>
      <c r="B36" s="29">
        <v>46125</v>
      </c>
      <c r="C36" s="23" t="s">
        <v>49</v>
      </c>
      <c r="D36" s="37" t="s">
        <v>77</v>
      </c>
      <c r="E36" s="23" t="s">
        <v>345</v>
      </c>
      <c r="F36" s="31">
        <v>1500</v>
      </c>
      <c r="G36" s="31"/>
      <c r="H36" s="31">
        <f>Cty_Thep_Viet[[#This Row],[ĐƠN GIÁ]]*Cty_Thep_Viet[[#This Row],[SỐ LƯỢNG]]</f>
        <v>0</v>
      </c>
      <c r="I36" s="31"/>
      <c r="J36" s="31">
        <f>J35+Cty_Thep_Viet[[#This Row],[THÀNH TIỀN]]-Cty_Thep_Viet[[#This Row],[THANH TOÁN]]</f>
        <v>927539954</v>
      </c>
      <c r="K36" s="24" t="s">
        <v>1057</v>
      </c>
    </row>
    <row r="37" spans="1:11" x14ac:dyDescent="0.25">
      <c r="A37" s="22">
        <v>8742</v>
      </c>
      <c r="B37" s="29">
        <v>46125</v>
      </c>
      <c r="C37" s="23" t="s">
        <v>49</v>
      </c>
      <c r="D37" s="37" t="s">
        <v>77</v>
      </c>
      <c r="E37" s="23" t="s">
        <v>661</v>
      </c>
      <c r="F37" s="31">
        <v>840</v>
      </c>
      <c r="G37" s="31"/>
      <c r="H37" s="31">
        <f>Cty_Thep_Viet[[#This Row],[ĐƠN GIÁ]]*Cty_Thep_Viet[[#This Row],[SỐ LƯỢNG]]</f>
        <v>0</v>
      </c>
      <c r="I37" s="31"/>
      <c r="J37" s="31">
        <f>J36+Cty_Thep_Viet[[#This Row],[THÀNH TIỀN]]-Cty_Thep_Viet[[#This Row],[THANH TOÁN]]</f>
        <v>927539954</v>
      </c>
      <c r="K37" s="24" t="s">
        <v>1058</v>
      </c>
    </row>
    <row r="38" spans="1:11" x14ac:dyDescent="0.25">
      <c r="A38" s="22">
        <v>8742</v>
      </c>
      <c r="B38" s="29">
        <v>46125</v>
      </c>
      <c r="C38" s="23" t="s">
        <v>49</v>
      </c>
      <c r="D38" s="37" t="s">
        <v>77</v>
      </c>
      <c r="E38" s="23" t="s">
        <v>346</v>
      </c>
      <c r="F38" s="31">
        <v>1040</v>
      </c>
      <c r="G38" s="31"/>
      <c r="H38" s="31">
        <f>Cty_Thep_Viet[[#This Row],[ĐƠN GIÁ]]*Cty_Thep_Viet[[#This Row],[SỐ LƯỢNG]]</f>
        <v>0</v>
      </c>
      <c r="I38" s="31"/>
      <c r="J38" s="31">
        <f>J37+Cty_Thep_Viet[[#This Row],[THÀNH TIỀN]]-Cty_Thep_Viet[[#This Row],[THANH TOÁN]]</f>
        <v>927539954</v>
      </c>
      <c r="K38" s="24" t="s">
        <v>1058</v>
      </c>
    </row>
    <row r="39" spans="1:11" x14ac:dyDescent="0.25">
      <c r="A39" s="22">
        <v>8774</v>
      </c>
      <c r="B39" s="29">
        <v>46126</v>
      </c>
      <c r="C39" s="23" t="s">
        <v>49</v>
      </c>
      <c r="D39" s="37" t="s">
        <v>43</v>
      </c>
      <c r="E39" s="23" t="s">
        <v>62</v>
      </c>
      <c r="F39" s="31">
        <v>2760</v>
      </c>
      <c r="G39" s="31"/>
      <c r="H39" s="31">
        <f>Cty_Thep_Viet[[#This Row],[ĐƠN GIÁ]]*Cty_Thep_Viet[[#This Row],[SỐ LƯỢNG]]</f>
        <v>0</v>
      </c>
      <c r="I39" s="31"/>
      <c r="J39" s="31">
        <f>J38+Cty_Thep_Viet[[#This Row],[THÀNH TIỀN]]-Cty_Thep_Viet[[#This Row],[THANH TOÁN]]</f>
        <v>927539954</v>
      </c>
      <c r="K39" s="24" t="s">
        <v>1059</v>
      </c>
    </row>
    <row r="40" spans="1:11" x14ac:dyDescent="0.25">
      <c r="A40" s="22">
        <v>47753</v>
      </c>
      <c r="B40" s="29">
        <v>46126</v>
      </c>
      <c r="C40" s="23" t="s">
        <v>84</v>
      </c>
      <c r="D40" s="37" t="s">
        <v>660</v>
      </c>
      <c r="E40" s="23" t="s">
        <v>345</v>
      </c>
      <c r="F40" s="31">
        <v>1500</v>
      </c>
      <c r="G40" s="31">
        <v>-3000</v>
      </c>
      <c r="H40" s="31">
        <f>Cty_Thep_Viet[[#This Row],[ĐƠN GIÁ]]*Cty_Thep_Viet[[#This Row],[SỐ LƯỢNG]]</f>
        <v>-4500000</v>
      </c>
      <c r="I40" s="31"/>
      <c r="J40" s="31">
        <f>J39+Cty_Thep_Viet[[#This Row],[THÀNH TIỀN]]-Cty_Thep_Viet[[#This Row],[THANH TOÁN]]</f>
        <v>923039954</v>
      </c>
      <c r="K40" s="24"/>
    </row>
    <row r="41" spans="1:11" x14ac:dyDescent="0.25">
      <c r="A41" s="22">
        <v>47753</v>
      </c>
      <c r="B41" s="29">
        <v>46126</v>
      </c>
      <c r="C41" s="23" t="s">
        <v>84</v>
      </c>
      <c r="D41" s="37" t="s">
        <v>660</v>
      </c>
      <c r="E41" s="23" t="s">
        <v>1061</v>
      </c>
      <c r="F41" s="31">
        <v>840</v>
      </c>
      <c r="G41" s="31">
        <v>-3000</v>
      </c>
      <c r="H41" s="31">
        <f>Cty_Thep_Viet[[#This Row],[ĐƠN GIÁ]]*Cty_Thep_Viet[[#This Row],[SỐ LƯỢNG]]</f>
        <v>-2520000</v>
      </c>
      <c r="I41" s="31"/>
      <c r="J41" s="31">
        <f>J40+Cty_Thep_Viet[[#This Row],[THÀNH TIỀN]]-Cty_Thep_Viet[[#This Row],[THANH TOÁN]]</f>
        <v>920519954</v>
      </c>
      <c r="K41" s="24"/>
    </row>
    <row r="42" spans="1:11" x14ac:dyDescent="0.25">
      <c r="A42" s="22">
        <v>47753</v>
      </c>
      <c r="B42" s="29">
        <v>46126</v>
      </c>
      <c r="C42" s="23" t="s">
        <v>84</v>
      </c>
      <c r="D42" s="37" t="s">
        <v>660</v>
      </c>
      <c r="E42" s="23" t="s">
        <v>346</v>
      </c>
      <c r="F42" s="31">
        <v>1040</v>
      </c>
      <c r="G42" s="31">
        <v>-3000</v>
      </c>
      <c r="H42" s="31">
        <f>Cty_Thep_Viet[[#This Row],[ĐƠN GIÁ]]*Cty_Thep_Viet[[#This Row],[SỐ LƯỢNG]]</f>
        <v>-3120000</v>
      </c>
      <c r="I42" s="31"/>
      <c r="J42" s="31">
        <f>J41+Cty_Thep_Viet[[#This Row],[THÀNH TIỀN]]-Cty_Thep_Viet[[#This Row],[THANH TOÁN]]</f>
        <v>917399954</v>
      </c>
      <c r="K42" s="24"/>
    </row>
    <row r="43" spans="1:11" x14ac:dyDescent="0.25">
      <c r="A43" s="22">
        <v>47505</v>
      </c>
      <c r="B43" s="29">
        <v>46127</v>
      </c>
      <c r="C43" s="23" t="s">
        <v>84</v>
      </c>
      <c r="D43" s="37" t="s">
        <v>1062</v>
      </c>
      <c r="E43" s="23" t="s">
        <v>62</v>
      </c>
      <c r="F43" s="31">
        <v>1045</v>
      </c>
      <c r="G43" s="31">
        <v>-3500</v>
      </c>
      <c r="H43" s="31">
        <f>Cty_Thep_Viet[[#This Row],[ĐƠN GIÁ]]*Cty_Thep_Viet[[#This Row],[SỐ LƯỢNG]]</f>
        <v>-3657500</v>
      </c>
      <c r="I43" s="31"/>
      <c r="J43" s="31">
        <f>J42+Cty_Thep_Viet[[#This Row],[THÀNH TIỀN]]-Cty_Thep_Viet[[#This Row],[THANH TOÁN]]</f>
        <v>913742454</v>
      </c>
      <c r="K43" s="24"/>
    </row>
    <row r="44" spans="1:11" x14ac:dyDescent="0.25">
      <c r="A44" s="22">
        <v>47505</v>
      </c>
      <c r="B44" s="29">
        <v>46127</v>
      </c>
      <c r="C44" s="23" t="s">
        <v>426</v>
      </c>
      <c r="D44" s="37" t="s">
        <v>43</v>
      </c>
      <c r="E44" s="23" t="s">
        <v>62</v>
      </c>
      <c r="F44" s="31">
        <v>1705</v>
      </c>
      <c r="G44" s="31"/>
      <c r="H44" s="31">
        <f>Cty_Thep_Viet[[#This Row],[ĐƠN GIÁ]]*Cty_Thep_Viet[[#This Row],[SỐ LƯỢNG]]</f>
        <v>0</v>
      </c>
      <c r="I44" s="31"/>
      <c r="J44" s="31">
        <f>J43+Cty_Thep_Viet[[#This Row],[THÀNH TIỀN]]-Cty_Thep_Viet[[#This Row],[THANH TOÁN]]</f>
        <v>913742454</v>
      </c>
      <c r="K44" s="24"/>
    </row>
    <row r="45" spans="1:11" x14ac:dyDescent="0.25">
      <c r="A45" s="22"/>
      <c r="B45" s="29">
        <v>46141</v>
      </c>
      <c r="C45" s="23" t="s">
        <v>21</v>
      </c>
      <c r="D45" s="37" t="s">
        <v>22</v>
      </c>
      <c r="E45" s="23" t="s">
        <v>261</v>
      </c>
      <c r="F45" s="31">
        <v>0</v>
      </c>
      <c r="G45" s="31"/>
      <c r="H45" s="31">
        <f>Cty_Thep_Viet[[#This Row],[ĐƠN GIÁ]]*Cty_Thep_Viet[[#This Row],[SỐ LƯỢNG]]</f>
        <v>0</v>
      </c>
      <c r="I45" s="31">
        <v>100000000</v>
      </c>
      <c r="J45" s="31">
        <f>J44+Cty_Thep_Viet[[#This Row],[THÀNH TIỀN]]-Cty_Thep_Viet[[#This Row],[THANH TOÁN]]</f>
        <v>813742454</v>
      </c>
      <c r="K45" s="24"/>
    </row>
    <row r="46" spans="1:11" x14ac:dyDescent="0.25">
      <c r="A46" s="22">
        <v>9164</v>
      </c>
      <c r="B46" s="29">
        <v>46147</v>
      </c>
      <c r="C46" s="23" t="s">
        <v>49</v>
      </c>
      <c r="D46" s="37" t="s">
        <v>26</v>
      </c>
      <c r="E46" s="23" t="s">
        <v>78</v>
      </c>
      <c r="F46" s="31">
        <v>3771</v>
      </c>
      <c r="G46" s="31"/>
      <c r="H46" s="31">
        <f>Cty_Thep_Viet[[#This Row],[ĐƠN GIÁ]]*Cty_Thep_Viet[[#This Row],[SỐ LƯỢNG]]</f>
        <v>0</v>
      </c>
      <c r="I46" s="31"/>
      <c r="J46" s="31">
        <f>J45+Cty_Thep_Viet[[#This Row],[THÀNH TIỀN]]-Cty_Thep_Viet[[#This Row],[THANH TOÁN]]</f>
        <v>813742454</v>
      </c>
      <c r="K46" s="24" t="s">
        <v>1937</v>
      </c>
    </row>
    <row r="47" spans="1:11" x14ac:dyDescent="0.25">
      <c r="A47" s="22">
        <v>47780</v>
      </c>
      <c r="B47" s="29">
        <v>46147</v>
      </c>
      <c r="C47" s="23" t="s">
        <v>84</v>
      </c>
      <c r="D47" s="37" t="s">
        <v>26</v>
      </c>
      <c r="E47" s="23" t="s">
        <v>78</v>
      </c>
      <c r="F47" s="31">
        <v>1944</v>
      </c>
      <c r="G47" s="31">
        <v>-2500</v>
      </c>
      <c r="H47" s="31">
        <f>Cty_Thep_Viet[[#This Row],[ĐƠN GIÁ]]*Cty_Thep_Viet[[#This Row],[SỐ LƯỢNG]]</f>
        <v>-4860000</v>
      </c>
      <c r="I47" s="31"/>
      <c r="J47" s="31">
        <f>J46+Cty_Thep_Viet[[#This Row],[THÀNH TIỀN]]-Cty_Thep_Viet[[#This Row],[THANH TOÁN]]</f>
        <v>808882454</v>
      </c>
      <c r="K47" s="24"/>
    </row>
    <row r="48" spans="1:11" x14ac:dyDescent="0.25">
      <c r="A48" s="22">
        <v>9223</v>
      </c>
      <c r="B48" s="29">
        <v>46149</v>
      </c>
      <c r="C48" s="23" t="s">
        <v>49</v>
      </c>
      <c r="D48" s="37" t="s">
        <v>45</v>
      </c>
      <c r="E48" s="23" t="s">
        <v>462</v>
      </c>
      <c r="F48" s="31">
        <v>4620</v>
      </c>
      <c r="G48" s="31"/>
      <c r="H48" s="31">
        <f>Cty_Thep_Viet[[#This Row],[ĐƠN GIÁ]]*Cty_Thep_Viet[[#This Row],[SỐ LƯỢNG]]</f>
        <v>0</v>
      </c>
      <c r="I48" s="31"/>
      <c r="J48" s="31">
        <f>J47+Cty_Thep_Viet[[#This Row],[THÀNH TIỀN]]-Cty_Thep_Viet[[#This Row],[THANH TOÁN]]</f>
        <v>808882454</v>
      </c>
      <c r="K48" s="24" t="s">
        <v>1970</v>
      </c>
    </row>
    <row r="49" spans="1:11" x14ac:dyDescent="0.25">
      <c r="A49" s="22">
        <v>9223</v>
      </c>
      <c r="B49" s="29">
        <v>46149</v>
      </c>
      <c r="C49" s="23" t="s">
        <v>49</v>
      </c>
      <c r="D49" s="37" t="s">
        <v>17</v>
      </c>
      <c r="E49" s="23" t="s">
        <v>41</v>
      </c>
      <c r="F49" s="31">
        <v>781</v>
      </c>
      <c r="G49" s="31"/>
      <c r="H49" s="31">
        <f>Cty_Thep_Viet[[#This Row],[ĐƠN GIÁ]]*Cty_Thep_Viet[[#This Row],[SỐ LƯỢNG]]</f>
        <v>0</v>
      </c>
      <c r="I49" s="31"/>
      <c r="J49" s="31">
        <f>J48+Cty_Thep_Viet[[#This Row],[THÀNH TIỀN]]-Cty_Thep_Viet[[#This Row],[THANH TOÁN]]</f>
        <v>808882454</v>
      </c>
      <c r="K49" s="24" t="s">
        <v>1740</v>
      </c>
    </row>
    <row r="50" spans="1:11" x14ac:dyDescent="0.25">
      <c r="A50" s="22">
        <v>9237</v>
      </c>
      <c r="B50" s="29">
        <v>46149</v>
      </c>
      <c r="C50" s="23" t="s">
        <v>49</v>
      </c>
      <c r="D50" s="37" t="s">
        <v>43</v>
      </c>
      <c r="E50" s="23" t="s">
        <v>134</v>
      </c>
      <c r="F50" s="31">
        <v>1990</v>
      </c>
      <c r="G50" s="31"/>
      <c r="H50" s="31">
        <f>Cty_Thep_Viet[[#This Row],[ĐƠN GIÁ]]*Cty_Thep_Viet[[#This Row],[SỐ LƯỢNG]]</f>
        <v>0</v>
      </c>
      <c r="I50" s="31"/>
      <c r="J50" s="31">
        <f>J49+Cty_Thep_Viet[[#This Row],[THÀNH TIỀN]]-Cty_Thep_Viet[[#This Row],[THANH TOÁN]]</f>
        <v>808882454</v>
      </c>
      <c r="K50" s="24" t="s">
        <v>1740</v>
      </c>
    </row>
    <row r="51" spans="1:11" x14ac:dyDescent="0.25">
      <c r="A51" s="22">
        <v>9237</v>
      </c>
      <c r="B51" s="29">
        <v>46149</v>
      </c>
      <c r="C51" s="23" t="s">
        <v>49</v>
      </c>
      <c r="D51" s="37" t="s">
        <v>43</v>
      </c>
      <c r="E51" s="23" t="s">
        <v>136</v>
      </c>
      <c r="F51" s="31">
        <v>3038</v>
      </c>
      <c r="G51" s="31"/>
      <c r="H51" s="31">
        <f>Cty_Thep_Viet[[#This Row],[ĐƠN GIÁ]]*Cty_Thep_Viet[[#This Row],[SỐ LƯỢNG]]</f>
        <v>0</v>
      </c>
      <c r="I51" s="31"/>
      <c r="J51" s="31">
        <f>J50+Cty_Thep_Viet[[#This Row],[THÀNH TIỀN]]-Cty_Thep_Viet[[#This Row],[THANH TOÁN]]</f>
        <v>808882454</v>
      </c>
      <c r="K51" s="24" t="s">
        <v>1977</v>
      </c>
    </row>
    <row r="52" spans="1:11" x14ac:dyDescent="0.25">
      <c r="A52" s="22">
        <v>9237</v>
      </c>
      <c r="B52" s="29">
        <v>46149</v>
      </c>
      <c r="C52" s="23" t="s">
        <v>49</v>
      </c>
      <c r="D52" s="37" t="s">
        <v>43</v>
      </c>
      <c r="E52" s="23" t="s">
        <v>146</v>
      </c>
      <c r="F52" s="31">
        <v>2014</v>
      </c>
      <c r="G52" s="31"/>
      <c r="H52" s="31">
        <f>Cty_Thep_Viet[[#This Row],[ĐƠN GIÁ]]*Cty_Thep_Viet[[#This Row],[SỐ LƯỢNG]]</f>
        <v>0</v>
      </c>
      <c r="I52" s="31"/>
      <c r="J52" s="31">
        <f>J51+Cty_Thep_Viet[[#This Row],[THÀNH TIỀN]]-Cty_Thep_Viet[[#This Row],[THANH TOÁN]]</f>
        <v>808882454</v>
      </c>
      <c r="K52" s="24" t="s">
        <v>1740</v>
      </c>
    </row>
    <row r="53" spans="1:11" x14ac:dyDescent="0.25">
      <c r="A53" s="22">
        <v>9237</v>
      </c>
      <c r="B53" s="29">
        <v>46149</v>
      </c>
      <c r="C53" s="23" t="s">
        <v>49</v>
      </c>
      <c r="D53" s="37" t="s">
        <v>43</v>
      </c>
      <c r="E53" s="23" t="s">
        <v>134</v>
      </c>
      <c r="F53" s="31">
        <v>1937</v>
      </c>
      <c r="G53" s="31"/>
      <c r="H53" s="31">
        <f>Cty_Thep_Viet[[#This Row],[ĐƠN GIÁ]]*Cty_Thep_Viet[[#This Row],[SỐ LƯỢNG]]</f>
        <v>0</v>
      </c>
      <c r="I53" s="31"/>
      <c r="J53" s="31">
        <f>J52+Cty_Thep_Viet[[#This Row],[THÀNH TIỀN]]-Cty_Thep_Viet[[#This Row],[THANH TOÁN]]</f>
        <v>808882454</v>
      </c>
      <c r="K53" s="24" t="s">
        <v>1740</v>
      </c>
    </row>
    <row r="54" spans="1:11" x14ac:dyDescent="0.25">
      <c r="A54" s="22">
        <v>47805</v>
      </c>
      <c r="B54" s="29">
        <v>46149</v>
      </c>
      <c r="C54" s="23" t="s">
        <v>84</v>
      </c>
      <c r="D54" s="37" t="s">
        <v>17</v>
      </c>
      <c r="E54" s="23" t="s">
        <v>41</v>
      </c>
      <c r="F54" s="31">
        <v>781</v>
      </c>
      <c r="G54" s="31">
        <v>-3500</v>
      </c>
      <c r="H54" s="31">
        <f>Cty_Thep_Viet[[#This Row],[ĐƠN GIÁ]]*Cty_Thep_Viet[[#This Row],[SỐ LƯỢNG]]</f>
        <v>-2733500</v>
      </c>
      <c r="I54" s="31"/>
      <c r="J54" s="31">
        <f>J53+Cty_Thep_Viet[[#This Row],[THÀNH TIỀN]]-Cty_Thep_Viet[[#This Row],[THANH TOÁN]]</f>
        <v>806148954</v>
      </c>
      <c r="K54" s="24"/>
    </row>
    <row r="55" spans="1:11" x14ac:dyDescent="0.25">
      <c r="A55" s="22">
        <v>47804</v>
      </c>
      <c r="B55" s="29">
        <v>46149</v>
      </c>
      <c r="C55" s="23" t="s">
        <v>84</v>
      </c>
      <c r="D55" s="37" t="s">
        <v>26</v>
      </c>
      <c r="E55" s="23" t="s">
        <v>78</v>
      </c>
      <c r="F55" s="31">
        <v>1776</v>
      </c>
      <c r="G55" s="31">
        <v>-2500</v>
      </c>
      <c r="H55" s="31">
        <f>Cty_Thep_Viet[[#This Row],[ĐƠN GIÁ]]*Cty_Thep_Viet[[#This Row],[SỐ LƯỢNG]]</f>
        <v>-4440000</v>
      </c>
      <c r="I55" s="31"/>
      <c r="J55" s="31">
        <f>J54+Cty_Thep_Viet[[#This Row],[THÀNH TIỀN]]-Cty_Thep_Viet[[#This Row],[THANH TOÁN]]</f>
        <v>801708954</v>
      </c>
      <c r="K55" s="24"/>
    </row>
    <row r="56" spans="1:11" x14ac:dyDescent="0.25">
      <c r="A56" s="22">
        <v>47826</v>
      </c>
      <c r="B56" s="29">
        <v>46150</v>
      </c>
      <c r="C56" s="23" t="s">
        <v>84</v>
      </c>
      <c r="D56" s="37" t="s">
        <v>43</v>
      </c>
      <c r="E56" s="23" t="s">
        <v>134</v>
      </c>
      <c r="F56" s="31">
        <v>1986</v>
      </c>
      <c r="G56" s="31">
        <v>-3000</v>
      </c>
      <c r="H56" s="31">
        <f>Cty_Thep_Viet[[#This Row],[ĐƠN GIÁ]]*Cty_Thep_Viet[[#This Row],[SỐ LƯỢNG]]</f>
        <v>-5958000</v>
      </c>
      <c r="I56" s="31"/>
      <c r="J56" s="31">
        <f>J55+Cty_Thep_Viet[[#This Row],[THÀNH TIỀN]]-Cty_Thep_Viet[[#This Row],[THANH TOÁN]]</f>
        <v>795750954</v>
      </c>
      <c r="K56" s="24"/>
    </row>
    <row r="57" spans="1:11" x14ac:dyDescent="0.25">
      <c r="A57" s="22">
        <v>47826</v>
      </c>
      <c r="B57" s="29">
        <v>46150</v>
      </c>
      <c r="C57" s="23" t="s">
        <v>84</v>
      </c>
      <c r="D57" s="37" t="s">
        <v>45</v>
      </c>
      <c r="E57" s="23" t="s">
        <v>462</v>
      </c>
      <c r="F57" s="31">
        <v>3106</v>
      </c>
      <c r="G57" s="31">
        <v>-3000</v>
      </c>
      <c r="H57" s="31">
        <f>Cty_Thep_Viet[[#This Row],[ĐƠN GIÁ]]*Cty_Thep_Viet[[#This Row],[SỐ LƯỢNG]]</f>
        <v>-9318000</v>
      </c>
      <c r="I57" s="31"/>
      <c r="J57" s="31">
        <f>J56+Cty_Thep_Viet[[#This Row],[THÀNH TIỀN]]-Cty_Thep_Viet[[#This Row],[THANH TOÁN]]</f>
        <v>786432954</v>
      </c>
      <c r="K57" s="24"/>
    </row>
    <row r="58" spans="1:11" x14ac:dyDescent="0.25">
      <c r="A58" s="22">
        <v>47829</v>
      </c>
      <c r="B58" s="29">
        <v>46150</v>
      </c>
      <c r="C58" s="23" t="s">
        <v>84</v>
      </c>
      <c r="D58" s="37" t="s">
        <v>43</v>
      </c>
      <c r="E58" s="23" t="s">
        <v>134</v>
      </c>
      <c r="F58" s="31">
        <v>1937</v>
      </c>
      <c r="G58" s="31">
        <v>-3000</v>
      </c>
      <c r="H58" s="31">
        <f>Cty_Thep_Viet[[#This Row],[ĐƠN GIÁ]]*Cty_Thep_Viet[[#This Row],[SỐ LƯỢNG]]</f>
        <v>-5811000</v>
      </c>
      <c r="I58" s="31"/>
      <c r="J58" s="31">
        <f>J57+Cty_Thep_Viet[[#This Row],[THÀNH TIỀN]]-Cty_Thep_Viet[[#This Row],[THANH TOÁN]]</f>
        <v>780621954</v>
      </c>
      <c r="K58" s="24"/>
    </row>
    <row r="59" spans="1:11" x14ac:dyDescent="0.25">
      <c r="A59" s="22">
        <v>47829</v>
      </c>
      <c r="B59" s="29">
        <v>46150</v>
      </c>
      <c r="C59" s="23" t="s">
        <v>84</v>
      </c>
      <c r="D59" s="37" t="s">
        <v>43</v>
      </c>
      <c r="E59" s="23" t="s">
        <v>146</v>
      </c>
      <c r="F59" s="31">
        <v>2014</v>
      </c>
      <c r="G59" s="31">
        <v>-3000</v>
      </c>
      <c r="H59" s="31">
        <f>Cty_Thep_Viet[[#This Row],[ĐƠN GIÁ]]*Cty_Thep_Viet[[#This Row],[SỐ LƯỢNG]]</f>
        <v>-6042000</v>
      </c>
      <c r="I59" s="31"/>
      <c r="J59" s="31">
        <f>J58+Cty_Thep_Viet[[#This Row],[THÀNH TIỀN]]-Cty_Thep_Viet[[#This Row],[THANH TOÁN]]</f>
        <v>774579954</v>
      </c>
      <c r="K59" s="24"/>
    </row>
    <row r="60" spans="1:11" x14ac:dyDescent="0.25">
      <c r="A60" s="22">
        <v>47829</v>
      </c>
      <c r="B60" s="29">
        <v>46150</v>
      </c>
      <c r="C60" s="23" t="s">
        <v>84</v>
      </c>
      <c r="D60" s="37" t="s">
        <v>43</v>
      </c>
      <c r="E60" s="23" t="s">
        <v>1991</v>
      </c>
      <c r="F60" s="31">
        <v>3038</v>
      </c>
      <c r="G60" s="31">
        <v>-3000</v>
      </c>
      <c r="H60" s="31">
        <f>Cty_Thep_Viet[[#This Row],[ĐƠN GIÁ]]*Cty_Thep_Viet[[#This Row],[SỐ LƯỢNG]]</f>
        <v>-9114000</v>
      </c>
      <c r="I60" s="31"/>
      <c r="J60" s="31">
        <f>J59+Cty_Thep_Viet[[#This Row],[THÀNH TIỀN]]-Cty_Thep_Viet[[#This Row],[THANH TOÁN]]</f>
        <v>765465954</v>
      </c>
      <c r="K60" s="24"/>
    </row>
    <row r="61" spans="1:11" x14ac:dyDescent="0.25">
      <c r="A61" s="22">
        <v>9290</v>
      </c>
      <c r="B61" s="29">
        <v>46151</v>
      </c>
      <c r="C61" s="23" t="s">
        <v>49</v>
      </c>
      <c r="D61" s="37" t="s">
        <v>277</v>
      </c>
      <c r="E61" s="23" t="s">
        <v>136</v>
      </c>
      <c r="F61" s="31">
        <v>735</v>
      </c>
      <c r="G61" s="31"/>
      <c r="H61" s="31">
        <f>Cty_Thep_Viet[[#This Row],[ĐƠN GIÁ]]*Cty_Thep_Viet[[#This Row],[SỐ LƯỢNG]]</f>
        <v>0</v>
      </c>
      <c r="I61" s="31"/>
      <c r="J61" s="31">
        <f>J60+Cty_Thep_Viet[[#This Row],[THÀNH TIỀN]]-Cty_Thep_Viet[[#This Row],[THANH TOÁN]]</f>
        <v>765465954</v>
      </c>
      <c r="K61" s="24" t="s">
        <v>1740</v>
      </c>
    </row>
    <row r="62" spans="1:11" x14ac:dyDescent="0.25">
      <c r="A62" s="22">
        <v>9290</v>
      </c>
      <c r="B62" s="29">
        <v>46151</v>
      </c>
      <c r="C62" s="23" t="s">
        <v>49</v>
      </c>
      <c r="D62" s="37" t="s">
        <v>277</v>
      </c>
      <c r="E62" s="23" t="s">
        <v>146</v>
      </c>
      <c r="F62" s="31">
        <v>988</v>
      </c>
      <c r="G62" s="31"/>
      <c r="H62" s="31">
        <f>Cty_Thep_Viet[[#This Row],[ĐƠN GIÁ]]*Cty_Thep_Viet[[#This Row],[SỐ LƯỢNG]]</f>
        <v>0</v>
      </c>
      <c r="I62" s="31"/>
      <c r="J62" s="31">
        <f>J61+Cty_Thep_Viet[[#This Row],[THÀNH TIỀN]]-Cty_Thep_Viet[[#This Row],[THANH TOÁN]]</f>
        <v>765465954</v>
      </c>
      <c r="K62" s="24" t="s">
        <v>1740</v>
      </c>
    </row>
    <row r="63" spans="1:11" x14ac:dyDescent="0.25">
      <c r="A63" s="22">
        <v>47890</v>
      </c>
      <c r="B63" s="29">
        <v>46154</v>
      </c>
      <c r="C63" s="23" t="s">
        <v>84</v>
      </c>
      <c r="D63" s="37" t="s">
        <v>277</v>
      </c>
      <c r="E63" s="23" t="s">
        <v>136</v>
      </c>
      <c r="F63" s="31">
        <v>735</v>
      </c>
      <c r="G63" s="31">
        <v>-3000</v>
      </c>
      <c r="H63" s="31">
        <f>Cty_Thep_Viet[[#This Row],[ĐƠN GIÁ]]*Cty_Thep_Viet[[#This Row],[SỐ LƯỢNG]]</f>
        <v>-2205000</v>
      </c>
      <c r="I63" s="31"/>
      <c r="J63" s="31">
        <f>J62+Cty_Thep_Viet[[#This Row],[THÀNH TIỀN]]-Cty_Thep_Viet[[#This Row],[THANH TOÁN]]</f>
        <v>763260954</v>
      </c>
      <c r="K63" s="24"/>
    </row>
    <row r="64" spans="1:11" x14ac:dyDescent="0.25">
      <c r="A64" s="22">
        <v>47890</v>
      </c>
      <c r="B64" s="29">
        <v>46154</v>
      </c>
      <c r="C64" s="23" t="s">
        <v>84</v>
      </c>
      <c r="D64" s="37" t="s">
        <v>277</v>
      </c>
      <c r="E64" s="23" t="s">
        <v>146</v>
      </c>
      <c r="F64" s="31">
        <v>988</v>
      </c>
      <c r="G64" s="31">
        <v>-3000</v>
      </c>
      <c r="H64" s="31">
        <f>Cty_Thep_Viet[[#This Row],[ĐƠN GIÁ]]*Cty_Thep_Viet[[#This Row],[SỐ LƯỢNG]]</f>
        <v>-2964000</v>
      </c>
      <c r="I64" s="31"/>
      <c r="J64" s="31">
        <f>J63+Cty_Thep_Viet[[#This Row],[THÀNH TIỀN]]-Cty_Thep_Viet[[#This Row],[THANH TOÁN]]</f>
        <v>760296954</v>
      </c>
      <c r="K64" s="24"/>
    </row>
    <row r="65" spans="1:11" x14ac:dyDescent="0.25">
      <c r="A65" s="22">
        <v>9361</v>
      </c>
      <c r="B65" s="29">
        <v>46155</v>
      </c>
      <c r="C65" s="23" t="s">
        <v>49</v>
      </c>
      <c r="D65" s="37" t="s">
        <v>43</v>
      </c>
      <c r="E65" s="23" t="s">
        <v>41</v>
      </c>
      <c r="F65" s="31">
        <v>2052</v>
      </c>
      <c r="G65" s="31"/>
      <c r="H65" s="31">
        <f>Cty_Thep_Viet[[#This Row],[ĐƠN GIÁ]]*Cty_Thep_Viet[[#This Row],[SỐ LƯỢNG]]</f>
        <v>0</v>
      </c>
      <c r="I65" s="31"/>
      <c r="J65" s="31">
        <f>J64+Cty_Thep_Viet[[#This Row],[THÀNH TIỀN]]-Cty_Thep_Viet[[#This Row],[THANH TOÁN]]</f>
        <v>760296954</v>
      </c>
      <c r="K65" s="24" t="s">
        <v>1740</v>
      </c>
    </row>
    <row r="66" spans="1:11" x14ac:dyDescent="0.25">
      <c r="A66" s="22">
        <v>9361</v>
      </c>
      <c r="B66" s="29">
        <v>46155</v>
      </c>
      <c r="C66" s="23" t="s">
        <v>49</v>
      </c>
      <c r="D66" s="37" t="s">
        <v>43</v>
      </c>
      <c r="E66" s="23" t="s">
        <v>62</v>
      </c>
      <c r="F66" s="31">
        <v>5431</v>
      </c>
      <c r="G66" s="31"/>
      <c r="H66" s="31">
        <f>Cty_Thep_Viet[[#This Row],[ĐƠN GIÁ]]*Cty_Thep_Viet[[#This Row],[SỐ LƯỢNG]]</f>
        <v>0</v>
      </c>
      <c r="I66" s="31"/>
      <c r="J66" s="31">
        <f>J65+Cty_Thep_Viet[[#This Row],[THÀNH TIỀN]]-Cty_Thep_Viet[[#This Row],[THANH TOÁN]]</f>
        <v>760296954</v>
      </c>
      <c r="K66" s="24" t="s">
        <v>2090</v>
      </c>
    </row>
    <row r="67" spans="1:11" x14ac:dyDescent="0.25">
      <c r="A67" s="22">
        <v>47907</v>
      </c>
      <c r="B67" s="29">
        <v>46155</v>
      </c>
      <c r="C67" s="23" t="s">
        <v>84</v>
      </c>
      <c r="D67" s="37" t="s">
        <v>43</v>
      </c>
      <c r="E67" s="23" t="s">
        <v>41</v>
      </c>
      <c r="F67" s="31">
        <v>2052</v>
      </c>
      <c r="G67" s="31">
        <v>-3000</v>
      </c>
      <c r="H67" s="31">
        <f>Cty_Thep_Viet[[#This Row],[ĐƠN GIÁ]]*Cty_Thep_Viet[[#This Row],[SỐ LƯỢNG]]</f>
        <v>-6156000</v>
      </c>
      <c r="I67" s="31"/>
      <c r="J67" s="31">
        <f>J66+Cty_Thep_Viet[[#This Row],[THÀNH TIỀN]]-Cty_Thep_Viet[[#This Row],[THANH TOÁN]]</f>
        <v>754140954</v>
      </c>
      <c r="K67" s="24"/>
    </row>
    <row r="68" spans="1:11" x14ac:dyDescent="0.25">
      <c r="A68" s="22">
        <v>47907</v>
      </c>
      <c r="B68" s="29">
        <v>46155</v>
      </c>
      <c r="C68" s="23" t="s">
        <v>84</v>
      </c>
      <c r="D68" s="37" t="s">
        <v>43</v>
      </c>
      <c r="E68" s="23" t="s">
        <v>62</v>
      </c>
      <c r="F68" s="31">
        <v>1967</v>
      </c>
      <c r="G68" s="31">
        <v>-3000</v>
      </c>
      <c r="H68" s="31">
        <f>Cty_Thep_Viet[[#This Row],[ĐƠN GIÁ]]*Cty_Thep_Viet[[#This Row],[SỐ LƯỢNG]]</f>
        <v>-5901000</v>
      </c>
      <c r="I68" s="31"/>
      <c r="J68" s="31">
        <f>J67+Cty_Thep_Viet[[#This Row],[THÀNH TIỀN]]-Cty_Thep_Viet[[#This Row],[THANH TOÁN]]</f>
        <v>748239954</v>
      </c>
      <c r="K68" s="24"/>
    </row>
    <row r="69" spans="1:11" x14ac:dyDescent="0.25">
      <c r="A69" s="22">
        <v>47907</v>
      </c>
      <c r="B69" s="30">
        <v>46155</v>
      </c>
      <c r="C69" s="26" t="s">
        <v>426</v>
      </c>
      <c r="D69" s="38" t="s">
        <v>43</v>
      </c>
      <c r="E69" s="26" t="s">
        <v>62</v>
      </c>
      <c r="F69" s="28">
        <v>3464</v>
      </c>
      <c r="G69" s="28"/>
      <c r="H69" s="28">
        <f>Cty_Thep_Viet[[#This Row],[ĐƠN GIÁ]]*Cty_Thep_Viet[[#This Row],[SỐ LƯỢNG]]</f>
        <v>0</v>
      </c>
      <c r="I69" s="28"/>
      <c r="J69" s="28">
        <f>J68+Cty_Thep_Viet[[#This Row],[THÀNH TIỀN]]-Cty_Thep_Viet[[#This Row],[THANH TOÁN]]</f>
        <v>748239954</v>
      </c>
      <c r="K69" s="27"/>
    </row>
    <row r="70" spans="1:11" x14ac:dyDescent="0.25">
      <c r="A70" s="22">
        <v>9466</v>
      </c>
      <c r="B70" s="29">
        <v>46160</v>
      </c>
      <c r="C70" s="23" t="s">
        <v>49</v>
      </c>
      <c r="D70" s="37" t="s">
        <v>17</v>
      </c>
      <c r="E70" s="23" t="s">
        <v>363</v>
      </c>
      <c r="F70" s="31">
        <v>592</v>
      </c>
      <c r="G70" s="31"/>
      <c r="H70" s="31">
        <f>Cty_Thep_Viet[[#This Row],[ĐƠN GIÁ]]*Cty_Thep_Viet[[#This Row],[SỐ LƯỢNG]]</f>
        <v>0</v>
      </c>
      <c r="I70" s="31"/>
      <c r="J70" s="31">
        <f>J69+Cty_Thep_Viet[[#This Row],[THÀNH TIỀN]]-Cty_Thep_Viet[[#This Row],[THANH TOÁN]]</f>
        <v>748239954</v>
      </c>
      <c r="K70" s="24" t="s">
        <v>1740</v>
      </c>
    </row>
    <row r="71" spans="1:11" x14ac:dyDescent="0.25">
      <c r="A71" s="22">
        <v>9466</v>
      </c>
      <c r="B71" s="29">
        <v>46160</v>
      </c>
      <c r="C71" s="23" t="s">
        <v>49</v>
      </c>
      <c r="D71" s="37" t="s">
        <v>43</v>
      </c>
      <c r="E71" s="23" t="s">
        <v>62</v>
      </c>
      <c r="F71" s="31">
        <v>3456</v>
      </c>
      <c r="G71" s="31"/>
      <c r="H71" s="31">
        <f>Cty_Thep_Viet[[#This Row],[ĐƠN GIÁ]]*Cty_Thep_Viet[[#This Row],[SỐ LƯỢNG]]</f>
        <v>0</v>
      </c>
      <c r="I71" s="31"/>
      <c r="J71" s="31">
        <f>J70+Cty_Thep_Viet[[#This Row],[THÀNH TIỀN]]-Cty_Thep_Viet[[#This Row],[THANH TOÁN]]</f>
        <v>748239954</v>
      </c>
      <c r="K71" s="24" t="s">
        <v>1740</v>
      </c>
    </row>
    <row r="72" spans="1:11" x14ac:dyDescent="0.25">
      <c r="A72" s="22">
        <v>9466</v>
      </c>
      <c r="B72" s="29">
        <v>46160</v>
      </c>
      <c r="C72" s="23" t="s">
        <v>49</v>
      </c>
      <c r="D72" s="37" t="s">
        <v>17</v>
      </c>
      <c r="E72" s="23" t="s">
        <v>41</v>
      </c>
      <c r="F72" s="31">
        <v>3332</v>
      </c>
      <c r="G72" s="31"/>
      <c r="H72" s="31">
        <f>Cty_Thep_Viet[[#This Row],[ĐƠN GIÁ]]*Cty_Thep_Viet[[#This Row],[SỐ LƯỢNG]]</f>
        <v>0</v>
      </c>
      <c r="I72" s="31"/>
      <c r="J72" s="31">
        <f>J71+Cty_Thep_Viet[[#This Row],[THÀNH TIỀN]]-Cty_Thep_Viet[[#This Row],[THANH TOÁN]]</f>
        <v>748239954</v>
      </c>
      <c r="K72" s="24" t="s">
        <v>2207</v>
      </c>
    </row>
    <row r="73" spans="1:11" x14ac:dyDescent="0.25">
      <c r="A73" s="22">
        <v>9466</v>
      </c>
      <c r="B73" s="29">
        <v>46160</v>
      </c>
      <c r="C73" s="23" t="s">
        <v>49</v>
      </c>
      <c r="D73" s="37" t="s">
        <v>17</v>
      </c>
      <c r="E73" s="23" t="s">
        <v>136</v>
      </c>
      <c r="F73" s="31">
        <v>2064</v>
      </c>
      <c r="G73" s="31"/>
      <c r="H73" s="31">
        <f>Cty_Thep_Viet[[#This Row],[ĐƠN GIÁ]]*Cty_Thep_Viet[[#This Row],[SỐ LƯỢNG]]</f>
        <v>0</v>
      </c>
      <c r="I73" s="31"/>
      <c r="J73" s="31">
        <f>J72+Cty_Thep_Viet[[#This Row],[THÀNH TIỀN]]-Cty_Thep_Viet[[#This Row],[THANH TOÁN]]</f>
        <v>748239954</v>
      </c>
      <c r="K73" s="24" t="s">
        <v>1740</v>
      </c>
    </row>
    <row r="74" spans="1:11" x14ac:dyDescent="0.25">
      <c r="A74" s="22">
        <v>48014</v>
      </c>
      <c r="B74" s="29">
        <v>46163</v>
      </c>
      <c r="C74" s="23" t="s">
        <v>84</v>
      </c>
      <c r="D74" s="37" t="s">
        <v>17</v>
      </c>
      <c r="E74" s="23" t="s">
        <v>363</v>
      </c>
      <c r="F74" s="31">
        <v>592</v>
      </c>
      <c r="G74" s="31">
        <v>-3000</v>
      </c>
      <c r="H74" s="31">
        <f>Cty_Thep_Viet[[#This Row],[ĐƠN GIÁ]]*Cty_Thep_Viet[[#This Row],[SỐ LƯỢNG]]</f>
        <v>-1776000</v>
      </c>
      <c r="I74" s="31"/>
      <c r="J74" s="31">
        <f>J73+Cty_Thep_Viet[[#This Row],[THÀNH TIỀN]]-Cty_Thep_Viet[[#This Row],[THANH TOÁN]]</f>
        <v>746463954</v>
      </c>
      <c r="K74" s="24"/>
    </row>
    <row r="75" spans="1:11" x14ac:dyDescent="0.25">
      <c r="A75" s="22">
        <v>48014</v>
      </c>
      <c r="B75" s="29">
        <v>46163</v>
      </c>
      <c r="C75" s="23" t="s">
        <v>84</v>
      </c>
      <c r="D75" s="37" t="s">
        <v>43</v>
      </c>
      <c r="E75" s="23" t="s">
        <v>62</v>
      </c>
      <c r="F75" s="31">
        <v>3456</v>
      </c>
      <c r="G75" s="31">
        <v>-3000</v>
      </c>
      <c r="H75" s="31">
        <f>Cty_Thep_Viet[[#This Row],[ĐƠN GIÁ]]*Cty_Thep_Viet[[#This Row],[SỐ LƯỢNG]]</f>
        <v>-10368000</v>
      </c>
      <c r="I75" s="31"/>
      <c r="J75" s="31">
        <f>J74+Cty_Thep_Viet[[#This Row],[THÀNH TIỀN]]-Cty_Thep_Viet[[#This Row],[THANH TOÁN]]</f>
        <v>736095954</v>
      </c>
      <c r="K75" s="24"/>
    </row>
    <row r="76" spans="1:11" x14ac:dyDescent="0.25">
      <c r="A76" s="22">
        <v>48014</v>
      </c>
      <c r="B76" s="29">
        <v>46163</v>
      </c>
      <c r="C76" s="23" t="s">
        <v>84</v>
      </c>
      <c r="D76" s="37" t="s">
        <v>17</v>
      </c>
      <c r="E76" s="23" t="s">
        <v>41</v>
      </c>
      <c r="F76" s="31">
        <v>3332</v>
      </c>
      <c r="G76" s="31">
        <v>-3000</v>
      </c>
      <c r="H76" s="31">
        <f>Cty_Thep_Viet[[#This Row],[ĐƠN GIÁ]]*Cty_Thep_Viet[[#This Row],[SỐ LƯỢNG]]</f>
        <v>-9996000</v>
      </c>
      <c r="I76" s="31"/>
      <c r="J76" s="31">
        <f>J75+Cty_Thep_Viet[[#This Row],[THÀNH TIỀN]]-Cty_Thep_Viet[[#This Row],[THANH TOÁN]]</f>
        <v>726099954</v>
      </c>
      <c r="K76" s="24"/>
    </row>
    <row r="77" spans="1:11" x14ac:dyDescent="0.25">
      <c r="A77" s="22">
        <v>48014</v>
      </c>
      <c r="B77" s="29">
        <v>46163</v>
      </c>
      <c r="C77" s="23" t="s">
        <v>84</v>
      </c>
      <c r="D77" s="37" t="s">
        <v>17</v>
      </c>
      <c r="E77" s="23" t="s">
        <v>136</v>
      </c>
      <c r="F77" s="31">
        <v>2064</v>
      </c>
      <c r="G77" s="31">
        <v>-3000</v>
      </c>
      <c r="H77" s="31">
        <f>Cty_Thep_Viet[[#This Row],[ĐƠN GIÁ]]*Cty_Thep_Viet[[#This Row],[SỐ LƯỢNG]]</f>
        <v>-6192000</v>
      </c>
      <c r="I77" s="31"/>
      <c r="J77" s="31">
        <f>J76+Cty_Thep_Viet[[#This Row],[THÀNH TIỀN]]-Cty_Thep_Viet[[#This Row],[THANH TOÁN]]</f>
        <v>719907954</v>
      </c>
      <c r="K77" s="24"/>
    </row>
    <row r="78" spans="1:11" x14ac:dyDescent="0.25">
      <c r="A78" s="22"/>
      <c r="B78" s="29">
        <v>46160</v>
      </c>
      <c r="C78" s="23" t="s">
        <v>21</v>
      </c>
      <c r="D78" s="37" t="s">
        <v>22</v>
      </c>
      <c r="E78" s="23" t="s">
        <v>261</v>
      </c>
      <c r="F78" s="31">
        <v>0</v>
      </c>
      <c r="G78" s="31"/>
      <c r="H78" s="31">
        <f>Cty_Thep_Viet[[#This Row],[ĐƠN GIÁ]]*Cty_Thep_Viet[[#This Row],[SỐ LƯỢNG]]</f>
        <v>0</v>
      </c>
      <c r="I78" s="31">
        <v>103148000</v>
      </c>
      <c r="J78" s="31">
        <f>J77+Cty_Thep_Viet[[#This Row],[THÀNH TIỀN]]-Cty_Thep_Viet[[#This Row],[THANH TOÁN]]</f>
        <v>616759954</v>
      </c>
      <c r="K78" s="24"/>
    </row>
    <row r="79" spans="1:11" x14ac:dyDescent="0.25">
      <c r="A79" s="25">
        <v>9542</v>
      </c>
      <c r="B79" s="30">
        <v>46163</v>
      </c>
      <c r="C79" s="26" t="s">
        <v>49</v>
      </c>
      <c r="D79" s="38" t="s">
        <v>43</v>
      </c>
      <c r="E79" s="26" t="s">
        <v>134</v>
      </c>
      <c r="F79" s="28">
        <v>1726</v>
      </c>
      <c r="G79" s="28"/>
      <c r="H79" s="28">
        <f>Cty_Thep_Viet[[#This Row],[ĐƠN GIÁ]]*Cty_Thep_Viet[[#This Row],[SỐ LƯỢNG]]</f>
        <v>0</v>
      </c>
      <c r="I79" s="28"/>
      <c r="J79" s="28">
        <f>J78+Cty_Thep_Viet[[#This Row],[THÀNH TIỀN]]-Cty_Thep_Viet[[#This Row],[THANH TOÁN]]</f>
        <v>616759954</v>
      </c>
      <c r="K79" s="27" t="s">
        <v>1740</v>
      </c>
    </row>
    <row r="80" spans="1:11" x14ac:dyDescent="0.25">
      <c r="A80" s="25">
        <v>9542</v>
      </c>
      <c r="B80" s="30">
        <v>46163</v>
      </c>
      <c r="C80" s="26" t="s">
        <v>49</v>
      </c>
      <c r="D80" s="38" t="s">
        <v>43</v>
      </c>
      <c r="E80" s="26" t="s">
        <v>136</v>
      </c>
      <c r="F80" s="28">
        <v>5349</v>
      </c>
      <c r="G80" s="28"/>
      <c r="H80" s="28">
        <f>Cty_Thep_Viet[[#This Row],[ĐƠN GIÁ]]*Cty_Thep_Viet[[#This Row],[SỐ LƯỢNG]]</f>
        <v>0</v>
      </c>
      <c r="I80" s="28"/>
      <c r="J80" s="28">
        <f>J79+Cty_Thep_Viet[[#This Row],[THÀNH TIỀN]]-Cty_Thep_Viet[[#This Row],[THANH TOÁN]]</f>
        <v>616759954</v>
      </c>
      <c r="K80" s="27" t="s">
        <v>1740</v>
      </c>
    </row>
    <row r="81" spans="1:11" x14ac:dyDescent="0.25">
      <c r="A81" s="25">
        <v>9542</v>
      </c>
      <c r="B81" s="30">
        <v>46163</v>
      </c>
      <c r="C81" s="26" t="s">
        <v>49</v>
      </c>
      <c r="D81" s="38" t="s">
        <v>43</v>
      </c>
      <c r="E81" s="26" t="s">
        <v>78</v>
      </c>
      <c r="F81" s="28">
        <v>640</v>
      </c>
      <c r="G81" s="28"/>
      <c r="H81" s="28">
        <f>Cty_Thep_Viet[[#This Row],[ĐƠN GIÁ]]*Cty_Thep_Viet[[#This Row],[SỐ LƯỢNG]]</f>
        <v>0</v>
      </c>
      <c r="I81" s="28"/>
      <c r="J81" s="28">
        <f>J80+Cty_Thep_Viet[[#This Row],[THÀNH TIỀN]]-Cty_Thep_Viet[[#This Row],[THANH TOÁN]]</f>
        <v>616759954</v>
      </c>
      <c r="K81" s="27" t="s">
        <v>1740</v>
      </c>
    </row>
    <row r="82" spans="1:11" x14ac:dyDescent="0.25">
      <c r="A82" s="22">
        <v>9564</v>
      </c>
      <c r="B82" s="29">
        <v>46165</v>
      </c>
      <c r="C82" s="23" t="s">
        <v>49</v>
      </c>
      <c r="D82" s="37" t="s">
        <v>43</v>
      </c>
      <c r="E82" s="23" t="s">
        <v>136</v>
      </c>
      <c r="F82" s="31">
        <v>5320</v>
      </c>
      <c r="G82" s="31"/>
      <c r="H82" s="31">
        <f>Cty_Thep_Viet[[#This Row],[ĐƠN GIÁ]]*Cty_Thep_Viet[[#This Row],[SỐ LƯỢNG]]</f>
        <v>0</v>
      </c>
      <c r="I82" s="31"/>
      <c r="J82" s="31">
        <f>J81+Cty_Thep_Viet[[#This Row],[THÀNH TIỀN]]-Cty_Thep_Viet[[#This Row],[THANH TOÁN]]</f>
        <v>616759954</v>
      </c>
      <c r="K82" s="24" t="s">
        <v>2310</v>
      </c>
    </row>
    <row r="83" spans="1:11" x14ac:dyDescent="0.25">
      <c r="A83" s="25">
        <v>48033</v>
      </c>
      <c r="B83" s="30">
        <v>46164</v>
      </c>
      <c r="C83" s="26" t="s">
        <v>84</v>
      </c>
      <c r="D83" s="38" t="s">
        <v>43</v>
      </c>
      <c r="E83" s="26" t="s">
        <v>134</v>
      </c>
      <c r="F83" s="28">
        <v>1726</v>
      </c>
      <c r="G83" s="28">
        <v>-3000</v>
      </c>
      <c r="H83" s="28">
        <f>Cty_Thep_Viet[[#This Row],[ĐƠN GIÁ]]*Cty_Thep_Viet[[#This Row],[SỐ LƯỢNG]]</f>
        <v>-5178000</v>
      </c>
      <c r="I83" s="28"/>
      <c r="J83" s="28">
        <f>J82+Cty_Thep_Viet[[#This Row],[THÀNH TIỀN]]-Cty_Thep_Viet[[#This Row],[THANH TOÁN]]</f>
        <v>611581954</v>
      </c>
      <c r="K83" s="27"/>
    </row>
    <row r="84" spans="1:11" x14ac:dyDescent="0.25">
      <c r="A84" s="25">
        <v>48033</v>
      </c>
      <c r="B84" s="30">
        <v>46164</v>
      </c>
      <c r="C84" s="26" t="s">
        <v>84</v>
      </c>
      <c r="D84" s="38" t="s">
        <v>43</v>
      </c>
      <c r="E84" s="23" t="s">
        <v>78</v>
      </c>
      <c r="F84" s="31">
        <v>640</v>
      </c>
      <c r="G84" s="31">
        <v>-3000</v>
      </c>
      <c r="H84" s="31">
        <f>Cty_Thep_Viet[[#This Row],[ĐƠN GIÁ]]*Cty_Thep_Viet[[#This Row],[SỐ LƯỢNG]]</f>
        <v>-1920000</v>
      </c>
      <c r="I84" s="31"/>
      <c r="J84" s="31">
        <f>J83+Cty_Thep_Viet[[#This Row],[THÀNH TIỀN]]-Cty_Thep_Viet[[#This Row],[THANH TOÁN]]</f>
        <v>609661954</v>
      </c>
      <c r="K84" s="24"/>
    </row>
    <row r="85" spans="1:11" x14ac:dyDescent="0.25">
      <c r="A85" s="25">
        <v>48033</v>
      </c>
      <c r="B85" s="30">
        <v>46164</v>
      </c>
      <c r="C85" s="26" t="s">
        <v>84</v>
      </c>
      <c r="D85" s="38" t="s">
        <v>43</v>
      </c>
      <c r="E85" s="23" t="s">
        <v>136</v>
      </c>
      <c r="F85" s="31">
        <v>5349</v>
      </c>
      <c r="G85" s="31">
        <v>-3000</v>
      </c>
      <c r="H85" s="31">
        <f>Cty_Thep_Viet[[#This Row],[ĐƠN GIÁ]]*Cty_Thep_Viet[[#This Row],[SỐ LƯỢNG]]</f>
        <v>-16047000</v>
      </c>
      <c r="I85" s="31"/>
      <c r="J85" s="31">
        <f>J84+Cty_Thep_Viet[[#This Row],[THÀNH TIỀN]]-Cty_Thep_Viet[[#This Row],[THANH TOÁN]]</f>
        <v>593614954</v>
      </c>
      <c r="K85" s="24"/>
    </row>
    <row r="86" spans="1:11" x14ac:dyDescent="0.25">
      <c r="A86" s="22">
        <v>9635</v>
      </c>
      <c r="B86" s="29">
        <v>46168</v>
      </c>
      <c r="C86" s="23" t="s">
        <v>49</v>
      </c>
      <c r="D86" s="37" t="s">
        <v>2362</v>
      </c>
      <c r="E86" s="23" t="s">
        <v>146</v>
      </c>
      <c r="F86" s="31">
        <v>975</v>
      </c>
      <c r="G86" s="31"/>
      <c r="H86" s="31">
        <f>Cty_Thep_Viet[[#This Row],[ĐƠN GIÁ]]*Cty_Thep_Viet[[#This Row],[SỐ LƯỢNG]]</f>
        <v>0</v>
      </c>
      <c r="I86" s="31"/>
      <c r="J86" s="31">
        <f>J85+Cty_Thep_Viet[[#This Row],[THÀNH TIỀN]]-Cty_Thep_Viet[[#This Row],[THANH TOÁN]]</f>
        <v>593614954</v>
      </c>
      <c r="K86" s="24" t="s">
        <v>1740</v>
      </c>
    </row>
    <row r="87" spans="1:11" x14ac:dyDescent="0.25">
      <c r="A87" s="25">
        <v>48090</v>
      </c>
      <c r="B87" s="30">
        <v>46168</v>
      </c>
      <c r="C87" s="26" t="s">
        <v>84</v>
      </c>
      <c r="D87" s="38" t="s">
        <v>43</v>
      </c>
      <c r="E87" s="26" t="s">
        <v>136</v>
      </c>
      <c r="F87" s="28">
        <v>5320</v>
      </c>
      <c r="G87" s="28">
        <v>-3000</v>
      </c>
      <c r="H87" s="28">
        <f>Cty_Thep_Viet[[#This Row],[ĐƠN GIÁ]]*Cty_Thep_Viet[[#This Row],[SỐ LƯỢNG]]</f>
        <v>-15960000</v>
      </c>
      <c r="I87" s="28"/>
      <c r="J87" s="28">
        <f>J86+Cty_Thep_Viet[[#This Row],[THÀNH TIỀN]]-Cty_Thep_Viet[[#This Row],[THANH TOÁN]]</f>
        <v>577654954</v>
      </c>
      <c r="K87" s="27"/>
    </row>
    <row r="88" spans="1:11" x14ac:dyDescent="0.25">
      <c r="A88" s="22">
        <v>7336</v>
      </c>
      <c r="B88" s="29">
        <v>46045</v>
      </c>
      <c r="C88" s="23" t="s">
        <v>49</v>
      </c>
      <c r="D88" s="37" t="s">
        <v>252</v>
      </c>
      <c r="E88" s="23" t="s">
        <v>136</v>
      </c>
      <c r="F88" s="31">
        <v>5222</v>
      </c>
      <c r="G88" s="31"/>
      <c r="H88" s="31">
        <f>Cty_Thep_Viet[[#This Row],[ĐƠN GIÁ]]*Cty_Thep_Viet[[#This Row],[SỐ LƯỢNG]]</f>
        <v>0</v>
      </c>
      <c r="I88" s="31"/>
      <c r="J88" s="31">
        <f>J87+Cty_Thep_Viet[[#This Row],[THÀNH TIỀN]]-Cty_Thep_Viet[[#This Row],[THANH TOÁN]]</f>
        <v>577654954</v>
      </c>
      <c r="K88" s="24" t="s">
        <v>2446</v>
      </c>
    </row>
    <row r="89" spans="1:11" x14ac:dyDescent="0.25">
      <c r="A89" s="22">
        <v>9677</v>
      </c>
      <c r="B89" s="29">
        <v>46170</v>
      </c>
      <c r="C89" s="23" t="s">
        <v>49</v>
      </c>
      <c r="D89" s="37" t="s">
        <v>43</v>
      </c>
      <c r="E89" s="23" t="s">
        <v>136</v>
      </c>
      <c r="F89" s="31">
        <v>3028</v>
      </c>
      <c r="G89" s="31"/>
      <c r="H89" s="31">
        <f>Cty_Thep_Viet[[#This Row],[ĐƠN GIÁ]]*Cty_Thep_Viet[[#This Row],[SỐ LƯỢNG]]</f>
        <v>0</v>
      </c>
      <c r="I89" s="31"/>
      <c r="J89" s="31">
        <f>J88+Cty_Thep_Viet[[#This Row],[THÀNH TIỀN]]-Cty_Thep_Viet[[#This Row],[THANH TOÁN]]</f>
        <v>577654954</v>
      </c>
      <c r="K89" s="24" t="s">
        <v>1740</v>
      </c>
    </row>
    <row r="90" spans="1:11" x14ac:dyDescent="0.25">
      <c r="A90" s="25">
        <v>48116</v>
      </c>
      <c r="B90" s="30">
        <v>46170</v>
      </c>
      <c r="C90" s="26" t="s">
        <v>692</v>
      </c>
      <c r="D90" s="38" t="s">
        <v>701</v>
      </c>
      <c r="E90" s="26" t="s">
        <v>148</v>
      </c>
      <c r="F90" s="28">
        <v>1587</v>
      </c>
      <c r="G90" s="28">
        <v>-41000</v>
      </c>
      <c r="H90" s="28">
        <f>Cty_Thep_Viet[[#This Row],[ĐƠN GIÁ]]*Cty_Thep_Viet[[#This Row],[SỐ LƯỢNG]]</f>
        <v>-65067000</v>
      </c>
      <c r="I90" s="28"/>
      <c r="J90" s="28">
        <f>J89+Cty_Thep_Viet[[#This Row],[THÀNH TIỀN]]-Cty_Thep_Viet[[#This Row],[THANH TOÁN]]</f>
        <v>512587954</v>
      </c>
      <c r="K90" s="27"/>
    </row>
    <row r="91" spans="1:11" x14ac:dyDescent="0.25">
      <c r="A91" s="25">
        <v>48116</v>
      </c>
      <c r="B91" s="30">
        <v>46170</v>
      </c>
      <c r="C91" s="26" t="s">
        <v>84</v>
      </c>
      <c r="D91" s="38" t="s">
        <v>2362</v>
      </c>
      <c r="E91" s="26" t="s">
        <v>146</v>
      </c>
      <c r="F91" s="28">
        <v>975</v>
      </c>
      <c r="G91" s="28">
        <v>-3000</v>
      </c>
      <c r="H91" s="28">
        <f>Cty_Thep_Viet[[#This Row],[ĐƠN GIÁ]]*Cty_Thep_Viet[[#This Row],[SỐ LƯỢNG]]</f>
        <v>-2925000</v>
      </c>
      <c r="I91" s="28"/>
      <c r="J91" s="28">
        <f>J90+Cty_Thep_Viet[[#This Row],[THÀNH TIỀN]]-Cty_Thep_Viet[[#This Row],[THANH TOÁN]]</f>
        <v>509662954</v>
      </c>
      <c r="K91" s="27"/>
    </row>
    <row r="92" spans="1:11" x14ac:dyDescent="0.25">
      <c r="A92" s="25">
        <v>48127</v>
      </c>
      <c r="B92" s="30">
        <v>46171</v>
      </c>
      <c r="C92" s="26" t="s">
        <v>692</v>
      </c>
      <c r="D92" s="38" t="s">
        <v>701</v>
      </c>
      <c r="E92" s="26" t="s">
        <v>2518</v>
      </c>
      <c r="F92" s="28">
        <v>2795</v>
      </c>
      <c r="G92" s="28">
        <v>-38500</v>
      </c>
      <c r="H92" s="28">
        <f>Cty_Thep_Viet[[#This Row],[ĐƠN GIÁ]]*Cty_Thep_Viet[[#This Row],[SỐ LƯỢNG]]</f>
        <v>-107607500</v>
      </c>
      <c r="I92" s="28"/>
      <c r="J92" s="28">
        <f>J91+Cty_Thep_Viet[[#This Row],[THÀNH TIỀN]]-Cty_Thep_Viet[[#This Row],[THANH TOÁN]]</f>
        <v>402055454</v>
      </c>
      <c r="K92" s="27"/>
    </row>
    <row r="93" spans="1:11" x14ac:dyDescent="0.25">
      <c r="A93" s="22">
        <v>9707</v>
      </c>
      <c r="B93" s="29">
        <v>46172</v>
      </c>
      <c r="C93" s="23" t="s">
        <v>49</v>
      </c>
      <c r="D93" s="37" t="s">
        <v>135</v>
      </c>
      <c r="E93" s="23" t="s">
        <v>62</v>
      </c>
      <c r="F93" s="31">
        <v>5560</v>
      </c>
      <c r="G93" s="31"/>
      <c r="H93" s="31">
        <f>Cty_Thep_Viet[[#This Row],[ĐƠN GIÁ]]*Cty_Thep_Viet[[#This Row],[SỐ LƯỢNG]]</f>
        <v>0</v>
      </c>
      <c r="I93" s="31"/>
      <c r="J93" s="31">
        <f>J92+Cty_Thep_Viet[[#This Row],[THÀNH TIỀN]]-Cty_Thep_Viet[[#This Row],[THANH TOÁN]]</f>
        <v>402055454</v>
      </c>
      <c r="K93" s="24" t="s">
        <v>2444</v>
      </c>
    </row>
    <row r="94" spans="1:11" x14ac:dyDescent="0.25">
      <c r="A94" s="25">
        <v>48154</v>
      </c>
      <c r="B94" s="30">
        <v>46172</v>
      </c>
      <c r="C94" s="26" t="s">
        <v>84</v>
      </c>
      <c r="D94" s="38" t="s">
        <v>135</v>
      </c>
      <c r="E94" s="26" t="s">
        <v>62</v>
      </c>
      <c r="F94" s="28">
        <v>5560</v>
      </c>
      <c r="G94" s="28">
        <v>-3000</v>
      </c>
      <c r="H94" s="28">
        <f>Cty_Thep_Viet[[#This Row],[ĐƠN GIÁ]]*Cty_Thep_Viet[[#This Row],[SỐ LƯỢNG]]</f>
        <v>-16680000</v>
      </c>
      <c r="I94" s="28"/>
      <c r="J94" s="28">
        <f>J93+Cty_Thep_Viet[[#This Row],[THÀNH TIỀN]]-Cty_Thep_Viet[[#This Row],[THANH TOÁN]]</f>
        <v>385375454</v>
      </c>
      <c r="K94" s="27"/>
    </row>
    <row r="95" spans="1:11" x14ac:dyDescent="0.25">
      <c r="A95" s="25">
        <v>48154</v>
      </c>
      <c r="B95" s="30">
        <v>46172</v>
      </c>
      <c r="C95" s="26" t="s">
        <v>84</v>
      </c>
      <c r="D95" s="38" t="s">
        <v>43</v>
      </c>
      <c r="E95" s="26" t="s">
        <v>136</v>
      </c>
      <c r="F95" s="28">
        <v>3028</v>
      </c>
      <c r="G95" s="28">
        <v>-3000</v>
      </c>
      <c r="H95" s="28">
        <f>Cty_Thep_Viet[[#This Row],[ĐƠN GIÁ]]*Cty_Thep_Viet[[#This Row],[SỐ LƯỢNG]]</f>
        <v>-9084000</v>
      </c>
      <c r="I95" s="28"/>
      <c r="J95" s="28">
        <f>J94+Cty_Thep_Viet[[#This Row],[THÀNH TIỀN]]-Cty_Thep_Viet[[#This Row],[THANH TOÁN]]</f>
        <v>376291454</v>
      </c>
      <c r="K95" s="27"/>
    </row>
    <row r="96" spans="1:11" x14ac:dyDescent="0.25">
      <c r="A96" s="22">
        <v>7507</v>
      </c>
      <c r="B96" s="29">
        <v>46055</v>
      </c>
      <c r="C96" s="23" t="s">
        <v>49</v>
      </c>
      <c r="D96" s="37" t="s">
        <v>43</v>
      </c>
      <c r="E96" s="23" t="s">
        <v>136</v>
      </c>
      <c r="F96" s="31">
        <v>1490</v>
      </c>
      <c r="G96" s="31"/>
      <c r="H96" s="31">
        <f>Cty_Thep_Viet[[#This Row],[ĐƠN GIÁ]]*Cty_Thep_Viet[[#This Row],[SỐ LƯỢNG]]</f>
        <v>0</v>
      </c>
      <c r="I96" s="31"/>
      <c r="J96" s="31">
        <f>J95+Cty_Thep_Viet[[#This Row],[THÀNH TIỀN]]-Cty_Thep_Viet[[#This Row],[THANH TOÁN]]</f>
        <v>376291454</v>
      </c>
      <c r="K96" s="24"/>
    </row>
    <row r="97" spans="1:11" x14ac:dyDescent="0.25">
      <c r="A97" s="22">
        <v>7669</v>
      </c>
      <c r="B97" s="29">
        <v>46076</v>
      </c>
      <c r="C97" s="23" t="s">
        <v>49</v>
      </c>
      <c r="D97" s="37" t="s">
        <v>43</v>
      </c>
      <c r="E97" s="23" t="s">
        <v>146</v>
      </c>
      <c r="F97" s="31">
        <v>5556</v>
      </c>
      <c r="G97" s="31"/>
      <c r="H97" s="31">
        <f>Cty_Thep_Viet[[#This Row],[ĐƠN GIÁ]]*Cty_Thep_Viet[[#This Row],[SỐ LƯỢNG]]</f>
        <v>0</v>
      </c>
      <c r="I97" s="31"/>
      <c r="J97" s="31">
        <f>J96+Cty_Thep_Viet[[#This Row],[THÀNH TIỀN]]-Cty_Thep_Viet[[#This Row],[THANH TOÁN]]</f>
        <v>376291454</v>
      </c>
      <c r="K97" s="24"/>
    </row>
    <row r="98" spans="1:11" x14ac:dyDescent="0.25">
      <c r="A98" s="22">
        <v>7733</v>
      </c>
      <c r="B98" s="29">
        <v>46080</v>
      </c>
      <c r="C98" s="23" t="s">
        <v>49</v>
      </c>
      <c r="D98" s="37" t="s">
        <v>17</v>
      </c>
      <c r="E98" s="23" t="s">
        <v>2114</v>
      </c>
      <c r="F98" s="31">
        <v>898</v>
      </c>
      <c r="G98" s="31"/>
      <c r="H98" s="31">
        <f>Cty_Thep_Viet[[#This Row],[ĐƠN GIÁ]]*Cty_Thep_Viet[[#This Row],[SỐ LƯỢNG]]</f>
        <v>0</v>
      </c>
      <c r="I98" s="31"/>
      <c r="J98" s="31">
        <f>J97+Cty_Thep_Viet[[#This Row],[THÀNH TIỀN]]-Cty_Thep_Viet[[#This Row],[THANH TOÁN]]</f>
        <v>376291454</v>
      </c>
      <c r="K98" s="24"/>
    </row>
    <row r="99" spans="1:11" x14ac:dyDescent="0.25">
      <c r="A99" s="22">
        <v>7733</v>
      </c>
      <c r="B99" s="29">
        <v>46080</v>
      </c>
      <c r="C99" s="23" t="s">
        <v>49</v>
      </c>
      <c r="D99" s="37" t="s">
        <v>17</v>
      </c>
      <c r="E99" s="23" t="s">
        <v>2573</v>
      </c>
      <c r="F99" s="31">
        <v>307</v>
      </c>
      <c r="G99" s="31"/>
      <c r="H99" s="31">
        <f>Cty_Thep_Viet[[#This Row],[ĐƠN GIÁ]]*Cty_Thep_Viet[[#This Row],[SỐ LƯỢNG]]</f>
        <v>0</v>
      </c>
      <c r="I99" s="31"/>
      <c r="J99" s="31">
        <f>J98+Cty_Thep_Viet[[#This Row],[THÀNH TIỀN]]-Cty_Thep_Viet[[#This Row],[THANH TOÁN]]</f>
        <v>376291454</v>
      </c>
      <c r="K99" s="24"/>
    </row>
    <row r="100" spans="1:11" x14ac:dyDescent="0.25">
      <c r="A100" s="22">
        <v>7733</v>
      </c>
      <c r="B100" s="29">
        <v>46080</v>
      </c>
      <c r="C100" s="23" t="s">
        <v>49</v>
      </c>
      <c r="D100" s="37" t="s">
        <v>17</v>
      </c>
      <c r="E100" s="23" t="s">
        <v>2574</v>
      </c>
      <c r="F100" s="31">
        <v>750</v>
      </c>
      <c r="G100" s="31"/>
      <c r="H100" s="31">
        <f>Cty_Thep_Viet[[#This Row],[ĐƠN GIÁ]]*Cty_Thep_Viet[[#This Row],[SỐ LƯỢNG]]</f>
        <v>0</v>
      </c>
      <c r="I100" s="31"/>
      <c r="J100" s="31">
        <f>J99+Cty_Thep_Viet[[#This Row],[THÀNH TIỀN]]-Cty_Thep_Viet[[#This Row],[THANH TOÁN]]</f>
        <v>376291454</v>
      </c>
      <c r="K100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FE3FC-33DC-4DAF-AB6B-C5DD7828A846}">
  <sheetPr codeName="Sheet80"/>
  <dimension ref="A5:K64"/>
  <sheetViews>
    <sheetView topLeftCell="A40" workbookViewId="0">
      <selection activeCell="K54" sqref="K54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136547500</v>
      </c>
    </row>
    <row r="6" spans="1:11" ht="22.5" x14ac:dyDescent="0.25">
      <c r="D6" s="34" t="s">
        <v>1063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A_Long_Mo[[#This Row],[ĐƠN GIÁ]]*A_Long_Mo[[#This Row],[SỐ LƯỢNG]]</f>
        <v>0</v>
      </c>
      <c r="I10" s="31"/>
      <c r="J10" s="31">
        <v>20500</v>
      </c>
      <c r="K10" s="24"/>
    </row>
    <row r="11" spans="1:11" x14ac:dyDescent="0.25">
      <c r="A11" s="22">
        <v>7892</v>
      </c>
      <c r="B11" s="29">
        <v>46087</v>
      </c>
      <c r="C11" s="23" t="s">
        <v>13</v>
      </c>
      <c r="D11" s="37" t="s">
        <v>50</v>
      </c>
      <c r="E11" s="23" t="s">
        <v>246</v>
      </c>
      <c r="F11" s="31">
        <v>48</v>
      </c>
      <c r="G11" s="31">
        <v>60000</v>
      </c>
      <c r="H11" s="31">
        <f>A_Long_Mo[[#This Row],[ĐƠN GIÁ]]*A_Long_Mo[[#This Row],[SỐ LƯỢNG]]</f>
        <v>2880000</v>
      </c>
      <c r="I11" s="31"/>
      <c r="J11" s="31">
        <f>J10+A_Long_Mo[[#This Row],[THÀNH TIỀN]]-A_Long_Mo[[#This Row],[THANH TOÁN]]</f>
        <v>2900500</v>
      </c>
      <c r="K11" s="24"/>
    </row>
    <row r="12" spans="1:11" x14ac:dyDescent="0.25">
      <c r="A12" s="22">
        <v>7892</v>
      </c>
      <c r="B12" s="29">
        <v>46087</v>
      </c>
      <c r="C12" s="23" t="s">
        <v>13</v>
      </c>
      <c r="D12" s="37" t="s">
        <v>252</v>
      </c>
      <c r="E12" s="23" t="s">
        <v>136</v>
      </c>
      <c r="F12" s="31">
        <v>1158</v>
      </c>
      <c r="G12" s="31">
        <v>38500</v>
      </c>
      <c r="H12" s="31">
        <f>A_Long_Mo[[#This Row],[ĐƠN GIÁ]]*A_Long_Mo[[#This Row],[SỐ LƯỢNG]]</f>
        <v>44583000</v>
      </c>
      <c r="I12" s="31"/>
      <c r="J12" s="31">
        <f>J11+A_Long_Mo[[#This Row],[THÀNH TIỀN]]-A_Long_Mo[[#This Row],[THANH TOÁN]]</f>
        <v>47483500</v>
      </c>
      <c r="K12" s="24"/>
    </row>
    <row r="13" spans="1:11" x14ac:dyDescent="0.25">
      <c r="A13" s="25"/>
      <c r="B13" s="30">
        <v>46087</v>
      </c>
      <c r="C13" s="26" t="s">
        <v>21</v>
      </c>
      <c r="D13" s="38" t="s">
        <v>22</v>
      </c>
      <c r="E13" s="26" t="s">
        <v>261</v>
      </c>
      <c r="F13" s="28">
        <v>0</v>
      </c>
      <c r="G13" s="28"/>
      <c r="H13" s="28">
        <f>A_Long_Mo[[#This Row],[ĐƠN GIÁ]]*A_Long_Mo[[#This Row],[SỐ LƯỢNG]]</f>
        <v>0</v>
      </c>
      <c r="I13" s="28">
        <v>47463000</v>
      </c>
      <c r="J13" s="28">
        <f>J12+A_Long_Mo[[#This Row],[THÀNH TIỀN]]-A_Long_Mo[[#This Row],[THANH TOÁN]]</f>
        <v>20500</v>
      </c>
      <c r="K13" s="27"/>
    </row>
    <row r="14" spans="1:11" x14ac:dyDescent="0.25">
      <c r="A14" s="25">
        <v>7954</v>
      </c>
      <c r="B14" s="30">
        <v>46088</v>
      </c>
      <c r="C14" s="26" t="s">
        <v>13</v>
      </c>
      <c r="D14" s="38" t="s">
        <v>252</v>
      </c>
      <c r="E14" s="26" t="s">
        <v>41</v>
      </c>
      <c r="F14" s="28">
        <f>2110-16</f>
        <v>2094</v>
      </c>
      <c r="G14" s="28">
        <v>38500</v>
      </c>
      <c r="H14" s="28">
        <f>A_Long_Mo[[#This Row],[ĐƠN GIÁ]]*A_Long_Mo[[#This Row],[SỐ LƯỢNG]]</f>
        <v>80619000</v>
      </c>
      <c r="I14" s="28"/>
      <c r="J14" s="28">
        <f>J13+A_Long_Mo[[#This Row],[THÀNH TIỀN]]-A_Long_Mo[[#This Row],[THANH TOÁN]]</f>
        <v>80639500</v>
      </c>
      <c r="K14" s="27"/>
    </row>
    <row r="15" spans="1:11" x14ac:dyDescent="0.25">
      <c r="A15" s="25"/>
      <c r="B15" s="30">
        <v>46088</v>
      </c>
      <c r="C15" s="26" t="s">
        <v>21</v>
      </c>
      <c r="D15" s="38" t="s">
        <v>22</v>
      </c>
      <c r="E15" s="26" t="s">
        <v>261</v>
      </c>
      <c r="F15" s="28">
        <v>0</v>
      </c>
      <c r="G15" s="28"/>
      <c r="H15" s="28">
        <f>A_Long_Mo[[#This Row],[ĐƠN GIÁ]]*A_Long_Mo[[#This Row],[SỐ LƯỢNG]]</f>
        <v>0</v>
      </c>
      <c r="I15" s="28">
        <v>75399000</v>
      </c>
      <c r="J15" s="28">
        <f>J14+A_Long_Mo[[#This Row],[THÀNH TIỀN]]-A_Long_Mo[[#This Row],[THANH TOÁN]]</f>
        <v>5240500</v>
      </c>
      <c r="K15" s="27"/>
    </row>
    <row r="16" spans="1:11" x14ac:dyDescent="0.25">
      <c r="A16" s="25"/>
      <c r="B16" s="30">
        <v>46090</v>
      </c>
      <c r="C16" s="26" t="s">
        <v>21</v>
      </c>
      <c r="D16" s="38" t="s">
        <v>22</v>
      </c>
      <c r="E16" s="26" t="s">
        <v>261</v>
      </c>
      <c r="F16" s="28">
        <v>0</v>
      </c>
      <c r="G16" s="28"/>
      <c r="H16" s="28">
        <f>A_Long_Mo[[#This Row],[ĐƠN GIÁ]]*A_Long_Mo[[#This Row],[SỐ LƯỢNG]]</f>
        <v>0</v>
      </c>
      <c r="I16" s="28">
        <v>80619000</v>
      </c>
      <c r="J16" s="28">
        <f>J15+A_Long_Mo[[#This Row],[THÀNH TIỀN]]-A_Long_Mo[[#This Row],[THANH TOÁN]]</f>
        <v>-75378500</v>
      </c>
      <c r="K16" s="27"/>
    </row>
    <row r="17" spans="1:11" x14ac:dyDescent="0.25">
      <c r="A17" s="25">
        <v>8011</v>
      </c>
      <c r="B17" s="30">
        <v>46092</v>
      </c>
      <c r="C17" s="26" t="s">
        <v>13</v>
      </c>
      <c r="D17" s="37" t="s">
        <v>270</v>
      </c>
      <c r="E17" s="23" t="s">
        <v>163</v>
      </c>
      <c r="F17" s="31">
        <v>1226</v>
      </c>
      <c r="G17" s="31">
        <v>61500</v>
      </c>
      <c r="H17" s="31">
        <f>A_Long_Mo[[#This Row],[ĐƠN GIÁ]]*A_Long_Mo[[#This Row],[SỐ LƯỢNG]]</f>
        <v>75399000</v>
      </c>
      <c r="I17" s="31"/>
      <c r="J17" s="31">
        <f>J16+A_Long_Mo[[#This Row],[THÀNH TIỀN]]-A_Long_Mo[[#This Row],[THANH TOÁN]]</f>
        <v>20500</v>
      </c>
      <c r="K17" s="24"/>
    </row>
    <row r="18" spans="1:11" x14ac:dyDescent="0.25">
      <c r="A18" s="25">
        <v>8126</v>
      </c>
      <c r="B18" s="30">
        <v>46097</v>
      </c>
      <c r="C18" s="26" t="s">
        <v>13</v>
      </c>
      <c r="D18" s="38" t="s">
        <v>252</v>
      </c>
      <c r="E18" s="26" t="s">
        <v>136</v>
      </c>
      <c r="F18" s="28">
        <v>1220</v>
      </c>
      <c r="G18" s="28">
        <v>38500</v>
      </c>
      <c r="H18" s="28">
        <f>A_Long_Mo[[#This Row],[ĐƠN GIÁ]]*A_Long_Mo[[#This Row],[SỐ LƯỢNG]]</f>
        <v>46970000</v>
      </c>
      <c r="I18" s="28"/>
      <c r="J18" s="28">
        <f>J17+A_Long_Mo[[#This Row],[THÀNH TIỀN]]-A_Long_Mo[[#This Row],[THANH TOÁN]]</f>
        <v>46990500</v>
      </c>
      <c r="K18" s="27"/>
    </row>
    <row r="19" spans="1:11" x14ac:dyDescent="0.25">
      <c r="A19" s="25">
        <v>8126</v>
      </c>
      <c r="B19" s="30">
        <v>46097</v>
      </c>
      <c r="C19" s="26" t="s">
        <v>13</v>
      </c>
      <c r="D19" s="38" t="s">
        <v>32</v>
      </c>
      <c r="E19" s="26" t="s">
        <v>40</v>
      </c>
      <c r="F19" s="28">
        <f>358-16-4</f>
        <v>338</v>
      </c>
      <c r="G19" s="28">
        <v>43000</v>
      </c>
      <c r="H19" s="28">
        <f>A_Long_Mo[[#This Row],[ĐƠN GIÁ]]*A_Long_Mo[[#This Row],[SỐ LƯỢNG]]</f>
        <v>14534000</v>
      </c>
      <c r="I19" s="28"/>
      <c r="J19" s="28">
        <f>J18+A_Long_Mo[[#This Row],[THÀNH TIỀN]]-A_Long_Mo[[#This Row],[THANH TOÁN]]</f>
        <v>61524500</v>
      </c>
      <c r="K19" s="27"/>
    </row>
    <row r="20" spans="1:11" x14ac:dyDescent="0.25">
      <c r="A20" s="25">
        <v>8126</v>
      </c>
      <c r="B20" s="30">
        <v>46097</v>
      </c>
      <c r="C20" s="26" t="s">
        <v>21</v>
      </c>
      <c r="D20" s="38" t="s">
        <v>22</v>
      </c>
      <c r="E20" s="26" t="s">
        <v>261</v>
      </c>
      <c r="F20" s="28">
        <v>0</v>
      </c>
      <c r="G20" s="28">
        <v>0</v>
      </c>
      <c r="H20" s="28">
        <f>A_Long_Mo[[#This Row],[ĐƠN GIÁ]]*A_Long_Mo[[#This Row],[SỐ LƯỢNG]]</f>
        <v>0</v>
      </c>
      <c r="I20" s="28">
        <v>61160000</v>
      </c>
      <c r="J20" s="28">
        <f>J19+A_Long_Mo[[#This Row],[THÀNH TIỀN]]-A_Long_Mo[[#This Row],[THANH TOÁN]]</f>
        <v>364500</v>
      </c>
      <c r="K20" s="27"/>
    </row>
    <row r="21" spans="1:11" x14ac:dyDescent="0.25">
      <c r="A21" s="25"/>
      <c r="B21" s="30">
        <v>46098</v>
      </c>
      <c r="C21" s="26" t="s">
        <v>21</v>
      </c>
      <c r="D21" s="38" t="s">
        <v>22</v>
      </c>
      <c r="E21" s="26" t="s">
        <v>261</v>
      </c>
      <c r="F21" s="28">
        <v>0</v>
      </c>
      <c r="G21" s="28"/>
      <c r="H21" s="28">
        <f>A_Long_Mo[[#This Row],[ĐƠN GIÁ]]*A_Long_Mo[[#This Row],[SỐ LƯỢNG]]</f>
        <v>0</v>
      </c>
      <c r="I21" s="28">
        <v>99488000</v>
      </c>
      <c r="J21" s="28">
        <f>J20+A_Long_Mo[[#This Row],[THÀNH TIỀN]]-A_Long_Mo[[#This Row],[THANH TOÁN]]</f>
        <v>-99123500</v>
      </c>
      <c r="K21" s="27"/>
    </row>
    <row r="22" spans="1:11" x14ac:dyDescent="0.25">
      <c r="A22" s="25">
        <v>8281</v>
      </c>
      <c r="B22" s="30">
        <v>46101</v>
      </c>
      <c r="C22" s="26" t="s">
        <v>13</v>
      </c>
      <c r="D22" s="38" t="s">
        <v>265</v>
      </c>
      <c r="E22" s="26" t="s">
        <v>136</v>
      </c>
      <c r="F22" s="28">
        <v>1038</v>
      </c>
      <c r="G22" s="28">
        <v>63000</v>
      </c>
      <c r="H22" s="28">
        <f>A_Long_Mo[[#This Row],[ĐƠN GIÁ]]*A_Long_Mo[[#This Row],[SỐ LƯỢNG]]</f>
        <v>65394000</v>
      </c>
      <c r="I22" s="28"/>
      <c r="J22" s="28">
        <f>J21+A_Long_Mo[[#This Row],[THÀNH TIỀN]]-A_Long_Mo[[#This Row],[THANH TOÁN]]</f>
        <v>-33729500</v>
      </c>
      <c r="K22" s="27"/>
    </row>
    <row r="23" spans="1:11" x14ac:dyDescent="0.25">
      <c r="A23" s="25">
        <v>8281</v>
      </c>
      <c r="B23" s="30">
        <v>46101</v>
      </c>
      <c r="C23" s="26" t="s">
        <v>13</v>
      </c>
      <c r="D23" s="38" t="s">
        <v>265</v>
      </c>
      <c r="E23" s="26" t="s">
        <v>146</v>
      </c>
      <c r="F23" s="28">
        <v>540</v>
      </c>
      <c r="G23" s="28">
        <v>62500</v>
      </c>
      <c r="H23" s="28">
        <f>A_Long_Mo[[#This Row],[ĐƠN GIÁ]]*A_Long_Mo[[#This Row],[SỐ LƯỢNG]]</f>
        <v>33750000</v>
      </c>
      <c r="I23" s="28"/>
      <c r="J23" s="28">
        <f>J22+A_Long_Mo[[#This Row],[THÀNH TIỀN]]-A_Long_Mo[[#This Row],[THANH TOÁN]]</f>
        <v>20500</v>
      </c>
      <c r="K23" s="27"/>
    </row>
    <row r="24" spans="1:11" x14ac:dyDescent="0.25">
      <c r="A24" s="25">
        <v>8281</v>
      </c>
      <c r="B24" s="30">
        <v>46101</v>
      </c>
      <c r="C24" s="26" t="s">
        <v>13</v>
      </c>
      <c r="D24" s="38" t="s">
        <v>32</v>
      </c>
      <c r="E24" s="26" t="s">
        <v>40</v>
      </c>
      <c r="F24" s="28">
        <v>8</v>
      </c>
      <c r="G24" s="28">
        <v>43000</v>
      </c>
      <c r="H24" s="28">
        <f>A_Long_Mo[[#This Row],[ĐƠN GIÁ]]*A_Long_Mo[[#This Row],[SỐ LƯỢNG]]</f>
        <v>344000</v>
      </c>
      <c r="I24" s="28"/>
      <c r="J24" s="28">
        <f>J23+A_Long_Mo[[#This Row],[THÀNH TIỀN]]-A_Long_Mo[[#This Row],[THANH TOÁN]]</f>
        <v>364500</v>
      </c>
      <c r="K24" s="27"/>
    </row>
    <row r="25" spans="1:11" x14ac:dyDescent="0.25">
      <c r="A25" s="22">
        <v>8223</v>
      </c>
      <c r="B25" s="29">
        <v>46104</v>
      </c>
      <c r="C25" s="23" t="s">
        <v>13</v>
      </c>
      <c r="D25" s="37" t="s">
        <v>265</v>
      </c>
      <c r="E25" s="23" t="s">
        <v>62</v>
      </c>
      <c r="F25" s="31">
        <v>1460</v>
      </c>
      <c r="G25" s="31">
        <v>64000</v>
      </c>
      <c r="H25" s="31">
        <f>A_Long_Mo[[#This Row],[ĐƠN GIÁ]]*A_Long_Mo[[#This Row],[SỐ LƯỢNG]]</f>
        <v>93440000</v>
      </c>
      <c r="I25" s="31"/>
      <c r="J25" s="31">
        <f>J24+A_Long_Mo[[#This Row],[THÀNH TIỀN]]-A_Long_Mo[[#This Row],[THANH TOÁN]]</f>
        <v>93804500</v>
      </c>
      <c r="K25" s="24"/>
    </row>
    <row r="26" spans="1:11" x14ac:dyDescent="0.25">
      <c r="A26" s="22"/>
      <c r="B26" s="29">
        <v>46104</v>
      </c>
      <c r="C26" s="23" t="s">
        <v>21</v>
      </c>
      <c r="D26" s="37" t="s">
        <v>22</v>
      </c>
      <c r="E26" s="23" t="s">
        <v>261</v>
      </c>
      <c r="F26" s="31">
        <v>0</v>
      </c>
      <c r="G26" s="31">
        <v>0</v>
      </c>
      <c r="H26" s="31">
        <f>A_Long_Mo[[#This Row],[ĐƠN GIÁ]]*A_Long_Mo[[#This Row],[SỐ LƯỢNG]]</f>
        <v>0</v>
      </c>
      <c r="I26" s="31">
        <v>93440000</v>
      </c>
      <c r="J26" s="31">
        <f>J25+A_Long_Mo[[#This Row],[THÀNH TIỀN]]-A_Long_Mo[[#This Row],[THANH TOÁN]]</f>
        <v>364500</v>
      </c>
      <c r="K26" s="24"/>
    </row>
    <row r="27" spans="1:11" x14ac:dyDescent="0.25">
      <c r="A27" s="22">
        <v>8383</v>
      </c>
      <c r="B27" s="29">
        <v>46109</v>
      </c>
      <c r="C27" s="23" t="s">
        <v>13</v>
      </c>
      <c r="D27" s="37" t="s">
        <v>169</v>
      </c>
      <c r="E27" s="23" t="s">
        <v>136</v>
      </c>
      <c r="F27" s="31">
        <v>1164</v>
      </c>
      <c r="G27" s="31">
        <v>38500</v>
      </c>
      <c r="H27" s="31">
        <f>A_Long_Mo[[#This Row],[ĐƠN GIÁ]]*A_Long_Mo[[#This Row],[SỐ LƯỢNG]]</f>
        <v>44814000</v>
      </c>
      <c r="I27" s="31"/>
      <c r="J27" s="31">
        <f>J26+A_Long_Mo[[#This Row],[THÀNH TIỀN]]-A_Long_Mo[[#This Row],[THANH TOÁN]]</f>
        <v>45178500</v>
      </c>
      <c r="K27" s="24"/>
    </row>
    <row r="28" spans="1:11" x14ac:dyDescent="0.25">
      <c r="A28" s="22"/>
      <c r="B28" s="29">
        <v>46112</v>
      </c>
      <c r="C28" s="23" t="s">
        <v>21</v>
      </c>
      <c r="D28" s="37" t="s">
        <v>22</v>
      </c>
      <c r="E28" s="23" t="s">
        <v>261</v>
      </c>
      <c r="F28" s="31">
        <v>0</v>
      </c>
      <c r="G28" s="31">
        <v>0</v>
      </c>
      <c r="H28" s="31">
        <f>A_Long_Mo[[#This Row],[ĐƠN GIÁ]]*A_Long_Mo[[#This Row],[SỐ LƯỢNG]]</f>
        <v>0</v>
      </c>
      <c r="I28" s="31">
        <v>44814000</v>
      </c>
      <c r="J28" s="31">
        <f>J27+A_Long_Mo[[#This Row],[THÀNH TIỀN]]-A_Long_Mo[[#This Row],[THANH TOÁN]]</f>
        <v>364500</v>
      </c>
      <c r="K28" s="24"/>
    </row>
    <row r="29" spans="1:11" x14ac:dyDescent="0.25">
      <c r="A29" s="22">
        <v>8455</v>
      </c>
      <c r="B29" s="29">
        <v>46113</v>
      </c>
      <c r="C29" s="23" t="s">
        <v>13</v>
      </c>
      <c r="D29" s="37" t="s">
        <v>169</v>
      </c>
      <c r="E29" s="23" t="s">
        <v>41</v>
      </c>
      <c r="F29" s="31">
        <v>2254</v>
      </c>
      <c r="G29" s="31">
        <v>38500</v>
      </c>
      <c r="H29" s="31">
        <f>A_Long_Mo[[#This Row],[ĐƠN GIÁ]]*A_Long_Mo[[#This Row],[SỐ LƯỢNG]]</f>
        <v>86779000</v>
      </c>
      <c r="I29" s="31"/>
      <c r="J29" s="31">
        <f>J28+A_Long_Mo[[#This Row],[THÀNH TIỀN]]-A_Long_Mo[[#This Row],[THANH TOÁN]]</f>
        <v>87143500</v>
      </c>
      <c r="K29" s="24"/>
    </row>
    <row r="30" spans="1:11" x14ac:dyDescent="0.25">
      <c r="A30" s="22"/>
      <c r="B30" s="29">
        <v>46113</v>
      </c>
      <c r="C30" s="23" t="s">
        <v>21</v>
      </c>
      <c r="D30" s="37" t="s">
        <v>22</v>
      </c>
      <c r="E30" s="23" t="s">
        <v>261</v>
      </c>
      <c r="F30" s="31">
        <v>0</v>
      </c>
      <c r="G30" s="31"/>
      <c r="H30" s="31">
        <f>A_Long_Mo[[#This Row],[ĐƠN GIÁ]]*A_Long_Mo[[#This Row],[SỐ LƯỢNG]]</f>
        <v>0</v>
      </c>
      <c r="I30" s="31">
        <v>86779000</v>
      </c>
      <c r="J30" s="31">
        <f>J29+A_Long_Mo[[#This Row],[THÀNH TIỀN]]-A_Long_Mo[[#This Row],[THANH TOÁN]]</f>
        <v>364500</v>
      </c>
      <c r="K30" s="24"/>
    </row>
    <row r="31" spans="1:11" x14ac:dyDescent="0.25">
      <c r="A31" s="22">
        <v>8641</v>
      </c>
      <c r="B31" s="29">
        <v>46121</v>
      </c>
      <c r="C31" s="23" t="s">
        <v>13</v>
      </c>
      <c r="D31" s="37" t="s">
        <v>265</v>
      </c>
      <c r="E31" s="23" t="s">
        <v>146</v>
      </c>
      <c r="F31" s="31">
        <v>952</v>
      </c>
      <c r="G31" s="31">
        <v>63500</v>
      </c>
      <c r="H31" s="31">
        <f>A_Long_Mo[[#This Row],[ĐƠN GIÁ]]*A_Long_Mo[[#This Row],[SỐ LƯỢNG]]</f>
        <v>60452000</v>
      </c>
      <c r="I31" s="31"/>
      <c r="J31" s="31">
        <f>J30+A_Long_Mo[[#This Row],[THÀNH TIỀN]]-A_Long_Mo[[#This Row],[THANH TOÁN]]</f>
        <v>60816500</v>
      </c>
      <c r="K31" s="24"/>
    </row>
    <row r="32" spans="1:11" x14ac:dyDescent="0.25">
      <c r="A32" s="22"/>
      <c r="B32" s="29">
        <v>46121</v>
      </c>
      <c r="C32" s="23" t="s">
        <v>21</v>
      </c>
      <c r="D32" s="37" t="s">
        <v>22</v>
      </c>
      <c r="E32" s="23" t="s">
        <v>261</v>
      </c>
      <c r="F32" s="31">
        <v>0</v>
      </c>
      <c r="G32" s="31"/>
      <c r="H32" s="31">
        <f>A_Long_Mo[[#This Row],[ĐƠN GIÁ]]*A_Long_Mo[[#This Row],[SỐ LƯỢNG]]</f>
        <v>0</v>
      </c>
      <c r="I32" s="31">
        <v>60452000</v>
      </c>
      <c r="J32" s="31">
        <f>J31+A_Long_Mo[[#This Row],[THÀNH TIỀN]]-A_Long_Mo[[#This Row],[THANH TOÁN]]</f>
        <v>364500</v>
      </c>
      <c r="K32" s="24"/>
    </row>
    <row r="33" spans="1:11" x14ac:dyDescent="0.25">
      <c r="A33" s="22">
        <v>8740</v>
      </c>
      <c r="B33" s="29">
        <v>46125</v>
      </c>
      <c r="C33" s="23" t="s">
        <v>13</v>
      </c>
      <c r="D33" s="37" t="s">
        <v>252</v>
      </c>
      <c r="E33" s="23" t="s">
        <v>136</v>
      </c>
      <c r="F33" s="31">
        <v>1236</v>
      </c>
      <c r="G33" s="31">
        <v>38000</v>
      </c>
      <c r="H33" s="31">
        <f>A_Long_Mo[[#This Row],[ĐƠN GIÁ]]*A_Long_Mo[[#This Row],[SỐ LƯỢNG]]</f>
        <v>46968000</v>
      </c>
      <c r="I33" s="31"/>
      <c r="J33" s="31">
        <f>J32+A_Long_Mo[[#This Row],[THÀNH TIỀN]]-A_Long_Mo[[#This Row],[THANH TOÁN]]</f>
        <v>47332500</v>
      </c>
      <c r="K33" s="24"/>
    </row>
    <row r="34" spans="1:11" x14ac:dyDescent="0.25">
      <c r="A34" s="22">
        <v>8740</v>
      </c>
      <c r="B34" s="29">
        <v>46125</v>
      </c>
      <c r="C34" s="23" t="s">
        <v>13</v>
      </c>
      <c r="D34" s="37" t="s">
        <v>270</v>
      </c>
      <c r="E34" s="23" t="s">
        <v>148</v>
      </c>
      <c r="F34" s="31">
        <v>1254</v>
      </c>
      <c r="G34" s="31">
        <v>64500</v>
      </c>
      <c r="H34" s="31">
        <f>A_Long_Mo[[#This Row],[ĐƠN GIÁ]]*A_Long_Mo[[#This Row],[SỐ LƯỢNG]]</f>
        <v>80883000</v>
      </c>
      <c r="I34" s="31"/>
      <c r="J34" s="31">
        <f>J33+A_Long_Mo[[#This Row],[THÀNH TIỀN]]-A_Long_Mo[[#This Row],[THANH TOÁN]]</f>
        <v>128215500</v>
      </c>
      <c r="K34" s="24"/>
    </row>
    <row r="35" spans="1:11" x14ac:dyDescent="0.25">
      <c r="A35" s="22"/>
      <c r="B35" s="29">
        <v>46125</v>
      </c>
      <c r="C35" s="23" t="s">
        <v>21</v>
      </c>
      <c r="D35" s="37" t="s">
        <v>22</v>
      </c>
      <c r="E35" s="23" t="s">
        <v>261</v>
      </c>
      <c r="F35" s="31">
        <v>0</v>
      </c>
      <c r="G35" s="31"/>
      <c r="H35" s="31">
        <f>A_Long_Mo[[#This Row],[ĐƠN GIÁ]]*A_Long_Mo[[#This Row],[SỐ LƯỢNG]]</f>
        <v>0</v>
      </c>
      <c r="I35" s="31">
        <v>127851000</v>
      </c>
      <c r="J35" s="31">
        <f>J34+A_Long_Mo[[#This Row],[THÀNH TIỀN]]-A_Long_Mo[[#This Row],[THANH TOÁN]]</f>
        <v>364500</v>
      </c>
      <c r="K35" s="24"/>
    </row>
    <row r="36" spans="1:11" x14ac:dyDescent="0.25">
      <c r="A36" s="22">
        <v>8776</v>
      </c>
      <c r="B36" s="29">
        <v>46126</v>
      </c>
      <c r="C36" s="23" t="s">
        <v>13</v>
      </c>
      <c r="D36" s="37" t="s">
        <v>265</v>
      </c>
      <c r="E36" s="23" t="s">
        <v>62</v>
      </c>
      <c r="F36" s="31">
        <v>1045</v>
      </c>
      <c r="G36" s="31">
        <v>67500</v>
      </c>
      <c r="H36" s="31">
        <f>A_Long_Mo[[#This Row],[ĐƠN GIÁ]]*A_Long_Mo[[#This Row],[SỐ LƯỢNG]]</f>
        <v>70537500</v>
      </c>
      <c r="I36" s="31"/>
      <c r="J36" s="31">
        <f>J35+A_Long_Mo[[#This Row],[THÀNH TIỀN]]-A_Long_Mo[[#This Row],[THANH TOÁN]]</f>
        <v>70902000</v>
      </c>
      <c r="K36" s="24"/>
    </row>
    <row r="37" spans="1:11" x14ac:dyDescent="0.25">
      <c r="A37" s="22">
        <v>8776</v>
      </c>
      <c r="B37" s="29">
        <v>46126</v>
      </c>
      <c r="C37" s="23" t="s">
        <v>13</v>
      </c>
      <c r="D37" s="37" t="s">
        <v>265</v>
      </c>
      <c r="E37" s="23" t="s">
        <v>136</v>
      </c>
      <c r="F37" s="31">
        <v>1084</v>
      </c>
      <c r="G37" s="31">
        <v>65500</v>
      </c>
      <c r="H37" s="31">
        <f>A_Long_Mo[[#This Row],[ĐƠN GIÁ]]*A_Long_Mo[[#This Row],[SỐ LƯỢNG]]</f>
        <v>71002000</v>
      </c>
      <c r="I37" s="31"/>
      <c r="J37" s="31">
        <f>J36+A_Long_Mo[[#This Row],[THÀNH TIỀN]]-A_Long_Mo[[#This Row],[THANH TOÁN]]</f>
        <v>141904000</v>
      </c>
      <c r="K37" s="24"/>
    </row>
    <row r="38" spans="1:11" x14ac:dyDescent="0.25">
      <c r="A38" s="22"/>
      <c r="B38" s="29">
        <v>46127</v>
      </c>
      <c r="C38" s="23" t="s">
        <v>21</v>
      </c>
      <c r="D38" s="37" t="s">
        <v>22</v>
      </c>
      <c r="E38" s="23" t="s">
        <v>261</v>
      </c>
      <c r="F38" s="31">
        <v>0</v>
      </c>
      <c r="G38" s="31"/>
      <c r="H38" s="31">
        <f>A_Long_Mo[[#This Row],[ĐƠN GIÁ]]*A_Long_Mo[[#This Row],[SỐ LƯỢNG]]</f>
        <v>0</v>
      </c>
      <c r="I38" s="31">
        <v>94000000</v>
      </c>
      <c r="J38" s="31">
        <f>J37+A_Long_Mo[[#This Row],[THÀNH TIỀN]]-A_Long_Mo[[#This Row],[THANH TOÁN]]</f>
        <v>47904000</v>
      </c>
      <c r="K38" s="24"/>
    </row>
    <row r="39" spans="1:11" x14ac:dyDescent="0.25">
      <c r="A39" s="22"/>
      <c r="B39" s="29">
        <v>46129</v>
      </c>
      <c r="C39" s="23" t="s">
        <v>21</v>
      </c>
      <c r="D39" s="37" t="s">
        <v>22</v>
      </c>
      <c r="E39" s="23" t="s">
        <v>261</v>
      </c>
      <c r="F39" s="31">
        <v>0</v>
      </c>
      <c r="G39" s="31"/>
      <c r="H39" s="31">
        <f>A_Long_Mo[[#This Row],[ĐƠN GIÁ]]*A_Long_Mo[[#This Row],[SỐ LƯỢNG]]</f>
        <v>0</v>
      </c>
      <c r="I39" s="31">
        <v>47539500</v>
      </c>
      <c r="J39" s="31">
        <f>J38+A_Long_Mo[[#This Row],[THÀNH TIỀN]]-A_Long_Mo[[#This Row],[THANH TOÁN]]</f>
        <v>364500</v>
      </c>
      <c r="K39" s="24"/>
    </row>
    <row r="40" spans="1:11" x14ac:dyDescent="0.25">
      <c r="A40" s="22">
        <v>8885</v>
      </c>
      <c r="B40" s="29">
        <v>46130</v>
      </c>
      <c r="C40" s="23" t="s">
        <v>13</v>
      </c>
      <c r="D40" s="37" t="s">
        <v>265</v>
      </c>
      <c r="E40" s="23" t="s">
        <v>136</v>
      </c>
      <c r="F40" s="31">
        <v>1248</v>
      </c>
      <c r="G40" s="31">
        <v>65500</v>
      </c>
      <c r="H40" s="31">
        <f>A_Long_Mo[[#This Row],[ĐƠN GIÁ]]*A_Long_Mo[[#This Row],[SỐ LƯỢNG]]</f>
        <v>81744000</v>
      </c>
      <c r="I40" s="31"/>
      <c r="J40" s="31">
        <f>J39+A_Long_Mo[[#This Row],[THÀNH TIỀN]]-A_Long_Mo[[#This Row],[THANH TOÁN]]</f>
        <v>82108500</v>
      </c>
      <c r="K40" s="24"/>
    </row>
    <row r="41" spans="1:11" x14ac:dyDescent="0.25">
      <c r="A41" s="22"/>
      <c r="B41" s="29">
        <v>46132</v>
      </c>
      <c r="C41" s="23" t="s">
        <v>21</v>
      </c>
      <c r="D41" s="37" t="s">
        <v>22</v>
      </c>
      <c r="E41" s="23" t="s">
        <v>261</v>
      </c>
      <c r="F41" s="31">
        <v>0</v>
      </c>
      <c r="G41" s="31"/>
      <c r="H41" s="31">
        <f>A_Long_Mo[[#This Row],[ĐƠN GIÁ]]*A_Long_Mo[[#This Row],[SỐ LƯỢNG]]</f>
        <v>0</v>
      </c>
      <c r="I41" s="31">
        <v>81744000</v>
      </c>
      <c r="J41" s="31">
        <f>J40+A_Long_Mo[[#This Row],[THÀNH TIỀN]]-A_Long_Mo[[#This Row],[THANH TOÁN]]</f>
        <v>364500</v>
      </c>
      <c r="K41" s="24"/>
    </row>
    <row r="42" spans="1:11" x14ac:dyDescent="0.25">
      <c r="A42" s="22">
        <v>8930</v>
      </c>
      <c r="B42" s="29">
        <v>46133</v>
      </c>
      <c r="C42" s="23" t="s">
        <v>13</v>
      </c>
      <c r="D42" s="37" t="s">
        <v>17</v>
      </c>
      <c r="E42" s="23" t="s">
        <v>146</v>
      </c>
      <c r="F42" s="31">
        <v>1030</v>
      </c>
      <c r="G42" s="31">
        <v>66500</v>
      </c>
      <c r="H42" s="31">
        <f>A_Long_Mo[[#This Row],[ĐƠN GIÁ]]*A_Long_Mo[[#This Row],[SỐ LƯỢNG]]</f>
        <v>68495000</v>
      </c>
      <c r="I42" s="31"/>
      <c r="J42" s="31">
        <f>J41+A_Long_Mo[[#This Row],[THÀNH TIỀN]]-A_Long_Mo[[#This Row],[THANH TOÁN]]</f>
        <v>68859500</v>
      </c>
      <c r="K42" s="24"/>
    </row>
    <row r="43" spans="1:11" x14ac:dyDescent="0.25">
      <c r="A43" s="22"/>
      <c r="B43" s="29">
        <v>46134</v>
      </c>
      <c r="C43" s="23" t="s">
        <v>21</v>
      </c>
      <c r="D43" s="37" t="s">
        <v>22</v>
      </c>
      <c r="E43" s="23" t="s">
        <v>261</v>
      </c>
      <c r="F43" s="31">
        <v>0</v>
      </c>
      <c r="G43" s="31"/>
      <c r="H43" s="31">
        <f>A_Long_Mo[[#This Row],[ĐƠN GIÁ]]*A_Long_Mo[[#This Row],[SỐ LƯỢNG]]</f>
        <v>0</v>
      </c>
      <c r="I43" s="31">
        <v>68495000</v>
      </c>
      <c r="J43" s="31">
        <f>J42+A_Long_Mo[[#This Row],[THÀNH TIỀN]]-A_Long_Mo[[#This Row],[THANH TOÁN]]</f>
        <v>364500</v>
      </c>
      <c r="K43" s="24"/>
    </row>
    <row r="44" spans="1:11" x14ac:dyDescent="0.25">
      <c r="A44" s="22">
        <v>8966</v>
      </c>
      <c r="B44" s="29">
        <v>46135</v>
      </c>
      <c r="C44" s="23" t="s">
        <v>13</v>
      </c>
      <c r="D44" s="37" t="s">
        <v>109</v>
      </c>
      <c r="E44" s="23" t="s">
        <v>1046</v>
      </c>
      <c r="F44" s="31">
        <v>1076</v>
      </c>
      <c r="G44" s="31">
        <v>61000</v>
      </c>
      <c r="H44" s="31">
        <f>A_Long_Mo[[#This Row],[ĐƠN GIÁ]]*A_Long_Mo[[#This Row],[SỐ LƯỢNG]]</f>
        <v>65636000</v>
      </c>
      <c r="I44" s="31"/>
      <c r="J44" s="31">
        <f>J43+A_Long_Mo[[#This Row],[THÀNH TIỀN]]-A_Long_Mo[[#This Row],[THANH TOÁN]]</f>
        <v>66000500</v>
      </c>
      <c r="K44" s="24"/>
    </row>
    <row r="45" spans="1:11" x14ac:dyDescent="0.25">
      <c r="A45" s="22">
        <v>8966</v>
      </c>
      <c r="B45" s="29">
        <v>46135</v>
      </c>
      <c r="C45" s="23" t="s">
        <v>13</v>
      </c>
      <c r="D45" s="37" t="s">
        <v>252</v>
      </c>
      <c r="E45" s="23" t="s">
        <v>449</v>
      </c>
      <c r="F45" s="31">
        <v>1042</v>
      </c>
      <c r="G45" s="31">
        <v>40000</v>
      </c>
      <c r="H45" s="31">
        <f>A_Long_Mo[[#This Row],[ĐƠN GIÁ]]*A_Long_Mo[[#This Row],[SỐ LƯỢNG]]</f>
        <v>41680000</v>
      </c>
      <c r="I45" s="31"/>
      <c r="J45" s="31">
        <f>J44+A_Long_Mo[[#This Row],[THÀNH TIỀN]]-A_Long_Mo[[#This Row],[THANH TOÁN]]</f>
        <v>107680500</v>
      </c>
      <c r="K45" s="24"/>
    </row>
    <row r="46" spans="1:11" x14ac:dyDescent="0.25">
      <c r="A46" s="22"/>
      <c r="B46" s="29">
        <v>46135</v>
      </c>
      <c r="C46" s="23" t="s">
        <v>21</v>
      </c>
      <c r="D46" s="37" t="s">
        <v>22</v>
      </c>
      <c r="E46" s="23" t="s">
        <v>261</v>
      </c>
      <c r="F46" s="31">
        <v>0</v>
      </c>
      <c r="G46" s="31"/>
      <c r="H46" s="31">
        <f>A_Long_Mo[[#This Row],[ĐƠN GIÁ]]*A_Long_Mo[[#This Row],[SỐ LƯỢNG]]</f>
        <v>0</v>
      </c>
      <c r="I46" s="31">
        <v>107316000</v>
      </c>
      <c r="J46" s="31">
        <f>J45+A_Long_Mo[[#This Row],[THÀNH TIỀN]]-A_Long_Mo[[#This Row],[THANH TOÁN]]</f>
        <v>364500</v>
      </c>
      <c r="K46" s="24"/>
    </row>
    <row r="47" spans="1:11" x14ac:dyDescent="0.25">
      <c r="A47" s="22">
        <v>9002</v>
      </c>
      <c r="B47" s="29">
        <v>46136</v>
      </c>
      <c r="C47" s="23" t="s">
        <v>13</v>
      </c>
      <c r="D47" s="37" t="s">
        <v>265</v>
      </c>
      <c r="E47" s="23" t="s">
        <v>134</v>
      </c>
      <c r="F47" s="31">
        <v>1264</v>
      </c>
      <c r="G47" s="31">
        <v>65000</v>
      </c>
      <c r="H47" s="31">
        <f>A_Long_Mo[[#This Row],[ĐƠN GIÁ]]*A_Long_Mo[[#This Row],[SỐ LƯỢNG]]</f>
        <v>82160000</v>
      </c>
      <c r="I47" s="31"/>
      <c r="J47" s="31">
        <f>J46+A_Long_Mo[[#This Row],[THÀNH TIỀN]]-A_Long_Mo[[#This Row],[THANH TOÁN]]</f>
        <v>82524500</v>
      </c>
      <c r="K47" s="24"/>
    </row>
    <row r="48" spans="1:11" x14ac:dyDescent="0.25">
      <c r="A48" s="22"/>
      <c r="B48" s="29">
        <v>46139</v>
      </c>
      <c r="C48" s="23" t="s">
        <v>21</v>
      </c>
      <c r="D48" s="37" t="s">
        <v>22</v>
      </c>
      <c r="E48" s="23" t="s">
        <v>261</v>
      </c>
      <c r="F48" s="31">
        <v>0</v>
      </c>
      <c r="G48" s="31"/>
      <c r="H48" s="31">
        <f>A_Long_Mo[[#This Row],[ĐƠN GIÁ]]*A_Long_Mo[[#This Row],[SỐ LƯỢNG]]</f>
        <v>0</v>
      </c>
      <c r="I48" s="31">
        <v>44240000</v>
      </c>
      <c r="J48" s="31">
        <f>J47+A_Long_Mo[[#This Row],[THÀNH TIỀN]]-A_Long_Mo[[#This Row],[THANH TOÁN]]</f>
        <v>38284500</v>
      </c>
      <c r="K48" s="24"/>
    </row>
    <row r="49" spans="1:11" x14ac:dyDescent="0.25">
      <c r="A49" s="22">
        <v>9094</v>
      </c>
      <c r="B49" s="29">
        <v>46140</v>
      </c>
      <c r="C49" s="23" t="s">
        <v>13</v>
      </c>
      <c r="D49" s="37" t="s">
        <v>1842</v>
      </c>
      <c r="E49" s="23" t="s">
        <v>1872</v>
      </c>
      <c r="F49" s="31">
        <v>296</v>
      </c>
      <c r="G49" s="31">
        <v>72000</v>
      </c>
      <c r="H49" s="31">
        <f>A_Long_Mo[[#This Row],[ĐƠN GIÁ]]*A_Long_Mo[[#This Row],[SỐ LƯỢNG]]</f>
        <v>21312000</v>
      </c>
      <c r="I49" s="31"/>
      <c r="J49" s="31">
        <f>J48+A_Long_Mo[[#This Row],[THÀNH TIỀN]]-A_Long_Mo[[#This Row],[THANH TOÁN]]</f>
        <v>59596500</v>
      </c>
      <c r="K49" s="24"/>
    </row>
    <row r="50" spans="1:11" x14ac:dyDescent="0.25">
      <c r="A50" s="22">
        <v>9104</v>
      </c>
      <c r="B50" s="29">
        <v>46141</v>
      </c>
      <c r="C50" s="23" t="s">
        <v>13</v>
      </c>
      <c r="D50" s="37" t="s">
        <v>252</v>
      </c>
      <c r="E50" s="23" t="s">
        <v>136</v>
      </c>
      <c r="F50" s="31">
        <v>1086</v>
      </c>
      <c r="G50" s="31">
        <v>38000</v>
      </c>
      <c r="H50" s="31">
        <f>A_Long_Mo[[#This Row],[ĐƠN GIÁ]]*A_Long_Mo[[#This Row],[SỐ LƯỢNG]]</f>
        <v>41268000</v>
      </c>
      <c r="I50" s="31"/>
      <c r="J50" s="31">
        <f>J49+A_Long_Mo[[#This Row],[THÀNH TIỀN]]-A_Long_Mo[[#This Row],[THANH TOÁN]]</f>
        <v>100864500</v>
      </c>
      <c r="K50" s="24"/>
    </row>
    <row r="51" spans="1:11" x14ac:dyDescent="0.25">
      <c r="A51" s="22">
        <v>9104</v>
      </c>
      <c r="B51" s="29">
        <v>46141</v>
      </c>
      <c r="C51" s="23" t="s">
        <v>13</v>
      </c>
      <c r="D51" s="37" t="s">
        <v>265</v>
      </c>
      <c r="E51" s="23" t="s">
        <v>146</v>
      </c>
      <c r="F51" s="31">
        <v>1360</v>
      </c>
      <c r="G51" s="31">
        <v>66000</v>
      </c>
      <c r="H51" s="31">
        <f>A_Long_Mo[[#This Row],[ĐƠN GIÁ]]*A_Long_Mo[[#This Row],[SỐ LƯỢNG]]</f>
        <v>89760000</v>
      </c>
      <c r="I51" s="31"/>
      <c r="J51" s="31">
        <f>J50+A_Long_Mo[[#This Row],[THÀNH TIỀN]]-A_Long_Mo[[#This Row],[THANH TOÁN]]</f>
        <v>190624500</v>
      </c>
      <c r="K51" s="24"/>
    </row>
    <row r="52" spans="1:11" x14ac:dyDescent="0.25">
      <c r="A52" s="22"/>
      <c r="B52" s="29">
        <v>46141</v>
      </c>
      <c r="C52" s="23" t="s">
        <v>21</v>
      </c>
      <c r="D52" s="37" t="s">
        <v>22</v>
      </c>
      <c r="E52" s="23" t="s">
        <v>261</v>
      </c>
      <c r="F52" s="31">
        <v>0</v>
      </c>
      <c r="G52" s="31"/>
      <c r="H52" s="31">
        <f>A_Long_Mo[[#This Row],[ĐƠN GIÁ]]*A_Long_Mo[[#This Row],[SỐ LƯỢNG]]</f>
        <v>0</v>
      </c>
      <c r="I52" s="31">
        <v>47400000</v>
      </c>
      <c r="J52" s="31">
        <f>J51+A_Long_Mo[[#This Row],[THÀNH TIỀN]]-A_Long_Mo[[#This Row],[THANH TOÁN]]</f>
        <v>143224500</v>
      </c>
      <c r="K52" s="24"/>
    </row>
    <row r="53" spans="1:11" x14ac:dyDescent="0.25">
      <c r="A53" s="22"/>
      <c r="B53" s="29">
        <v>46141</v>
      </c>
      <c r="C53" s="23" t="s">
        <v>21</v>
      </c>
      <c r="D53" s="37" t="s">
        <v>22</v>
      </c>
      <c r="E53" s="23" t="s">
        <v>261</v>
      </c>
      <c r="F53" s="31">
        <v>0</v>
      </c>
      <c r="G53" s="31"/>
      <c r="H53" s="31">
        <f>A_Long_Mo[[#This Row],[ĐƠN GIÁ]]*A_Long_Mo[[#This Row],[SỐ LƯỢNG]]</f>
        <v>0</v>
      </c>
      <c r="I53" s="31">
        <v>26200000</v>
      </c>
      <c r="J53" s="31">
        <f>J52+A_Long_Mo[[#This Row],[THÀNH TIỀN]]-A_Long_Mo[[#This Row],[THANH TOÁN]]</f>
        <v>117024500</v>
      </c>
      <c r="K53" s="24"/>
    </row>
    <row r="54" spans="1:11" x14ac:dyDescent="0.25">
      <c r="A54" s="22"/>
      <c r="B54" s="29">
        <v>46146</v>
      </c>
      <c r="C54" s="23" t="s">
        <v>21</v>
      </c>
      <c r="D54" s="37" t="s">
        <v>22</v>
      </c>
      <c r="E54" s="23" t="s">
        <v>261</v>
      </c>
      <c r="F54" s="31">
        <v>0</v>
      </c>
      <c r="G54" s="31"/>
      <c r="H54" s="31">
        <f>A_Long_Mo[[#This Row],[ĐƠN GIÁ]]*A_Long_Mo[[#This Row],[SỐ LƯỢNG]]</f>
        <v>0</v>
      </c>
      <c r="I54" s="31">
        <v>116660000</v>
      </c>
      <c r="J54" s="31">
        <f>J53+A_Long_Mo[[#This Row],[THÀNH TIỀN]]-A_Long_Mo[[#This Row],[THANH TOÁN]]</f>
        <v>364500</v>
      </c>
      <c r="K54" s="24"/>
    </row>
    <row r="55" spans="1:11" x14ac:dyDescent="0.25">
      <c r="A55" s="22">
        <v>9182</v>
      </c>
      <c r="B55" s="29">
        <v>46147</v>
      </c>
      <c r="C55" s="23" t="s">
        <v>13</v>
      </c>
      <c r="D55" s="37" t="s">
        <v>265</v>
      </c>
      <c r="E55" s="23" t="s">
        <v>41</v>
      </c>
      <c r="F55" s="31">
        <v>410</v>
      </c>
      <c r="G55" s="31">
        <v>68000</v>
      </c>
      <c r="H55" s="31">
        <f>A_Long_Mo[[#This Row],[ĐƠN GIÁ]]*A_Long_Mo[[#This Row],[SỐ LƯỢNG]]</f>
        <v>27880000</v>
      </c>
      <c r="I55" s="31"/>
      <c r="J55" s="31">
        <f>J54+A_Long_Mo[[#This Row],[THÀNH TIỀN]]-A_Long_Mo[[#This Row],[THANH TOÁN]]</f>
        <v>28244500</v>
      </c>
      <c r="K55" s="24"/>
    </row>
    <row r="56" spans="1:11" x14ac:dyDescent="0.25">
      <c r="A56" s="25">
        <v>9182</v>
      </c>
      <c r="B56" s="30">
        <v>46147</v>
      </c>
      <c r="C56" s="26" t="s">
        <v>13</v>
      </c>
      <c r="D56" s="38" t="s">
        <v>265</v>
      </c>
      <c r="E56" s="26" t="s">
        <v>136</v>
      </c>
      <c r="F56" s="28">
        <v>1364</v>
      </c>
      <c r="G56" s="28">
        <v>67000</v>
      </c>
      <c r="H56" s="28">
        <f>A_Long_Mo[[#This Row],[ĐƠN GIÁ]]*A_Long_Mo[[#This Row],[SỐ LƯỢNG]]</f>
        <v>91388000</v>
      </c>
      <c r="I56" s="28"/>
      <c r="J56" s="28">
        <f>J55+A_Long_Mo[[#This Row],[THÀNH TIỀN]]-A_Long_Mo[[#This Row],[THANH TOÁN]]</f>
        <v>119632500</v>
      </c>
      <c r="K56" s="27"/>
    </row>
    <row r="57" spans="1:11" x14ac:dyDescent="0.25">
      <c r="A57" s="25">
        <v>9224</v>
      </c>
      <c r="B57" s="30">
        <v>46149</v>
      </c>
      <c r="C57" s="26" t="s">
        <v>13</v>
      </c>
      <c r="D57" s="38" t="s">
        <v>252</v>
      </c>
      <c r="E57" s="26" t="s">
        <v>62</v>
      </c>
      <c r="F57" s="28">
        <v>1233</v>
      </c>
      <c r="G57" s="28">
        <v>39500</v>
      </c>
      <c r="H57" s="28">
        <f>A_Long_Mo[[#This Row],[ĐƠN GIÁ]]*A_Long_Mo[[#This Row],[SỐ LƯỢNG]]</f>
        <v>48703500</v>
      </c>
      <c r="I57" s="28"/>
      <c r="J57" s="28">
        <f>J56+A_Long_Mo[[#This Row],[THÀNH TIỀN]]-A_Long_Mo[[#This Row],[THANH TOÁN]]</f>
        <v>168336000</v>
      </c>
      <c r="K57" s="27"/>
    </row>
    <row r="58" spans="1:11" x14ac:dyDescent="0.25">
      <c r="A58" s="25">
        <v>9224</v>
      </c>
      <c r="B58" s="30">
        <v>46149</v>
      </c>
      <c r="C58" s="26" t="s">
        <v>13</v>
      </c>
      <c r="D58" s="38" t="s">
        <v>265</v>
      </c>
      <c r="E58" s="26" t="s">
        <v>41</v>
      </c>
      <c r="F58" s="28">
        <v>786</v>
      </c>
      <c r="G58" s="28">
        <v>68000</v>
      </c>
      <c r="H58" s="28">
        <f>A_Long_Mo[[#This Row],[ĐƠN GIÁ]]*A_Long_Mo[[#This Row],[SỐ LƯỢNG]]</f>
        <v>53448000</v>
      </c>
      <c r="I58" s="28"/>
      <c r="J58" s="28">
        <f>J57+A_Long_Mo[[#This Row],[THÀNH TIỀN]]-A_Long_Mo[[#This Row],[THANH TOÁN]]</f>
        <v>221784000</v>
      </c>
      <c r="K58" s="27"/>
    </row>
    <row r="59" spans="1:11" x14ac:dyDescent="0.25">
      <c r="A59" s="25">
        <v>9280</v>
      </c>
      <c r="B59" s="30">
        <v>46151</v>
      </c>
      <c r="C59" s="26" t="s">
        <v>13</v>
      </c>
      <c r="D59" s="38" t="s">
        <v>169</v>
      </c>
      <c r="E59" s="26" t="s">
        <v>41</v>
      </c>
      <c r="F59" s="28">
        <v>1000</v>
      </c>
      <c r="G59" s="28">
        <v>38000</v>
      </c>
      <c r="H59" s="28">
        <f>A_Long_Mo[[#This Row],[ĐƠN GIÁ]]*A_Long_Mo[[#This Row],[SỐ LƯỢNG]]</f>
        <v>38000000</v>
      </c>
      <c r="I59" s="28"/>
      <c r="J59" s="28">
        <f>J58+A_Long_Mo[[#This Row],[THÀNH TIỀN]]-A_Long_Mo[[#This Row],[THANH TOÁN]]</f>
        <v>259784000</v>
      </c>
      <c r="K59" s="27"/>
    </row>
    <row r="60" spans="1:11" x14ac:dyDescent="0.25">
      <c r="A60" s="22"/>
      <c r="B60" s="29">
        <v>46151</v>
      </c>
      <c r="C60" s="23" t="s">
        <v>21</v>
      </c>
      <c r="D60" s="37" t="s">
        <v>22</v>
      </c>
      <c r="E60" s="23" t="s">
        <v>261</v>
      </c>
      <c r="F60" s="31">
        <v>0</v>
      </c>
      <c r="G60" s="31"/>
      <c r="H60" s="31">
        <f>A_Long_Mo[[#This Row],[ĐƠN GIÁ]]*A_Long_Mo[[#This Row],[SỐ LƯỢNG]]</f>
        <v>0</v>
      </c>
      <c r="I60" s="31">
        <v>166900000</v>
      </c>
      <c r="J60" s="31">
        <f>J59+A_Long_Mo[[#This Row],[THÀNH TIỀN]]-A_Long_Mo[[#This Row],[THANH TOÁN]]</f>
        <v>92884000</v>
      </c>
      <c r="K60" s="24"/>
    </row>
    <row r="61" spans="1:11" x14ac:dyDescent="0.25">
      <c r="A61" s="22"/>
      <c r="B61" s="29">
        <v>46153</v>
      </c>
      <c r="C61" s="23" t="s">
        <v>21</v>
      </c>
      <c r="D61" s="37" t="s">
        <v>22</v>
      </c>
      <c r="E61" s="23" t="s">
        <v>261</v>
      </c>
      <c r="F61" s="31">
        <v>0</v>
      </c>
      <c r="G61" s="31"/>
      <c r="H61" s="31">
        <f>A_Long_Mo[[#This Row],[ĐƠN GIÁ]]*A_Long_Mo[[#This Row],[SỐ LƯỢNG]]</f>
        <v>0</v>
      </c>
      <c r="I61" s="31">
        <v>54519500</v>
      </c>
      <c r="J61" s="31">
        <f>J60+A_Long_Mo[[#This Row],[THÀNH TIỀN]]-A_Long_Mo[[#This Row],[THANH TOÁN]]</f>
        <v>38364500</v>
      </c>
      <c r="K61" s="24"/>
    </row>
    <row r="62" spans="1:11" x14ac:dyDescent="0.25">
      <c r="A62" s="22"/>
      <c r="B62" s="29">
        <v>46154</v>
      </c>
      <c r="C62" s="23" t="s">
        <v>21</v>
      </c>
      <c r="D62" s="37" t="s">
        <v>22</v>
      </c>
      <c r="E62" s="23" t="s">
        <v>261</v>
      </c>
      <c r="F62" s="31">
        <v>0</v>
      </c>
      <c r="G62" s="31"/>
      <c r="H62" s="31">
        <f>A_Long_Mo[[#This Row],[ĐƠN GIÁ]]*A_Long_Mo[[#This Row],[SỐ LƯỢNG]]</f>
        <v>0</v>
      </c>
      <c r="I62" s="31">
        <v>38000000</v>
      </c>
      <c r="J62" s="31">
        <f>J61+A_Long_Mo[[#This Row],[THÀNH TIỀN]]-A_Long_Mo[[#This Row],[THANH TOÁN]]</f>
        <v>364500</v>
      </c>
      <c r="K62" s="24"/>
    </row>
    <row r="63" spans="1:11" x14ac:dyDescent="0.25">
      <c r="A63" s="22">
        <v>9382</v>
      </c>
      <c r="B63" s="29">
        <v>46156</v>
      </c>
      <c r="C63" s="23" t="s">
        <v>13</v>
      </c>
      <c r="D63" s="37" t="s">
        <v>265</v>
      </c>
      <c r="E63" s="23" t="s">
        <v>41</v>
      </c>
      <c r="F63" s="31">
        <v>1010</v>
      </c>
      <c r="G63" s="31">
        <v>68500</v>
      </c>
      <c r="H63" s="31">
        <f>A_Long_Mo[[#This Row],[ĐƠN GIÁ]]*A_Long_Mo[[#This Row],[SỐ LƯỢNG]]</f>
        <v>69185000</v>
      </c>
      <c r="I63" s="31"/>
      <c r="J63" s="31">
        <f>J62+A_Long_Mo[[#This Row],[THÀNH TIỀN]]-A_Long_Mo[[#This Row],[THANH TOÁN]]</f>
        <v>69549500</v>
      </c>
      <c r="K63" s="24"/>
    </row>
    <row r="64" spans="1:11" x14ac:dyDescent="0.25">
      <c r="A64" s="22">
        <v>9382</v>
      </c>
      <c r="B64" s="29">
        <v>46156</v>
      </c>
      <c r="C64" s="23" t="s">
        <v>13</v>
      </c>
      <c r="D64" s="37" t="s">
        <v>265</v>
      </c>
      <c r="E64" s="23" t="s">
        <v>62</v>
      </c>
      <c r="F64" s="31">
        <v>964</v>
      </c>
      <c r="G64" s="31">
        <v>69500</v>
      </c>
      <c r="H64" s="31">
        <f>A_Long_Mo[[#This Row],[ĐƠN GIÁ]]*A_Long_Mo[[#This Row],[SỐ LƯỢNG]]</f>
        <v>66998000</v>
      </c>
      <c r="I64" s="31"/>
      <c r="J64" s="31">
        <f>J63+A_Long_Mo[[#This Row],[THÀNH TIỀN]]-A_Long_Mo[[#This Row],[THANH TOÁN]]</f>
        <v>136547500</v>
      </c>
      <c r="K64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12E65-70E3-4600-B2EC-49A4A2151BF3}">
  <sheetPr codeName="Sheet81"/>
  <dimension ref="A5:K73"/>
  <sheetViews>
    <sheetView topLeftCell="A47" workbookViewId="0">
      <selection activeCell="H75" sqref="H75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546156500</v>
      </c>
    </row>
    <row r="6" spans="1:11" ht="22.5" x14ac:dyDescent="0.25">
      <c r="D6" s="34" t="s">
        <v>1064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E_Tao_ND[[#This Row],[ĐƠN GIÁ]]*E_Tao_ND[[#This Row],[SỐ LƯỢNG]]</f>
        <v>0</v>
      </c>
      <c r="I10" s="31"/>
      <c r="J10" s="31">
        <v>67654500</v>
      </c>
      <c r="K10" s="24"/>
    </row>
    <row r="11" spans="1:11" x14ac:dyDescent="0.25">
      <c r="A11" s="22"/>
      <c r="B11" s="29">
        <v>46083</v>
      </c>
      <c r="C11" s="23" t="s">
        <v>21</v>
      </c>
      <c r="D11" s="37" t="s">
        <v>22</v>
      </c>
      <c r="E11" s="23" t="s">
        <v>23</v>
      </c>
      <c r="F11" s="31">
        <v>0</v>
      </c>
      <c r="G11" s="31">
        <v>0</v>
      </c>
      <c r="H11" s="31">
        <f>E_Tao_ND[[#This Row],[ĐƠN GIÁ]]*E_Tao_ND[[#This Row],[SỐ LƯỢNG]]</f>
        <v>0</v>
      </c>
      <c r="I11" s="31">
        <v>10411000</v>
      </c>
      <c r="J11" s="31">
        <f>J10+E_Tao_ND[[#This Row],[THÀNH TIỀN]]-E_Tao_ND[[#This Row],[THANH TOÁN]]</f>
        <v>57243500</v>
      </c>
      <c r="K11" s="24"/>
    </row>
    <row r="12" spans="1:11" x14ac:dyDescent="0.25">
      <c r="A12" s="22"/>
      <c r="B12" s="29">
        <v>46084</v>
      </c>
      <c r="C12" s="23" t="s">
        <v>21</v>
      </c>
      <c r="D12" s="37" t="s">
        <v>22</v>
      </c>
      <c r="E12" s="23" t="s">
        <v>23</v>
      </c>
      <c r="F12" s="31">
        <v>0</v>
      </c>
      <c r="G12" s="31">
        <v>0</v>
      </c>
      <c r="H12" s="31">
        <f>E_Tao_ND[[#This Row],[ĐƠN GIÁ]]*E_Tao_ND[[#This Row],[SỐ LƯỢNG]]</f>
        <v>0</v>
      </c>
      <c r="I12" s="31">
        <v>4930000</v>
      </c>
      <c r="J12" s="31">
        <f>J11+E_Tao_ND[[#This Row],[THÀNH TIỀN]]-E_Tao_ND[[#This Row],[THANH TOÁN]]</f>
        <v>52313500</v>
      </c>
      <c r="K12" s="24"/>
    </row>
    <row r="13" spans="1:11" x14ac:dyDescent="0.25">
      <c r="A13" s="22">
        <v>7897</v>
      </c>
      <c r="B13" s="29">
        <v>46087</v>
      </c>
      <c r="C13" s="23" t="s">
        <v>13</v>
      </c>
      <c r="D13" s="37" t="s">
        <v>317</v>
      </c>
      <c r="E13" s="23" t="s">
        <v>1065</v>
      </c>
      <c r="F13" s="31">
        <v>780</v>
      </c>
      <c r="G13" s="31">
        <v>56000</v>
      </c>
      <c r="H13" s="31">
        <f>E_Tao_ND[[#This Row],[ĐƠN GIÁ]]*E_Tao_ND[[#This Row],[SỐ LƯỢNG]]</f>
        <v>43680000</v>
      </c>
      <c r="I13" s="31"/>
      <c r="J13" s="31">
        <f>J12+E_Tao_ND[[#This Row],[THÀNH TIỀN]]-E_Tao_ND[[#This Row],[THANH TOÁN]]</f>
        <v>95993500</v>
      </c>
      <c r="K13" s="24" t="s">
        <v>128</v>
      </c>
    </row>
    <row r="14" spans="1:11" x14ac:dyDescent="0.25">
      <c r="A14" s="22">
        <v>7897</v>
      </c>
      <c r="B14" s="29">
        <v>46087</v>
      </c>
      <c r="C14" s="23" t="s">
        <v>13</v>
      </c>
      <c r="D14" s="38" t="s">
        <v>103</v>
      </c>
      <c r="E14" s="26" t="s">
        <v>1066</v>
      </c>
      <c r="F14" s="28">
        <v>1052</v>
      </c>
      <c r="G14" s="28">
        <v>35000</v>
      </c>
      <c r="H14" s="28">
        <f>E_Tao_ND[[#This Row],[ĐƠN GIÁ]]*E_Tao_ND[[#This Row],[SỐ LƯỢNG]]</f>
        <v>36820000</v>
      </c>
      <c r="I14" s="28"/>
      <c r="J14" s="31">
        <f>J13+E_Tao_ND[[#This Row],[THÀNH TIỀN]]-E_Tao_ND[[#This Row],[THANH TOÁN]]</f>
        <v>132813500</v>
      </c>
      <c r="K14" s="24" t="s">
        <v>128</v>
      </c>
    </row>
    <row r="15" spans="1:11" x14ac:dyDescent="0.25">
      <c r="A15" s="22">
        <v>7897</v>
      </c>
      <c r="B15" s="29">
        <v>46087</v>
      </c>
      <c r="C15" s="23" t="s">
        <v>13</v>
      </c>
      <c r="D15" s="38" t="s">
        <v>103</v>
      </c>
      <c r="E15" s="26" t="s">
        <v>1067</v>
      </c>
      <c r="F15" s="31">
        <v>504</v>
      </c>
      <c r="G15" s="31">
        <v>35000</v>
      </c>
      <c r="H15" s="31">
        <f>E_Tao_ND[[#This Row],[ĐƠN GIÁ]]*E_Tao_ND[[#This Row],[SỐ LƯỢNG]]</f>
        <v>17640000</v>
      </c>
      <c r="I15" s="31"/>
      <c r="J15" s="31">
        <f>J14+E_Tao_ND[[#This Row],[THÀNH TIỀN]]-E_Tao_ND[[#This Row],[THANH TOÁN]]</f>
        <v>150453500</v>
      </c>
      <c r="K15" s="24" t="s">
        <v>128</v>
      </c>
    </row>
    <row r="16" spans="1:11" ht="31.5" x14ac:dyDescent="0.25">
      <c r="A16" s="25">
        <v>7897</v>
      </c>
      <c r="B16" s="30">
        <v>46087</v>
      </c>
      <c r="C16" s="26" t="s">
        <v>13</v>
      </c>
      <c r="D16" s="50" t="s">
        <v>109</v>
      </c>
      <c r="E16" s="51" t="s">
        <v>1068</v>
      </c>
      <c r="F16" s="52">
        <v>2036</v>
      </c>
      <c r="G16" s="52">
        <v>53000</v>
      </c>
      <c r="H16" s="52">
        <f>E_Tao_ND[[#This Row],[ĐƠN GIÁ]]*E_Tao_ND[[#This Row],[SỐ LƯỢNG]]</f>
        <v>107908000</v>
      </c>
      <c r="I16" s="52"/>
      <c r="J16" s="31">
        <f>J15+E_Tao_ND[[#This Row],[THÀNH TIỀN]]-E_Tao_ND[[#This Row],[THANH TOÁN]]</f>
        <v>258361500</v>
      </c>
      <c r="K16" s="27" t="s">
        <v>128</v>
      </c>
    </row>
    <row r="17" spans="1:11" x14ac:dyDescent="0.25">
      <c r="A17" s="25">
        <v>7897</v>
      </c>
      <c r="B17" s="30">
        <v>46087</v>
      </c>
      <c r="C17" s="26" t="s">
        <v>13</v>
      </c>
      <c r="D17" s="38" t="s">
        <v>109</v>
      </c>
      <c r="E17" s="26" t="s">
        <v>1069</v>
      </c>
      <c r="F17" s="28">
        <v>1596</v>
      </c>
      <c r="G17" s="28">
        <v>53000</v>
      </c>
      <c r="H17" s="28">
        <f>E_Tao_ND[[#This Row],[ĐƠN GIÁ]]*E_Tao_ND[[#This Row],[SỐ LƯỢNG]]</f>
        <v>84588000</v>
      </c>
      <c r="I17" s="28"/>
      <c r="J17" s="28">
        <f>J16+E_Tao_ND[[#This Row],[THÀNH TIỀN]]-E_Tao_ND[[#This Row],[THANH TOÁN]]</f>
        <v>342949500</v>
      </c>
      <c r="K17" s="27" t="s">
        <v>128</v>
      </c>
    </row>
    <row r="18" spans="1:11" x14ac:dyDescent="0.25">
      <c r="A18" s="25"/>
      <c r="B18" s="30">
        <v>46087</v>
      </c>
      <c r="C18" s="26" t="s">
        <v>21</v>
      </c>
      <c r="D18" s="38" t="s">
        <v>24</v>
      </c>
      <c r="E18" s="23"/>
      <c r="F18" s="31"/>
      <c r="G18" s="31"/>
      <c r="H18" s="31">
        <f>E_Tao_ND[[#This Row],[ĐƠN GIÁ]]*E_Tao_ND[[#This Row],[SỐ LƯỢNG]]</f>
        <v>0</v>
      </c>
      <c r="I18" s="31">
        <v>180000000</v>
      </c>
      <c r="J18" s="31">
        <f>J17+E_Tao_ND[[#This Row],[THÀNH TIỀN]]-E_Tao_ND[[#This Row],[THANH TOÁN]]</f>
        <v>162949500</v>
      </c>
      <c r="K18" s="27"/>
    </row>
    <row r="19" spans="1:11" x14ac:dyDescent="0.25">
      <c r="A19" s="25"/>
      <c r="B19" s="30">
        <v>46087</v>
      </c>
      <c r="C19" s="26" t="s">
        <v>21</v>
      </c>
      <c r="D19" s="38" t="s">
        <v>22</v>
      </c>
      <c r="E19" s="23" t="s">
        <v>23</v>
      </c>
      <c r="F19" s="31">
        <v>0</v>
      </c>
      <c r="G19" s="31">
        <v>0</v>
      </c>
      <c r="H19" s="31">
        <f>E_Tao_ND[[#This Row],[ĐƠN GIÁ]]*E_Tao_ND[[#This Row],[SỐ LƯỢNG]]</f>
        <v>0</v>
      </c>
      <c r="I19" s="31">
        <v>13350000</v>
      </c>
      <c r="J19" s="31">
        <f>J18+E_Tao_ND[[#This Row],[THÀNH TIỀN]]-E_Tao_ND[[#This Row],[THANH TOÁN]]</f>
        <v>149599500</v>
      </c>
      <c r="K19" s="27"/>
    </row>
    <row r="20" spans="1:11" x14ac:dyDescent="0.25">
      <c r="A20" s="25"/>
      <c r="B20" s="30">
        <v>46091</v>
      </c>
      <c r="C20" s="26" t="s">
        <v>21</v>
      </c>
      <c r="D20" s="38" t="s">
        <v>22</v>
      </c>
      <c r="E20" s="23" t="s">
        <v>23</v>
      </c>
      <c r="F20" s="31">
        <v>0</v>
      </c>
      <c r="G20" s="31">
        <v>0</v>
      </c>
      <c r="H20" s="31">
        <f>E_Tao_ND[[#This Row],[ĐƠN GIÁ]]*E_Tao_ND[[#This Row],[SỐ LƯỢNG]]</f>
        <v>0</v>
      </c>
      <c r="I20" s="31">
        <v>8420000</v>
      </c>
      <c r="J20" s="31">
        <f>J19+E_Tao_ND[[#This Row],[THÀNH TIỀN]]-E_Tao_ND[[#This Row],[THANH TOÁN]]</f>
        <v>141179500</v>
      </c>
      <c r="K20" s="27"/>
    </row>
    <row r="21" spans="1:11" x14ac:dyDescent="0.25">
      <c r="A21" s="25">
        <v>8032</v>
      </c>
      <c r="B21" s="30">
        <v>46093</v>
      </c>
      <c r="C21" s="26" t="s">
        <v>13</v>
      </c>
      <c r="D21" s="38" t="s">
        <v>68</v>
      </c>
      <c r="E21" s="23" t="s">
        <v>1070</v>
      </c>
      <c r="F21" s="31">
        <v>308</v>
      </c>
      <c r="G21" s="31">
        <v>41000</v>
      </c>
      <c r="H21" s="31">
        <f>E_Tao_ND[[#This Row],[ĐƠN GIÁ]]*E_Tao_ND[[#This Row],[SỐ LƯỢNG]]</f>
        <v>12628000</v>
      </c>
      <c r="I21" s="31"/>
      <c r="J21" s="31">
        <f>J20+E_Tao_ND[[#This Row],[THÀNH TIỀN]]-E_Tao_ND[[#This Row],[THANH TOÁN]]</f>
        <v>153807500</v>
      </c>
      <c r="K21" s="27" t="s">
        <v>128</v>
      </c>
    </row>
    <row r="22" spans="1:11" x14ac:dyDescent="0.25">
      <c r="A22" s="25">
        <v>8032</v>
      </c>
      <c r="B22" s="30">
        <v>46093</v>
      </c>
      <c r="C22" s="26" t="s">
        <v>13</v>
      </c>
      <c r="D22" s="38" t="s">
        <v>68</v>
      </c>
      <c r="E22" s="23" t="s">
        <v>1071</v>
      </c>
      <c r="F22" s="31">
        <v>492</v>
      </c>
      <c r="G22" s="31">
        <v>41000</v>
      </c>
      <c r="H22" s="31">
        <f>E_Tao_ND[[#This Row],[ĐƠN GIÁ]]*E_Tao_ND[[#This Row],[SỐ LƯỢNG]]</f>
        <v>20172000</v>
      </c>
      <c r="I22" s="31"/>
      <c r="J22" s="31">
        <f>J21+E_Tao_ND[[#This Row],[THÀNH TIỀN]]-E_Tao_ND[[#This Row],[THANH TOÁN]]</f>
        <v>173979500</v>
      </c>
      <c r="K22" s="27" t="s">
        <v>128</v>
      </c>
    </row>
    <row r="23" spans="1:11" x14ac:dyDescent="0.25">
      <c r="A23" s="25">
        <v>8032</v>
      </c>
      <c r="B23" s="30">
        <v>46093</v>
      </c>
      <c r="C23" s="26" t="s">
        <v>13</v>
      </c>
      <c r="D23" s="37" t="s">
        <v>68</v>
      </c>
      <c r="E23" s="23" t="s">
        <v>161</v>
      </c>
      <c r="F23" s="31">
        <v>628</v>
      </c>
      <c r="G23" s="31">
        <v>40000</v>
      </c>
      <c r="H23" s="31">
        <f>E_Tao_ND[[#This Row],[ĐƠN GIÁ]]*E_Tao_ND[[#This Row],[SỐ LƯỢNG]]</f>
        <v>25120000</v>
      </c>
      <c r="I23" s="31"/>
      <c r="J23" s="31">
        <f>J22+E_Tao_ND[[#This Row],[THÀNH TIỀN]]-E_Tao_ND[[#This Row],[THANH TOÁN]]</f>
        <v>199099500</v>
      </c>
      <c r="K23" s="27" t="s">
        <v>128</v>
      </c>
    </row>
    <row r="24" spans="1:11" x14ac:dyDescent="0.25">
      <c r="A24" s="25">
        <v>8032</v>
      </c>
      <c r="B24" s="30">
        <v>46093</v>
      </c>
      <c r="C24" s="26" t="s">
        <v>13</v>
      </c>
      <c r="D24" s="38" t="s">
        <v>68</v>
      </c>
      <c r="E24" s="26" t="s">
        <v>1072</v>
      </c>
      <c r="F24" s="28">
        <v>508</v>
      </c>
      <c r="G24" s="28">
        <v>36000</v>
      </c>
      <c r="H24" s="28">
        <f>E_Tao_ND[[#This Row],[ĐƠN GIÁ]]*E_Tao_ND[[#This Row],[SỐ LƯỢNG]]</f>
        <v>18288000</v>
      </c>
      <c r="I24" s="28"/>
      <c r="J24" s="28">
        <f>J23+E_Tao_ND[[#This Row],[THÀNH TIỀN]]-E_Tao_ND[[#This Row],[THANH TOÁN]]</f>
        <v>217387500</v>
      </c>
      <c r="K24" s="27" t="s">
        <v>128</v>
      </c>
    </row>
    <row r="25" spans="1:11" x14ac:dyDescent="0.25">
      <c r="A25" s="25">
        <v>8032</v>
      </c>
      <c r="B25" s="30">
        <v>46093</v>
      </c>
      <c r="C25" s="26" t="s">
        <v>13</v>
      </c>
      <c r="D25" s="38" t="s">
        <v>68</v>
      </c>
      <c r="E25" s="26" t="s">
        <v>1073</v>
      </c>
      <c r="F25" s="28">
        <v>1048</v>
      </c>
      <c r="G25" s="28">
        <v>36000</v>
      </c>
      <c r="H25" s="28">
        <f>E_Tao_ND[[#This Row],[ĐƠN GIÁ]]*E_Tao_ND[[#This Row],[SỐ LƯỢNG]]</f>
        <v>37728000</v>
      </c>
      <c r="I25" s="28"/>
      <c r="J25" s="28">
        <f>J24+E_Tao_ND[[#This Row],[THÀNH TIỀN]]-E_Tao_ND[[#This Row],[THANH TOÁN]]</f>
        <v>255115500</v>
      </c>
      <c r="K25" s="27" t="s">
        <v>128</v>
      </c>
    </row>
    <row r="26" spans="1:11" ht="31.5" x14ac:dyDescent="0.25">
      <c r="A26" s="25">
        <v>8032</v>
      </c>
      <c r="B26" s="30">
        <v>46093</v>
      </c>
      <c r="C26" s="26" t="s">
        <v>13</v>
      </c>
      <c r="D26" s="38" t="s">
        <v>109</v>
      </c>
      <c r="E26" s="67" t="s">
        <v>1074</v>
      </c>
      <c r="F26" s="28">
        <v>1386</v>
      </c>
      <c r="G26" s="28">
        <v>55000</v>
      </c>
      <c r="H26" s="28">
        <f>E_Tao_ND[[#This Row],[ĐƠN GIÁ]]*E_Tao_ND[[#This Row],[SỐ LƯỢNG]]</f>
        <v>76230000</v>
      </c>
      <c r="I26" s="28"/>
      <c r="J26" s="28">
        <f>J25+E_Tao_ND[[#This Row],[THÀNH TIỀN]]-E_Tao_ND[[#This Row],[THANH TOÁN]]</f>
        <v>331345500</v>
      </c>
      <c r="K26" s="27" t="s">
        <v>128</v>
      </c>
    </row>
    <row r="27" spans="1:11" x14ac:dyDescent="0.25">
      <c r="A27" s="25">
        <v>8032</v>
      </c>
      <c r="B27" s="30">
        <v>46093</v>
      </c>
      <c r="C27" s="26" t="s">
        <v>13</v>
      </c>
      <c r="D27" s="38" t="s">
        <v>150</v>
      </c>
      <c r="E27" s="26" t="s">
        <v>1075</v>
      </c>
      <c r="F27" s="28">
        <v>1856</v>
      </c>
      <c r="G27" s="28">
        <v>33000</v>
      </c>
      <c r="H27" s="28">
        <f>E_Tao_ND[[#This Row],[ĐƠN GIÁ]]*E_Tao_ND[[#This Row],[SỐ LƯỢNG]]</f>
        <v>61248000</v>
      </c>
      <c r="I27" s="28"/>
      <c r="J27" s="28">
        <f>J26+E_Tao_ND[[#This Row],[THÀNH TIỀN]]-E_Tao_ND[[#This Row],[THANH TOÁN]]</f>
        <v>392593500</v>
      </c>
      <c r="K27" s="27" t="s">
        <v>128</v>
      </c>
    </row>
    <row r="28" spans="1:11" x14ac:dyDescent="0.25">
      <c r="A28" s="25">
        <v>8032</v>
      </c>
      <c r="B28" s="30">
        <v>46093</v>
      </c>
      <c r="C28" s="26" t="s">
        <v>13</v>
      </c>
      <c r="D28" s="38" t="s">
        <v>50</v>
      </c>
      <c r="E28" s="26" t="s">
        <v>117</v>
      </c>
      <c r="F28" s="28">
        <v>784</v>
      </c>
      <c r="G28" s="28">
        <v>56000</v>
      </c>
      <c r="H28" s="28">
        <f>E_Tao_ND[[#This Row],[ĐƠN GIÁ]]*E_Tao_ND[[#This Row],[SỐ LƯỢNG]]</f>
        <v>43904000</v>
      </c>
      <c r="I28" s="28"/>
      <c r="J28" s="28">
        <f>J27+E_Tao_ND[[#This Row],[THÀNH TIỀN]]-E_Tao_ND[[#This Row],[THANH TOÁN]]</f>
        <v>436497500</v>
      </c>
      <c r="K28" s="27" t="s">
        <v>128</v>
      </c>
    </row>
    <row r="29" spans="1:11" x14ac:dyDescent="0.25">
      <c r="A29" s="25"/>
      <c r="B29" s="30">
        <v>46094</v>
      </c>
      <c r="C29" s="26" t="s">
        <v>21</v>
      </c>
      <c r="D29" s="38" t="s">
        <v>22</v>
      </c>
      <c r="E29" s="26" t="s">
        <v>23</v>
      </c>
      <c r="F29" s="28">
        <v>0</v>
      </c>
      <c r="G29" s="28">
        <v>0</v>
      </c>
      <c r="H29" s="28">
        <f>E_Tao_ND[[#This Row],[ĐƠN GIÁ]]*E_Tao_ND[[#This Row],[SỐ LƯỢNG]]</f>
        <v>0</v>
      </c>
      <c r="I29" s="28">
        <v>50000000</v>
      </c>
      <c r="J29" s="28">
        <f>J28+E_Tao_ND[[#This Row],[THÀNH TIỀN]]-E_Tao_ND[[#This Row],[THANH TOÁN]]</f>
        <v>386497500</v>
      </c>
      <c r="K29" s="27"/>
    </row>
    <row r="30" spans="1:11" x14ac:dyDescent="0.25">
      <c r="A30" s="25"/>
      <c r="B30" s="30">
        <v>46098</v>
      </c>
      <c r="C30" s="26" t="s">
        <v>21</v>
      </c>
      <c r="D30" s="38" t="s">
        <v>22</v>
      </c>
      <c r="E30" s="26" t="s">
        <v>23</v>
      </c>
      <c r="F30" s="28">
        <v>0</v>
      </c>
      <c r="G30" s="28">
        <v>0</v>
      </c>
      <c r="H30" s="28">
        <f>E_Tao_ND[[#This Row],[ĐƠN GIÁ]]*E_Tao_ND[[#This Row],[SỐ LƯỢNG]]</f>
        <v>0</v>
      </c>
      <c r="I30" s="28">
        <v>23400000</v>
      </c>
      <c r="J30" s="28">
        <f>J29+E_Tao_ND[[#This Row],[THÀNH TIỀN]]-E_Tao_ND[[#This Row],[THANH TOÁN]]</f>
        <v>363097500</v>
      </c>
      <c r="K30" s="27"/>
    </row>
    <row r="31" spans="1:11" x14ac:dyDescent="0.25">
      <c r="A31" s="25"/>
      <c r="B31" s="30">
        <v>46100</v>
      </c>
      <c r="C31" s="26" t="s">
        <v>21</v>
      </c>
      <c r="D31" s="38" t="s">
        <v>22</v>
      </c>
      <c r="E31" s="26" t="s">
        <v>23</v>
      </c>
      <c r="F31" s="28">
        <v>0</v>
      </c>
      <c r="G31" s="28">
        <v>0</v>
      </c>
      <c r="H31" s="28">
        <f>E_Tao_ND[[#This Row],[ĐƠN GIÁ]]*E_Tao_ND[[#This Row],[SỐ LƯỢNG]]</f>
        <v>0</v>
      </c>
      <c r="I31" s="28">
        <v>4920000</v>
      </c>
      <c r="J31" s="28">
        <f>J30+E_Tao_ND[[#This Row],[THÀNH TIỀN]]-E_Tao_ND[[#This Row],[THANH TOÁN]]</f>
        <v>358177500</v>
      </c>
      <c r="K31" s="27"/>
    </row>
    <row r="32" spans="1:11" x14ac:dyDescent="0.25">
      <c r="A32" s="25"/>
      <c r="B32" s="30">
        <v>46101</v>
      </c>
      <c r="C32" s="26" t="s">
        <v>21</v>
      </c>
      <c r="D32" s="38" t="s">
        <v>22</v>
      </c>
      <c r="E32" s="26" t="s">
        <v>23</v>
      </c>
      <c r="F32" s="28">
        <v>0</v>
      </c>
      <c r="G32" s="28">
        <v>0</v>
      </c>
      <c r="H32" s="28">
        <f>E_Tao_ND[[#This Row],[ĐƠN GIÁ]]*E_Tao_ND[[#This Row],[SỐ LƯỢNG]]</f>
        <v>0</v>
      </c>
      <c r="I32" s="28">
        <v>25700000</v>
      </c>
      <c r="J32" s="28">
        <f>J31+E_Tao_ND[[#This Row],[THÀNH TIỀN]]-E_Tao_ND[[#This Row],[THANH TOÁN]]</f>
        <v>332477500</v>
      </c>
      <c r="K32" s="27"/>
    </row>
    <row r="33" spans="1:11" x14ac:dyDescent="0.25">
      <c r="A33" s="25"/>
      <c r="B33" s="30">
        <v>46101</v>
      </c>
      <c r="C33" s="26" t="s">
        <v>21</v>
      </c>
      <c r="D33" s="38" t="s">
        <v>22</v>
      </c>
      <c r="E33" s="26" t="s">
        <v>23</v>
      </c>
      <c r="F33" s="28">
        <v>0</v>
      </c>
      <c r="G33" s="28">
        <v>0</v>
      </c>
      <c r="H33" s="28">
        <f>E_Tao_ND[[#This Row],[ĐƠN GIÁ]]*E_Tao_ND[[#This Row],[SỐ LƯỢNG]]</f>
        <v>0</v>
      </c>
      <c r="I33" s="28">
        <v>100000000</v>
      </c>
      <c r="J33" s="28">
        <f>J32+E_Tao_ND[[#This Row],[THÀNH TIỀN]]-E_Tao_ND[[#This Row],[THANH TOÁN]]</f>
        <v>232477500</v>
      </c>
      <c r="K33" s="27"/>
    </row>
    <row r="34" spans="1:11" x14ac:dyDescent="0.25">
      <c r="A34" s="25"/>
      <c r="B34" s="30">
        <v>46102</v>
      </c>
      <c r="C34" s="26" t="s">
        <v>21</v>
      </c>
      <c r="D34" s="38" t="s">
        <v>22</v>
      </c>
      <c r="E34" s="26" t="s">
        <v>23</v>
      </c>
      <c r="F34" s="28">
        <v>0</v>
      </c>
      <c r="G34" s="28">
        <v>0</v>
      </c>
      <c r="H34" s="28">
        <f>E_Tao_ND[[#This Row],[ĐƠN GIÁ]]*E_Tao_ND[[#This Row],[SỐ LƯỢNG]]</f>
        <v>0</v>
      </c>
      <c r="I34" s="28">
        <v>22600000</v>
      </c>
      <c r="J34" s="28">
        <f>J33+E_Tao_ND[[#This Row],[THÀNH TIỀN]]-E_Tao_ND[[#This Row],[THANH TOÁN]]</f>
        <v>209877500</v>
      </c>
      <c r="K34" s="27"/>
    </row>
    <row r="35" spans="1:11" x14ac:dyDescent="0.25">
      <c r="A35" s="25">
        <v>8247</v>
      </c>
      <c r="B35" s="30">
        <v>46105</v>
      </c>
      <c r="C35" s="26" t="s">
        <v>13</v>
      </c>
      <c r="D35" s="38" t="s">
        <v>17</v>
      </c>
      <c r="E35" s="26" t="s">
        <v>369</v>
      </c>
      <c r="F35" s="28">
        <v>1376</v>
      </c>
      <c r="G35" s="28">
        <v>59000</v>
      </c>
      <c r="H35" s="28">
        <f>E_Tao_ND[[#This Row],[ĐƠN GIÁ]]*E_Tao_ND[[#This Row],[SỐ LƯỢNG]]</f>
        <v>81184000</v>
      </c>
      <c r="I35" s="28"/>
      <c r="J35" s="28">
        <f>J34+E_Tao_ND[[#This Row],[THÀNH TIỀN]]-E_Tao_ND[[#This Row],[THANH TOÁN]]</f>
        <v>291061500</v>
      </c>
      <c r="K35" s="27"/>
    </row>
    <row r="36" spans="1:11" x14ac:dyDescent="0.25">
      <c r="A36" s="25"/>
      <c r="B36" s="30">
        <v>46105</v>
      </c>
      <c r="C36" s="26" t="s">
        <v>21</v>
      </c>
      <c r="D36" s="38" t="s">
        <v>22</v>
      </c>
      <c r="E36" s="26" t="s">
        <v>23</v>
      </c>
      <c r="F36" s="28">
        <v>0</v>
      </c>
      <c r="G36" s="28">
        <v>0</v>
      </c>
      <c r="H36" s="28">
        <f>E_Tao_ND[[#This Row],[ĐƠN GIÁ]]*E_Tao_ND[[#This Row],[SỐ LƯỢNG]]</f>
        <v>0</v>
      </c>
      <c r="I36" s="28">
        <v>70000000</v>
      </c>
      <c r="J36" s="28">
        <f>J35+E_Tao_ND[[#This Row],[THÀNH TIỀN]]-E_Tao_ND[[#This Row],[THANH TOÁN]]</f>
        <v>221061500</v>
      </c>
      <c r="K36" s="27"/>
    </row>
    <row r="37" spans="1:11" x14ac:dyDescent="0.25">
      <c r="A37" s="25"/>
      <c r="B37" s="30">
        <v>46106</v>
      </c>
      <c r="C37" s="26" t="s">
        <v>21</v>
      </c>
      <c r="D37" s="38" t="s">
        <v>22</v>
      </c>
      <c r="E37" s="26" t="s">
        <v>23</v>
      </c>
      <c r="F37" s="28">
        <v>0</v>
      </c>
      <c r="G37" s="28">
        <v>0</v>
      </c>
      <c r="H37" s="28">
        <f>E_Tao_ND[[#This Row],[ĐƠN GIÁ]]*E_Tao_ND[[#This Row],[SỐ LƯỢNG]]</f>
        <v>0</v>
      </c>
      <c r="I37" s="28">
        <v>70000000</v>
      </c>
      <c r="J37" s="28">
        <f>J36+E_Tao_ND[[#This Row],[THÀNH TIỀN]]-E_Tao_ND[[#This Row],[THANH TOÁN]]</f>
        <v>151061500</v>
      </c>
      <c r="K37" s="27"/>
    </row>
    <row r="38" spans="1:11" x14ac:dyDescent="0.25">
      <c r="A38" s="25"/>
      <c r="B38" s="30">
        <v>46111</v>
      </c>
      <c r="C38" s="26" t="s">
        <v>21</v>
      </c>
      <c r="D38" s="38" t="s">
        <v>22</v>
      </c>
      <c r="E38" s="26" t="s">
        <v>23</v>
      </c>
      <c r="F38" s="28">
        <v>0</v>
      </c>
      <c r="G38" s="28">
        <v>0</v>
      </c>
      <c r="H38" s="28">
        <f>E_Tao_ND[[#This Row],[ĐƠN GIÁ]]*E_Tao_ND[[#This Row],[SỐ LƯỢNG]]</f>
        <v>0</v>
      </c>
      <c r="I38" s="28">
        <v>42800000</v>
      </c>
      <c r="J38" s="28">
        <f>J37+E_Tao_ND[[#This Row],[THÀNH TIỀN]]-E_Tao_ND[[#This Row],[THANH TOÁN]]</f>
        <v>108261500</v>
      </c>
      <c r="K38" s="27"/>
    </row>
    <row r="39" spans="1:11" x14ac:dyDescent="0.25">
      <c r="A39" s="25"/>
      <c r="B39" s="30">
        <v>46112</v>
      </c>
      <c r="C39" s="26" t="s">
        <v>21</v>
      </c>
      <c r="D39" s="38" t="s">
        <v>22</v>
      </c>
      <c r="E39" s="26" t="s">
        <v>23</v>
      </c>
      <c r="F39" s="28">
        <v>0</v>
      </c>
      <c r="G39" s="28">
        <v>0</v>
      </c>
      <c r="H39" s="28">
        <f>E_Tao_ND[[#This Row],[ĐƠN GIÁ]]*E_Tao_ND[[#This Row],[SỐ LƯỢNG]]</f>
        <v>0</v>
      </c>
      <c r="I39" s="28">
        <v>6090000</v>
      </c>
      <c r="J39" s="28">
        <f>J38+E_Tao_ND[[#This Row],[THÀNH TIỀN]]-E_Tao_ND[[#This Row],[THANH TOÁN]]</f>
        <v>102171500</v>
      </c>
      <c r="K39" s="27"/>
    </row>
    <row r="40" spans="1:11" x14ac:dyDescent="0.25">
      <c r="A40" s="22">
        <v>8467</v>
      </c>
      <c r="B40" s="29">
        <v>46113</v>
      </c>
      <c r="C40" s="23" t="s">
        <v>13</v>
      </c>
      <c r="D40" s="37" t="s">
        <v>50</v>
      </c>
      <c r="E40" s="23" t="s">
        <v>122</v>
      </c>
      <c r="F40" s="31">
        <v>1020</v>
      </c>
      <c r="G40" s="31">
        <v>55000</v>
      </c>
      <c r="H40" s="31">
        <f>E_Tao_ND[[#This Row],[ĐƠN GIÁ]]*E_Tao_ND[[#This Row],[SỐ LƯỢNG]]</f>
        <v>56100000</v>
      </c>
      <c r="I40" s="31"/>
      <c r="J40" s="31">
        <f>J39+E_Tao_ND[[#This Row],[THÀNH TIỀN]]-E_Tao_ND[[#This Row],[THANH TOÁN]]</f>
        <v>158271500</v>
      </c>
      <c r="K40" s="24"/>
    </row>
    <row r="41" spans="1:11" x14ac:dyDescent="0.25">
      <c r="A41" s="22"/>
      <c r="B41" s="29">
        <v>46113</v>
      </c>
      <c r="C41" s="23" t="s">
        <v>21</v>
      </c>
      <c r="D41" s="37" t="s">
        <v>24</v>
      </c>
      <c r="E41" s="23"/>
      <c r="F41" s="31">
        <v>0</v>
      </c>
      <c r="G41" s="31"/>
      <c r="H41" s="31">
        <f>E_Tao_ND[[#This Row],[ĐƠN GIÁ]]*E_Tao_ND[[#This Row],[SỐ LƯỢNG]]</f>
        <v>0</v>
      </c>
      <c r="I41" s="31">
        <v>56100000</v>
      </c>
      <c r="J41" s="31">
        <f>J40+E_Tao_ND[[#This Row],[THÀNH TIỀN]]-E_Tao_ND[[#This Row],[THANH TOÁN]]</f>
        <v>102171500</v>
      </c>
      <c r="K41" s="24"/>
    </row>
    <row r="42" spans="1:11" x14ac:dyDescent="0.25">
      <c r="A42" s="22"/>
      <c r="B42" s="29">
        <v>46119</v>
      </c>
      <c r="C42" s="23" t="s">
        <v>21</v>
      </c>
      <c r="D42" s="37" t="s">
        <v>22</v>
      </c>
      <c r="E42" s="23" t="s">
        <v>2067</v>
      </c>
      <c r="F42" s="31">
        <v>0</v>
      </c>
      <c r="G42" s="31"/>
      <c r="H42" s="31">
        <f>E_Tao_ND[[#This Row],[ĐƠN GIÁ]]*E_Tao_ND[[#This Row],[SỐ LƯỢNG]]</f>
        <v>0</v>
      </c>
      <c r="I42" s="31">
        <v>37700000</v>
      </c>
      <c r="J42" s="31">
        <f>J41+E_Tao_ND[[#This Row],[THÀNH TIỀN]]-E_Tao_ND[[#This Row],[THANH TOÁN]]</f>
        <v>64471500</v>
      </c>
      <c r="K42" s="24"/>
    </row>
    <row r="43" spans="1:11" x14ac:dyDescent="0.25">
      <c r="A43" s="22"/>
      <c r="B43" s="29">
        <v>46120</v>
      </c>
      <c r="C43" s="23" t="s">
        <v>21</v>
      </c>
      <c r="D43" s="37" t="s">
        <v>22</v>
      </c>
      <c r="E43" s="23" t="s">
        <v>2067</v>
      </c>
      <c r="F43" s="31">
        <v>0</v>
      </c>
      <c r="G43" s="31"/>
      <c r="H43" s="31">
        <f>E_Tao_ND[[#This Row],[ĐƠN GIÁ]]*E_Tao_ND[[#This Row],[SỐ LƯỢNG]]</f>
        <v>0</v>
      </c>
      <c r="I43" s="31">
        <v>30000000</v>
      </c>
      <c r="J43" s="31">
        <f>J42+E_Tao_ND[[#This Row],[THÀNH TIỀN]]-E_Tao_ND[[#This Row],[THANH TOÁN]]</f>
        <v>34471500</v>
      </c>
      <c r="K43" s="24"/>
    </row>
    <row r="44" spans="1:11" x14ac:dyDescent="0.25">
      <c r="A44" s="22">
        <v>8655</v>
      </c>
      <c r="B44" s="29">
        <v>46121</v>
      </c>
      <c r="C44" s="23" t="s">
        <v>13</v>
      </c>
      <c r="D44" s="37" t="s">
        <v>103</v>
      </c>
      <c r="E44" s="23" t="s">
        <v>191</v>
      </c>
      <c r="F44" s="31">
        <v>1050</v>
      </c>
      <c r="G44" s="31">
        <v>35500</v>
      </c>
      <c r="H44" s="31">
        <f>E_Tao_ND[[#This Row],[ĐƠN GIÁ]]*E_Tao_ND[[#This Row],[SỐ LƯỢNG]]</f>
        <v>37275000</v>
      </c>
      <c r="I44" s="31"/>
      <c r="J44" s="31">
        <f>J43+E_Tao_ND[[#This Row],[THÀNH TIỀN]]-E_Tao_ND[[#This Row],[THANH TOÁN]]</f>
        <v>71746500</v>
      </c>
      <c r="K44" s="24"/>
    </row>
    <row r="45" spans="1:11" x14ac:dyDescent="0.25">
      <c r="A45" s="22">
        <v>8655</v>
      </c>
      <c r="B45" s="29">
        <v>46121</v>
      </c>
      <c r="C45" s="23" t="s">
        <v>13</v>
      </c>
      <c r="D45" s="37" t="s">
        <v>103</v>
      </c>
      <c r="E45" s="23" t="s">
        <v>228</v>
      </c>
      <c r="F45" s="31">
        <v>1022</v>
      </c>
      <c r="G45" s="31">
        <v>35500</v>
      </c>
      <c r="H45" s="31">
        <f>E_Tao_ND[[#This Row],[ĐƠN GIÁ]]*E_Tao_ND[[#This Row],[SỐ LƯỢNG]]</f>
        <v>36281000</v>
      </c>
      <c r="I45" s="31"/>
      <c r="J45" s="31">
        <f>J44+E_Tao_ND[[#This Row],[THÀNH TIỀN]]-E_Tao_ND[[#This Row],[THANH TOÁN]]</f>
        <v>108027500</v>
      </c>
      <c r="K45" s="24"/>
    </row>
    <row r="46" spans="1:11" x14ac:dyDescent="0.25">
      <c r="A46" s="22">
        <v>8655</v>
      </c>
      <c r="B46" s="29">
        <v>46121</v>
      </c>
      <c r="C46" s="23" t="s">
        <v>13</v>
      </c>
      <c r="D46" s="37" t="s">
        <v>103</v>
      </c>
      <c r="E46" s="23" t="s">
        <v>73</v>
      </c>
      <c r="F46" s="31">
        <v>108</v>
      </c>
      <c r="G46" s="31">
        <v>35500</v>
      </c>
      <c r="H46" s="31">
        <f>E_Tao_ND[[#This Row],[ĐƠN GIÁ]]*E_Tao_ND[[#This Row],[SỐ LƯỢNG]]</f>
        <v>3834000</v>
      </c>
      <c r="I46" s="31"/>
      <c r="J46" s="31">
        <f>J45+E_Tao_ND[[#This Row],[THÀNH TIỀN]]-E_Tao_ND[[#This Row],[THANH TOÁN]]</f>
        <v>111861500</v>
      </c>
      <c r="K46" s="24"/>
    </row>
    <row r="47" spans="1:11" x14ac:dyDescent="0.25">
      <c r="A47" s="22"/>
      <c r="B47" s="29">
        <v>46125</v>
      </c>
      <c r="C47" s="23" t="s">
        <v>21</v>
      </c>
      <c r="D47" s="37" t="s">
        <v>22</v>
      </c>
      <c r="E47" s="23" t="s">
        <v>726</v>
      </c>
      <c r="F47" s="31">
        <v>0</v>
      </c>
      <c r="G47" s="31"/>
      <c r="H47" s="31">
        <f>E_Tao_ND[[#This Row],[ĐƠN GIÁ]]*E_Tao_ND[[#This Row],[SỐ LƯỢNG]]</f>
        <v>0</v>
      </c>
      <c r="I47" s="31">
        <v>20000000</v>
      </c>
      <c r="J47" s="31">
        <f>J46+E_Tao_ND[[#This Row],[THÀNH TIỀN]]-E_Tao_ND[[#This Row],[THANH TOÁN]]</f>
        <v>91861500</v>
      </c>
      <c r="K47" s="24"/>
    </row>
    <row r="48" spans="1:11" x14ac:dyDescent="0.25">
      <c r="A48" s="22"/>
      <c r="B48" s="29">
        <v>46125</v>
      </c>
      <c r="C48" s="23" t="s">
        <v>21</v>
      </c>
      <c r="D48" s="37" t="s">
        <v>22</v>
      </c>
      <c r="E48" s="23" t="s">
        <v>726</v>
      </c>
      <c r="F48" s="31">
        <v>0</v>
      </c>
      <c r="G48" s="31"/>
      <c r="H48" s="31">
        <f>E_Tao_ND[[#This Row],[ĐƠN GIÁ]]*E_Tao_ND[[#This Row],[SỐ LƯỢNG]]</f>
        <v>0</v>
      </c>
      <c r="I48" s="31">
        <v>25000000</v>
      </c>
      <c r="J48" s="31">
        <f>J47+E_Tao_ND[[#This Row],[THÀNH TIỀN]]-E_Tao_ND[[#This Row],[THANH TOÁN]]</f>
        <v>66861500</v>
      </c>
      <c r="K48" s="24"/>
    </row>
    <row r="49" spans="1:11" x14ac:dyDescent="0.25">
      <c r="A49" s="22"/>
      <c r="B49" s="29">
        <v>46125</v>
      </c>
      <c r="C49" s="23" t="s">
        <v>21</v>
      </c>
      <c r="D49" s="37" t="s">
        <v>22</v>
      </c>
      <c r="E49" s="23" t="s">
        <v>726</v>
      </c>
      <c r="F49" s="31">
        <v>0</v>
      </c>
      <c r="G49" s="31"/>
      <c r="H49" s="31">
        <f>E_Tao_ND[[#This Row],[ĐƠN GIÁ]]*E_Tao_ND[[#This Row],[SỐ LƯỢNG]]</f>
        <v>0</v>
      </c>
      <c r="I49" s="31">
        <v>60000000</v>
      </c>
      <c r="J49" s="31">
        <f>J48+E_Tao_ND[[#This Row],[THÀNH TIỀN]]-E_Tao_ND[[#This Row],[THANH TOÁN]]</f>
        <v>6861500</v>
      </c>
      <c r="K49" s="24"/>
    </row>
    <row r="50" spans="1:11" x14ac:dyDescent="0.25">
      <c r="A50" s="22"/>
      <c r="B50" s="29">
        <v>46125</v>
      </c>
      <c r="C50" s="23" t="s">
        <v>21</v>
      </c>
      <c r="D50" s="37" t="s">
        <v>22</v>
      </c>
      <c r="E50" s="23" t="s">
        <v>2067</v>
      </c>
      <c r="F50" s="31">
        <v>0</v>
      </c>
      <c r="G50" s="31"/>
      <c r="H50" s="31">
        <f>E_Tao_ND[[#This Row],[ĐƠN GIÁ]]*E_Tao_ND[[#This Row],[SỐ LƯỢNG]]</f>
        <v>0</v>
      </c>
      <c r="I50" s="31">
        <v>5000000</v>
      </c>
      <c r="J50" s="31">
        <f>J49+E_Tao_ND[[#This Row],[THÀNH TIỀN]]-E_Tao_ND[[#This Row],[THANH TOÁN]]</f>
        <v>1861500</v>
      </c>
      <c r="K50" s="24"/>
    </row>
    <row r="51" spans="1:11" x14ac:dyDescent="0.25">
      <c r="A51" s="22"/>
      <c r="B51" s="29">
        <v>46125</v>
      </c>
      <c r="C51" s="23" t="s">
        <v>21</v>
      </c>
      <c r="D51" s="37" t="s">
        <v>22</v>
      </c>
      <c r="E51" s="23" t="s">
        <v>2259</v>
      </c>
      <c r="F51" s="31">
        <v>0</v>
      </c>
      <c r="G51" s="31"/>
      <c r="H51" s="31">
        <f>E_Tao_ND[[#This Row],[ĐƠN GIÁ]]*E_Tao_ND[[#This Row],[SỐ LƯỢNG]]</f>
        <v>0</v>
      </c>
      <c r="I51" s="31">
        <v>7300000</v>
      </c>
      <c r="J51" s="31">
        <f>J50+E_Tao_ND[[#This Row],[THÀNH TIỀN]]-E_Tao_ND[[#This Row],[THANH TOÁN]]</f>
        <v>-5438500</v>
      </c>
      <c r="K51" s="24"/>
    </row>
    <row r="52" spans="1:11" x14ac:dyDescent="0.25">
      <c r="A52" s="22">
        <v>8819</v>
      </c>
      <c r="B52" s="29">
        <v>46128</v>
      </c>
      <c r="C52" s="23" t="s">
        <v>13</v>
      </c>
      <c r="D52" s="37" t="s">
        <v>109</v>
      </c>
      <c r="E52" s="23" t="s">
        <v>73</v>
      </c>
      <c r="F52" s="31">
        <v>1100</v>
      </c>
      <c r="G52" s="31">
        <v>57500</v>
      </c>
      <c r="H52" s="31">
        <f>E_Tao_ND[[#This Row],[ĐƠN GIÁ]]*E_Tao_ND[[#This Row],[SỐ LƯỢNG]]</f>
        <v>63250000</v>
      </c>
      <c r="I52" s="31"/>
      <c r="J52" s="31">
        <f>J51+E_Tao_ND[[#This Row],[THÀNH TIỀN]]-E_Tao_ND[[#This Row],[THANH TOÁN]]</f>
        <v>57811500</v>
      </c>
      <c r="K52" s="24" t="s">
        <v>42</v>
      </c>
    </row>
    <row r="53" spans="1:11" x14ac:dyDescent="0.25">
      <c r="A53" s="22">
        <v>8819</v>
      </c>
      <c r="B53" s="29">
        <v>46128</v>
      </c>
      <c r="C53" s="23" t="s">
        <v>13</v>
      </c>
      <c r="D53" s="37" t="s">
        <v>109</v>
      </c>
      <c r="E53" s="23" t="s">
        <v>886</v>
      </c>
      <c r="F53" s="31">
        <v>1166</v>
      </c>
      <c r="G53" s="31">
        <v>57500</v>
      </c>
      <c r="H53" s="31">
        <f>E_Tao_ND[[#This Row],[ĐƠN GIÁ]]*E_Tao_ND[[#This Row],[SỐ LƯỢNG]]</f>
        <v>67045000</v>
      </c>
      <c r="I53" s="31"/>
      <c r="J53" s="31">
        <f>J52+E_Tao_ND[[#This Row],[THÀNH TIỀN]]-E_Tao_ND[[#This Row],[THANH TOÁN]]</f>
        <v>124856500</v>
      </c>
      <c r="K53" s="24" t="s">
        <v>42</v>
      </c>
    </row>
    <row r="54" spans="1:11" x14ac:dyDescent="0.25">
      <c r="A54" s="22">
        <v>8819</v>
      </c>
      <c r="B54" s="29">
        <v>46128</v>
      </c>
      <c r="C54" s="23" t="s">
        <v>13</v>
      </c>
      <c r="D54" s="37" t="s">
        <v>109</v>
      </c>
      <c r="E54" s="23" t="s">
        <v>151</v>
      </c>
      <c r="F54" s="31">
        <v>1096</v>
      </c>
      <c r="G54" s="31">
        <v>57500</v>
      </c>
      <c r="H54" s="31">
        <f>E_Tao_ND[[#This Row],[ĐƠN GIÁ]]*E_Tao_ND[[#This Row],[SỐ LƯỢNG]]</f>
        <v>63020000</v>
      </c>
      <c r="I54" s="31"/>
      <c r="J54" s="31">
        <f>J53+E_Tao_ND[[#This Row],[THÀNH TIỀN]]-E_Tao_ND[[#This Row],[THANH TOÁN]]</f>
        <v>187876500</v>
      </c>
      <c r="K54" s="24" t="s">
        <v>42</v>
      </c>
    </row>
    <row r="55" spans="1:11" x14ac:dyDescent="0.25">
      <c r="A55" s="22">
        <v>8819</v>
      </c>
      <c r="B55" s="29">
        <v>46128</v>
      </c>
      <c r="C55" s="23" t="s">
        <v>13</v>
      </c>
      <c r="D55" s="37" t="s">
        <v>36</v>
      </c>
      <c r="E55" s="23" t="s">
        <v>73</v>
      </c>
      <c r="F55" s="31">
        <v>790</v>
      </c>
      <c r="G55" s="31">
        <v>59000</v>
      </c>
      <c r="H55" s="31">
        <f>E_Tao_ND[[#This Row],[ĐƠN GIÁ]]*E_Tao_ND[[#This Row],[SỐ LƯỢNG]]</f>
        <v>46610000</v>
      </c>
      <c r="I55" s="31"/>
      <c r="J55" s="31">
        <f>J54+E_Tao_ND[[#This Row],[THÀNH TIỀN]]-E_Tao_ND[[#This Row],[THANH TOÁN]]</f>
        <v>234486500</v>
      </c>
      <c r="K55" s="24" t="s">
        <v>42</v>
      </c>
    </row>
    <row r="56" spans="1:11" x14ac:dyDescent="0.25">
      <c r="A56" s="22"/>
      <c r="B56" s="29">
        <v>46128</v>
      </c>
      <c r="C56" s="23" t="s">
        <v>21</v>
      </c>
      <c r="D56" s="37" t="s">
        <v>22</v>
      </c>
      <c r="E56" s="23" t="s">
        <v>726</v>
      </c>
      <c r="F56" s="31">
        <v>0</v>
      </c>
      <c r="G56" s="31"/>
      <c r="H56" s="31">
        <f>E_Tao_ND[[#This Row],[ĐƠN GIÁ]]*E_Tao_ND[[#This Row],[SỐ LƯỢNG]]</f>
        <v>0</v>
      </c>
      <c r="I56" s="31">
        <v>8000000</v>
      </c>
      <c r="J56" s="31">
        <f>J55+E_Tao_ND[[#This Row],[THÀNH TIỀN]]-E_Tao_ND[[#This Row],[THANH TOÁN]]</f>
        <v>226486500</v>
      </c>
      <c r="K56" s="24"/>
    </row>
    <row r="57" spans="1:11" x14ac:dyDescent="0.25">
      <c r="A57" s="22">
        <v>9074</v>
      </c>
      <c r="B57" s="29">
        <v>46140</v>
      </c>
      <c r="C57" s="23" t="s">
        <v>13</v>
      </c>
      <c r="D57" s="37" t="s">
        <v>173</v>
      </c>
      <c r="E57" s="23" t="s">
        <v>185</v>
      </c>
      <c r="F57" s="31">
        <v>498</v>
      </c>
      <c r="G57" s="31">
        <v>66500</v>
      </c>
      <c r="H57" s="31">
        <f>E_Tao_ND[[#This Row],[ĐƠN GIÁ]]*E_Tao_ND[[#This Row],[SỐ LƯỢNG]]</f>
        <v>33117000</v>
      </c>
      <c r="I57" s="31"/>
      <c r="J57" s="31">
        <f>J56+E_Tao_ND[[#This Row],[THÀNH TIỀN]]-E_Tao_ND[[#This Row],[THANH TOÁN]]</f>
        <v>259603500</v>
      </c>
      <c r="K57" s="24" t="s">
        <v>42</v>
      </c>
    </row>
    <row r="58" spans="1:11" x14ac:dyDescent="0.25">
      <c r="A58" s="22">
        <v>9074</v>
      </c>
      <c r="B58" s="29">
        <v>46140</v>
      </c>
      <c r="C58" s="23" t="s">
        <v>13</v>
      </c>
      <c r="D58" s="37" t="s">
        <v>173</v>
      </c>
      <c r="E58" s="23" t="s">
        <v>1458</v>
      </c>
      <c r="F58" s="31">
        <v>516</v>
      </c>
      <c r="G58" s="31">
        <v>66500</v>
      </c>
      <c r="H58" s="31">
        <f>E_Tao_ND[[#This Row],[ĐƠN GIÁ]]*E_Tao_ND[[#This Row],[SỐ LƯỢNG]]</f>
        <v>34314000</v>
      </c>
      <c r="I58" s="31"/>
      <c r="J58" s="31">
        <f>J57+E_Tao_ND[[#This Row],[THÀNH TIỀN]]-E_Tao_ND[[#This Row],[THANH TOÁN]]</f>
        <v>293917500</v>
      </c>
      <c r="K58" s="24" t="s">
        <v>42</v>
      </c>
    </row>
    <row r="59" spans="1:11" x14ac:dyDescent="0.25">
      <c r="A59" s="22"/>
      <c r="B59" s="29">
        <v>46140</v>
      </c>
      <c r="C59" s="23" t="s">
        <v>21</v>
      </c>
      <c r="D59" s="37" t="s">
        <v>24</v>
      </c>
      <c r="E59" s="23"/>
      <c r="F59" s="31">
        <v>0</v>
      </c>
      <c r="G59" s="31"/>
      <c r="H59" s="31">
        <f>E_Tao_ND[[#This Row],[ĐƠN GIÁ]]*E_Tao_ND[[#This Row],[SỐ LƯỢNG]]</f>
        <v>0</v>
      </c>
      <c r="I59" s="31">
        <v>50000000</v>
      </c>
      <c r="J59" s="31">
        <f>J58+E_Tao_ND[[#This Row],[THÀNH TIỀN]]-E_Tao_ND[[#This Row],[THANH TOÁN]]</f>
        <v>243917500</v>
      </c>
      <c r="K59" s="24"/>
    </row>
    <row r="60" spans="1:11" x14ac:dyDescent="0.25">
      <c r="A60" s="22"/>
      <c r="B60" s="29">
        <v>46141</v>
      </c>
      <c r="C60" s="23" t="s">
        <v>21</v>
      </c>
      <c r="D60" s="37" t="s">
        <v>22</v>
      </c>
      <c r="E60" s="23" t="s">
        <v>726</v>
      </c>
      <c r="F60" s="31">
        <v>0</v>
      </c>
      <c r="G60" s="31"/>
      <c r="H60" s="31">
        <f>E_Tao_ND[[#This Row],[ĐƠN GIÁ]]*E_Tao_ND[[#This Row],[SỐ LƯỢNG]]</f>
        <v>0</v>
      </c>
      <c r="I60" s="31">
        <v>32405000</v>
      </c>
      <c r="J60" s="31">
        <f>J59+E_Tao_ND[[#This Row],[THÀNH TIỀN]]-E_Tao_ND[[#This Row],[THANH TOÁN]]</f>
        <v>211512500</v>
      </c>
      <c r="K60" s="24"/>
    </row>
    <row r="61" spans="1:11" x14ac:dyDescent="0.25">
      <c r="A61" s="22"/>
      <c r="B61" s="29">
        <v>46144</v>
      </c>
      <c r="C61" s="23" t="s">
        <v>21</v>
      </c>
      <c r="D61" s="37" t="s">
        <v>22</v>
      </c>
      <c r="E61" s="23" t="s">
        <v>726</v>
      </c>
      <c r="F61" s="31">
        <v>0</v>
      </c>
      <c r="G61" s="31"/>
      <c r="H61" s="31">
        <f>E_Tao_ND[[#This Row],[ĐƠN GIÁ]]*E_Tao_ND[[#This Row],[SỐ LƯỢNG]]</f>
        <v>0</v>
      </c>
      <c r="I61" s="31">
        <v>40000000</v>
      </c>
      <c r="J61" s="31">
        <f>J60+E_Tao_ND[[#This Row],[THÀNH TIỀN]]-E_Tao_ND[[#This Row],[THANH TOÁN]]</f>
        <v>171512500</v>
      </c>
      <c r="K61" s="24"/>
    </row>
    <row r="62" spans="1:11" x14ac:dyDescent="0.25">
      <c r="A62" s="22"/>
      <c r="B62" s="29">
        <v>46146</v>
      </c>
      <c r="C62" s="23" t="s">
        <v>21</v>
      </c>
      <c r="D62" s="37" t="s">
        <v>22</v>
      </c>
      <c r="E62" s="23" t="s">
        <v>2067</v>
      </c>
      <c r="F62" s="31">
        <v>0</v>
      </c>
      <c r="G62" s="31"/>
      <c r="H62" s="31">
        <f>E_Tao_ND[[#This Row],[ĐƠN GIÁ]]*E_Tao_ND[[#This Row],[SỐ LƯỢNG]]</f>
        <v>0</v>
      </c>
      <c r="I62" s="31">
        <v>4180000</v>
      </c>
      <c r="J62" s="31">
        <f>J61+E_Tao_ND[[#This Row],[THÀNH TIỀN]]-E_Tao_ND[[#This Row],[THANH TOÁN]]</f>
        <v>167332500</v>
      </c>
      <c r="K62" s="24"/>
    </row>
    <row r="63" spans="1:11" x14ac:dyDescent="0.25">
      <c r="A63" s="22"/>
      <c r="B63" s="29">
        <v>46151</v>
      </c>
      <c r="C63" s="23" t="s">
        <v>21</v>
      </c>
      <c r="D63" s="37" t="s">
        <v>22</v>
      </c>
      <c r="E63" s="23" t="s">
        <v>726</v>
      </c>
      <c r="F63" s="31">
        <v>0</v>
      </c>
      <c r="G63" s="31"/>
      <c r="H63" s="31">
        <f>E_Tao_ND[[#This Row],[ĐƠN GIÁ]]*E_Tao_ND[[#This Row],[SỐ LƯỢNG]]</f>
        <v>0</v>
      </c>
      <c r="I63" s="31">
        <v>20000000</v>
      </c>
      <c r="J63" s="31">
        <f>J62+E_Tao_ND[[#This Row],[THÀNH TIỀN]]-E_Tao_ND[[#This Row],[THANH TOÁN]]</f>
        <v>147332500</v>
      </c>
      <c r="K63" s="24"/>
    </row>
    <row r="64" spans="1:11" x14ac:dyDescent="0.25">
      <c r="A64" s="22"/>
      <c r="B64" s="29">
        <v>46152</v>
      </c>
      <c r="C64" s="23" t="s">
        <v>21</v>
      </c>
      <c r="D64" s="37" t="s">
        <v>22</v>
      </c>
      <c r="E64" s="23" t="s">
        <v>726</v>
      </c>
      <c r="F64" s="31">
        <v>0</v>
      </c>
      <c r="G64" s="31"/>
      <c r="H64" s="31">
        <f>E_Tao_ND[[#This Row],[ĐƠN GIÁ]]*E_Tao_ND[[#This Row],[SỐ LƯỢNG]]</f>
        <v>0</v>
      </c>
      <c r="I64" s="31">
        <v>15000000</v>
      </c>
      <c r="J64" s="31">
        <f>J63+E_Tao_ND[[#This Row],[THÀNH TIỀN]]-E_Tao_ND[[#This Row],[THANH TOÁN]]</f>
        <v>132332500</v>
      </c>
      <c r="K64" s="24"/>
    </row>
    <row r="65" spans="1:11" x14ac:dyDescent="0.25">
      <c r="A65" s="22">
        <v>9313</v>
      </c>
      <c r="B65" s="29">
        <v>46153</v>
      </c>
      <c r="C65" s="23" t="s">
        <v>13</v>
      </c>
      <c r="D65" s="37" t="s">
        <v>150</v>
      </c>
      <c r="E65" s="23" t="s">
        <v>73</v>
      </c>
      <c r="F65" s="31">
        <v>2136</v>
      </c>
      <c r="G65" s="31">
        <v>35000</v>
      </c>
      <c r="H65" s="31">
        <f>E_Tao_ND[[#This Row],[ĐƠN GIÁ]]*E_Tao_ND[[#This Row],[SỐ LƯỢNG]]</f>
        <v>74760000</v>
      </c>
      <c r="I65" s="31"/>
      <c r="J65" s="31">
        <f>J64+E_Tao_ND[[#This Row],[THÀNH TIỀN]]-E_Tao_ND[[#This Row],[THANH TOÁN]]</f>
        <v>207092500</v>
      </c>
      <c r="K65" s="24" t="s">
        <v>42</v>
      </c>
    </row>
    <row r="66" spans="1:11" x14ac:dyDescent="0.25">
      <c r="A66" s="22">
        <v>9313</v>
      </c>
      <c r="B66" s="29">
        <v>46153</v>
      </c>
      <c r="C66" s="23" t="s">
        <v>13</v>
      </c>
      <c r="D66" s="37" t="s">
        <v>14</v>
      </c>
      <c r="E66" s="23" t="s">
        <v>62</v>
      </c>
      <c r="F66" s="31">
        <v>548</v>
      </c>
      <c r="G66" s="31">
        <v>41500</v>
      </c>
      <c r="H66" s="31">
        <f>E_Tao_ND[[#This Row],[ĐƠN GIÁ]]*E_Tao_ND[[#This Row],[SỐ LƯỢNG]]</f>
        <v>22742000</v>
      </c>
      <c r="I66" s="31"/>
      <c r="J66" s="31">
        <f>J65+E_Tao_ND[[#This Row],[THÀNH TIỀN]]-E_Tao_ND[[#This Row],[THANH TOÁN]]</f>
        <v>229834500</v>
      </c>
      <c r="K66" s="24" t="s">
        <v>42</v>
      </c>
    </row>
    <row r="67" spans="1:11" x14ac:dyDescent="0.25">
      <c r="A67" s="22">
        <v>9313</v>
      </c>
      <c r="B67" s="29">
        <v>46153</v>
      </c>
      <c r="C67" s="23" t="s">
        <v>13</v>
      </c>
      <c r="D67" s="37" t="s">
        <v>14</v>
      </c>
      <c r="E67" s="23" t="s">
        <v>41</v>
      </c>
      <c r="F67" s="31">
        <v>566</v>
      </c>
      <c r="G67" s="31">
        <v>40000</v>
      </c>
      <c r="H67" s="31">
        <f>E_Tao_ND[[#This Row],[ĐƠN GIÁ]]*E_Tao_ND[[#This Row],[SỐ LƯỢNG]]</f>
        <v>22640000</v>
      </c>
      <c r="I67" s="31"/>
      <c r="J67" s="31">
        <f>J66+E_Tao_ND[[#This Row],[THÀNH TIỀN]]-E_Tao_ND[[#This Row],[THANH TOÁN]]</f>
        <v>252474500</v>
      </c>
      <c r="K67" s="24" t="s">
        <v>42</v>
      </c>
    </row>
    <row r="68" spans="1:11" x14ac:dyDescent="0.25">
      <c r="A68" s="22"/>
      <c r="B68" s="29">
        <v>46155</v>
      </c>
      <c r="C68" s="23" t="s">
        <v>21</v>
      </c>
      <c r="D68" s="37" t="s">
        <v>22</v>
      </c>
      <c r="E68" s="23" t="s">
        <v>726</v>
      </c>
      <c r="F68" s="31">
        <v>0</v>
      </c>
      <c r="G68" s="31"/>
      <c r="H68" s="31">
        <f>E_Tao_ND[[#This Row],[ĐƠN GIÁ]]*E_Tao_ND[[#This Row],[SỐ LƯỢNG]]</f>
        <v>0</v>
      </c>
      <c r="I68" s="31">
        <v>32530000</v>
      </c>
      <c r="J68" s="31">
        <f>J67+E_Tao_ND[[#This Row],[THÀNH TIỀN]]-E_Tao_ND[[#This Row],[THANH TOÁN]]</f>
        <v>219944500</v>
      </c>
      <c r="K68" s="24"/>
    </row>
    <row r="69" spans="1:11" x14ac:dyDescent="0.25">
      <c r="A69" s="25">
        <v>9509</v>
      </c>
      <c r="B69" s="30">
        <v>46162</v>
      </c>
      <c r="C69" s="26" t="s">
        <v>13</v>
      </c>
      <c r="D69" s="38" t="s">
        <v>36</v>
      </c>
      <c r="E69" s="26" t="s">
        <v>2237</v>
      </c>
      <c r="F69" s="28">
        <v>564</v>
      </c>
      <c r="G69" s="28">
        <v>60000</v>
      </c>
      <c r="H69" s="28">
        <f>E_Tao_ND[[#This Row],[ĐƠN GIÁ]]*E_Tao_ND[[#This Row],[SỐ LƯỢNG]]</f>
        <v>33840000</v>
      </c>
      <c r="I69" s="28"/>
      <c r="J69" s="28">
        <f>J68+E_Tao_ND[[#This Row],[THÀNH TIỀN]]-E_Tao_ND[[#This Row],[THANH TOÁN]]</f>
        <v>253784500</v>
      </c>
      <c r="K69" s="27"/>
    </row>
    <row r="70" spans="1:11" x14ac:dyDescent="0.25">
      <c r="A70" s="22">
        <v>9613</v>
      </c>
      <c r="B70" s="29">
        <v>46168</v>
      </c>
      <c r="C70" s="23" t="s">
        <v>13</v>
      </c>
      <c r="D70" s="37" t="s">
        <v>150</v>
      </c>
      <c r="E70" s="23" t="s">
        <v>886</v>
      </c>
      <c r="F70" s="31">
        <v>1428</v>
      </c>
      <c r="G70" s="31">
        <v>35000</v>
      </c>
      <c r="H70" s="31">
        <f>E_Tao_ND[[#This Row],[ĐƠN GIÁ]]*E_Tao_ND[[#This Row],[SỐ LƯỢNG]]</f>
        <v>49980000</v>
      </c>
      <c r="I70" s="31"/>
      <c r="J70" s="31">
        <f>J69+E_Tao_ND[[#This Row],[THÀNH TIỀN]]-E_Tao_ND[[#This Row],[THANH TOÁN]]</f>
        <v>303764500</v>
      </c>
      <c r="K70" s="24"/>
    </row>
    <row r="71" spans="1:11" x14ac:dyDescent="0.25">
      <c r="A71" s="22">
        <v>9613</v>
      </c>
      <c r="B71" s="29">
        <v>46168</v>
      </c>
      <c r="C71" s="23" t="s">
        <v>13</v>
      </c>
      <c r="D71" s="37" t="s">
        <v>150</v>
      </c>
      <c r="E71" s="23" t="s">
        <v>151</v>
      </c>
      <c r="F71" s="31">
        <v>1798</v>
      </c>
      <c r="G71" s="31">
        <v>35000</v>
      </c>
      <c r="H71" s="31">
        <f>E_Tao_ND[[#This Row],[ĐƠN GIÁ]]*E_Tao_ND[[#This Row],[SỐ LƯỢNG]]</f>
        <v>62930000</v>
      </c>
      <c r="I71" s="31"/>
      <c r="J71" s="31">
        <f>J70+E_Tao_ND[[#This Row],[THÀNH TIỀN]]-E_Tao_ND[[#This Row],[THANH TOÁN]]</f>
        <v>366694500</v>
      </c>
      <c r="K71" s="24"/>
    </row>
    <row r="72" spans="1:11" x14ac:dyDescent="0.25">
      <c r="A72" s="22">
        <v>9613</v>
      </c>
      <c r="B72" s="29">
        <v>46168</v>
      </c>
      <c r="C72" s="23" t="s">
        <v>13</v>
      </c>
      <c r="D72" s="37" t="s">
        <v>109</v>
      </c>
      <c r="E72" s="23" t="s">
        <v>2472</v>
      </c>
      <c r="F72" s="31">
        <v>1408</v>
      </c>
      <c r="G72" s="31">
        <v>61000</v>
      </c>
      <c r="H72" s="31">
        <f>E_Tao_ND[[#This Row],[ĐƠN GIÁ]]*E_Tao_ND[[#This Row],[SỐ LƯỢNG]]</f>
        <v>85888000</v>
      </c>
      <c r="I72" s="31"/>
      <c r="J72" s="31">
        <f>J71+E_Tao_ND[[#This Row],[THÀNH TIỀN]]-E_Tao_ND[[#This Row],[THANH TOÁN]]</f>
        <v>452582500</v>
      </c>
      <c r="K72" s="24"/>
    </row>
    <row r="73" spans="1:11" x14ac:dyDescent="0.25">
      <c r="A73" s="22">
        <v>9613</v>
      </c>
      <c r="B73" s="29">
        <v>46168</v>
      </c>
      <c r="C73" s="23" t="s">
        <v>13</v>
      </c>
      <c r="D73" s="37" t="s">
        <v>109</v>
      </c>
      <c r="E73" s="23" t="s">
        <v>73</v>
      </c>
      <c r="F73" s="31">
        <v>1534</v>
      </c>
      <c r="G73" s="31">
        <v>61000</v>
      </c>
      <c r="H73" s="31">
        <f>E_Tao_ND[[#This Row],[ĐƠN GIÁ]]*E_Tao_ND[[#This Row],[SỐ LƯỢNG]]</f>
        <v>93574000</v>
      </c>
      <c r="I73" s="31"/>
      <c r="J73" s="31">
        <f>J72+E_Tao_ND[[#This Row],[THÀNH TIỀN]]-E_Tao_ND[[#This Row],[THANH TOÁN]]</f>
        <v>546156500</v>
      </c>
      <c r="K73" s="24"/>
    </row>
  </sheetData>
  <phoneticPr fontId="9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14D48-81A5-41E6-BCED-2AEE826A0250}">
  <sheetPr codeName="Sheet83"/>
  <dimension ref="A5:K56"/>
  <sheetViews>
    <sheetView topLeftCell="A28" workbookViewId="0">
      <selection activeCell="J47" sqref="J47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21.7109375" style="1" bestFit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-16320500</v>
      </c>
    </row>
    <row r="6" spans="1:11" ht="22.5" x14ac:dyDescent="0.25">
      <c r="D6" s="34" t="s">
        <v>1076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>
        <v>7043</v>
      </c>
      <c r="B10" s="29">
        <v>46030</v>
      </c>
      <c r="C10" s="23" t="s">
        <v>49</v>
      </c>
      <c r="D10" s="37" t="s">
        <v>841</v>
      </c>
      <c r="E10" s="23" t="s">
        <v>2389</v>
      </c>
      <c r="F10" s="31">
        <v>3358</v>
      </c>
      <c r="G10" s="31"/>
      <c r="H10" s="31">
        <f>Cty_Thai_Duong[[#This Row],[ĐƠN GIÁ]]*Cty_Thai_Duong[[#This Row],[SỐ LƯỢNG]]</f>
        <v>0</v>
      </c>
      <c r="I10" s="31"/>
      <c r="J10" s="31" t="e">
        <f>J9+Cty_Thai_Duong[[#This Row],[THÀNH TIỀN]]-Cty_Thai_Duong[[#This Row],[THANH TOÁN]]</f>
        <v>#VALUE!</v>
      </c>
      <c r="K10" s="133" t="s">
        <v>1742</v>
      </c>
    </row>
    <row r="11" spans="1:11" x14ac:dyDescent="0.25">
      <c r="A11" s="22">
        <v>7309</v>
      </c>
      <c r="B11" s="29">
        <v>46044</v>
      </c>
      <c r="C11" s="23" t="s">
        <v>49</v>
      </c>
      <c r="D11" s="37" t="s">
        <v>841</v>
      </c>
      <c r="E11" s="23" t="s">
        <v>2435</v>
      </c>
      <c r="F11" s="31">
        <v>1382</v>
      </c>
      <c r="G11" s="31"/>
      <c r="H11" s="31">
        <f>Cty_Thai_Duong[[#This Row],[ĐƠN GIÁ]]*Cty_Thai_Duong[[#This Row],[SỐ LƯỢNG]]</f>
        <v>0</v>
      </c>
      <c r="I11" s="31"/>
      <c r="J11" s="31" t="e">
        <f>J10+Cty_Thai_Duong[[#This Row],[THÀNH TIỀN]]-Cty_Thai_Duong[[#This Row],[THANH TOÁN]]</f>
        <v>#VALUE!</v>
      </c>
      <c r="K11" s="133" t="s">
        <v>2436</v>
      </c>
    </row>
    <row r="12" spans="1:11" x14ac:dyDescent="0.25">
      <c r="A12" s="22"/>
      <c r="B12" s="29">
        <v>46081</v>
      </c>
      <c r="C12" s="23" t="s">
        <v>12</v>
      </c>
      <c r="D12" s="37"/>
      <c r="E12" s="23"/>
      <c r="F12" s="31"/>
      <c r="G12" s="31"/>
      <c r="H12" s="31">
        <f>Cty_Thai_Duong[[#This Row],[ĐƠN GIÁ]]*Cty_Thai_Duong[[#This Row],[SỐ LƯỢNG]]</f>
        <v>0</v>
      </c>
      <c r="I12" s="31"/>
      <c r="J12" s="31">
        <v>-4598000</v>
      </c>
      <c r="K12" s="24"/>
    </row>
    <row r="13" spans="1:11" x14ac:dyDescent="0.25">
      <c r="A13" s="25">
        <v>7898</v>
      </c>
      <c r="B13" s="30">
        <v>46087</v>
      </c>
      <c r="C13" s="26" t="s">
        <v>49</v>
      </c>
      <c r="D13" s="38" t="s">
        <v>26</v>
      </c>
      <c r="E13" s="26" t="s">
        <v>62</v>
      </c>
      <c r="F13" s="28">
        <f>650+681+662</f>
        <v>1993</v>
      </c>
      <c r="G13" s="28"/>
      <c r="H13" s="28">
        <f>Cty_Thai_Duong[[#This Row],[ĐƠN GIÁ]]*Cty_Thai_Duong[[#This Row],[SỐ LƯỢNG]]</f>
        <v>0</v>
      </c>
      <c r="I13" s="28"/>
      <c r="J13" s="28">
        <f>J12+Cty_Thai_Duong[[#This Row],[THÀNH TIỀN]]-Cty_Thai_Duong[[#This Row],[THANH TOÁN]]</f>
        <v>-4598000</v>
      </c>
      <c r="K13" s="27"/>
    </row>
    <row r="14" spans="1:11" x14ac:dyDescent="0.25">
      <c r="A14" s="25">
        <v>4782</v>
      </c>
      <c r="B14" s="30">
        <v>46087</v>
      </c>
      <c r="C14" s="26" t="s">
        <v>426</v>
      </c>
      <c r="D14" s="38" t="s">
        <v>26</v>
      </c>
      <c r="E14" s="26" t="s">
        <v>62</v>
      </c>
      <c r="F14" s="28">
        <v>4396</v>
      </c>
      <c r="G14" s="28"/>
      <c r="H14" s="28">
        <f>Cty_Thai_Duong[[#This Row],[ĐƠN GIÁ]]*Cty_Thai_Duong[[#This Row],[SỐ LƯỢNG]]</f>
        <v>0</v>
      </c>
      <c r="I14" s="28"/>
      <c r="J14" s="28">
        <f>J13+Cty_Thai_Duong[[#This Row],[THÀNH TIỀN]]-Cty_Thai_Duong[[#This Row],[THANH TOÁN]]</f>
        <v>-4598000</v>
      </c>
      <c r="K14" s="27"/>
    </row>
    <row r="15" spans="1:11" x14ac:dyDescent="0.25">
      <c r="A15" s="25">
        <v>4677</v>
      </c>
      <c r="B15" s="30">
        <v>46088</v>
      </c>
      <c r="C15" s="26" t="s">
        <v>84</v>
      </c>
      <c r="D15" s="38" t="s">
        <v>1085</v>
      </c>
      <c r="E15" s="26" t="s">
        <v>1082</v>
      </c>
      <c r="F15" s="28">
        <v>2013</v>
      </c>
      <c r="G15" s="28">
        <v>-1800</v>
      </c>
      <c r="H15" s="28">
        <f>Cty_Thai_Duong[[#This Row],[ĐƠN GIÁ]]*Cty_Thai_Duong[[#This Row],[SỐ LƯỢNG]]</f>
        <v>-3623400</v>
      </c>
      <c r="I15" s="28"/>
      <c r="J15" s="28">
        <f>J14+Cty_Thai_Duong[[#This Row],[THÀNH TIỀN]]-Cty_Thai_Duong[[#This Row],[THANH TOÁN]]</f>
        <v>-8221400</v>
      </c>
      <c r="K15" s="27"/>
    </row>
    <row r="16" spans="1:11" x14ac:dyDescent="0.25">
      <c r="A16" s="22"/>
      <c r="B16" s="29">
        <v>46088</v>
      </c>
      <c r="C16" s="23" t="s">
        <v>2214</v>
      </c>
      <c r="D16" s="37" t="s">
        <v>24</v>
      </c>
      <c r="E16" s="23"/>
      <c r="F16" s="31">
        <v>0</v>
      </c>
      <c r="G16" s="31"/>
      <c r="H16" s="31">
        <f>Cty_Thai_Duong[[#This Row],[ĐƠN GIÁ]]*Cty_Thai_Duong[[#This Row],[SỐ LƯỢNG]]</f>
        <v>0</v>
      </c>
      <c r="I16" s="31">
        <v>-4598000</v>
      </c>
      <c r="J16" s="31">
        <f>J15+Cty_Thai_Duong[[#This Row],[THÀNH TIỀN]]-Cty_Thai_Duong[[#This Row],[THANH TOÁN]]</f>
        <v>-3623400</v>
      </c>
      <c r="K16" s="24"/>
    </row>
    <row r="17" spans="1:11" x14ac:dyDescent="0.25">
      <c r="A17" s="22">
        <v>4713</v>
      </c>
      <c r="B17" s="29">
        <v>46097</v>
      </c>
      <c r="C17" s="23" t="s">
        <v>84</v>
      </c>
      <c r="D17" s="37" t="s">
        <v>17</v>
      </c>
      <c r="E17" s="23" t="s">
        <v>1077</v>
      </c>
      <c r="F17" s="31">
        <v>787</v>
      </c>
      <c r="G17" s="31"/>
      <c r="H17" s="31">
        <f>Cty_Thai_Duong[[#This Row],[ĐƠN GIÁ]]*Cty_Thai_Duong[[#This Row],[SỐ LƯỢNG]]</f>
        <v>0</v>
      </c>
      <c r="I17" s="31"/>
      <c r="J17" s="31">
        <f>J16+Cty_Thai_Duong[[#This Row],[THÀNH TIỀN]]-Cty_Thai_Duong[[#This Row],[THANH TOÁN]]</f>
        <v>-3623400</v>
      </c>
      <c r="K17" s="24"/>
    </row>
    <row r="18" spans="1:11" x14ac:dyDescent="0.25">
      <c r="A18" s="22">
        <v>8355</v>
      </c>
      <c r="B18" s="29">
        <v>46107</v>
      </c>
      <c r="C18" s="23" t="s">
        <v>49</v>
      </c>
      <c r="D18" s="37" t="s">
        <v>17</v>
      </c>
      <c r="E18" s="23" t="s">
        <v>78</v>
      </c>
      <c r="F18" s="31">
        <v>470</v>
      </c>
      <c r="G18" s="31"/>
      <c r="H18" s="31">
        <f>Cty_Thai_Duong[[#This Row],[ĐƠN GIÁ]]*Cty_Thai_Duong[[#This Row],[SỐ LƯỢNG]]</f>
        <v>0</v>
      </c>
      <c r="I18" s="31"/>
      <c r="J18" s="31">
        <f>J17+Cty_Thai_Duong[[#This Row],[THÀNH TIỀN]]-Cty_Thai_Duong[[#This Row],[THANH TOÁN]]</f>
        <v>-3623400</v>
      </c>
      <c r="K18" s="24"/>
    </row>
    <row r="19" spans="1:11" x14ac:dyDescent="0.25">
      <c r="A19" s="22">
        <v>8355</v>
      </c>
      <c r="B19" s="29">
        <v>46107</v>
      </c>
      <c r="C19" s="23" t="s">
        <v>49</v>
      </c>
      <c r="D19" s="37" t="s">
        <v>17</v>
      </c>
      <c r="E19" s="23" t="s">
        <v>416</v>
      </c>
      <c r="F19" s="31">
        <v>560</v>
      </c>
      <c r="G19" s="31"/>
      <c r="H19" s="31">
        <f>Cty_Thai_Duong[[#This Row],[ĐƠN GIÁ]]*Cty_Thai_Duong[[#This Row],[SỐ LƯỢNG]]</f>
        <v>0</v>
      </c>
      <c r="I19" s="31"/>
      <c r="J19" s="31">
        <f>J18+Cty_Thai_Duong[[#This Row],[THÀNH TIỀN]]-Cty_Thai_Duong[[#This Row],[THANH TOÁN]]</f>
        <v>-3623400</v>
      </c>
      <c r="K19" s="24"/>
    </row>
    <row r="20" spans="1:11" x14ac:dyDescent="0.25">
      <c r="A20" s="22">
        <v>4773</v>
      </c>
      <c r="B20" s="29">
        <v>46111</v>
      </c>
      <c r="C20" s="23" t="s">
        <v>84</v>
      </c>
      <c r="D20" s="37" t="s">
        <v>54</v>
      </c>
      <c r="E20" s="23" t="s">
        <v>2260</v>
      </c>
      <c r="F20" s="31">
        <v>1943</v>
      </c>
      <c r="G20" s="31">
        <v>-1500</v>
      </c>
      <c r="H20" s="31">
        <f>Cty_Thai_Duong[[#This Row],[ĐƠN GIÁ]]*Cty_Thai_Duong[[#This Row],[SỐ LƯỢNG]]</f>
        <v>-2914500</v>
      </c>
      <c r="I20" s="31"/>
      <c r="J20" s="31">
        <f>J19+Cty_Thai_Duong[[#This Row],[THÀNH TIỀN]]-Cty_Thai_Duong[[#This Row],[THANH TOÁN]]</f>
        <v>-6537900</v>
      </c>
      <c r="K20" s="24"/>
    </row>
    <row r="21" spans="1:11" x14ac:dyDescent="0.25">
      <c r="A21" s="22">
        <v>8441</v>
      </c>
      <c r="B21" s="29">
        <v>46112</v>
      </c>
      <c r="C21" s="23" t="s">
        <v>49</v>
      </c>
      <c r="D21" s="37" t="s">
        <v>26</v>
      </c>
      <c r="E21" s="23" t="s">
        <v>62</v>
      </c>
      <c r="F21" s="31">
        <v>7397</v>
      </c>
      <c r="G21" s="31"/>
      <c r="H21" s="31">
        <f>Cty_Thai_Duong[[#This Row],[ĐƠN GIÁ]]*Cty_Thai_Duong[[#This Row],[SỐ LƯỢNG]]</f>
        <v>0</v>
      </c>
      <c r="I21" s="31"/>
      <c r="J21" s="31">
        <f>J20+Cty_Thai_Duong[[#This Row],[THÀNH TIỀN]]-Cty_Thai_Duong[[#This Row],[THANH TOÁN]]</f>
        <v>-6537900</v>
      </c>
      <c r="K21" s="24"/>
    </row>
    <row r="22" spans="1:11" x14ac:dyDescent="0.25">
      <c r="A22" s="22">
        <v>4778</v>
      </c>
      <c r="B22" s="29">
        <v>46112</v>
      </c>
      <c r="C22" s="23" t="s">
        <v>84</v>
      </c>
      <c r="D22" s="37" t="s">
        <v>26</v>
      </c>
      <c r="E22" s="23" t="s">
        <v>941</v>
      </c>
      <c r="F22" s="31">
        <v>1592</v>
      </c>
      <c r="G22" s="31">
        <v>-1500</v>
      </c>
      <c r="H22" s="31">
        <f>Cty_Thai_Duong[[#This Row],[ĐƠN GIÁ]]*Cty_Thai_Duong[[#This Row],[SỐ LƯỢNG]]</f>
        <v>-2388000</v>
      </c>
      <c r="I22" s="31"/>
      <c r="J22" s="31">
        <f>J21+Cty_Thai_Duong[[#This Row],[THÀNH TIỀN]]-Cty_Thai_Duong[[#This Row],[THANH TOÁN]]</f>
        <v>-8925900</v>
      </c>
      <c r="K22" s="24"/>
    </row>
    <row r="23" spans="1:11" x14ac:dyDescent="0.25">
      <c r="A23" s="22">
        <v>8482</v>
      </c>
      <c r="B23" s="29">
        <v>46113</v>
      </c>
      <c r="C23" s="23" t="s">
        <v>49</v>
      </c>
      <c r="D23" s="37" t="s">
        <v>26</v>
      </c>
      <c r="E23" s="23" t="s">
        <v>65</v>
      </c>
      <c r="F23" s="31">
        <v>4984</v>
      </c>
      <c r="G23" s="31"/>
      <c r="H23" s="31">
        <f>Cty_Thai_Duong[[#This Row],[ĐƠN GIÁ]]*Cty_Thai_Duong[[#This Row],[SỐ LƯỢNG]]</f>
        <v>0</v>
      </c>
      <c r="I23" s="31"/>
      <c r="J23" s="31">
        <f>J22+Cty_Thai_Duong[[#This Row],[THÀNH TIỀN]]-Cty_Thai_Duong[[#This Row],[THANH TOÁN]]</f>
        <v>-8925900</v>
      </c>
      <c r="K23" s="24" t="s">
        <v>1078</v>
      </c>
    </row>
    <row r="24" spans="1:11" x14ac:dyDescent="0.25">
      <c r="A24" s="22">
        <v>4785</v>
      </c>
      <c r="B24" s="29">
        <v>46113</v>
      </c>
      <c r="C24" s="23" t="s">
        <v>84</v>
      </c>
      <c r="D24" s="37" t="s">
        <v>77</v>
      </c>
      <c r="E24" s="23" t="s">
        <v>941</v>
      </c>
      <c r="F24" s="31">
        <v>1749</v>
      </c>
      <c r="G24" s="31">
        <v>-1500</v>
      </c>
      <c r="H24" s="31">
        <f>Cty_Thai_Duong[[#This Row],[ĐƠN GIÁ]]*Cty_Thai_Duong[[#This Row],[SỐ LƯỢNG]]</f>
        <v>-2623500</v>
      </c>
      <c r="I24" s="31"/>
      <c r="J24" s="31">
        <f>J23+Cty_Thai_Duong[[#This Row],[THÀNH TIỀN]]-Cty_Thai_Duong[[#This Row],[THANH TOÁN]]</f>
        <v>-11549400</v>
      </c>
      <c r="K24" s="24" t="s">
        <v>1084</v>
      </c>
    </row>
    <row r="25" spans="1:11" x14ac:dyDescent="0.25">
      <c r="A25" s="22">
        <v>4782</v>
      </c>
      <c r="B25" s="29">
        <v>46113</v>
      </c>
      <c r="C25" s="23" t="s">
        <v>84</v>
      </c>
      <c r="D25" s="37" t="s">
        <v>26</v>
      </c>
      <c r="E25" s="23" t="s">
        <v>62</v>
      </c>
      <c r="F25" s="31">
        <v>3061</v>
      </c>
      <c r="G25" s="31">
        <v>-2000</v>
      </c>
      <c r="H25" s="31">
        <f>Cty_Thai_Duong[[#This Row],[ĐƠN GIÁ]]*Cty_Thai_Duong[[#This Row],[SỐ LƯỢNG]]</f>
        <v>-6122000</v>
      </c>
      <c r="I25" s="31"/>
      <c r="J25" s="31">
        <f>J24+Cty_Thai_Duong[[#This Row],[THÀNH TIỀN]]-Cty_Thai_Duong[[#This Row],[THANH TOÁN]]</f>
        <v>-17671400</v>
      </c>
      <c r="K25" s="24"/>
    </row>
    <row r="26" spans="1:11" x14ac:dyDescent="0.25">
      <c r="A26" s="22">
        <v>4794</v>
      </c>
      <c r="B26" s="29">
        <v>46114</v>
      </c>
      <c r="C26" s="23" t="s">
        <v>84</v>
      </c>
      <c r="D26" s="37" t="s">
        <v>1085</v>
      </c>
      <c r="E26" s="23" t="s">
        <v>344</v>
      </c>
      <c r="F26" s="31">
        <v>3405</v>
      </c>
      <c r="G26" s="31">
        <v>-2700</v>
      </c>
      <c r="H26" s="31">
        <f>Cty_Thai_Duong[[#This Row],[ĐƠN GIÁ]]*Cty_Thai_Duong[[#This Row],[SỐ LƯỢNG]]</f>
        <v>-9193500</v>
      </c>
      <c r="I26" s="31"/>
      <c r="J26" s="31">
        <f>J25+Cty_Thai_Duong[[#This Row],[THÀNH TIỀN]]-Cty_Thai_Duong[[#This Row],[THANH TOÁN]]</f>
        <v>-26864900</v>
      </c>
      <c r="K26" s="24"/>
    </row>
    <row r="27" spans="1:11" x14ac:dyDescent="0.25">
      <c r="A27" s="22">
        <v>4794</v>
      </c>
      <c r="B27" s="29">
        <v>46114</v>
      </c>
      <c r="C27" s="23" t="s">
        <v>426</v>
      </c>
      <c r="D27" s="37" t="s">
        <v>26</v>
      </c>
      <c r="E27" s="23" t="s">
        <v>344</v>
      </c>
      <c r="F27" s="31">
        <v>1627</v>
      </c>
      <c r="G27" s="31"/>
      <c r="H27" s="31">
        <f>Cty_Thai_Duong[[#This Row],[ĐƠN GIÁ]]*Cty_Thai_Duong[[#This Row],[SỐ LƯỢNG]]</f>
        <v>0</v>
      </c>
      <c r="I27" s="31"/>
      <c r="J27" s="31">
        <f>J26+Cty_Thai_Duong[[#This Row],[THÀNH TIỀN]]-Cty_Thai_Duong[[#This Row],[THANH TOÁN]]</f>
        <v>-26864900</v>
      </c>
      <c r="K27" s="24"/>
    </row>
    <row r="28" spans="1:11" x14ac:dyDescent="0.25">
      <c r="A28" s="22"/>
      <c r="B28" s="29">
        <v>46120</v>
      </c>
      <c r="C28" s="23" t="s">
        <v>2214</v>
      </c>
      <c r="D28" s="37" t="s">
        <v>22</v>
      </c>
      <c r="E28" s="23" t="s">
        <v>2067</v>
      </c>
      <c r="F28" s="31">
        <v>0</v>
      </c>
      <c r="G28" s="31"/>
      <c r="H28" s="31">
        <f>Cty_Thai_Duong[[#This Row],[ĐƠN GIÁ]]*Cty_Thai_Duong[[#This Row],[SỐ LƯỢNG]]</f>
        <v>0</v>
      </c>
      <c r="I28" s="31">
        <v>-8926000</v>
      </c>
      <c r="J28" s="31">
        <f>J27+Cty_Thai_Duong[[#This Row],[THÀNH TIỀN]]-Cty_Thai_Duong[[#This Row],[THANH TOÁN]]</f>
        <v>-17938900</v>
      </c>
      <c r="K28" s="24"/>
    </row>
    <row r="29" spans="1:11" x14ac:dyDescent="0.25">
      <c r="A29" s="22">
        <v>8644</v>
      </c>
      <c r="B29" s="29">
        <v>46121</v>
      </c>
      <c r="C29" s="23" t="s">
        <v>49</v>
      </c>
      <c r="D29" s="37" t="s">
        <v>45</v>
      </c>
      <c r="E29" s="23" t="s">
        <v>215</v>
      </c>
      <c r="F29" s="31">
        <v>966</v>
      </c>
      <c r="G29" s="31"/>
      <c r="H29" s="31">
        <f>Cty_Thai_Duong[[#This Row],[ĐƠN GIÁ]]*Cty_Thai_Duong[[#This Row],[SỐ LƯỢNG]]</f>
        <v>0</v>
      </c>
      <c r="I29" s="31"/>
      <c r="J29" s="31">
        <f>J28+Cty_Thai_Duong[[#This Row],[THÀNH TIỀN]]-Cty_Thai_Duong[[#This Row],[THANH TOÁN]]</f>
        <v>-17938900</v>
      </c>
      <c r="K29" s="24" t="s">
        <v>1079</v>
      </c>
    </row>
    <row r="30" spans="1:11" x14ac:dyDescent="0.25">
      <c r="A30" s="22">
        <v>4827</v>
      </c>
      <c r="B30" s="29">
        <v>46122</v>
      </c>
      <c r="C30" s="23" t="s">
        <v>84</v>
      </c>
      <c r="D30" s="37" t="s">
        <v>45</v>
      </c>
      <c r="E30" s="23" t="s">
        <v>215</v>
      </c>
      <c r="F30" s="31">
        <v>929</v>
      </c>
      <c r="G30" s="31">
        <v>-1200</v>
      </c>
      <c r="H30" s="31">
        <f>Cty_Thai_Duong[[#This Row],[ĐƠN GIÁ]]*Cty_Thai_Duong[[#This Row],[SỐ LƯỢNG]]</f>
        <v>-1114800</v>
      </c>
      <c r="I30" s="31"/>
      <c r="J30" s="31">
        <f>J29+Cty_Thai_Duong[[#This Row],[THÀNH TIỀN]]-Cty_Thai_Duong[[#This Row],[THANH TOÁN]]</f>
        <v>-19053700</v>
      </c>
      <c r="K30" s="24"/>
    </row>
    <row r="31" spans="1:11" x14ac:dyDescent="0.25">
      <c r="A31" s="22">
        <v>4827</v>
      </c>
      <c r="B31" s="29">
        <v>46122</v>
      </c>
      <c r="C31" s="23" t="s">
        <v>84</v>
      </c>
      <c r="D31" s="37" t="s">
        <v>644</v>
      </c>
      <c r="E31" s="23"/>
      <c r="F31" s="31">
        <v>1</v>
      </c>
      <c r="G31" s="31">
        <v>-100000</v>
      </c>
      <c r="H31" s="31">
        <f>Cty_Thai_Duong[[#This Row],[ĐƠN GIÁ]]*Cty_Thai_Duong[[#This Row],[SỐ LƯỢNG]]</f>
        <v>-100000</v>
      </c>
      <c r="I31" s="31"/>
      <c r="J31" s="31">
        <f>J30+Cty_Thai_Duong[[#This Row],[THÀNH TIỀN]]-Cty_Thai_Duong[[#This Row],[THANH TOÁN]]</f>
        <v>-19153700</v>
      </c>
      <c r="K31" s="24"/>
    </row>
    <row r="32" spans="1:11" x14ac:dyDescent="0.25">
      <c r="A32" s="22">
        <v>8725</v>
      </c>
      <c r="B32" s="29">
        <v>46125</v>
      </c>
      <c r="C32" s="23" t="s">
        <v>49</v>
      </c>
      <c r="D32" s="37" t="s">
        <v>14</v>
      </c>
      <c r="E32" s="23" t="s">
        <v>40</v>
      </c>
      <c r="F32" s="31">
        <v>3386</v>
      </c>
      <c r="G32" s="31"/>
      <c r="H32" s="31">
        <f>Cty_Thai_Duong[[#This Row],[ĐƠN GIÁ]]*Cty_Thai_Duong[[#This Row],[SỐ LƯỢNG]]</f>
        <v>0</v>
      </c>
      <c r="I32" s="31"/>
      <c r="J32" s="31">
        <f>J31+Cty_Thai_Duong[[#This Row],[THÀNH TIỀN]]-Cty_Thai_Duong[[#This Row],[THANH TOÁN]]</f>
        <v>-19153700</v>
      </c>
      <c r="K32" s="24" t="s">
        <v>1080</v>
      </c>
    </row>
    <row r="33" spans="1:11" x14ac:dyDescent="0.25">
      <c r="A33" s="22">
        <v>8725</v>
      </c>
      <c r="B33" s="29">
        <v>46125</v>
      </c>
      <c r="C33" s="23" t="s">
        <v>166</v>
      </c>
      <c r="D33" s="37" t="s">
        <v>17</v>
      </c>
      <c r="E33" s="23" t="s">
        <v>40</v>
      </c>
      <c r="F33" s="31">
        <v>3883</v>
      </c>
      <c r="G33" s="31"/>
      <c r="H33" s="31">
        <f>Cty_Thai_Duong[[#This Row],[ĐƠN GIÁ]]*Cty_Thai_Duong[[#This Row],[SỐ LƯỢNG]]</f>
        <v>0</v>
      </c>
      <c r="I33" s="31"/>
      <c r="J33" s="31">
        <f>J32+Cty_Thai_Duong[[#This Row],[THÀNH TIỀN]]-Cty_Thai_Duong[[#This Row],[THANH TOÁN]]</f>
        <v>-19153700</v>
      </c>
      <c r="K33" s="24" t="s">
        <v>1081</v>
      </c>
    </row>
    <row r="34" spans="1:11" x14ac:dyDescent="0.25">
      <c r="A34" s="22">
        <v>4837</v>
      </c>
      <c r="B34" s="29">
        <v>46125</v>
      </c>
      <c r="C34" s="23" t="s">
        <v>84</v>
      </c>
      <c r="D34" s="37" t="s">
        <v>32</v>
      </c>
      <c r="E34" s="23" t="s">
        <v>40</v>
      </c>
      <c r="F34" s="31">
        <v>946</v>
      </c>
      <c r="G34" s="31">
        <v>-700</v>
      </c>
      <c r="H34" s="31">
        <f>Cty_Thai_Duong[[#This Row],[ĐƠN GIÁ]]*Cty_Thai_Duong[[#This Row],[SỐ LƯỢNG]]</f>
        <v>-662200</v>
      </c>
      <c r="I34" s="31"/>
      <c r="J34" s="31">
        <f>J33+Cty_Thai_Duong[[#This Row],[THÀNH TIỀN]]-Cty_Thai_Duong[[#This Row],[THANH TOÁN]]</f>
        <v>-19815900</v>
      </c>
      <c r="K34" s="24"/>
    </row>
    <row r="35" spans="1:11" x14ac:dyDescent="0.25">
      <c r="A35" s="25">
        <v>4837</v>
      </c>
      <c r="B35" s="30">
        <v>46125</v>
      </c>
      <c r="C35" s="26" t="s">
        <v>426</v>
      </c>
      <c r="D35" s="38" t="s">
        <v>1086</v>
      </c>
      <c r="E35" s="26" t="s">
        <v>40</v>
      </c>
      <c r="F35" s="28">
        <v>2442</v>
      </c>
      <c r="G35" s="28"/>
      <c r="H35" s="28">
        <f>Cty_Thai_Duong[[#This Row],[ĐƠN GIÁ]]*Cty_Thai_Duong[[#This Row],[SỐ LƯỢNG]]</f>
        <v>0</v>
      </c>
      <c r="I35" s="28"/>
      <c r="J35" s="28">
        <f>J34+Cty_Thai_Duong[[#This Row],[THÀNH TIỀN]]-Cty_Thai_Duong[[#This Row],[THANH TOÁN]]</f>
        <v>-19815900</v>
      </c>
      <c r="K35" s="27"/>
    </row>
    <row r="36" spans="1:11" x14ac:dyDescent="0.25">
      <c r="A36" s="22">
        <v>8763</v>
      </c>
      <c r="B36" s="29">
        <v>46126</v>
      </c>
      <c r="C36" s="23" t="s">
        <v>49</v>
      </c>
      <c r="D36" s="37" t="s">
        <v>68</v>
      </c>
      <c r="E36" s="23" t="s">
        <v>1082</v>
      </c>
      <c r="F36" s="31">
        <v>2690</v>
      </c>
      <c r="G36" s="31"/>
      <c r="H36" s="31">
        <f>Cty_Thai_Duong[[#This Row],[ĐƠN GIÁ]]*Cty_Thai_Duong[[#This Row],[SỐ LƯỢNG]]</f>
        <v>0</v>
      </c>
      <c r="I36" s="31"/>
      <c r="J36" s="31">
        <f>J35+Cty_Thai_Duong[[#This Row],[THÀNH TIỀN]]-Cty_Thai_Duong[[#This Row],[THANH TOÁN]]</f>
        <v>-19815900</v>
      </c>
      <c r="K36" s="24" t="s">
        <v>1083</v>
      </c>
    </row>
    <row r="37" spans="1:11" x14ac:dyDescent="0.25">
      <c r="A37" s="22">
        <v>4842</v>
      </c>
      <c r="B37" s="29">
        <v>46126</v>
      </c>
      <c r="C37" s="23" t="s">
        <v>84</v>
      </c>
      <c r="D37" s="37" t="s">
        <v>1087</v>
      </c>
      <c r="E37" s="23" t="s">
        <v>1082</v>
      </c>
      <c r="F37" s="31">
        <v>767</v>
      </c>
      <c r="G37" s="31">
        <v>-700</v>
      </c>
      <c r="H37" s="31">
        <f>Cty_Thai_Duong[[#This Row],[ĐƠN GIÁ]]*Cty_Thai_Duong[[#This Row],[SỐ LƯỢNG]]</f>
        <v>-536900</v>
      </c>
      <c r="I37" s="31"/>
      <c r="J37" s="31">
        <f>J36+Cty_Thai_Duong[[#This Row],[THÀNH TIỀN]]-Cty_Thai_Duong[[#This Row],[THANH TOÁN]]</f>
        <v>-20352800</v>
      </c>
      <c r="K37" s="24"/>
    </row>
    <row r="38" spans="1:11" x14ac:dyDescent="0.25">
      <c r="A38" s="22">
        <v>4842</v>
      </c>
      <c r="B38" s="29">
        <v>46126</v>
      </c>
      <c r="C38" s="23" t="s">
        <v>426</v>
      </c>
      <c r="D38" s="37" t="s">
        <v>1088</v>
      </c>
      <c r="E38" s="23" t="s">
        <v>1082</v>
      </c>
      <c r="F38" s="31">
        <v>1925</v>
      </c>
      <c r="G38" s="31"/>
      <c r="H38" s="31">
        <f>Cty_Thai_Duong[[#This Row],[ĐƠN GIÁ]]*Cty_Thai_Duong[[#This Row],[SỐ LƯỢNG]]</f>
        <v>0</v>
      </c>
      <c r="I38" s="31"/>
      <c r="J38" s="31">
        <f>J37+Cty_Thai_Duong[[#This Row],[THÀNH TIỀN]]-Cty_Thai_Duong[[#This Row],[THANH TOÁN]]</f>
        <v>-20352800</v>
      </c>
      <c r="K38" s="24"/>
    </row>
    <row r="39" spans="1:11" x14ac:dyDescent="0.25">
      <c r="A39" s="22">
        <v>4856</v>
      </c>
      <c r="B39" s="29">
        <v>46129</v>
      </c>
      <c r="C39" s="23" t="s">
        <v>426</v>
      </c>
      <c r="D39" s="37" t="s">
        <v>17</v>
      </c>
      <c r="E39" s="23" t="s">
        <v>78</v>
      </c>
      <c r="F39" s="31">
        <v>1088</v>
      </c>
      <c r="G39" s="31"/>
      <c r="H39" s="31">
        <f>Cty_Thai_Duong[[#This Row],[ĐƠN GIÁ]]*Cty_Thai_Duong[[#This Row],[SỐ LƯỢNG]]</f>
        <v>0</v>
      </c>
      <c r="I39" s="31"/>
      <c r="J39" s="31">
        <f>J38+Cty_Thai_Duong[[#This Row],[THÀNH TIỀN]]-Cty_Thai_Duong[[#This Row],[THANH TOÁN]]</f>
        <v>-20352800</v>
      </c>
      <c r="K39" s="24"/>
    </row>
    <row r="40" spans="1:11" x14ac:dyDescent="0.25">
      <c r="A40" s="22">
        <v>9385</v>
      </c>
      <c r="B40" s="29">
        <v>46156</v>
      </c>
      <c r="C40" s="23" t="s">
        <v>49</v>
      </c>
      <c r="D40" s="37" t="s">
        <v>26</v>
      </c>
      <c r="E40" s="23" t="s">
        <v>446</v>
      </c>
      <c r="F40" s="31">
        <v>3373</v>
      </c>
      <c r="G40" s="31"/>
      <c r="H40" s="31">
        <f>Cty_Thai_Duong[[#This Row],[ĐƠN GIÁ]]*Cty_Thai_Duong[[#This Row],[SỐ LƯỢNG]]</f>
        <v>0</v>
      </c>
      <c r="I40" s="31"/>
      <c r="J40" s="31">
        <f>J39+Cty_Thai_Duong[[#This Row],[THÀNH TIỀN]]-Cty_Thai_Duong[[#This Row],[THANH TOÁN]]</f>
        <v>-20352800</v>
      </c>
      <c r="K40" s="24" t="s">
        <v>2111</v>
      </c>
    </row>
    <row r="41" spans="1:11" x14ac:dyDescent="0.25">
      <c r="A41" s="25">
        <v>9409</v>
      </c>
      <c r="B41" s="30">
        <v>46157</v>
      </c>
      <c r="C41" s="26" t="s">
        <v>49</v>
      </c>
      <c r="D41" s="38" t="s">
        <v>26</v>
      </c>
      <c r="E41" s="26" t="s">
        <v>446</v>
      </c>
      <c r="F41" s="28">
        <v>965</v>
      </c>
      <c r="G41" s="28"/>
      <c r="H41" s="28">
        <f>Cty_Thai_Duong[[#This Row],[ĐƠN GIÁ]]*Cty_Thai_Duong[[#This Row],[SỐ LƯỢNG]]</f>
        <v>0</v>
      </c>
      <c r="I41" s="28"/>
      <c r="J41" s="28">
        <f>J40+Cty_Thai_Duong[[#This Row],[THÀNH TIỀN]]-Cty_Thai_Duong[[#This Row],[THANH TOÁN]]</f>
        <v>-20352800</v>
      </c>
      <c r="K41" s="27" t="s">
        <v>2111</v>
      </c>
    </row>
    <row r="42" spans="1:11" x14ac:dyDescent="0.25">
      <c r="A42" s="22">
        <v>9409</v>
      </c>
      <c r="B42" s="29">
        <v>46157</v>
      </c>
      <c r="C42" s="23" t="s">
        <v>49</v>
      </c>
      <c r="D42" s="37" t="s">
        <v>26</v>
      </c>
      <c r="E42" s="23" t="s">
        <v>2126</v>
      </c>
      <c r="F42" s="31">
        <v>1196</v>
      </c>
      <c r="G42" s="31"/>
      <c r="H42" s="31">
        <f>Cty_Thai_Duong[[#This Row],[ĐƠN GIÁ]]*Cty_Thai_Duong[[#This Row],[SỐ LƯỢNG]]</f>
        <v>0</v>
      </c>
      <c r="I42" s="31"/>
      <c r="J42" s="31">
        <f>J41+Cty_Thai_Duong[[#This Row],[THÀNH TIỀN]]-Cty_Thai_Duong[[#This Row],[THANH TOÁN]]</f>
        <v>-20352800</v>
      </c>
      <c r="K42" s="24" t="s">
        <v>2127</v>
      </c>
    </row>
    <row r="43" spans="1:11" x14ac:dyDescent="0.25">
      <c r="A43" s="22"/>
      <c r="B43" s="29">
        <v>46157</v>
      </c>
      <c r="C43" s="23" t="s">
        <v>2214</v>
      </c>
      <c r="D43" s="37" t="s">
        <v>22</v>
      </c>
      <c r="E43" s="23" t="s">
        <v>2158</v>
      </c>
      <c r="F43" s="31">
        <v>0</v>
      </c>
      <c r="G43" s="31"/>
      <c r="H43" s="31">
        <f>Cty_Thai_Duong[[#This Row],[ĐƠN GIÁ]]*Cty_Thai_Duong[[#This Row],[SỐ LƯỢNG]]</f>
        <v>0</v>
      </c>
      <c r="I43" s="31">
        <v>-19000000</v>
      </c>
      <c r="J43" s="31">
        <f>J42+Cty_Thai_Duong[[#This Row],[THÀNH TIỀN]]-Cty_Thai_Duong[[#This Row],[THANH TOÁN]]</f>
        <v>-1352800</v>
      </c>
      <c r="K43" s="133"/>
    </row>
    <row r="44" spans="1:11" x14ac:dyDescent="0.25">
      <c r="A44" s="22">
        <v>4968</v>
      </c>
      <c r="B44" s="29">
        <v>46158</v>
      </c>
      <c r="C44" s="23" t="s">
        <v>84</v>
      </c>
      <c r="D44" s="37" t="s">
        <v>26</v>
      </c>
      <c r="E44" s="23" t="s">
        <v>446</v>
      </c>
      <c r="F44" s="31">
        <v>4324</v>
      </c>
      <c r="G44" s="31">
        <v>-2500</v>
      </c>
      <c r="H44" s="31">
        <f>Cty_Thai_Duong[[#This Row],[ĐƠN GIÁ]]*Cty_Thai_Duong[[#This Row],[SỐ LƯỢNG]]</f>
        <v>-10810000</v>
      </c>
      <c r="I44" s="31"/>
      <c r="J44" s="31">
        <f>J43+Cty_Thai_Duong[[#This Row],[THÀNH TIỀN]]-Cty_Thai_Duong[[#This Row],[THANH TOÁN]]</f>
        <v>-12162800</v>
      </c>
      <c r="K44" s="24"/>
    </row>
    <row r="45" spans="1:11" x14ac:dyDescent="0.25">
      <c r="A45" s="22"/>
      <c r="B45" s="29">
        <v>46158</v>
      </c>
      <c r="C45" s="23" t="s">
        <v>21</v>
      </c>
      <c r="D45" s="37" t="s">
        <v>22</v>
      </c>
      <c r="E45" s="23" t="s">
        <v>2158</v>
      </c>
      <c r="F45" s="31">
        <v>0</v>
      </c>
      <c r="G45" s="31"/>
      <c r="H45" s="31">
        <f>Cty_Thai_Duong[[#This Row],[ĐƠN GIÁ]]*Cty_Thai_Duong[[#This Row],[SỐ LƯỢNG]]</f>
        <v>0</v>
      </c>
      <c r="I45" s="31">
        <v>-1351000</v>
      </c>
      <c r="J45" s="31">
        <f>J44+Cty_Thai_Duong[[#This Row],[THÀNH TIỀN]]-Cty_Thai_Duong[[#This Row],[THANH TOÁN]]</f>
        <v>-10811800</v>
      </c>
      <c r="K45" s="133"/>
    </row>
    <row r="46" spans="1:11" x14ac:dyDescent="0.25">
      <c r="A46" s="22">
        <v>9545</v>
      </c>
      <c r="B46" s="29">
        <v>46164</v>
      </c>
      <c r="C46" s="23" t="s">
        <v>49</v>
      </c>
      <c r="D46" s="37" t="s">
        <v>26</v>
      </c>
      <c r="E46" s="23" t="s">
        <v>62</v>
      </c>
      <c r="F46" s="31">
        <v>3992</v>
      </c>
      <c r="G46" s="31"/>
      <c r="H46" s="31">
        <f>Cty_Thai_Duong[[#This Row],[ĐƠN GIÁ]]*Cty_Thai_Duong[[#This Row],[SỐ LƯỢNG]]</f>
        <v>0</v>
      </c>
      <c r="I46" s="31"/>
      <c r="J46" s="31">
        <f>J45+Cty_Thai_Duong[[#This Row],[THÀNH TIỀN]]-Cty_Thai_Duong[[#This Row],[THANH TOÁN]]</f>
        <v>-10811800</v>
      </c>
      <c r="K46" s="24" t="s">
        <v>2278</v>
      </c>
    </row>
    <row r="47" spans="1:11" x14ac:dyDescent="0.25">
      <c r="A47" s="22">
        <v>1</v>
      </c>
      <c r="B47" s="29">
        <v>46165</v>
      </c>
      <c r="C47" s="23" t="s">
        <v>84</v>
      </c>
      <c r="D47" s="37" t="s">
        <v>26</v>
      </c>
      <c r="E47" s="23" t="s">
        <v>62</v>
      </c>
      <c r="F47" s="31">
        <v>1989</v>
      </c>
      <c r="G47" s="31">
        <v>-2300</v>
      </c>
      <c r="H47" s="31">
        <f>Cty_Thai_Duong[[#This Row],[ĐƠN GIÁ]]*Cty_Thai_Duong[[#This Row],[SỐ LƯỢNG]]</f>
        <v>-4574700</v>
      </c>
      <c r="I47" s="31"/>
      <c r="J47" s="31">
        <f>J46+Cty_Thai_Duong[[#This Row],[THÀNH TIỀN]]-Cty_Thai_Duong[[#This Row],[THANH TOÁN]]</f>
        <v>-15386500</v>
      </c>
      <c r="K47" s="24"/>
    </row>
    <row r="48" spans="1:11" ht="31.5" x14ac:dyDescent="0.25">
      <c r="A48" s="22">
        <v>9604</v>
      </c>
      <c r="B48" s="29">
        <v>46167</v>
      </c>
      <c r="C48" s="23" t="s">
        <v>49</v>
      </c>
      <c r="D48" s="37" t="s">
        <v>43</v>
      </c>
      <c r="E48" s="23" t="s">
        <v>484</v>
      </c>
      <c r="F48" s="31">
        <v>1878</v>
      </c>
      <c r="G48" s="31"/>
      <c r="H48" s="31">
        <f>Cty_Thai_Duong[[#This Row],[ĐƠN GIÁ]]*Cty_Thai_Duong[[#This Row],[SỐ LƯỢNG]]</f>
        <v>0</v>
      </c>
      <c r="I48" s="31"/>
      <c r="J48" s="31">
        <f>J47+Cty_Thai_Duong[[#This Row],[THÀNH TIỀN]]-Cty_Thai_Duong[[#This Row],[THANH TOÁN]]</f>
        <v>-15386500</v>
      </c>
      <c r="K48" s="133" t="s">
        <v>2339</v>
      </c>
    </row>
    <row r="49" spans="1:11" x14ac:dyDescent="0.25">
      <c r="A49" s="22">
        <v>9620</v>
      </c>
      <c r="B49" s="29">
        <v>46168</v>
      </c>
      <c r="C49" s="23" t="s">
        <v>49</v>
      </c>
      <c r="D49" s="37" t="s">
        <v>43</v>
      </c>
      <c r="E49" s="23" t="s">
        <v>40</v>
      </c>
      <c r="F49" s="31">
        <v>156</v>
      </c>
      <c r="G49" s="31"/>
      <c r="H49" s="31">
        <f>Cty_Thai_Duong[[#This Row],[ĐƠN GIÁ]]*Cty_Thai_Duong[[#This Row],[SỐ LƯỢNG]]</f>
        <v>0</v>
      </c>
      <c r="I49" s="31"/>
      <c r="J49" s="31">
        <f>J48+Cty_Thai_Duong[[#This Row],[THÀNH TIỀN]]-Cty_Thai_Duong[[#This Row],[THANH TOÁN]]</f>
        <v>-15386500</v>
      </c>
      <c r="K49" s="133"/>
    </row>
    <row r="50" spans="1:11" x14ac:dyDescent="0.25">
      <c r="A50" s="25">
        <v>7</v>
      </c>
      <c r="B50" s="30">
        <v>46167</v>
      </c>
      <c r="C50" s="26" t="s">
        <v>426</v>
      </c>
      <c r="D50" s="38" t="s">
        <v>93</v>
      </c>
      <c r="E50" s="26">
        <v>0.5</v>
      </c>
      <c r="F50" s="28">
        <v>7287</v>
      </c>
      <c r="G50" s="28"/>
      <c r="H50" s="28">
        <f>Cty_Thai_Duong[[#This Row],[ĐƠN GIÁ]]*Cty_Thai_Duong[[#This Row],[SỐ LƯỢNG]]</f>
        <v>0</v>
      </c>
      <c r="I50" s="28"/>
      <c r="J50" s="28">
        <f>J49+Cty_Thai_Duong[[#This Row],[THÀNH TIỀN]]-Cty_Thai_Duong[[#This Row],[THANH TOÁN]]</f>
        <v>-15386500</v>
      </c>
      <c r="K50" s="27"/>
    </row>
    <row r="51" spans="1:11" x14ac:dyDescent="0.25">
      <c r="A51" s="22">
        <v>9745</v>
      </c>
      <c r="B51" s="29">
        <v>46175</v>
      </c>
      <c r="C51" s="23" t="s">
        <v>49</v>
      </c>
      <c r="D51" s="37" t="s">
        <v>17</v>
      </c>
      <c r="E51" s="23" t="s">
        <v>2476</v>
      </c>
      <c r="F51" s="31">
        <v>934</v>
      </c>
      <c r="G51" s="31"/>
      <c r="H51" s="31">
        <f>Cty_Thai_Duong[[#This Row],[ĐƠN GIÁ]]*Cty_Thai_Duong[[#This Row],[SỐ LƯỢNG]]</f>
        <v>0</v>
      </c>
      <c r="I51" s="31"/>
      <c r="J51" s="31">
        <f>J50+Cty_Thai_Duong[[#This Row],[THÀNH TIỀN]]-Cty_Thai_Duong[[#This Row],[THANH TOÁN]]</f>
        <v>-15386500</v>
      </c>
      <c r="K51" s="24" t="s">
        <v>2560</v>
      </c>
    </row>
    <row r="52" spans="1:11" x14ac:dyDescent="0.25">
      <c r="A52" s="25">
        <v>38</v>
      </c>
      <c r="B52" s="30">
        <v>46176</v>
      </c>
      <c r="C52" s="26" t="s">
        <v>84</v>
      </c>
      <c r="D52" s="38" t="s">
        <v>17</v>
      </c>
      <c r="E52" s="26" t="s">
        <v>2476</v>
      </c>
      <c r="F52" s="28">
        <v>934</v>
      </c>
      <c r="G52" s="28">
        <v>-1000</v>
      </c>
      <c r="H52" s="28">
        <f>Cty_Thai_Duong[[#This Row],[ĐƠN GIÁ]]*Cty_Thai_Duong[[#This Row],[SỐ LƯỢNG]]</f>
        <v>-934000</v>
      </c>
      <c r="I52" s="28"/>
      <c r="J52" s="28">
        <f>J51+Cty_Thai_Duong[[#This Row],[THÀNH TIỀN]]-Cty_Thai_Duong[[#This Row],[THANH TOÁN]]</f>
        <v>-16320500</v>
      </c>
      <c r="K52" s="27"/>
    </row>
    <row r="53" spans="1:11" x14ac:dyDescent="0.25">
      <c r="A53" s="22">
        <v>7520</v>
      </c>
      <c r="B53" s="29">
        <v>46056</v>
      </c>
      <c r="C53" s="23" t="s">
        <v>49</v>
      </c>
      <c r="D53" s="37" t="s">
        <v>143</v>
      </c>
      <c r="E53" s="23" t="s">
        <v>146</v>
      </c>
      <c r="F53" s="31">
        <v>837</v>
      </c>
      <c r="G53" s="31"/>
      <c r="H53" s="31">
        <f>Cty_Thai_Duong[[#This Row],[ĐƠN GIÁ]]*Cty_Thai_Duong[[#This Row],[SỐ LƯỢNG]]</f>
        <v>0</v>
      </c>
      <c r="I53" s="31"/>
      <c r="J53" s="31">
        <f>J52+Cty_Thai_Duong[[#This Row],[THÀNH TIỀN]]-Cty_Thai_Duong[[#This Row],[THANH TOÁN]]</f>
        <v>-16320500</v>
      </c>
      <c r="K53" s="24"/>
    </row>
    <row r="54" spans="1:11" x14ac:dyDescent="0.25">
      <c r="A54" s="22">
        <v>7687</v>
      </c>
      <c r="B54" s="29">
        <v>46077</v>
      </c>
      <c r="C54" s="23" t="s">
        <v>49</v>
      </c>
      <c r="D54" s="37" t="s">
        <v>26</v>
      </c>
      <c r="E54" s="23" t="s">
        <v>2572</v>
      </c>
      <c r="F54" s="31">
        <v>2361</v>
      </c>
      <c r="G54" s="31"/>
      <c r="H54" s="31">
        <f>Cty_Thai_Duong[[#This Row],[ĐƠN GIÁ]]*Cty_Thai_Duong[[#This Row],[SỐ LƯỢNG]]</f>
        <v>0</v>
      </c>
      <c r="I54" s="31"/>
      <c r="J54" s="31">
        <f>J53+Cty_Thai_Duong[[#This Row],[THÀNH TIỀN]]-Cty_Thai_Duong[[#This Row],[THANH TOÁN]]</f>
        <v>-16320500</v>
      </c>
      <c r="K54" s="24"/>
    </row>
    <row r="55" spans="1:11" x14ac:dyDescent="0.25">
      <c r="A55" s="22">
        <v>7751</v>
      </c>
      <c r="B55" s="29">
        <v>46080</v>
      </c>
      <c r="C55" s="23" t="s">
        <v>49</v>
      </c>
      <c r="D55" s="37" t="s">
        <v>301</v>
      </c>
      <c r="E55" s="23" t="s">
        <v>81</v>
      </c>
      <c r="F55" s="31">
        <v>4438</v>
      </c>
      <c r="G55" s="31"/>
      <c r="H55" s="31">
        <f>Cty_Thai_Duong[[#This Row],[ĐƠN GIÁ]]*Cty_Thai_Duong[[#This Row],[SỐ LƯỢNG]]</f>
        <v>0</v>
      </c>
      <c r="I55" s="31"/>
      <c r="J55" s="31">
        <f>J54+Cty_Thai_Duong[[#This Row],[THÀNH TIỀN]]-Cty_Thai_Duong[[#This Row],[THANH TOÁN]]</f>
        <v>-16320500</v>
      </c>
      <c r="K55" s="24"/>
    </row>
    <row r="56" spans="1:11" x14ac:dyDescent="0.25">
      <c r="A56" s="22">
        <v>7759</v>
      </c>
      <c r="B56" s="29">
        <v>46081</v>
      </c>
      <c r="C56" s="23" t="s">
        <v>49</v>
      </c>
      <c r="D56" s="37" t="s">
        <v>301</v>
      </c>
      <c r="E56" s="23" t="s">
        <v>2321</v>
      </c>
      <c r="F56" s="31">
        <v>9208</v>
      </c>
      <c r="G56" s="31"/>
      <c r="H56" s="31">
        <f>Cty_Thai_Duong[[#This Row],[ĐƠN GIÁ]]*Cty_Thai_Duong[[#This Row],[SỐ LƯỢNG]]</f>
        <v>0</v>
      </c>
      <c r="I56" s="31"/>
      <c r="J56" s="31">
        <f>J55+Cty_Thai_Duong[[#This Row],[THÀNH TIỀN]]-Cty_Thai_Duong[[#This Row],[THANH TOÁN]]</f>
        <v>-16320500</v>
      </c>
      <c r="K56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CED85-EBE1-41CF-9F21-3E175B16A061}">
  <sheetPr codeName="Sheet85"/>
  <dimension ref="A5:K51"/>
  <sheetViews>
    <sheetView topLeftCell="A25" workbookViewId="0">
      <selection activeCell="I37" sqref="I37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432826460</v>
      </c>
    </row>
    <row r="6" spans="1:11" ht="22.5" x14ac:dyDescent="0.25">
      <c r="D6" s="34" t="s">
        <v>1089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Cty_Hong_Tam_Phu_Ly[[#This Row],[ĐƠN GIÁ]]*Cty_Hong_Tam_Phu_Ly[[#This Row],[SỐ LƯỢNG]]</f>
        <v>0</v>
      </c>
      <c r="I10" s="31"/>
      <c r="J10" s="31">
        <v>63061000</v>
      </c>
      <c r="K10" s="24"/>
    </row>
    <row r="11" spans="1:11" ht="31.5" x14ac:dyDescent="0.25">
      <c r="A11" s="22">
        <v>7900</v>
      </c>
      <c r="B11" s="29">
        <v>46087</v>
      </c>
      <c r="C11" s="53" t="s">
        <v>13</v>
      </c>
      <c r="D11" s="46" t="s">
        <v>27</v>
      </c>
      <c r="E11" s="43" t="s">
        <v>1090</v>
      </c>
      <c r="F11" s="44">
        <v>160</v>
      </c>
      <c r="G11" s="44">
        <v>57000</v>
      </c>
      <c r="H11" s="44">
        <f>Cty_Hong_Tam_Phu_Ly[[#This Row],[ĐƠN GIÁ]]*Cty_Hong_Tam_Phu_Ly[[#This Row],[SỐ LƯỢNG]]</f>
        <v>9120000</v>
      </c>
      <c r="I11" s="44"/>
      <c r="J11" s="44">
        <f>J10+Cty_Hong_Tam_Phu_Ly[[#This Row],[THÀNH TIỀN]]-Cty_Hong_Tam_Phu_Ly[[#This Row],[THANH TOÁN]]</f>
        <v>72181000</v>
      </c>
      <c r="K11" s="54"/>
    </row>
    <row r="12" spans="1:11" x14ac:dyDescent="0.25">
      <c r="A12" s="22">
        <v>7900</v>
      </c>
      <c r="B12" s="29">
        <v>46087</v>
      </c>
      <c r="C12" s="53" t="s">
        <v>13</v>
      </c>
      <c r="D12" s="37" t="s">
        <v>27</v>
      </c>
      <c r="E12" s="23" t="s">
        <v>1091</v>
      </c>
      <c r="F12" s="31">
        <v>148</v>
      </c>
      <c r="G12" s="31">
        <v>57000</v>
      </c>
      <c r="H12" s="31">
        <f>Cty_Hong_Tam_Phu_Ly[[#This Row],[ĐƠN GIÁ]]*Cty_Hong_Tam_Phu_Ly[[#This Row],[SỐ LƯỢNG]]</f>
        <v>8436000</v>
      </c>
      <c r="I12" s="31"/>
      <c r="J12" s="31">
        <f>J11+Cty_Hong_Tam_Phu_Ly[[#This Row],[THÀNH TIỀN]]-Cty_Hong_Tam_Phu_Ly[[#This Row],[THANH TOÁN]]</f>
        <v>80617000</v>
      </c>
      <c r="K12" s="24"/>
    </row>
    <row r="13" spans="1:11" x14ac:dyDescent="0.25">
      <c r="A13" s="22">
        <v>7900</v>
      </c>
      <c r="B13" s="29">
        <v>46087</v>
      </c>
      <c r="C13" s="53" t="s">
        <v>13</v>
      </c>
      <c r="D13" s="37" t="s">
        <v>317</v>
      </c>
      <c r="E13" s="23" t="s">
        <v>62</v>
      </c>
      <c r="F13" s="31">
        <v>542</v>
      </c>
      <c r="G13" s="31">
        <v>60500</v>
      </c>
      <c r="H13" s="31">
        <f>Cty_Hong_Tam_Phu_Ly[[#This Row],[ĐƠN GIÁ]]*Cty_Hong_Tam_Phu_Ly[[#This Row],[SỐ LƯỢNG]]</f>
        <v>32791000</v>
      </c>
      <c r="I13" s="31"/>
      <c r="J13" s="31">
        <f>J12+Cty_Hong_Tam_Phu_Ly[[#This Row],[THÀNH TIỀN]]-Cty_Hong_Tam_Phu_Ly[[#This Row],[THANH TOÁN]]</f>
        <v>113408000</v>
      </c>
      <c r="K13" s="24"/>
    </row>
    <row r="14" spans="1:11" x14ac:dyDescent="0.25">
      <c r="A14" s="25">
        <v>7931</v>
      </c>
      <c r="B14" s="30">
        <v>46088</v>
      </c>
      <c r="C14" s="26" t="s">
        <v>13</v>
      </c>
      <c r="D14" s="38" t="s">
        <v>50</v>
      </c>
      <c r="E14" s="26" t="s">
        <v>1092</v>
      </c>
      <c r="F14" s="28">
        <v>130</v>
      </c>
      <c r="G14" s="28">
        <v>58000</v>
      </c>
      <c r="H14" s="28">
        <f>Cty_Hong_Tam_Phu_Ly[[#This Row],[ĐƠN GIÁ]]*Cty_Hong_Tam_Phu_Ly[[#This Row],[SỐ LƯỢNG]]</f>
        <v>7540000</v>
      </c>
      <c r="I14" s="28"/>
      <c r="J14" s="28">
        <f>J13+Cty_Hong_Tam_Phu_Ly[[#This Row],[THÀNH TIỀN]]-Cty_Hong_Tam_Phu_Ly[[#This Row],[THANH TOÁN]]</f>
        <v>120948000</v>
      </c>
      <c r="K14" s="27"/>
    </row>
    <row r="15" spans="1:11" ht="31.5" x14ac:dyDescent="0.25">
      <c r="A15" s="25">
        <v>7931</v>
      </c>
      <c r="B15" s="30">
        <v>46088</v>
      </c>
      <c r="C15" s="26" t="s">
        <v>13</v>
      </c>
      <c r="D15" s="50" t="s">
        <v>50</v>
      </c>
      <c r="E15" s="43" t="s">
        <v>1093</v>
      </c>
      <c r="F15" s="44">
        <v>114</v>
      </c>
      <c r="G15" s="44">
        <v>58000</v>
      </c>
      <c r="H15" s="44">
        <f>Cty_Hong_Tam_Phu_Ly[[#This Row],[ĐƠN GIÁ]]*Cty_Hong_Tam_Phu_Ly[[#This Row],[SỐ LƯỢNG]]</f>
        <v>6612000</v>
      </c>
      <c r="I15" s="31"/>
      <c r="J15" s="31">
        <f>J14+Cty_Hong_Tam_Phu_Ly[[#This Row],[THÀNH TIỀN]]-Cty_Hong_Tam_Phu_Ly[[#This Row],[THANH TOÁN]]</f>
        <v>127560000</v>
      </c>
      <c r="K15" s="24"/>
    </row>
    <row r="16" spans="1:11" x14ac:dyDescent="0.25">
      <c r="A16" s="25">
        <v>8064</v>
      </c>
      <c r="B16" s="30">
        <v>46094</v>
      </c>
      <c r="C16" s="26" t="s">
        <v>13</v>
      </c>
      <c r="D16" s="38" t="s">
        <v>50</v>
      </c>
      <c r="E16" s="26" t="s">
        <v>1094</v>
      </c>
      <c r="F16" s="28">
        <v>592</v>
      </c>
      <c r="G16" s="28">
        <v>56000</v>
      </c>
      <c r="H16" s="28">
        <f>Cty_Hong_Tam_Phu_Ly[[#This Row],[ĐƠN GIÁ]]*Cty_Hong_Tam_Phu_Ly[[#This Row],[SỐ LƯỢNG]]</f>
        <v>33152000</v>
      </c>
      <c r="I16" s="28"/>
      <c r="J16" s="28">
        <f>J15+Cty_Hong_Tam_Phu_Ly[[#This Row],[THÀNH TIỀN]]-Cty_Hong_Tam_Phu_Ly[[#This Row],[THANH TOÁN]]</f>
        <v>160712000</v>
      </c>
      <c r="K16" s="27"/>
    </row>
    <row r="17" spans="1:11" x14ac:dyDescent="0.25">
      <c r="A17" s="25">
        <v>8225</v>
      </c>
      <c r="B17" s="30">
        <v>46104</v>
      </c>
      <c r="C17" s="26" t="s">
        <v>13</v>
      </c>
      <c r="D17" s="38" t="s">
        <v>50</v>
      </c>
      <c r="E17" s="26" t="s">
        <v>848</v>
      </c>
      <c r="F17" s="28">
        <v>532</v>
      </c>
      <c r="G17" s="28">
        <v>60000</v>
      </c>
      <c r="H17" s="28">
        <f>Cty_Hong_Tam_Phu_Ly[[#This Row],[ĐƠN GIÁ]]*Cty_Hong_Tam_Phu_Ly[[#This Row],[SỐ LƯỢNG]]</f>
        <v>31920000</v>
      </c>
      <c r="I17" s="28"/>
      <c r="J17" s="28">
        <f>J16+Cty_Hong_Tam_Phu_Ly[[#This Row],[THÀNH TIỀN]]-Cty_Hong_Tam_Phu_Ly[[#This Row],[THANH TOÁN]]</f>
        <v>192632000</v>
      </c>
      <c r="K17" s="27"/>
    </row>
    <row r="18" spans="1:11" x14ac:dyDescent="0.25">
      <c r="A18" s="25">
        <v>8225</v>
      </c>
      <c r="B18" s="30">
        <v>46104</v>
      </c>
      <c r="C18" s="26" t="s">
        <v>13</v>
      </c>
      <c r="D18" s="38" t="s">
        <v>17</v>
      </c>
      <c r="E18" s="26" t="s">
        <v>38</v>
      </c>
      <c r="F18" s="28">
        <v>451</v>
      </c>
      <c r="G18" s="28">
        <v>65000</v>
      </c>
      <c r="H18" s="28">
        <f>Cty_Hong_Tam_Phu_Ly[[#This Row],[ĐƠN GIÁ]]*Cty_Hong_Tam_Phu_Ly[[#This Row],[SỐ LƯỢNG]]</f>
        <v>29315000</v>
      </c>
      <c r="I18" s="28"/>
      <c r="J18" s="28">
        <f>J17+Cty_Hong_Tam_Phu_Ly[[#This Row],[THÀNH TIỀN]]-Cty_Hong_Tam_Phu_Ly[[#This Row],[THANH TOÁN]]</f>
        <v>221947000</v>
      </c>
      <c r="K18" s="27"/>
    </row>
    <row r="19" spans="1:11" x14ac:dyDescent="0.25">
      <c r="A19" s="25">
        <v>8225</v>
      </c>
      <c r="B19" s="30">
        <v>46104</v>
      </c>
      <c r="C19" s="26" t="s">
        <v>13</v>
      </c>
      <c r="D19" s="38" t="s">
        <v>17</v>
      </c>
      <c r="E19" s="23" t="s">
        <v>134</v>
      </c>
      <c r="F19" s="31">
        <v>474</v>
      </c>
      <c r="G19" s="31">
        <v>57000</v>
      </c>
      <c r="H19" s="31">
        <f>Cty_Hong_Tam_Phu_Ly[[#This Row],[ĐƠN GIÁ]]*Cty_Hong_Tam_Phu_Ly[[#This Row],[SỐ LƯỢNG]]</f>
        <v>27018000</v>
      </c>
      <c r="I19" s="31"/>
      <c r="J19" s="31">
        <f>J18+Cty_Hong_Tam_Phu_Ly[[#This Row],[THÀNH TIỀN]]-Cty_Hong_Tam_Phu_Ly[[#This Row],[THANH TOÁN]]</f>
        <v>248965000</v>
      </c>
      <c r="K19" s="24"/>
    </row>
    <row r="20" spans="1:11" x14ac:dyDescent="0.25">
      <c r="A20" s="25">
        <v>8225</v>
      </c>
      <c r="B20" s="30">
        <v>46104</v>
      </c>
      <c r="C20" s="26" t="s">
        <v>13</v>
      </c>
      <c r="D20" s="38" t="s">
        <v>17</v>
      </c>
      <c r="E20" s="23" t="s">
        <v>256</v>
      </c>
      <c r="F20" s="31">
        <v>419</v>
      </c>
      <c r="G20" s="31">
        <v>57000</v>
      </c>
      <c r="H20" s="31">
        <f>Cty_Hong_Tam_Phu_Ly[[#This Row],[ĐƠN GIÁ]]*Cty_Hong_Tam_Phu_Ly[[#This Row],[SỐ LƯỢNG]]</f>
        <v>23883000</v>
      </c>
      <c r="I20" s="31"/>
      <c r="J20" s="31">
        <f>J19+Cty_Hong_Tam_Phu_Ly[[#This Row],[THÀNH TIỀN]]-Cty_Hong_Tam_Phu_Ly[[#This Row],[THANH TOÁN]]</f>
        <v>272848000</v>
      </c>
      <c r="K20" s="24"/>
    </row>
    <row r="21" spans="1:11" x14ac:dyDescent="0.25">
      <c r="A21" s="25">
        <v>8378</v>
      </c>
      <c r="B21" s="30">
        <v>46108</v>
      </c>
      <c r="C21" s="26" t="s">
        <v>13</v>
      </c>
      <c r="D21" s="38" t="s">
        <v>17</v>
      </c>
      <c r="E21" s="26" t="s">
        <v>146</v>
      </c>
      <c r="F21" s="28">
        <v>642</v>
      </c>
      <c r="G21" s="28">
        <v>60500</v>
      </c>
      <c r="H21" s="28">
        <f>Cty_Hong_Tam_Phu_Ly[[#This Row],[ĐƠN GIÁ]]*Cty_Hong_Tam_Phu_Ly[[#This Row],[SỐ LƯỢNG]]</f>
        <v>38841000</v>
      </c>
      <c r="I21" s="28"/>
      <c r="J21" s="28">
        <f>J20+Cty_Hong_Tam_Phu_Ly[[#This Row],[THÀNH TIỀN]]-Cty_Hong_Tam_Phu_Ly[[#This Row],[THANH TOÁN]]</f>
        <v>311689000</v>
      </c>
      <c r="K21" s="27"/>
    </row>
    <row r="22" spans="1:11" x14ac:dyDescent="0.25">
      <c r="A22" s="25">
        <v>8378</v>
      </c>
      <c r="B22" s="30">
        <v>46108</v>
      </c>
      <c r="C22" s="26" t="s">
        <v>13</v>
      </c>
      <c r="D22" s="38" t="s">
        <v>17</v>
      </c>
      <c r="E22" s="23" t="s">
        <v>134</v>
      </c>
      <c r="F22" s="31">
        <v>644</v>
      </c>
      <c r="G22" s="31">
        <v>60500</v>
      </c>
      <c r="H22" s="31">
        <f>Cty_Hong_Tam_Phu_Ly[[#This Row],[ĐƠN GIÁ]]*Cty_Hong_Tam_Phu_Ly[[#This Row],[SỐ LƯỢNG]]</f>
        <v>38962000</v>
      </c>
      <c r="I22" s="31"/>
      <c r="J22" s="31">
        <f>J21+Cty_Hong_Tam_Phu_Ly[[#This Row],[THÀNH TIỀN]]-Cty_Hong_Tam_Phu_Ly[[#This Row],[THANH TOÁN]]</f>
        <v>350651000</v>
      </c>
      <c r="K22" s="24"/>
    </row>
    <row r="23" spans="1:11" x14ac:dyDescent="0.25">
      <c r="A23" s="25">
        <v>8402</v>
      </c>
      <c r="B23" s="30">
        <v>46109</v>
      </c>
      <c r="C23" s="26" t="s">
        <v>13</v>
      </c>
      <c r="D23" s="38" t="s">
        <v>50</v>
      </c>
      <c r="E23" s="26" t="s">
        <v>379</v>
      </c>
      <c r="F23" s="28">
        <v>310</v>
      </c>
      <c r="G23" s="28">
        <v>58000</v>
      </c>
      <c r="H23" s="28">
        <f>Cty_Hong_Tam_Phu_Ly[[#This Row],[ĐƠN GIÁ]]*Cty_Hong_Tam_Phu_Ly[[#This Row],[SỐ LƯỢNG]]</f>
        <v>17980000</v>
      </c>
      <c r="I23" s="28"/>
      <c r="J23" s="28">
        <f>J22+Cty_Hong_Tam_Phu_Ly[[#This Row],[THÀNH TIỀN]]-Cty_Hong_Tam_Phu_Ly[[#This Row],[THANH TOÁN]]</f>
        <v>368631000</v>
      </c>
      <c r="K23" s="27"/>
    </row>
    <row r="24" spans="1:11" x14ac:dyDescent="0.25">
      <c r="A24" s="25">
        <v>8402</v>
      </c>
      <c r="B24" s="30">
        <v>46109</v>
      </c>
      <c r="C24" s="26" t="s">
        <v>13</v>
      </c>
      <c r="D24" s="38" t="s">
        <v>317</v>
      </c>
      <c r="E24" s="26" t="s">
        <v>1095</v>
      </c>
      <c r="F24" s="28">
        <v>2556</v>
      </c>
      <c r="G24" s="28">
        <v>59000</v>
      </c>
      <c r="H24" s="28">
        <f>Cty_Hong_Tam_Phu_Ly[[#This Row],[ĐƠN GIÁ]]*Cty_Hong_Tam_Phu_Ly[[#This Row],[SỐ LƯỢNG]]</f>
        <v>150804000</v>
      </c>
      <c r="I24" s="28"/>
      <c r="J24" s="28">
        <f>J23+Cty_Hong_Tam_Phu_Ly[[#This Row],[THÀNH TIỀN]]-Cty_Hong_Tam_Phu_Ly[[#This Row],[THANH TOÁN]]</f>
        <v>519435000</v>
      </c>
      <c r="K24" s="27"/>
    </row>
    <row r="25" spans="1:11" x14ac:dyDescent="0.25">
      <c r="A25" s="25"/>
      <c r="B25" s="30">
        <v>46097</v>
      </c>
      <c r="C25" s="26" t="s">
        <v>21</v>
      </c>
      <c r="D25" s="38" t="s">
        <v>22</v>
      </c>
      <c r="E25" s="26" t="s">
        <v>147</v>
      </c>
      <c r="F25" s="28">
        <v>0</v>
      </c>
      <c r="G25" s="28">
        <v>0</v>
      </c>
      <c r="H25" s="28">
        <f>Cty_Hong_Tam_Phu_Ly[[#This Row],[ĐƠN GIÁ]]*Cty_Hong_Tam_Phu_Ly[[#This Row],[SỐ LƯỢNG]]</f>
        <v>0</v>
      </c>
      <c r="I25" s="28">
        <v>127558640</v>
      </c>
      <c r="J25" s="28">
        <f>J24+Cty_Hong_Tam_Phu_Ly[[#This Row],[THÀNH TIỀN]]-Cty_Hong_Tam_Phu_Ly[[#This Row],[THANH TOÁN]]</f>
        <v>391876360</v>
      </c>
      <c r="K25" s="27"/>
    </row>
    <row r="26" spans="1:11" x14ac:dyDescent="0.25">
      <c r="A26" s="22">
        <v>8598</v>
      </c>
      <c r="B26" s="29">
        <v>46119</v>
      </c>
      <c r="C26" s="23" t="s">
        <v>13</v>
      </c>
      <c r="D26" s="37" t="s">
        <v>1096</v>
      </c>
      <c r="E26" s="23" t="s">
        <v>119</v>
      </c>
      <c r="F26" s="31">
        <v>126</v>
      </c>
      <c r="G26" s="31">
        <v>40000</v>
      </c>
      <c r="H26" s="31">
        <f>Cty_Hong_Tam_Phu_Ly[[#This Row],[ĐƠN GIÁ]]*Cty_Hong_Tam_Phu_Ly[[#This Row],[SỐ LƯỢNG]]</f>
        <v>5040000</v>
      </c>
      <c r="I26" s="31"/>
      <c r="J26" s="31">
        <f>J25+Cty_Hong_Tam_Phu_Ly[[#This Row],[THÀNH TIỀN]]-Cty_Hong_Tam_Phu_Ly[[#This Row],[THANH TOÁN]]</f>
        <v>396916360</v>
      </c>
      <c r="K26" s="24"/>
    </row>
    <row r="27" spans="1:11" x14ac:dyDescent="0.25">
      <c r="A27" s="22">
        <v>8598</v>
      </c>
      <c r="B27" s="29">
        <v>46119</v>
      </c>
      <c r="C27" s="23" t="s">
        <v>13</v>
      </c>
      <c r="D27" s="37" t="s">
        <v>1097</v>
      </c>
      <c r="E27" s="23" t="s">
        <v>120</v>
      </c>
      <c r="F27" s="31">
        <v>302</v>
      </c>
      <c r="G27" s="31">
        <v>60000</v>
      </c>
      <c r="H27" s="31">
        <f>Cty_Hong_Tam_Phu_Ly[[#This Row],[ĐƠN GIÁ]]*Cty_Hong_Tam_Phu_Ly[[#This Row],[SỐ LƯỢNG]]</f>
        <v>18120000</v>
      </c>
      <c r="I27" s="31"/>
      <c r="J27" s="31">
        <f>J26+Cty_Hong_Tam_Phu_Ly[[#This Row],[THÀNH TIỀN]]-Cty_Hong_Tam_Phu_Ly[[#This Row],[THANH TOÁN]]</f>
        <v>415036360</v>
      </c>
      <c r="K27" s="24"/>
    </row>
    <row r="28" spans="1:11" x14ac:dyDescent="0.25">
      <c r="A28" s="22">
        <v>8707</v>
      </c>
      <c r="B28" s="29">
        <v>46123</v>
      </c>
      <c r="C28" s="23" t="s">
        <v>13</v>
      </c>
      <c r="D28" s="37" t="s">
        <v>17</v>
      </c>
      <c r="E28" s="23" t="s">
        <v>416</v>
      </c>
      <c r="F28" s="31">
        <v>806</v>
      </c>
      <c r="G28" s="31">
        <v>61000</v>
      </c>
      <c r="H28" s="31">
        <f>Cty_Hong_Tam_Phu_Ly[[#This Row],[ĐƠN GIÁ]]*Cty_Hong_Tam_Phu_Ly[[#This Row],[SỐ LƯỢNG]]</f>
        <v>49166000</v>
      </c>
      <c r="I28" s="31"/>
      <c r="J28" s="31">
        <f>J27+Cty_Hong_Tam_Phu_Ly[[#This Row],[THÀNH TIỀN]]-Cty_Hong_Tam_Phu_Ly[[#This Row],[THANH TOÁN]]</f>
        <v>464202360</v>
      </c>
      <c r="K28" s="24"/>
    </row>
    <row r="29" spans="1:11" x14ac:dyDescent="0.25">
      <c r="A29" s="22">
        <v>8730</v>
      </c>
      <c r="B29" s="29">
        <v>46125</v>
      </c>
      <c r="C29" s="23" t="s">
        <v>13</v>
      </c>
      <c r="D29" s="37" t="s">
        <v>14</v>
      </c>
      <c r="E29" s="23" t="s">
        <v>146</v>
      </c>
      <c r="F29" s="31">
        <v>538</v>
      </c>
      <c r="G29" s="31">
        <v>42000</v>
      </c>
      <c r="H29" s="31">
        <f>Cty_Hong_Tam_Phu_Ly[[#This Row],[ĐƠN GIÁ]]*Cty_Hong_Tam_Phu_Ly[[#This Row],[SỐ LƯỢNG]]</f>
        <v>22596000</v>
      </c>
      <c r="I29" s="31"/>
      <c r="J29" s="31">
        <f>J28+Cty_Hong_Tam_Phu_Ly[[#This Row],[THÀNH TIỀN]]-Cty_Hong_Tam_Phu_Ly[[#This Row],[THANH TOÁN]]</f>
        <v>486798360</v>
      </c>
      <c r="K29" s="24"/>
    </row>
    <row r="30" spans="1:11" x14ac:dyDescent="0.25">
      <c r="A30" s="22">
        <v>8730</v>
      </c>
      <c r="B30" s="29">
        <v>46125</v>
      </c>
      <c r="C30" s="23" t="s">
        <v>13</v>
      </c>
      <c r="D30" s="37" t="s">
        <v>14</v>
      </c>
      <c r="E30" s="23" t="s">
        <v>136</v>
      </c>
      <c r="F30" s="31">
        <v>582</v>
      </c>
      <c r="G30" s="31">
        <v>42000</v>
      </c>
      <c r="H30" s="31">
        <f>Cty_Hong_Tam_Phu_Ly[[#This Row],[ĐƠN GIÁ]]*Cty_Hong_Tam_Phu_Ly[[#This Row],[SỐ LƯỢNG]]</f>
        <v>24444000</v>
      </c>
      <c r="I30" s="31"/>
      <c r="J30" s="31">
        <f>J29+Cty_Hong_Tam_Phu_Ly[[#This Row],[THÀNH TIỀN]]-Cty_Hong_Tam_Phu_Ly[[#This Row],[THANH TOÁN]]</f>
        <v>511242360</v>
      </c>
      <c r="K30" s="24"/>
    </row>
    <row r="31" spans="1:11" x14ac:dyDescent="0.25">
      <c r="A31" s="22">
        <v>8779</v>
      </c>
      <c r="B31" s="29">
        <v>46126</v>
      </c>
      <c r="C31" s="23" t="s">
        <v>13</v>
      </c>
      <c r="D31" s="37" t="s">
        <v>50</v>
      </c>
      <c r="E31" s="23" t="s">
        <v>44</v>
      </c>
      <c r="F31" s="31">
        <v>890</v>
      </c>
      <c r="G31" s="31">
        <v>56000</v>
      </c>
      <c r="H31" s="31">
        <f>Cty_Hong_Tam_Phu_Ly[[#This Row],[ĐƠN GIÁ]]*Cty_Hong_Tam_Phu_Ly[[#This Row],[SỐ LƯỢNG]]</f>
        <v>49840000</v>
      </c>
      <c r="I31" s="31"/>
      <c r="J31" s="31">
        <f>J30+Cty_Hong_Tam_Phu_Ly[[#This Row],[THÀNH TIỀN]]-Cty_Hong_Tam_Phu_Ly[[#This Row],[THANH TOÁN]]</f>
        <v>561082360</v>
      </c>
      <c r="K31" s="24"/>
    </row>
    <row r="32" spans="1:11" x14ac:dyDescent="0.25">
      <c r="A32" s="22"/>
      <c r="B32" s="29">
        <v>46118</v>
      </c>
      <c r="C32" s="23" t="s">
        <v>21</v>
      </c>
      <c r="D32" s="37" t="s">
        <v>22</v>
      </c>
      <c r="E32" s="23" t="s">
        <v>147</v>
      </c>
      <c r="F32" s="31">
        <v>0</v>
      </c>
      <c r="G32" s="31"/>
      <c r="H32" s="31">
        <f>Cty_Hong_Tam_Phu_Ly[[#This Row],[ĐƠN GIÁ]]*Cty_Hong_Tam_Phu_Ly[[#This Row],[SỐ LƯỢNG]]</f>
        <v>0</v>
      </c>
      <c r="I32" s="31">
        <v>145286680</v>
      </c>
      <c r="J32" s="31">
        <f>J31+Cty_Hong_Tam_Phu_Ly[[#This Row],[THÀNH TIỀN]]-Cty_Hong_Tam_Phu_Ly[[#This Row],[THANH TOÁN]]</f>
        <v>415795680</v>
      </c>
      <c r="K32" s="24"/>
    </row>
    <row r="33" spans="1:11" x14ac:dyDescent="0.25">
      <c r="A33" s="22"/>
      <c r="B33" s="29">
        <v>46133</v>
      </c>
      <c r="C33" s="23" t="s">
        <v>21</v>
      </c>
      <c r="D33" s="37" t="s">
        <v>22</v>
      </c>
      <c r="E33" s="23" t="s">
        <v>147</v>
      </c>
      <c r="F33" s="31">
        <v>0</v>
      </c>
      <c r="G33" s="31"/>
      <c r="H33" s="31">
        <f>Cty_Hong_Tam_Phu_Ly[[#This Row],[ĐƠN GIÁ]]*Cty_Hong_Tam_Phu_Ly[[#This Row],[SỐ LƯỢNG]]</f>
        <v>0</v>
      </c>
      <c r="I33" s="31">
        <v>269747720</v>
      </c>
      <c r="J33" s="31">
        <f>J32+Cty_Hong_Tam_Phu_Ly[[#This Row],[THÀNH TIỀN]]-Cty_Hong_Tam_Phu_Ly[[#This Row],[THANH TOÁN]]</f>
        <v>146047960</v>
      </c>
      <c r="K33" s="24"/>
    </row>
    <row r="34" spans="1:11" x14ac:dyDescent="0.25">
      <c r="A34" s="22">
        <v>8947</v>
      </c>
      <c r="B34" s="29">
        <v>46134</v>
      </c>
      <c r="C34" s="23" t="s">
        <v>13</v>
      </c>
      <c r="D34" s="37" t="s">
        <v>143</v>
      </c>
      <c r="E34" s="23" t="s">
        <v>1772</v>
      </c>
      <c r="F34" s="31">
        <v>1353</v>
      </c>
      <c r="G34" s="31">
        <v>60000</v>
      </c>
      <c r="H34" s="31">
        <f>Cty_Hong_Tam_Phu_Ly[[#This Row],[ĐƠN GIÁ]]*Cty_Hong_Tam_Phu_Ly[[#This Row],[SỐ LƯỢNG]]</f>
        <v>81180000</v>
      </c>
      <c r="I34" s="31"/>
      <c r="J34" s="31">
        <f>J33+Cty_Hong_Tam_Phu_Ly[[#This Row],[THÀNH TIỀN]]-Cty_Hong_Tam_Phu_Ly[[#This Row],[THANH TOÁN]]</f>
        <v>227227960</v>
      </c>
      <c r="K34" s="24"/>
    </row>
    <row r="35" spans="1:11" x14ac:dyDescent="0.25">
      <c r="A35" s="22">
        <v>8947</v>
      </c>
      <c r="B35" s="29">
        <v>46134</v>
      </c>
      <c r="C35" s="23" t="s">
        <v>13</v>
      </c>
      <c r="D35" s="37" t="s">
        <v>50</v>
      </c>
      <c r="E35" s="23" t="s">
        <v>120</v>
      </c>
      <c r="F35" s="31">
        <v>801</v>
      </c>
      <c r="G35" s="31">
        <v>59500</v>
      </c>
      <c r="H35" s="31">
        <f>Cty_Hong_Tam_Phu_Ly[[#This Row],[ĐƠN GIÁ]]*Cty_Hong_Tam_Phu_Ly[[#This Row],[SỐ LƯỢNG]]</f>
        <v>47659500</v>
      </c>
      <c r="I35" s="31"/>
      <c r="J35" s="31">
        <f>J34+Cty_Hong_Tam_Phu_Ly[[#This Row],[THÀNH TIỀN]]-Cty_Hong_Tam_Phu_Ly[[#This Row],[THANH TOÁN]]</f>
        <v>274887460</v>
      </c>
      <c r="K35" s="24"/>
    </row>
    <row r="36" spans="1:11" x14ac:dyDescent="0.25">
      <c r="A36" s="22">
        <v>9118</v>
      </c>
      <c r="B36" s="29">
        <v>46141</v>
      </c>
      <c r="C36" s="23" t="s">
        <v>13</v>
      </c>
      <c r="D36" s="37" t="s">
        <v>50</v>
      </c>
      <c r="E36" s="23" t="s">
        <v>1891</v>
      </c>
      <c r="F36" s="31">
        <v>539</v>
      </c>
      <c r="G36" s="31">
        <v>60000</v>
      </c>
      <c r="H36" s="31">
        <f>Cty_Hong_Tam_Phu_Ly[[#This Row],[ĐƠN GIÁ]]*Cty_Hong_Tam_Phu_Ly[[#This Row],[SỐ LƯỢNG]]</f>
        <v>32340000</v>
      </c>
      <c r="I36" s="31"/>
      <c r="J36" s="31">
        <f>J35+Cty_Hong_Tam_Phu_Ly[[#This Row],[THÀNH TIỀN]]-Cty_Hong_Tam_Phu_Ly[[#This Row],[THANH TOÁN]]</f>
        <v>307227460</v>
      </c>
      <c r="K36" s="24"/>
    </row>
    <row r="37" spans="1:11" x14ac:dyDescent="0.25">
      <c r="A37" s="22">
        <v>9118</v>
      </c>
      <c r="B37" s="29">
        <v>46141</v>
      </c>
      <c r="C37" s="23" t="s">
        <v>13</v>
      </c>
      <c r="D37" s="37" t="s">
        <v>1893</v>
      </c>
      <c r="E37" s="23" t="s">
        <v>1892</v>
      </c>
      <c r="F37" s="31">
        <v>269</v>
      </c>
      <c r="G37" s="31">
        <v>62000</v>
      </c>
      <c r="H37" s="31">
        <f>Cty_Hong_Tam_Phu_Ly[[#This Row],[ĐƠN GIÁ]]*Cty_Hong_Tam_Phu_Ly[[#This Row],[SỐ LƯỢNG]]</f>
        <v>16678000</v>
      </c>
      <c r="I37" s="31"/>
      <c r="J37" s="31">
        <f>J36+Cty_Hong_Tam_Phu_Ly[[#This Row],[THÀNH TIỀN]]-Cty_Hong_Tam_Phu_Ly[[#This Row],[THANH TOÁN]]</f>
        <v>323905460</v>
      </c>
      <c r="K37" s="24"/>
    </row>
    <row r="38" spans="1:11" x14ac:dyDescent="0.25">
      <c r="A38" s="22">
        <v>9118</v>
      </c>
      <c r="B38" s="29">
        <v>46141</v>
      </c>
      <c r="C38" s="23" t="s">
        <v>13</v>
      </c>
      <c r="D38" s="37" t="s">
        <v>50</v>
      </c>
      <c r="E38" s="23" t="s">
        <v>146</v>
      </c>
      <c r="F38" s="31">
        <v>694</v>
      </c>
      <c r="G38" s="31">
        <v>60000</v>
      </c>
      <c r="H38" s="31">
        <f>Cty_Hong_Tam_Phu_Ly[[#This Row],[ĐƠN GIÁ]]*Cty_Hong_Tam_Phu_Ly[[#This Row],[SỐ LƯỢNG]]</f>
        <v>41640000</v>
      </c>
      <c r="I38" s="31"/>
      <c r="J38" s="31">
        <f>J37+Cty_Hong_Tam_Phu_Ly[[#This Row],[THÀNH TIỀN]]-Cty_Hong_Tam_Phu_Ly[[#This Row],[THANH TOÁN]]</f>
        <v>365545460</v>
      </c>
      <c r="K38" s="24"/>
    </row>
    <row r="39" spans="1:11" x14ac:dyDescent="0.25">
      <c r="A39" s="22">
        <v>9118</v>
      </c>
      <c r="B39" s="29">
        <v>46141</v>
      </c>
      <c r="C39" s="23" t="s">
        <v>13</v>
      </c>
      <c r="D39" s="37" t="s">
        <v>50</v>
      </c>
      <c r="E39" s="23" t="s">
        <v>256</v>
      </c>
      <c r="F39" s="31">
        <v>548</v>
      </c>
      <c r="G39" s="31">
        <v>60000</v>
      </c>
      <c r="H39" s="31">
        <f>Cty_Hong_Tam_Phu_Ly[[#This Row],[ĐƠN GIÁ]]*Cty_Hong_Tam_Phu_Ly[[#This Row],[SỐ LƯỢNG]]</f>
        <v>32880000</v>
      </c>
      <c r="I39" s="31"/>
      <c r="J39" s="31">
        <f>J38+Cty_Hong_Tam_Phu_Ly[[#This Row],[THÀNH TIỀN]]-Cty_Hong_Tam_Phu_Ly[[#This Row],[THANH TOÁN]]</f>
        <v>398425460</v>
      </c>
      <c r="K39" s="24"/>
    </row>
    <row r="40" spans="1:11" x14ac:dyDescent="0.25">
      <c r="A40" s="22">
        <v>9278</v>
      </c>
      <c r="B40" s="29">
        <v>46151</v>
      </c>
      <c r="C40" s="23" t="s">
        <v>13</v>
      </c>
      <c r="D40" s="37" t="s">
        <v>17</v>
      </c>
      <c r="E40" s="23" t="s">
        <v>41</v>
      </c>
      <c r="F40" s="31">
        <v>825</v>
      </c>
      <c r="G40" s="31">
        <v>62000</v>
      </c>
      <c r="H40" s="31">
        <f>Cty_Hong_Tam_Phu_Ly[[#This Row],[ĐƠN GIÁ]]*Cty_Hong_Tam_Phu_Ly[[#This Row],[SỐ LƯỢNG]]</f>
        <v>51150000</v>
      </c>
      <c r="I40" s="31"/>
      <c r="J40" s="31">
        <f>J39+Cty_Hong_Tam_Phu_Ly[[#This Row],[THÀNH TIỀN]]-Cty_Hong_Tam_Phu_Ly[[#This Row],[THANH TOÁN]]</f>
        <v>449575460</v>
      </c>
      <c r="K40" s="24"/>
    </row>
    <row r="41" spans="1:11" x14ac:dyDescent="0.25">
      <c r="A41" s="22">
        <v>9278</v>
      </c>
      <c r="B41" s="29">
        <v>46151</v>
      </c>
      <c r="C41" s="23" t="s">
        <v>13</v>
      </c>
      <c r="D41" s="37" t="s">
        <v>36</v>
      </c>
      <c r="E41" s="23" t="s">
        <v>1988</v>
      </c>
      <c r="F41" s="31">
        <v>126</v>
      </c>
      <c r="G41" s="31">
        <v>63000</v>
      </c>
      <c r="H41" s="31">
        <f>Cty_Hong_Tam_Phu_Ly[[#This Row],[ĐƠN GIÁ]]*Cty_Hong_Tam_Phu_Ly[[#This Row],[SỐ LƯỢNG]]</f>
        <v>7938000</v>
      </c>
      <c r="I41" s="31"/>
      <c r="J41" s="31">
        <f>J40+Cty_Hong_Tam_Phu_Ly[[#This Row],[THÀNH TIỀN]]-Cty_Hong_Tam_Phu_Ly[[#This Row],[THANH TOÁN]]</f>
        <v>457513460</v>
      </c>
      <c r="K41" s="24"/>
    </row>
    <row r="42" spans="1:11" x14ac:dyDescent="0.25">
      <c r="A42" s="22">
        <v>9371</v>
      </c>
      <c r="B42" s="29">
        <v>46156</v>
      </c>
      <c r="C42" s="23" t="s">
        <v>13</v>
      </c>
      <c r="D42" s="37" t="s">
        <v>701</v>
      </c>
      <c r="E42" s="23" t="s">
        <v>62</v>
      </c>
      <c r="F42" s="31">
        <v>458</v>
      </c>
      <c r="G42" s="31">
        <v>43000</v>
      </c>
      <c r="H42" s="31">
        <f>Cty_Hong_Tam_Phu_Ly[[#This Row],[ĐƠN GIÁ]]*Cty_Hong_Tam_Phu_Ly[[#This Row],[SỐ LƯỢNG]]</f>
        <v>19694000</v>
      </c>
      <c r="I42" s="31"/>
      <c r="J42" s="31">
        <f>J41+Cty_Hong_Tam_Phu_Ly[[#This Row],[THÀNH TIỀN]]-Cty_Hong_Tam_Phu_Ly[[#This Row],[THANH TOÁN]]</f>
        <v>477207460</v>
      </c>
      <c r="K42" s="24"/>
    </row>
    <row r="43" spans="1:11" x14ac:dyDescent="0.25">
      <c r="A43" s="22">
        <v>9458</v>
      </c>
      <c r="B43" s="29">
        <v>46160</v>
      </c>
      <c r="C43" s="23" t="s">
        <v>13</v>
      </c>
      <c r="D43" s="37" t="s">
        <v>36</v>
      </c>
      <c r="E43" s="23" t="s">
        <v>848</v>
      </c>
      <c r="F43" s="31">
        <v>314</v>
      </c>
      <c r="G43" s="31">
        <v>62000</v>
      </c>
      <c r="H43" s="31">
        <f>Cty_Hong_Tam_Phu_Ly[[#This Row],[ĐƠN GIÁ]]*Cty_Hong_Tam_Phu_Ly[[#This Row],[SỐ LƯỢNG]]</f>
        <v>19468000</v>
      </c>
      <c r="I43" s="31"/>
      <c r="J43" s="31">
        <f>J42+Cty_Hong_Tam_Phu_Ly[[#This Row],[THÀNH TIỀN]]-Cty_Hong_Tam_Phu_Ly[[#This Row],[THANH TOÁN]]</f>
        <v>496675460</v>
      </c>
      <c r="K43" s="24"/>
    </row>
    <row r="44" spans="1:11" x14ac:dyDescent="0.25">
      <c r="A44" s="22">
        <v>9458</v>
      </c>
      <c r="B44" s="29">
        <v>46160</v>
      </c>
      <c r="C44" s="23" t="s">
        <v>13</v>
      </c>
      <c r="D44" s="37" t="s">
        <v>50</v>
      </c>
      <c r="E44" s="23" t="s">
        <v>1763</v>
      </c>
      <c r="F44" s="31">
        <v>304</v>
      </c>
      <c r="G44" s="31">
        <v>60000</v>
      </c>
      <c r="H44" s="31">
        <f>Cty_Hong_Tam_Phu_Ly[[#This Row],[ĐƠN GIÁ]]*Cty_Hong_Tam_Phu_Ly[[#This Row],[SỐ LƯỢNG]]</f>
        <v>18240000</v>
      </c>
      <c r="I44" s="31"/>
      <c r="J44" s="31">
        <f>J43+Cty_Hong_Tam_Phu_Ly[[#This Row],[THÀNH TIỀN]]-Cty_Hong_Tam_Phu_Ly[[#This Row],[THANH TOÁN]]</f>
        <v>514915460</v>
      </c>
      <c r="K44" s="24"/>
    </row>
    <row r="45" spans="1:11" x14ac:dyDescent="0.25">
      <c r="A45" s="22">
        <v>9458</v>
      </c>
      <c r="B45" s="29">
        <v>46160</v>
      </c>
      <c r="C45" s="23" t="s">
        <v>13</v>
      </c>
      <c r="D45" s="37" t="s">
        <v>68</v>
      </c>
      <c r="E45" s="23" t="s">
        <v>2205</v>
      </c>
      <c r="F45" s="31">
        <v>196</v>
      </c>
      <c r="G45" s="31">
        <v>43000</v>
      </c>
      <c r="H45" s="31">
        <f>Cty_Hong_Tam_Phu_Ly[[#This Row],[ĐƠN GIÁ]]*Cty_Hong_Tam_Phu_Ly[[#This Row],[SỐ LƯỢNG]]</f>
        <v>8428000</v>
      </c>
      <c r="I45" s="31"/>
      <c r="J45" s="31">
        <f>J44+Cty_Hong_Tam_Phu_Ly[[#This Row],[THÀNH TIỀN]]-Cty_Hong_Tam_Phu_Ly[[#This Row],[THANH TOÁN]]</f>
        <v>523343460</v>
      </c>
      <c r="K45" s="24"/>
    </row>
    <row r="46" spans="1:11" x14ac:dyDescent="0.25">
      <c r="A46" s="22"/>
      <c r="B46" s="29">
        <v>46162</v>
      </c>
      <c r="C46" s="23" t="s">
        <v>21</v>
      </c>
      <c r="D46" s="37" t="s">
        <v>22</v>
      </c>
      <c r="E46" s="23" t="s">
        <v>261</v>
      </c>
      <c r="F46" s="31">
        <v>0</v>
      </c>
      <c r="G46" s="31"/>
      <c r="H46" s="31">
        <f>Cty_Hong_Tam_Phu_Ly[[#This Row],[ĐƠN GIÁ]]*Cty_Hong_Tam_Phu_Ly[[#This Row],[SỐ LƯỢNG]]</f>
        <v>0</v>
      </c>
      <c r="I46" s="31">
        <v>200000000</v>
      </c>
      <c r="J46" s="31">
        <f>J45+Cty_Hong_Tam_Phu_Ly[[#This Row],[THÀNH TIỀN]]-Cty_Hong_Tam_Phu_Ly[[#This Row],[THANH TOÁN]]</f>
        <v>323343460</v>
      </c>
      <c r="K46" s="24"/>
    </row>
    <row r="47" spans="1:11" x14ac:dyDescent="0.25">
      <c r="A47" s="22">
        <v>9626</v>
      </c>
      <c r="B47" s="29">
        <v>46168</v>
      </c>
      <c r="C47" s="23" t="s">
        <v>13</v>
      </c>
      <c r="D47" s="37" t="s">
        <v>43</v>
      </c>
      <c r="E47" s="23" t="s">
        <v>134</v>
      </c>
      <c r="F47" s="31">
        <v>1158</v>
      </c>
      <c r="G47" s="31">
        <v>62000</v>
      </c>
      <c r="H47" s="31">
        <f>Cty_Hong_Tam_Phu_Ly[[#This Row],[ĐƠN GIÁ]]*Cty_Hong_Tam_Phu_Ly[[#This Row],[SỐ LƯỢNG]]</f>
        <v>71796000</v>
      </c>
      <c r="I47" s="31"/>
      <c r="J47" s="31">
        <f>J46+Cty_Hong_Tam_Phu_Ly[[#This Row],[THÀNH TIỀN]]-Cty_Hong_Tam_Phu_Ly[[#This Row],[THANH TOÁN]]</f>
        <v>395139460</v>
      </c>
      <c r="K47" s="24"/>
    </row>
    <row r="48" spans="1:11" x14ac:dyDescent="0.25">
      <c r="A48" s="22">
        <v>9626</v>
      </c>
      <c r="B48" s="29">
        <v>46168</v>
      </c>
      <c r="C48" s="23" t="s">
        <v>13</v>
      </c>
      <c r="D48" s="37" t="s">
        <v>17</v>
      </c>
      <c r="E48" s="23" t="s">
        <v>41</v>
      </c>
      <c r="F48" s="31">
        <v>711</v>
      </c>
      <c r="G48" s="31">
        <v>62000</v>
      </c>
      <c r="H48" s="31">
        <f>Cty_Hong_Tam_Phu_Ly[[#This Row],[ĐƠN GIÁ]]*Cty_Hong_Tam_Phu_Ly[[#This Row],[SỐ LƯỢNG]]</f>
        <v>44082000</v>
      </c>
      <c r="I48" s="31"/>
      <c r="J48" s="31">
        <f>J47+Cty_Hong_Tam_Phu_Ly[[#This Row],[THÀNH TIỀN]]-Cty_Hong_Tam_Phu_Ly[[#This Row],[THANH TOÁN]]</f>
        <v>439221460</v>
      </c>
      <c r="K48" s="24"/>
    </row>
    <row r="49" spans="1:11" x14ac:dyDescent="0.25">
      <c r="A49" s="22">
        <v>9626</v>
      </c>
      <c r="B49" s="29">
        <v>46168</v>
      </c>
      <c r="C49" s="23" t="s">
        <v>13</v>
      </c>
      <c r="D49" s="37" t="s">
        <v>14</v>
      </c>
      <c r="E49" s="23" t="s">
        <v>78</v>
      </c>
      <c r="F49" s="31">
        <v>528</v>
      </c>
      <c r="G49" s="31">
        <v>45000</v>
      </c>
      <c r="H49" s="31">
        <f>Cty_Hong_Tam_Phu_Ly[[#This Row],[ĐƠN GIÁ]]*Cty_Hong_Tam_Phu_Ly[[#This Row],[SỐ LƯỢNG]]</f>
        <v>23760000</v>
      </c>
      <c r="I49" s="31"/>
      <c r="J49" s="31">
        <f>J48+Cty_Hong_Tam_Phu_Ly[[#This Row],[THÀNH TIỀN]]-Cty_Hong_Tam_Phu_Ly[[#This Row],[THANH TOÁN]]</f>
        <v>462981460</v>
      </c>
      <c r="K49" s="24"/>
    </row>
    <row r="50" spans="1:11" x14ac:dyDescent="0.25">
      <c r="A50" s="22">
        <v>9626</v>
      </c>
      <c r="B50" s="29">
        <v>46168</v>
      </c>
      <c r="C50" s="23" t="s">
        <v>426</v>
      </c>
      <c r="D50" s="37" t="s">
        <v>17</v>
      </c>
      <c r="E50" s="23" t="s">
        <v>41</v>
      </c>
      <c r="F50" s="31">
        <v>825</v>
      </c>
      <c r="G50" s="31">
        <v>-62000</v>
      </c>
      <c r="H50" s="31">
        <f>Cty_Hong_Tam_Phu_Ly[[#This Row],[ĐƠN GIÁ]]*Cty_Hong_Tam_Phu_Ly[[#This Row],[SỐ LƯỢNG]]</f>
        <v>-51150000</v>
      </c>
      <c r="I50" s="31"/>
      <c r="J50" s="31">
        <f>J49+Cty_Hong_Tam_Phu_Ly[[#This Row],[THÀNH TIỀN]]-Cty_Hong_Tam_Phu_Ly[[#This Row],[THANH TOÁN]]</f>
        <v>411831460</v>
      </c>
      <c r="K50" s="24"/>
    </row>
    <row r="51" spans="1:11" x14ac:dyDescent="0.25">
      <c r="A51" s="22">
        <v>9703</v>
      </c>
      <c r="B51" s="29">
        <v>46171</v>
      </c>
      <c r="C51" s="23" t="s">
        <v>13</v>
      </c>
      <c r="D51" s="37" t="s">
        <v>17</v>
      </c>
      <c r="E51" s="23" t="s">
        <v>723</v>
      </c>
      <c r="F51" s="31">
        <v>323</v>
      </c>
      <c r="G51" s="31">
        <v>65000</v>
      </c>
      <c r="H51" s="31">
        <f>Cty_Hong_Tam_Phu_Ly[[#This Row],[ĐƠN GIÁ]]*Cty_Hong_Tam_Phu_Ly[[#This Row],[SỐ LƯỢNG]]</f>
        <v>20995000</v>
      </c>
      <c r="I51" s="31"/>
      <c r="J51" s="31">
        <f>J50+Cty_Hong_Tam_Phu_Ly[[#This Row],[THÀNH TIỀN]]-Cty_Hong_Tam_Phu_Ly[[#This Row],[THANH TOÁN]]</f>
        <v>432826460</v>
      </c>
      <c r="K51" s="24"/>
    </row>
  </sheetData>
  <phoneticPr fontId="9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6AE266-72C3-4157-9E99-5A5A57864110}">
  <sheetPr codeName="Sheet86"/>
  <dimension ref="A5:K66"/>
  <sheetViews>
    <sheetView topLeftCell="A38" workbookViewId="0">
      <selection activeCell="A52" sqref="A52:K52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1092638006</v>
      </c>
    </row>
    <row r="6" spans="1:11" ht="22.5" x14ac:dyDescent="0.25">
      <c r="D6" s="34" t="s">
        <v>1098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A_Kien_Long_Bien[[#This Row],[ĐƠN GIÁ]]*A_Kien_Long_Bien[[#This Row],[SỐ LƯỢNG]]</f>
        <v>0</v>
      </c>
      <c r="I10" s="31"/>
      <c r="J10" s="31">
        <v>0</v>
      </c>
      <c r="K10" s="24"/>
    </row>
    <row r="11" spans="1:11" x14ac:dyDescent="0.25">
      <c r="A11" s="22">
        <v>7909</v>
      </c>
      <c r="B11" s="29">
        <v>46087</v>
      </c>
      <c r="C11" s="23" t="s">
        <v>13</v>
      </c>
      <c r="D11" s="37" t="s">
        <v>170</v>
      </c>
      <c r="E11" s="23" t="s">
        <v>1099</v>
      </c>
      <c r="F11" s="31">
        <v>1854</v>
      </c>
      <c r="G11" s="31">
        <v>59000</v>
      </c>
      <c r="H11" s="31">
        <f>A_Kien_Long_Bien[[#This Row],[ĐƠN GIÁ]]*A_Kien_Long_Bien[[#This Row],[SỐ LƯỢNG]]</f>
        <v>109386000</v>
      </c>
      <c r="I11" s="31"/>
      <c r="J11" s="31">
        <f>J10+A_Kien_Long_Bien[[#This Row],[THÀNH TIỀN]]-A_Kien_Long_Bien[[#This Row],[THANH TOÁN]]</f>
        <v>109386000</v>
      </c>
      <c r="K11" s="24"/>
    </row>
    <row r="12" spans="1:11" x14ac:dyDescent="0.25">
      <c r="A12" s="22">
        <v>7926</v>
      </c>
      <c r="B12" s="29">
        <v>46088</v>
      </c>
      <c r="C12" s="23" t="s">
        <v>13</v>
      </c>
      <c r="D12" s="37" t="s">
        <v>135</v>
      </c>
      <c r="E12" s="23" t="s">
        <v>273</v>
      </c>
      <c r="F12" s="31">
        <v>5035</v>
      </c>
      <c r="G12" s="31">
        <v>36500</v>
      </c>
      <c r="H12" s="31">
        <f>A_Kien_Long_Bien[[#This Row],[ĐƠN GIÁ]]*A_Kien_Long_Bien[[#This Row],[SỐ LƯỢNG]]</f>
        <v>183777500</v>
      </c>
      <c r="I12" s="31"/>
      <c r="J12" s="31">
        <f>J11+A_Kien_Long_Bien[[#This Row],[THÀNH TIỀN]]-A_Kien_Long_Bien[[#This Row],[THANH TOÁN]]</f>
        <v>293163500</v>
      </c>
      <c r="K12" s="24"/>
    </row>
    <row r="13" spans="1:11" x14ac:dyDescent="0.25">
      <c r="A13" s="22">
        <v>7926</v>
      </c>
      <c r="B13" s="29">
        <v>46088</v>
      </c>
      <c r="C13" s="23" t="s">
        <v>13</v>
      </c>
      <c r="D13" s="37" t="s">
        <v>135</v>
      </c>
      <c r="E13" s="23" t="s">
        <v>273</v>
      </c>
      <c r="F13" s="31">
        <v>2686</v>
      </c>
      <c r="G13" s="31">
        <v>36500</v>
      </c>
      <c r="H13" s="31">
        <f>A_Kien_Long_Bien[[#This Row],[ĐƠN GIÁ]]*A_Kien_Long_Bien[[#This Row],[SỐ LƯỢNG]]</f>
        <v>98039000</v>
      </c>
      <c r="I13" s="31"/>
      <c r="J13" s="31">
        <f>J12+A_Kien_Long_Bien[[#This Row],[THÀNH TIỀN]]-A_Kien_Long_Bien[[#This Row],[THANH TOÁN]]</f>
        <v>391202500</v>
      </c>
      <c r="K13" s="24"/>
    </row>
    <row r="14" spans="1:11" x14ac:dyDescent="0.25">
      <c r="A14" s="25">
        <v>8145</v>
      </c>
      <c r="B14" s="30">
        <v>46098</v>
      </c>
      <c r="C14" s="26" t="s">
        <v>13</v>
      </c>
      <c r="D14" s="38" t="s">
        <v>252</v>
      </c>
      <c r="E14" s="26" t="s">
        <v>1102</v>
      </c>
      <c r="F14" s="28">
        <f>294+314+298+326+300</f>
        <v>1532</v>
      </c>
      <c r="G14" s="28">
        <v>39500</v>
      </c>
      <c r="H14" s="28">
        <f>A_Kien_Long_Bien[[#This Row],[ĐƠN GIÁ]]*A_Kien_Long_Bien[[#This Row],[SỐ LƯỢNG]]</f>
        <v>60514000</v>
      </c>
      <c r="I14" s="28"/>
      <c r="J14" s="28">
        <f>J13+A_Kien_Long_Bien[[#This Row],[THÀNH TIỀN]]-A_Kien_Long_Bien[[#This Row],[THANH TOÁN]]</f>
        <v>451716500</v>
      </c>
      <c r="K14" s="27"/>
    </row>
    <row r="15" spans="1:11" x14ac:dyDescent="0.25">
      <c r="A15" s="25">
        <v>8251</v>
      </c>
      <c r="B15" s="30">
        <v>46100</v>
      </c>
      <c r="C15" s="26" t="s">
        <v>13</v>
      </c>
      <c r="D15" s="38" t="s">
        <v>252</v>
      </c>
      <c r="E15" s="26" t="s">
        <v>40</v>
      </c>
      <c r="F15" s="28">
        <v>518</v>
      </c>
      <c r="G15" s="28">
        <v>39500</v>
      </c>
      <c r="H15" s="28">
        <f>A_Kien_Long_Bien[[#This Row],[ĐƠN GIÁ]]*A_Kien_Long_Bien[[#This Row],[SỐ LƯỢNG]]</f>
        <v>20461000</v>
      </c>
      <c r="I15" s="28"/>
      <c r="J15" s="28">
        <f>J14+A_Kien_Long_Bien[[#This Row],[THÀNH TIỀN]]-A_Kien_Long_Bien[[#This Row],[THANH TOÁN]]</f>
        <v>472177500</v>
      </c>
      <c r="K15" s="27"/>
    </row>
    <row r="16" spans="1:11" x14ac:dyDescent="0.25">
      <c r="A16" s="25">
        <v>8251</v>
      </c>
      <c r="B16" s="30">
        <v>46100</v>
      </c>
      <c r="C16" s="26" t="s">
        <v>13</v>
      </c>
      <c r="D16" s="38" t="s">
        <v>270</v>
      </c>
      <c r="E16" s="26" t="s">
        <v>136</v>
      </c>
      <c r="F16" s="28">
        <v>522</v>
      </c>
      <c r="G16" s="28">
        <v>62500</v>
      </c>
      <c r="H16" s="28">
        <f>A_Kien_Long_Bien[[#This Row],[ĐƠN GIÁ]]*A_Kien_Long_Bien[[#This Row],[SỐ LƯỢNG]]</f>
        <v>32625000</v>
      </c>
      <c r="I16" s="28"/>
      <c r="J16" s="28">
        <f>J15+A_Kien_Long_Bien[[#This Row],[THÀNH TIỀN]]-A_Kien_Long_Bien[[#This Row],[THANH TOÁN]]</f>
        <v>504802500</v>
      </c>
      <c r="K16" s="27"/>
    </row>
    <row r="17" spans="1:11" x14ac:dyDescent="0.25">
      <c r="A17" s="25">
        <v>8251</v>
      </c>
      <c r="B17" s="30">
        <v>46100</v>
      </c>
      <c r="C17" s="26" t="s">
        <v>13</v>
      </c>
      <c r="D17" s="38" t="s">
        <v>270</v>
      </c>
      <c r="E17" s="26" t="s">
        <v>146</v>
      </c>
      <c r="F17" s="28">
        <v>534</v>
      </c>
      <c r="G17" s="28">
        <v>62000</v>
      </c>
      <c r="H17" s="28">
        <f>A_Kien_Long_Bien[[#This Row],[ĐƠN GIÁ]]*A_Kien_Long_Bien[[#This Row],[SỐ LƯỢNG]]</f>
        <v>33108000</v>
      </c>
      <c r="I17" s="28"/>
      <c r="J17" s="28">
        <f>J16+A_Kien_Long_Bien[[#This Row],[THÀNH TIỀN]]-A_Kien_Long_Bien[[#This Row],[THANH TOÁN]]</f>
        <v>537910500</v>
      </c>
      <c r="K17" s="27"/>
    </row>
    <row r="18" spans="1:11" x14ac:dyDescent="0.25">
      <c r="A18" s="25">
        <v>8251</v>
      </c>
      <c r="B18" s="30">
        <v>46100</v>
      </c>
      <c r="C18" s="26" t="s">
        <v>13</v>
      </c>
      <c r="D18" s="38" t="s">
        <v>270</v>
      </c>
      <c r="E18" s="26" t="s">
        <v>134</v>
      </c>
      <c r="F18" s="28">
        <v>542</v>
      </c>
      <c r="G18" s="28">
        <v>62000</v>
      </c>
      <c r="H18" s="28">
        <f>A_Kien_Long_Bien[[#This Row],[ĐƠN GIÁ]]*A_Kien_Long_Bien[[#This Row],[SỐ LƯỢNG]]</f>
        <v>33604000</v>
      </c>
      <c r="I18" s="28"/>
      <c r="J18" s="28">
        <f>J17+A_Kien_Long_Bien[[#This Row],[THÀNH TIỀN]]-A_Kien_Long_Bien[[#This Row],[THANH TOÁN]]</f>
        <v>571514500</v>
      </c>
      <c r="K18" s="27"/>
    </row>
    <row r="19" spans="1:11" x14ac:dyDescent="0.25">
      <c r="A19" s="25">
        <v>8259</v>
      </c>
      <c r="B19" s="30">
        <v>46100</v>
      </c>
      <c r="C19" s="26" t="s">
        <v>13</v>
      </c>
      <c r="D19" s="38" t="s">
        <v>265</v>
      </c>
      <c r="E19" s="26" t="s">
        <v>273</v>
      </c>
      <c r="F19" s="28">
        <v>954</v>
      </c>
      <c r="G19" s="28">
        <v>62500</v>
      </c>
      <c r="H19" s="28">
        <f>A_Kien_Long_Bien[[#This Row],[ĐƠN GIÁ]]*A_Kien_Long_Bien[[#This Row],[SỐ LƯỢNG]]</f>
        <v>59625000</v>
      </c>
      <c r="I19" s="28"/>
      <c r="J19" s="28">
        <f>J18+A_Kien_Long_Bien[[#This Row],[THÀNH TIỀN]]-A_Kien_Long_Bien[[#This Row],[THANH TOÁN]]</f>
        <v>631139500</v>
      </c>
      <c r="K19" s="27"/>
    </row>
    <row r="20" spans="1:11" x14ac:dyDescent="0.25">
      <c r="A20" s="25">
        <v>8259</v>
      </c>
      <c r="B20" s="30">
        <v>46100</v>
      </c>
      <c r="C20" s="26" t="s">
        <v>13</v>
      </c>
      <c r="D20" s="38" t="s">
        <v>265</v>
      </c>
      <c r="E20" s="26" t="s">
        <v>369</v>
      </c>
      <c r="F20" s="28">
        <v>1262</v>
      </c>
      <c r="G20" s="28">
        <v>63000</v>
      </c>
      <c r="H20" s="28">
        <f>A_Kien_Long_Bien[[#This Row],[ĐƠN GIÁ]]*A_Kien_Long_Bien[[#This Row],[SỐ LƯỢNG]]</f>
        <v>79506000</v>
      </c>
      <c r="I20" s="28"/>
      <c r="J20" s="28">
        <f>J19+A_Kien_Long_Bien[[#This Row],[THÀNH TIỀN]]-A_Kien_Long_Bien[[#This Row],[THANH TOÁN]]</f>
        <v>710645500</v>
      </c>
      <c r="K20" s="27"/>
    </row>
    <row r="21" spans="1:11" x14ac:dyDescent="0.25">
      <c r="A21" s="25">
        <v>8275</v>
      </c>
      <c r="B21" s="30">
        <v>46101</v>
      </c>
      <c r="C21" s="26" t="s">
        <v>13</v>
      </c>
      <c r="D21" s="38" t="s">
        <v>68</v>
      </c>
      <c r="E21" s="26" t="s">
        <v>1103</v>
      </c>
      <c r="F21" s="28">
        <v>994</v>
      </c>
      <c r="G21" s="28">
        <v>43000</v>
      </c>
      <c r="H21" s="28">
        <f>A_Kien_Long_Bien[[#This Row],[ĐƠN GIÁ]]*A_Kien_Long_Bien[[#This Row],[SỐ LƯỢNG]]</f>
        <v>42742000</v>
      </c>
      <c r="I21" s="28"/>
      <c r="J21" s="28">
        <f>J20+A_Kien_Long_Bien[[#This Row],[THÀNH TIỀN]]-A_Kien_Long_Bien[[#This Row],[THANH TOÁN]]</f>
        <v>753387500</v>
      </c>
      <c r="K21" s="27"/>
    </row>
    <row r="22" spans="1:11" x14ac:dyDescent="0.25">
      <c r="A22" s="25">
        <v>8275</v>
      </c>
      <c r="B22" s="30">
        <v>46101</v>
      </c>
      <c r="C22" s="26" t="s">
        <v>13</v>
      </c>
      <c r="D22" s="38" t="s">
        <v>68</v>
      </c>
      <c r="E22" s="26" t="s">
        <v>1104</v>
      </c>
      <c r="F22" s="28">
        <v>1080</v>
      </c>
      <c r="G22" s="28">
        <v>41500</v>
      </c>
      <c r="H22" s="28">
        <f>A_Kien_Long_Bien[[#This Row],[ĐƠN GIÁ]]*A_Kien_Long_Bien[[#This Row],[SỐ LƯỢNG]]</f>
        <v>44820000</v>
      </c>
      <c r="I22" s="28"/>
      <c r="J22" s="28">
        <f>J21+A_Kien_Long_Bien[[#This Row],[THÀNH TIỀN]]-A_Kien_Long_Bien[[#This Row],[THANH TOÁN]]</f>
        <v>798207500</v>
      </c>
      <c r="K22" s="27"/>
    </row>
    <row r="23" spans="1:11" x14ac:dyDescent="0.25">
      <c r="A23" s="25">
        <v>8275</v>
      </c>
      <c r="B23" s="30">
        <v>46101</v>
      </c>
      <c r="C23" s="26" t="s">
        <v>13</v>
      </c>
      <c r="D23" s="38" t="s">
        <v>1105</v>
      </c>
      <c r="E23" s="26" t="s">
        <v>1104</v>
      </c>
      <c r="F23" s="28">
        <v>220</v>
      </c>
      <c r="G23" s="28">
        <v>64500</v>
      </c>
      <c r="H23" s="28">
        <f>A_Kien_Long_Bien[[#This Row],[ĐƠN GIÁ]]*A_Kien_Long_Bien[[#This Row],[SỐ LƯỢNG]]</f>
        <v>14190000</v>
      </c>
      <c r="I23" s="28"/>
      <c r="J23" s="28">
        <f>J22+A_Kien_Long_Bien[[#This Row],[THÀNH TIỀN]]-A_Kien_Long_Bien[[#This Row],[THANH TOÁN]]</f>
        <v>812397500</v>
      </c>
      <c r="K23" s="27"/>
    </row>
    <row r="24" spans="1:11" x14ac:dyDescent="0.25">
      <c r="A24" s="25">
        <v>8275</v>
      </c>
      <c r="B24" s="30">
        <v>46101</v>
      </c>
      <c r="C24" s="26" t="s">
        <v>13</v>
      </c>
      <c r="D24" s="38" t="s">
        <v>17</v>
      </c>
      <c r="E24" s="23" t="s">
        <v>258</v>
      </c>
      <c r="F24" s="31">
        <v>216</v>
      </c>
      <c r="G24" s="31">
        <v>64000</v>
      </c>
      <c r="H24" s="31">
        <f>A_Kien_Long_Bien[[#This Row],[ĐƠN GIÁ]]*A_Kien_Long_Bien[[#This Row],[SỐ LƯỢNG]]</f>
        <v>13824000</v>
      </c>
      <c r="I24" s="31"/>
      <c r="J24" s="31">
        <f>J23+A_Kien_Long_Bien[[#This Row],[THÀNH TIỀN]]-A_Kien_Long_Bien[[#This Row],[THANH TOÁN]]</f>
        <v>826221500</v>
      </c>
      <c r="K24" s="24"/>
    </row>
    <row r="25" spans="1:11" x14ac:dyDescent="0.25">
      <c r="A25" s="25">
        <v>8306</v>
      </c>
      <c r="B25" s="30">
        <v>46105</v>
      </c>
      <c r="C25" s="26" t="s">
        <v>13</v>
      </c>
      <c r="D25" s="38" t="s">
        <v>50</v>
      </c>
      <c r="E25" s="26" t="s">
        <v>1106</v>
      </c>
      <c r="F25" s="28">
        <v>294</v>
      </c>
      <c r="G25" s="28">
        <v>60000</v>
      </c>
      <c r="H25" s="28">
        <f>A_Kien_Long_Bien[[#This Row],[ĐƠN GIÁ]]*A_Kien_Long_Bien[[#This Row],[SỐ LƯỢNG]]</f>
        <v>17640000</v>
      </c>
      <c r="I25" s="28"/>
      <c r="J25" s="28">
        <f>J24+A_Kien_Long_Bien[[#This Row],[THÀNH TIỀN]]-A_Kien_Long_Bien[[#This Row],[THANH TOÁN]]</f>
        <v>843861500</v>
      </c>
      <c r="K25" s="27"/>
    </row>
    <row r="26" spans="1:11" x14ac:dyDescent="0.25">
      <c r="A26" s="25">
        <v>8306</v>
      </c>
      <c r="B26" s="30">
        <v>46105</v>
      </c>
      <c r="C26" s="26" t="s">
        <v>13</v>
      </c>
      <c r="D26" s="38" t="s">
        <v>270</v>
      </c>
      <c r="E26" s="26" t="s">
        <v>1107</v>
      </c>
      <c r="F26" s="28">
        <v>474</v>
      </c>
      <c r="G26" s="28">
        <v>64000</v>
      </c>
      <c r="H26" s="28">
        <f>A_Kien_Long_Bien[[#This Row],[ĐƠN GIÁ]]*A_Kien_Long_Bien[[#This Row],[SỐ LƯỢNG]]</f>
        <v>30336000</v>
      </c>
      <c r="I26" s="28"/>
      <c r="J26" s="28">
        <f>J25+A_Kien_Long_Bien[[#This Row],[THÀNH TIỀN]]-A_Kien_Long_Bien[[#This Row],[THANH TOÁN]]</f>
        <v>874197500</v>
      </c>
      <c r="K26" s="27"/>
    </row>
    <row r="27" spans="1:11" x14ac:dyDescent="0.25">
      <c r="A27" s="25">
        <v>8306</v>
      </c>
      <c r="B27" s="30">
        <v>46105</v>
      </c>
      <c r="C27" s="26" t="s">
        <v>13</v>
      </c>
      <c r="D27" s="38" t="s">
        <v>252</v>
      </c>
      <c r="E27" s="26" t="s">
        <v>1108</v>
      </c>
      <c r="F27" s="28">
        <v>882</v>
      </c>
      <c r="G27" s="28">
        <v>37000</v>
      </c>
      <c r="H27" s="28">
        <f>A_Kien_Long_Bien[[#This Row],[ĐƠN GIÁ]]*A_Kien_Long_Bien[[#This Row],[SỐ LƯỢNG]]</f>
        <v>32634000</v>
      </c>
      <c r="I27" s="28"/>
      <c r="J27" s="28">
        <f>J26+A_Kien_Long_Bien[[#This Row],[THÀNH TIỀN]]-A_Kien_Long_Bien[[#This Row],[THANH TOÁN]]</f>
        <v>906831500</v>
      </c>
      <c r="K27" s="27"/>
    </row>
    <row r="28" spans="1:11" x14ac:dyDescent="0.25">
      <c r="A28" s="25"/>
      <c r="B28" s="30">
        <v>46108</v>
      </c>
      <c r="C28" s="26" t="s">
        <v>21</v>
      </c>
      <c r="D28" s="38" t="s">
        <v>22</v>
      </c>
      <c r="E28" s="26" t="s">
        <v>147</v>
      </c>
      <c r="F28" s="28">
        <v>0</v>
      </c>
      <c r="G28" s="28">
        <v>0</v>
      </c>
      <c r="H28" s="28">
        <f>A_Kien_Long_Bien[[#This Row],[ĐƠN GIÁ]]*A_Kien_Long_Bien[[#This Row],[SỐ LƯỢNG]]</f>
        <v>0</v>
      </c>
      <c r="I28" s="28">
        <v>100000000</v>
      </c>
      <c r="J28" s="28">
        <f>J27+A_Kien_Long_Bien[[#This Row],[THÀNH TIỀN]]-A_Kien_Long_Bien[[#This Row],[THANH TOÁN]]</f>
        <v>806831500</v>
      </c>
      <c r="K28" s="27"/>
    </row>
    <row r="29" spans="1:11" x14ac:dyDescent="0.25">
      <c r="A29" s="25">
        <v>8433</v>
      </c>
      <c r="B29" s="30">
        <v>46112</v>
      </c>
      <c r="C29" s="26" t="s">
        <v>13</v>
      </c>
      <c r="D29" s="38" t="s">
        <v>270</v>
      </c>
      <c r="E29" s="26" t="s">
        <v>78</v>
      </c>
      <c r="F29" s="28">
        <v>534</v>
      </c>
      <c r="G29" s="28">
        <v>64000</v>
      </c>
      <c r="H29" s="28">
        <f>A_Kien_Long_Bien[[#This Row],[ĐƠN GIÁ]]*A_Kien_Long_Bien[[#This Row],[SỐ LƯỢNG]]</f>
        <v>34176000</v>
      </c>
      <c r="I29" s="28"/>
      <c r="J29" s="28">
        <f>J28+A_Kien_Long_Bien[[#This Row],[THÀNH TIỀN]]-A_Kien_Long_Bien[[#This Row],[THANH TOÁN]]</f>
        <v>841007500</v>
      </c>
      <c r="K29" s="27"/>
    </row>
    <row r="30" spans="1:11" x14ac:dyDescent="0.25">
      <c r="A30" s="25">
        <v>8433</v>
      </c>
      <c r="B30" s="30">
        <v>46112</v>
      </c>
      <c r="C30" s="26" t="s">
        <v>13</v>
      </c>
      <c r="D30" s="38" t="s">
        <v>270</v>
      </c>
      <c r="E30" s="26" t="s">
        <v>1109</v>
      </c>
      <c r="F30" s="28">
        <v>130</v>
      </c>
      <c r="G30" s="28">
        <v>62500</v>
      </c>
      <c r="H30" s="28">
        <f>A_Kien_Long_Bien[[#This Row],[ĐƠN GIÁ]]*A_Kien_Long_Bien[[#This Row],[SỐ LƯỢNG]]</f>
        <v>8125000</v>
      </c>
      <c r="I30" s="28"/>
      <c r="J30" s="28">
        <f>J29+A_Kien_Long_Bien[[#This Row],[THÀNH TIỀN]]-A_Kien_Long_Bien[[#This Row],[THANH TOÁN]]</f>
        <v>849132500</v>
      </c>
      <c r="K30" s="27"/>
    </row>
    <row r="31" spans="1:11" x14ac:dyDescent="0.25">
      <c r="A31" s="25">
        <v>8433</v>
      </c>
      <c r="B31" s="30">
        <v>46112</v>
      </c>
      <c r="C31" s="26" t="s">
        <v>13</v>
      </c>
      <c r="D31" s="38" t="s">
        <v>43</v>
      </c>
      <c r="E31" s="23" t="s">
        <v>246</v>
      </c>
      <c r="F31" s="31">
        <v>1050</v>
      </c>
      <c r="G31" s="31">
        <v>60000</v>
      </c>
      <c r="H31" s="31">
        <f>A_Kien_Long_Bien[[#This Row],[ĐƠN GIÁ]]*A_Kien_Long_Bien[[#This Row],[SỐ LƯỢNG]]</f>
        <v>63000000</v>
      </c>
      <c r="I31" s="31"/>
      <c r="J31" s="31">
        <f>J30+A_Kien_Long_Bien[[#This Row],[THÀNH TIỀN]]-A_Kien_Long_Bien[[#This Row],[THANH TOÁN]]</f>
        <v>912132500</v>
      </c>
      <c r="K31" s="24"/>
    </row>
    <row r="32" spans="1:11" x14ac:dyDescent="0.25">
      <c r="A32" s="25">
        <v>8433</v>
      </c>
      <c r="B32" s="30">
        <v>46112</v>
      </c>
      <c r="C32" s="26" t="s">
        <v>13</v>
      </c>
      <c r="D32" s="38" t="s">
        <v>252</v>
      </c>
      <c r="E32" s="26" t="s">
        <v>1110</v>
      </c>
      <c r="F32" s="28">
        <v>132</v>
      </c>
      <c r="G32" s="28">
        <v>37000</v>
      </c>
      <c r="H32" s="28">
        <f>A_Kien_Long_Bien[[#This Row],[ĐƠN GIÁ]]*A_Kien_Long_Bien[[#This Row],[SỐ LƯỢNG]]</f>
        <v>4884000</v>
      </c>
      <c r="I32" s="28"/>
      <c r="J32" s="28">
        <f>J31+A_Kien_Long_Bien[[#This Row],[THÀNH TIỀN]]-A_Kien_Long_Bien[[#This Row],[THANH TOÁN]]</f>
        <v>917016500</v>
      </c>
      <c r="K32" s="27"/>
    </row>
    <row r="33" spans="1:11" x14ac:dyDescent="0.25">
      <c r="A33" s="25">
        <v>8433</v>
      </c>
      <c r="B33" s="30">
        <v>46112</v>
      </c>
      <c r="C33" s="26" t="s">
        <v>13</v>
      </c>
      <c r="D33" s="38" t="s">
        <v>252</v>
      </c>
      <c r="E33" s="26" t="s">
        <v>41</v>
      </c>
      <c r="F33" s="28">
        <v>524</v>
      </c>
      <c r="G33" s="28">
        <v>38000</v>
      </c>
      <c r="H33" s="28">
        <f>A_Kien_Long_Bien[[#This Row],[ĐƠN GIÁ]]*A_Kien_Long_Bien[[#This Row],[SỐ LƯỢNG]]</f>
        <v>19912000</v>
      </c>
      <c r="I33" s="28"/>
      <c r="J33" s="28">
        <f>J32+A_Kien_Long_Bien[[#This Row],[THÀNH TIỀN]]-A_Kien_Long_Bien[[#This Row],[THANH TOÁN]]</f>
        <v>936928500</v>
      </c>
      <c r="K33" s="27"/>
    </row>
    <row r="34" spans="1:11" x14ac:dyDescent="0.25">
      <c r="A34" s="25">
        <v>8433</v>
      </c>
      <c r="B34" s="30">
        <v>46112</v>
      </c>
      <c r="C34" s="26" t="s">
        <v>13</v>
      </c>
      <c r="D34" s="38" t="s">
        <v>252</v>
      </c>
      <c r="E34" s="26" t="s">
        <v>136</v>
      </c>
      <c r="F34" s="28">
        <v>1088</v>
      </c>
      <c r="G34" s="28">
        <v>38000</v>
      </c>
      <c r="H34" s="28">
        <f>A_Kien_Long_Bien[[#This Row],[ĐƠN GIÁ]]*A_Kien_Long_Bien[[#This Row],[SỐ LƯỢNG]]</f>
        <v>41344000</v>
      </c>
      <c r="I34" s="28"/>
      <c r="J34" s="28">
        <f>J33+A_Kien_Long_Bien[[#This Row],[THÀNH TIỀN]]-A_Kien_Long_Bien[[#This Row],[THANH TOÁN]]</f>
        <v>978272500</v>
      </c>
      <c r="K34" s="27"/>
    </row>
    <row r="35" spans="1:11" x14ac:dyDescent="0.25">
      <c r="A35" s="25">
        <v>8433</v>
      </c>
      <c r="B35" s="30">
        <v>46112</v>
      </c>
      <c r="C35" s="26" t="s">
        <v>13</v>
      </c>
      <c r="D35" s="38" t="s">
        <v>270</v>
      </c>
      <c r="E35" s="23" t="s">
        <v>41</v>
      </c>
      <c r="F35" s="31">
        <v>638</v>
      </c>
      <c r="G35" s="31">
        <v>64000</v>
      </c>
      <c r="H35" s="31">
        <f>A_Kien_Long_Bien[[#This Row],[ĐƠN GIÁ]]*A_Kien_Long_Bien[[#This Row],[SỐ LƯỢNG]]</f>
        <v>40832000</v>
      </c>
      <c r="I35" s="31"/>
      <c r="J35" s="31">
        <f>J34+A_Kien_Long_Bien[[#This Row],[THÀNH TIỀN]]-A_Kien_Long_Bien[[#This Row],[THANH TOÁN]]</f>
        <v>1019104500</v>
      </c>
      <c r="K35" s="24"/>
    </row>
    <row r="36" spans="1:11" x14ac:dyDescent="0.25">
      <c r="A36" s="25">
        <v>8500</v>
      </c>
      <c r="B36" s="30">
        <v>46114</v>
      </c>
      <c r="C36" s="26" t="s">
        <v>13</v>
      </c>
      <c r="D36" s="38" t="s">
        <v>252</v>
      </c>
      <c r="E36" s="26" t="s">
        <v>176</v>
      </c>
      <c r="F36" s="28">
        <v>1102</v>
      </c>
      <c r="G36" s="28">
        <v>39000</v>
      </c>
      <c r="H36" s="28">
        <f>A_Kien_Long_Bien[[#This Row],[ĐƠN GIÁ]]*A_Kien_Long_Bien[[#This Row],[SỐ LƯỢNG]]</f>
        <v>42978000</v>
      </c>
      <c r="I36" s="28"/>
      <c r="J36" s="28">
        <f>J35+A_Kien_Long_Bien[[#This Row],[THÀNH TIỀN]]-A_Kien_Long_Bien[[#This Row],[THANH TOÁN]]</f>
        <v>1062082500</v>
      </c>
      <c r="K36" s="27"/>
    </row>
    <row r="37" spans="1:11" x14ac:dyDescent="0.25">
      <c r="A37" s="25"/>
      <c r="B37" s="30">
        <v>46115</v>
      </c>
      <c r="C37" s="26" t="s">
        <v>21</v>
      </c>
      <c r="D37" s="38" t="s">
        <v>22</v>
      </c>
      <c r="E37" s="26" t="s">
        <v>147</v>
      </c>
      <c r="F37" s="28">
        <v>0</v>
      </c>
      <c r="G37" s="28"/>
      <c r="H37" s="28">
        <f>A_Kien_Long_Bien[[#This Row],[ĐƠN GIÁ]]*A_Kien_Long_Bien[[#This Row],[SỐ LƯỢNG]]</f>
        <v>0</v>
      </c>
      <c r="I37" s="28">
        <v>100000000</v>
      </c>
      <c r="J37" s="28">
        <f>J36+A_Kien_Long_Bien[[#This Row],[THÀNH TIỀN]]-A_Kien_Long_Bien[[#This Row],[THANH TOÁN]]</f>
        <v>962082500</v>
      </c>
      <c r="K37" s="27"/>
    </row>
    <row r="38" spans="1:11" x14ac:dyDescent="0.25">
      <c r="A38" s="22">
        <v>8638</v>
      </c>
      <c r="B38" s="29">
        <v>46120</v>
      </c>
      <c r="C38" s="23" t="s">
        <v>13</v>
      </c>
      <c r="D38" s="37" t="s">
        <v>135</v>
      </c>
      <c r="E38" s="23" t="s">
        <v>62</v>
      </c>
      <c r="F38" s="31">
        <v>1462</v>
      </c>
      <c r="G38" s="31">
        <v>38500</v>
      </c>
      <c r="H38" s="31">
        <f>A_Kien_Long_Bien[[#This Row],[ĐƠN GIÁ]]*A_Kien_Long_Bien[[#This Row],[SỐ LƯỢNG]]</f>
        <v>56287000</v>
      </c>
      <c r="I38" s="31"/>
      <c r="J38" s="31">
        <f>J37+A_Kien_Long_Bien[[#This Row],[THÀNH TIỀN]]-A_Kien_Long_Bien[[#This Row],[THANH TOÁN]]</f>
        <v>1018369500</v>
      </c>
      <c r="K38" s="24"/>
    </row>
    <row r="39" spans="1:11" x14ac:dyDescent="0.25">
      <c r="A39" s="22"/>
      <c r="B39" s="29">
        <v>46120</v>
      </c>
      <c r="C39" s="23" t="s">
        <v>21</v>
      </c>
      <c r="D39" s="37" t="s">
        <v>22</v>
      </c>
      <c r="E39" s="23" t="s">
        <v>83</v>
      </c>
      <c r="F39" s="31">
        <v>0</v>
      </c>
      <c r="G39" s="31"/>
      <c r="H39" s="31">
        <f>A_Kien_Long_Bien[[#This Row],[ĐƠN GIÁ]]*A_Kien_Long_Bien[[#This Row],[SỐ LƯỢNG]]</f>
        <v>0</v>
      </c>
      <c r="I39" s="31">
        <v>310161720</v>
      </c>
      <c r="J39" s="31">
        <f>J38+A_Kien_Long_Bien[[#This Row],[THÀNH TIỀN]]-A_Kien_Long_Bien[[#This Row],[THANH TOÁN]]</f>
        <v>708207780</v>
      </c>
      <c r="K39" s="24"/>
    </row>
    <row r="40" spans="1:11" x14ac:dyDescent="0.25">
      <c r="A40" s="22"/>
      <c r="B40" s="29">
        <v>46122</v>
      </c>
      <c r="C40" s="23" t="s">
        <v>21</v>
      </c>
      <c r="D40" s="37" t="s">
        <v>22</v>
      </c>
      <c r="E40" s="23" t="s">
        <v>83</v>
      </c>
      <c r="F40" s="31">
        <v>0</v>
      </c>
      <c r="G40" s="31"/>
      <c r="H40" s="31">
        <f>A_Kien_Long_Bien[[#This Row],[ĐƠN GIÁ]]*A_Kien_Long_Bien[[#This Row],[SỐ LƯỢNG]]</f>
        <v>0</v>
      </c>
      <c r="I40" s="31">
        <v>42659474</v>
      </c>
      <c r="J40" s="31">
        <f>J39+A_Kien_Long_Bien[[#This Row],[THÀNH TIỀN]]-A_Kien_Long_Bien[[#This Row],[THANH TOÁN]]</f>
        <v>665548306</v>
      </c>
      <c r="K40" s="24"/>
    </row>
    <row r="41" spans="1:11" x14ac:dyDescent="0.25">
      <c r="A41" s="22">
        <v>8751</v>
      </c>
      <c r="B41" s="29">
        <v>46125</v>
      </c>
      <c r="C41" s="23" t="s">
        <v>13</v>
      </c>
      <c r="D41" s="37" t="s">
        <v>252</v>
      </c>
      <c r="E41" s="23" t="s">
        <v>41</v>
      </c>
      <c r="F41" s="31">
        <v>326</v>
      </c>
      <c r="G41" s="31">
        <v>38000</v>
      </c>
      <c r="H41" s="31">
        <f>A_Kien_Long_Bien[[#This Row],[ĐƠN GIÁ]]*A_Kien_Long_Bien[[#This Row],[SỐ LƯỢNG]]</f>
        <v>12388000</v>
      </c>
      <c r="I41" s="31"/>
      <c r="J41" s="31">
        <f>J40+A_Kien_Long_Bien[[#This Row],[THÀNH TIỀN]]-A_Kien_Long_Bien[[#This Row],[THANH TOÁN]]</f>
        <v>677936306</v>
      </c>
      <c r="K41" s="24"/>
    </row>
    <row r="42" spans="1:11" x14ac:dyDescent="0.25">
      <c r="A42" s="22">
        <v>8751</v>
      </c>
      <c r="B42" s="29">
        <v>46125</v>
      </c>
      <c r="C42" s="23" t="s">
        <v>13</v>
      </c>
      <c r="D42" s="37" t="s">
        <v>54</v>
      </c>
      <c r="E42" s="23" t="s">
        <v>117</v>
      </c>
      <c r="F42" s="31">
        <v>58</v>
      </c>
      <c r="G42" s="31">
        <v>35000</v>
      </c>
      <c r="H42" s="31">
        <f>A_Kien_Long_Bien[[#This Row],[ĐƠN GIÁ]]*A_Kien_Long_Bien[[#This Row],[SỐ LƯỢNG]]</f>
        <v>2030000</v>
      </c>
      <c r="I42" s="31"/>
      <c r="J42" s="31">
        <f>J41+A_Kien_Long_Bien[[#This Row],[THÀNH TIỀN]]-A_Kien_Long_Bien[[#This Row],[THANH TOÁN]]</f>
        <v>679966306</v>
      </c>
      <c r="K42" s="24"/>
    </row>
    <row r="43" spans="1:11" x14ac:dyDescent="0.25">
      <c r="A43" s="22">
        <v>8127</v>
      </c>
      <c r="B43" s="29">
        <v>46128</v>
      </c>
      <c r="C43" s="23" t="s">
        <v>13</v>
      </c>
      <c r="D43" s="37" t="s">
        <v>50</v>
      </c>
      <c r="E43" s="23" t="s">
        <v>1100</v>
      </c>
      <c r="F43" s="31">
        <v>870</v>
      </c>
      <c r="G43" s="31">
        <v>59000</v>
      </c>
      <c r="H43" s="31">
        <f>A_Kien_Long_Bien[[#This Row],[ĐƠN GIÁ]]*A_Kien_Long_Bien[[#This Row],[SỐ LƯỢNG]]</f>
        <v>51330000</v>
      </c>
      <c r="I43" s="31"/>
      <c r="J43" s="31">
        <f>J42+A_Kien_Long_Bien[[#This Row],[THÀNH TIỀN]]-A_Kien_Long_Bien[[#This Row],[THANH TOÁN]]</f>
        <v>731296306</v>
      </c>
      <c r="K43" s="24"/>
    </row>
    <row r="44" spans="1:11" x14ac:dyDescent="0.25">
      <c r="A44" s="22">
        <v>8127</v>
      </c>
      <c r="B44" s="29">
        <v>46128</v>
      </c>
      <c r="C44" s="23" t="s">
        <v>13</v>
      </c>
      <c r="D44" s="37" t="s">
        <v>68</v>
      </c>
      <c r="E44" s="23" t="s">
        <v>1101</v>
      </c>
      <c r="F44" s="31">
        <v>872</v>
      </c>
      <c r="G44" s="31">
        <v>43000</v>
      </c>
      <c r="H44" s="31">
        <f>A_Kien_Long_Bien[[#This Row],[ĐƠN GIÁ]]*A_Kien_Long_Bien[[#This Row],[SỐ LƯỢNG]]</f>
        <v>37496000</v>
      </c>
      <c r="I44" s="31"/>
      <c r="J44" s="31">
        <f>J43+A_Kien_Long_Bien[[#This Row],[THÀNH TIỀN]]-A_Kien_Long_Bien[[#This Row],[THANH TOÁN]]</f>
        <v>768792306</v>
      </c>
      <c r="K44" s="24"/>
    </row>
    <row r="45" spans="1:11" x14ac:dyDescent="0.25">
      <c r="A45" s="22"/>
      <c r="B45" s="29">
        <v>46129</v>
      </c>
      <c r="C45" s="23" t="s">
        <v>21</v>
      </c>
      <c r="D45" s="37" t="s">
        <v>22</v>
      </c>
      <c r="E45" s="23" t="s">
        <v>147</v>
      </c>
      <c r="F45" s="31">
        <v>0</v>
      </c>
      <c r="G45" s="31"/>
      <c r="H45" s="31">
        <f>A_Kien_Long_Bien[[#This Row],[ĐƠN GIÁ]]*A_Kien_Long_Bien[[#This Row],[SỐ LƯỢNG]]</f>
        <v>0</v>
      </c>
      <c r="I45" s="31">
        <v>60000000</v>
      </c>
      <c r="J45" s="31">
        <f>J44+A_Kien_Long_Bien[[#This Row],[THÀNH TIỀN]]-A_Kien_Long_Bien[[#This Row],[THANH TOÁN]]</f>
        <v>708792306</v>
      </c>
      <c r="K45" s="24"/>
    </row>
    <row r="46" spans="1:11" x14ac:dyDescent="0.25">
      <c r="A46" s="22">
        <v>8919</v>
      </c>
      <c r="B46" s="29">
        <v>46133</v>
      </c>
      <c r="C46" s="23" t="s">
        <v>13</v>
      </c>
      <c r="D46" s="37" t="s">
        <v>265</v>
      </c>
      <c r="E46" s="23" t="s">
        <v>41</v>
      </c>
      <c r="F46" s="31">
        <v>542</v>
      </c>
      <c r="G46" s="31">
        <v>65000</v>
      </c>
      <c r="H46" s="31">
        <f>A_Kien_Long_Bien[[#This Row],[ĐƠN GIÁ]]*A_Kien_Long_Bien[[#This Row],[SỐ LƯỢNG]]</f>
        <v>35230000</v>
      </c>
      <c r="I46" s="31"/>
      <c r="J46" s="31">
        <f>J45+A_Kien_Long_Bien[[#This Row],[THÀNH TIỀN]]-A_Kien_Long_Bien[[#This Row],[THANH TOÁN]]</f>
        <v>744022306</v>
      </c>
      <c r="K46" s="24"/>
    </row>
    <row r="47" spans="1:11" x14ac:dyDescent="0.25">
      <c r="A47" s="22">
        <v>8919</v>
      </c>
      <c r="B47" s="29">
        <v>46133</v>
      </c>
      <c r="C47" s="23" t="s">
        <v>13</v>
      </c>
      <c r="D47" s="37" t="s">
        <v>265</v>
      </c>
      <c r="E47" s="23" t="s">
        <v>136</v>
      </c>
      <c r="F47" s="31">
        <v>552</v>
      </c>
      <c r="G47" s="31">
        <v>64000</v>
      </c>
      <c r="H47" s="31">
        <f>A_Kien_Long_Bien[[#This Row],[ĐƠN GIÁ]]*A_Kien_Long_Bien[[#This Row],[SỐ LƯỢNG]]</f>
        <v>35328000</v>
      </c>
      <c r="I47" s="31"/>
      <c r="J47" s="31">
        <f>J46+A_Kien_Long_Bien[[#This Row],[THÀNH TIỀN]]-A_Kien_Long_Bien[[#This Row],[THANH TOÁN]]</f>
        <v>779350306</v>
      </c>
      <c r="K47" s="24"/>
    </row>
    <row r="48" spans="1:11" x14ac:dyDescent="0.25">
      <c r="A48" s="22">
        <v>8919</v>
      </c>
      <c r="B48" s="29">
        <v>46133</v>
      </c>
      <c r="C48" s="23" t="s">
        <v>13</v>
      </c>
      <c r="D48" s="37" t="s">
        <v>135</v>
      </c>
      <c r="E48" s="23" t="s">
        <v>1756</v>
      </c>
      <c r="F48" s="31">
        <v>1494</v>
      </c>
      <c r="G48" s="31">
        <v>38500</v>
      </c>
      <c r="H48" s="31">
        <f>A_Kien_Long_Bien[[#This Row],[ĐƠN GIÁ]]*A_Kien_Long_Bien[[#This Row],[SỐ LƯỢNG]]</f>
        <v>57519000</v>
      </c>
      <c r="I48" s="31"/>
      <c r="J48" s="31">
        <f>J47+A_Kien_Long_Bien[[#This Row],[THÀNH TIỀN]]-A_Kien_Long_Bien[[#This Row],[THANH TOÁN]]</f>
        <v>836869306</v>
      </c>
      <c r="K48" s="24" t="s">
        <v>1757</v>
      </c>
    </row>
    <row r="49" spans="1:11" x14ac:dyDescent="0.25">
      <c r="A49" s="22"/>
      <c r="B49" s="29">
        <v>46136</v>
      </c>
      <c r="C49" s="23" t="s">
        <v>21</v>
      </c>
      <c r="D49" s="37" t="s">
        <v>22</v>
      </c>
      <c r="E49" s="23" t="s">
        <v>147</v>
      </c>
      <c r="F49" s="31">
        <v>0</v>
      </c>
      <c r="G49" s="31"/>
      <c r="H49" s="31">
        <f>A_Kien_Long_Bien[[#This Row],[ĐƠN GIÁ]]*A_Kien_Long_Bien[[#This Row],[SỐ LƯỢNG]]</f>
        <v>0</v>
      </c>
      <c r="I49" s="31">
        <v>100000000</v>
      </c>
      <c r="J49" s="31">
        <f>J48+A_Kien_Long_Bien[[#This Row],[THÀNH TIỀN]]-A_Kien_Long_Bien[[#This Row],[THANH TOÁN]]</f>
        <v>736869306</v>
      </c>
      <c r="K49" s="24"/>
    </row>
    <row r="50" spans="1:11" x14ac:dyDescent="0.25">
      <c r="A50" s="22">
        <v>9053</v>
      </c>
      <c r="B50" s="29">
        <v>46139</v>
      </c>
      <c r="C50" s="23" t="s">
        <v>13</v>
      </c>
      <c r="D50" s="37" t="s">
        <v>173</v>
      </c>
      <c r="E50" s="23" t="s">
        <v>117</v>
      </c>
      <c r="F50" s="31">
        <v>1318</v>
      </c>
      <c r="G50" s="31">
        <v>71500</v>
      </c>
      <c r="H50" s="31">
        <f>A_Kien_Long_Bien[[#This Row],[ĐƠN GIÁ]]*A_Kien_Long_Bien[[#This Row],[SỐ LƯỢNG]]</f>
        <v>94237000</v>
      </c>
      <c r="I50" s="31"/>
      <c r="J50" s="31">
        <f>J49+A_Kien_Long_Bien[[#This Row],[THÀNH TIỀN]]-A_Kien_Long_Bien[[#This Row],[THANH TOÁN]]</f>
        <v>831106306</v>
      </c>
      <c r="K50" s="24"/>
    </row>
    <row r="51" spans="1:11" x14ac:dyDescent="0.25">
      <c r="A51" s="22">
        <v>9053</v>
      </c>
      <c r="B51" s="29">
        <v>46139</v>
      </c>
      <c r="C51" s="23" t="s">
        <v>13</v>
      </c>
      <c r="D51" s="37" t="s">
        <v>173</v>
      </c>
      <c r="E51" s="23" t="s">
        <v>191</v>
      </c>
      <c r="F51" s="31">
        <v>442</v>
      </c>
      <c r="G51" s="31">
        <v>71500</v>
      </c>
      <c r="H51" s="31">
        <f>A_Kien_Long_Bien[[#This Row],[ĐƠN GIÁ]]*A_Kien_Long_Bien[[#This Row],[SỐ LƯỢNG]]</f>
        <v>31603000</v>
      </c>
      <c r="I51" s="31"/>
      <c r="J51" s="31">
        <f>J50+A_Kien_Long_Bien[[#This Row],[THÀNH TIỀN]]-A_Kien_Long_Bien[[#This Row],[THANH TOÁN]]</f>
        <v>862709306</v>
      </c>
      <c r="K51" s="24"/>
    </row>
    <row r="52" spans="1:11" x14ac:dyDescent="0.25">
      <c r="A52" s="22"/>
      <c r="B52" s="29">
        <v>46141</v>
      </c>
      <c r="C52" s="23" t="s">
        <v>21</v>
      </c>
      <c r="D52" s="37" t="s">
        <v>22</v>
      </c>
      <c r="E52" s="23" t="s">
        <v>147</v>
      </c>
      <c r="F52" s="31">
        <v>0</v>
      </c>
      <c r="G52" s="31"/>
      <c r="H52" s="31">
        <f>A_Kien_Long_Bien[[#This Row],[ĐƠN GIÁ]]*A_Kien_Long_Bien[[#This Row],[SỐ LƯỢNG]]</f>
        <v>0</v>
      </c>
      <c r="I52" s="31">
        <v>60000000</v>
      </c>
      <c r="J52" s="31">
        <f>J51+A_Kien_Long_Bien[[#This Row],[THÀNH TIỀN]]-A_Kien_Long_Bien[[#This Row],[THANH TOÁN]]</f>
        <v>802709306</v>
      </c>
      <c r="K52" s="24"/>
    </row>
    <row r="53" spans="1:11" x14ac:dyDescent="0.25">
      <c r="A53" s="22">
        <v>9144</v>
      </c>
      <c r="B53" s="29">
        <v>46146</v>
      </c>
      <c r="C53" s="23" t="s">
        <v>13</v>
      </c>
      <c r="D53" s="37" t="s">
        <v>252</v>
      </c>
      <c r="E53" s="23" t="s">
        <v>41</v>
      </c>
      <c r="F53" s="31">
        <v>2166</v>
      </c>
      <c r="G53" s="31">
        <v>38000</v>
      </c>
      <c r="H53" s="31">
        <f>A_Kien_Long_Bien[[#This Row],[ĐƠN GIÁ]]*A_Kien_Long_Bien[[#This Row],[SỐ LƯỢNG]]</f>
        <v>82308000</v>
      </c>
      <c r="I53" s="31"/>
      <c r="J53" s="31">
        <f>J52+A_Kien_Long_Bien[[#This Row],[THÀNH TIỀN]]-A_Kien_Long_Bien[[#This Row],[THANH TOÁN]]</f>
        <v>885017306</v>
      </c>
      <c r="K53" s="24"/>
    </row>
    <row r="54" spans="1:11" x14ac:dyDescent="0.25">
      <c r="A54" s="22">
        <v>9144</v>
      </c>
      <c r="B54" s="29">
        <v>46146</v>
      </c>
      <c r="C54" s="23" t="s">
        <v>13</v>
      </c>
      <c r="D54" s="37" t="s">
        <v>252</v>
      </c>
      <c r="E54" s="23" t="s">
        <v>136</v>
      </c>
      <c r="F54" s="31">
        <v>1141</v>
      </c>
      <c r="G54" s="31">
        <v>37700</v>
      </c>
      <c r="H54" s="31">
        <f>A_Kien_Long_Bien[[#This Row],[ĐƠN GIÁ]]*A_Kien_Long_Bien[[#This Row],[SỐ LƯỢNG]]</f>
        <v>43015700</v>
      </c>
      <c r="I54" s="31"/>
      <c r="J54" s="31">
        <f>J53+A_Kien_Long_Bien[[#This Row],[THÀNH TIỀN]]-A_Kien_Long_Bien[[#This Row],[THANH TOÁN]]</f>
        <v>928033006</v>
      </c>
      <c r="K54" s="24"/>
    </row>
    <row r="55" spans="1:11" x14ac:dyDescent="0.25">
      <c r="A55" s="22">
        <v>9144</v>
      </c>
      <c r="B55" s="29">
        <v>46146</v>
      </c>
      <c r="C55" s="23" t="s">
        <v>13</v>
      </c>
      <c r="D55" s="37" t="s">
        <v>252</v>
      </c>
      <c r="E55" s="23" t="s">
        <v>62</v>
      </c>
      <c r="F55" s="31">
        <v>1014</v>
      </c>
      <c r="G55" s="31">
        <v>39000</v>
      </c>
      <c r="H55" s="31">
        <f>A_Kien_Long_Bien[[#This Row],[ĐƠN GIÁ]]*A_Kien_Long_Bien[[#This Row],[SỐ LƯỢNG]]</f>
        <v>39546000</v>
      </c>
      <c r="I55" s="31"/>
      <c r="J55" s="31">
        <f>J54+A_Kien_Long_Bien[[#This Row],[THÀNH TIỀN]]-A_Kien_Long_Bien[[#This Row],[THANH TOÁN]]</f>
        <v>967579006</v>
      </c>
      <c r="K55" s="24"/>
    </row>
    <row r="56" spans="1:11" x14ac:dyDescent="0.25">
      <c r="A56" s="22">
        <v>9172</v>
      </c>
      <c r="B56" s="29">
        <v>46147</v>
      </c>
      <c r="C56" s="23" t="s">
        <v>13</v>
      </c>
      <c r="D56" s="37" t="s">
        <v>135</v>
      </c>
      <c r="E56" s="23" t="s">
        <v>136</v>
      </c>
      <c r="F56" s="31">
        <v>5466</v>
      </c>
      <c r="G56" s="31">
        <v>36500</v>
      </c>
      <c r="H56" s="31">
        <f>A_Kien_Long_Bien[[#This Row],[ĐƠN GIÁ]]*A_Kien_Long_Bien[[#This Row],[SỐ LƯỢNG]]</f>
        <v>199509000</v>
      </c>
      <c r="I56" s="31"/>
      <c r="J56" s="31">
        <f>J55+A_Kien_Long_Bien[[#This Row],[THÀNH TIỀN]]-A_Kien_Long_Bien[[#This Row],[THANH TOÁN]]</f>
        <v>1167088006</v>
      </c>
      <c r="K56" s="24"/>
    </row>
    <row r="57" spans="1:11" x14ac:dyDescent="0.25">
      <c r="A57" s="22">
        <v>9185</v>
      </c>
      <c r="B57" s="29">
        <v>46147</v>
      </c>
      <c r="C57" s="23" t="s">
        <v>13</v>
      </c>
      <c r="D57" s="37" t="s">
        <v>135</v>
      </c>
      <c r="E57" s="23" t="s">
        <v>136</v>
      </c>
      <c r="F57" s="31">
        <v>8844</v>
      </c>
      <c r="G57" s="31">
        <v>36500</v>
      </c>
      <c r="H57" s="31">
        <f>A_Kien_Long_Bien[[#This Row],[ĐƠN GIÁ]]*A_Kien_Long_Bien[[#This Row],[SỐ LƯỢNG]]</f>
        <v>322806000</v>
      </c>
      <c r="I57" s="31"/>
      <c r="J57" s="31">
        <f>J56+A_Kien_Long_Bien[[#This Row],[THÀNH TIỀN]]-A_Kien_Long_Bien[[#This Row],[THANH TOÁN]]</f>
        <v>1489894006</v>
      </c>
      <c r="K57" s="24"/>
    </row>
    <row r="58" spans="1:11" x14ac:dyDescent="0.25">
      <c r="A58" s="22"/>
      <c r="B58" s="29">
        <v>46150</v>
      </c>
      <c r="C58" s="23" t="s">
        <v>21</v>
      </c>
      <c r="D58" s="37" t="s">
        <v>22</v>
      </c>
      <c r="E58" s="23" t="s">
        <v>147</v>
      </c>
      <c r="F58" s="31">
        <v>0</v>
      </c>
      <c r="G58" s="31"/>
      <c r="H58" s="31">
        <f>A_Kien_Long_Bien[[#This Row],[ĐƠN GIÁ]]*A_Kien_Long_Bien[[#This Row],[SỐ LƯỢNG]]</f>
        <v>0</v>
      </c>
      <c r="I58" s="31">
        <v>140000000</v>
      </c>
      <c r="J58" s="31">
        <f>J57+A_Kien_Long_Bien[[#This Row],[THÀNH TIỀN]]-A_Kien_Long_Bien[[#This Row],[THANH TOÁN]]</f>
        <v>1349894006</v>
      </c>
      <c r="K58" s="24"/>
    </row>
    <row r="59" spans="1:11" x14ac:dyDescent="0.25">
      <c r="A59" s="22">
        <v>9284</v>
      </c>
      <c r="B59" s="29">
        <v>46151</v>
      </c>
      <c r="C59" s="23" t="s">
        <v>13</v>
      </c>
      <c r="D59" s="37" t="s">
        <v>252</v>
      </c>
      <c r="E59" s="23" t="s">
        <v>62</v>
      </c>
      <c r="F59" s="31">
        <v>1096</v>
      </c>
      <c r="G59" s="31">
        <v>39000</v>
      </c>
      <c r="H59" s="31">
        <f>A_Kien_Long_Bien[[#This Row],[ĐƠN GIÁ]]*A_Kien_Long_Bien[[#This Row],[SỐ LƯỢNG]]</f>
        <v>42744000</v>
      </c>
      <c r="I59" s="31"/>
      <c r="J59" s="31">
        <f>J58+A_Kien_Long_Bien[[#This Row],[THÀNH TIỀN]]-A_Kien_Long_Bien[[#This Row],[THANH TOÁN]]</f>
        <v>1392638006</v>
      </c>
      <c r="K59" s="24"/>
    </row>
    <row r="60" spans="1:11" x14ac:dyDescent="0.25">
      <c r="A60" s="22"/>
      <c r="B60" s="29">
        <v>46157</v>
      </c>
      <c r="C60" s="23" t="s">
        <v>21</v>
      </c>
      <c r="D60" s="37" t="s">
        <v>22</v>
      </c>
      <c r="E60" s="23" t="s">
        <v>147</v>
      </c>
      <c r="F60" s="31">
        <v>0</v>
      </c>
      <c r="G60" s="31"/>
      <c r="H60" s="31">
        <f>A_Kien_Long_Bien[[#This Row],[ĐƠN GIÁ]]*A_Kien_Long_Bien[[#This Row],[SỐ LƯỢNG]]</f>
        <v>0</v>
      </c>
      <c r="I60" s="31">
        <v>80000000</v>
      </c>
      <c r="J60" s="31">
        <f>J59+A_Kien_Long_Bien[[#This Row],[THÀNH TIỀN]]-A_Kien_Long_Bien[[#This Row],[THANH TOÁN]]</f>
        <v>1312638006</v>
      </c>
      <c r="K60" s="24"/>
    </row>
    <row r="61" spans="1:11" x14ac:dyDescent="0.25">
      <c r="A61" s="22"/>
      <c r="B61" s="29">
        <v>46164</v>
      </c>
      <c r="C61" s="23" t="s">
        <v>21</v>
      </c>
      <c r="D61" s="37" t="s">
        <v>22</v>
      </c>
      <c r="E61" s="23" t="s">
        <v>147</v>
      </c>
      <c r="F61" s="31">
        <v>0</v>
      </c>
      <c r="G61" s="31"/>
      <c r="H61" s="31">
        <f>A_Kien_Long_Bien[[#This Row],[ĐƠN GIÁ]]*A_Kien_Long_Bien[[#This Row],[SỐ LƯỢNG]]</f>
        <v>0</v>
      </c>
      <c r="I61" s="31">
        <v>70000000</v>
      </c>
      <c r="J61" s="31">
        <f>J60+A_Kien_Long_Bien[[#This Row],[THÀNH TIỀN]]-A_Kien_Long_Bien[[#This Row],[THANH TOÁN]]</f>
        <v>1242638006</v>
      </c>
      <c r="K61" s="24"/>
    </row>
    <row r="62" spans="1:11" x14ac:dyDescent="0.25">
      <c r="A62" s="22"/>
      <c r="B62" s="29">
        <v>46164</v>
      </c>
      <c r="C62" s="23" t="s">
        <v>21</v>
      </c>
      <c r="D62" s="37" t="s">
        <v>22</v>
      </c>
      <c r="E62" s="23" t="s">
        <v>147</v>
      </c>
      <c r="F62" s="31">
        <v>0</v>
      </c>
      <c r="G62" s="31"/>
      <c r="H62" s="31">
        <f>A_Kien_Long_Bien[[#This Row],[ĐƠN GIÁ]]*A_Kien_Long_Bien[[#This Row],[SỐ LƯỢNG]]</f>
        <v>0</v>
      </c>
      <c r="I62" s="31">
        <v>40000000</v>
      </c>
      <c r="J62" s="31">
        <f>J61+A_Kien_Long_Bien[[#This Row],[THÀNH TIỀN]]-A_Kien_Long_Bien[[#This Row],[THANH TOÁN]]</f>
        <v>1202638006</v>
      </c>
      <c r="K62" s="24"/>
    </row>
    <row r="63" spans="1:11" x14ac:dyDescent="0.25">
      <c r="A63" s="22"/>
      <c r="B63" s="29">
        <v>46169</v>
      </c>
      <c r="C63" s="23" t="s">
        <v>21</v>
      </c>
      <c r="D63" s="37" t="s">
        <v>22</v>
      </c>
      <c r="E63" s="23" t="s">
        <v>147</v>
      </c>
      <c r="F63" s="31">
        <v>0</v>
      </c>
      <c r="G63" s="31"/>
      <c r="H63" s="31">
        <f>A_Kien_Long_Bien[[#This Row],[ĐƠN GIÁ]]*A_Kien_Long_Bien[[#This Row],[SỐ LƯỢNG]]</f>
        <v>0</v>
      </c>
      <c r="I63" s="31">
        <v>50000000</v>
      </c>
      <c r="J63" s="31">
        <f>J62+A_Kien_Long_Bien[[#This Row],[THÀNH TIỀN]]-A_Kien_Long_Bien[[#This Row],[THANH TOÁN]]</f>
        <v>1152638006</v>
      </c>
      <c r="K63" s="24"/>
    </row>
    <row r="64" spans="1:11" x14ac:dyDescent="0.25">
      <c r="A64" s="22"/>
      <c r="B64" s="29">
        <v>46171</v>
      </c>
      <c r="C64" s="23" t="s">
        <v>21</v>
      </c>
      <c r="D64" s="37" t="s">
        <v>22</v>
      </c>
      <c r="E64" s="23" t="s">
        <v>147</v>
      </c>
      <c r="F64" s="31">
        <v>0</v>
      </c>
      <c r="G64" s="31"/>
      <c r="H64" s="31">
        <f>A_Kien_Long_Bien[[#This Row],[ĐƠN GIÁ]]*A_Kien_Long_Bien[[#This Row],[SỐ LƯỢNG]]</f>
        <v>0</v>
      </c>
      <c r="I64" s="31">
        <v>60000000</v>
      </c>
      <c r="J64" s="31">
        <f>J63+A_Kien_Long_Bien[[#This Row],[THÀNH TIỀN]]-A_Kien_Long_Bien[[#This Row],[THANH TOÁN]]</f>
        <v>1092638006</v>
      </c>
      <c r="K64" s="24"/>
    </row>
    <row r="65" spans="1:11" x14ac:dyDescent="0.25">
      <c r="A65" s="22"/>
      <c r="B65" s="29">
        <v>46172</v>
      </c>
      <c r="C65" s="23" t="s">
        <v>21</v>
      </c>
      <c r="D65" s="37" t="s">
        <v>22</v>
      </c>
      <c r="E65" s="23" t="s">
        <v>147</v>
      </c>
      <c r="F65" s="31">
        <v>0</v>
      </c>
      <c r="G65" s="31"/>
      <c r="H65" s="31">
        <f>A_Kien_Long_Bien[[#This Row],[ĐƠN GIÁ]]*A_Kien_Long_Bien[[#This Row],[SỐ LƯỢNG]]</f>
        <v>0</v>
      </c>
      <c r="I65" s="31">
        <v>5840000</v>
      </c>
      <c r="J65" s="31">
        <f>J64+A_Kien_Long_Bien[[#This Row],[THÀNH TIỀN]]-A_Kien_Long_Bien[[#This Row],[THANH TOÁN]]</f>
        <v>1086798006</v>
      </c>
      <c r="K65" s="24"/>
    </row>
    <row r="66" spans="1:11" x14ac:dyDescent="0.25">
      <c r="A66" s="22"/>
      <c r="B66" s="29">
        <v>46178</v>
      </c>
      <c r="C66" s="23" t="s">
        <v>21</v>
      </c>
      <c r="D66" s="37" t="s">
        <v>22</v>
      </c>
      <c r="E66" s="23" t="s">
        <v>147</v>
      </c>
      <c r="F66" s="31">
        <v>0</v>
      </c>
      <c r="G66" s="31"/>
      <c r="H66" s="31">
        <f>A_Kien_Long_Bien[[#This Row],[ĐƠN GIÁ]]*A_Kien_Long_Bien[[#This Row],[SỐ LƯỢNG]]</f>
        <v>0</v>
      </c>
      <c r="I66" s="31">
        <v>450000000</v>
      </c>
      <c r="J66" s="31">
        <f>J65+A_Kien_Long_Bien[[#This Row],[THÀNH TIỀN]]-A_Kien_Long_Bien[[#This Row],[THANH TOÁN]]</f>
        <v>636798006</v>
      </c>
      <c r="K66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BD056-71D4-4295-9728-98FC9C3946CC}">
  <sheetPr codeName="Sheet48"/>
  <dimension ref="A5:K26"/>
  <sheetViews>
    <sheetView workbookViewId="0">
      <selection activeCell="K14" sqref="K14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62888000</v>
      </c>
    </row>
    <row r="6" spans="1:11" ht="22.5" x14ac:dyDescent="0.25">
      <c r="D6" s="34" t="s">
        <v>1111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C_Ha_Khoa_Hoc_HY[[#This Row],[ĐƠN GIÁ]]*C_Ha_Khoa_Hoc_HY[[#This Row],[SỐ LƯỢNG]]</f>
        <v>0</v>
      </c>
      <c r="I10" s="31"/>
      <c r="J10" s="31">
        <v>435316000</v>
      </c>
      <c r="K10" s="24"/>
    </row>
    <row r="11" spans="1:11" x14ac:dyDescent="0.25">
      <c r="A11" s="22"/>
      <c r="B11" s="29">
        <v>46083</v>
      </c>
      <c r="C11" s="23" t="s">
        <v>21</v>
      </c>
      <c r="D11" s="37" t="s">
        <v>22</v>
      </c>
      <c r="E11" s="23" t="s">
        <v>147</v>
      </c>
      <c r="F11" s="31">
        <v>0</v>
      </c>
      <c r="G11" s="31">
        <v>0</v>
      </c>
      <c r="H11" s="31">
        <f>C_Ha_Khoa_Hoc_HY[[#This Row],[ĐƠN GIÁ]]*C_Ha_Khoa_Hoc_HY[[#This Row],[SỐ LƯỢNG]]</f>
        <v>0</v>
      </c>
      <c r="I11" s="31">
        <v>150000000</v>
      </c>
      <c r="J11" s="31">
        <f>J10+C_Ha_Khoa_Hoc_HY[[#This Row],[THÀNH TIỀN]]-C_Ha_Khoa_Hoc_HY[[#This Row],[THANH TOÁN]]</f>
        <v>285316000</v>
      </c>
      <c r="K11" s="24" t="s">
        <v>1112</v>
      </c>
    </row>
    <row r="12" spans="1:11" x14ac:dyDescent="0.25">
      <c r="A12" s="22">
        <v>8000</v>
      </c>
      <c r="B12" s="29">
        <v>46092</v>
      </c>
      <c r="C12" s="23" t="s">
        <v>13</v>
      </c>
      <c r="D12" s="37" t="s">
        <v>703</v>
      </c>
      <c r="E12" s="23" t="s">
        <v>1113</v>
      </c>
      <c r="F12" s="31">
        <v>3886</v>
      </c>
      <c r="G12" s="31">
        <v>32000</v>
      </c>
      <c r="H12" s="31">
        <f>C_Ha_Khoa_Hoc_HY[[#This Row],[ĐƠN GIÁ]]*C_Ha_Khoa_Hoc_HY[[#This Row],[SỐ LƯỢNG]]</f>
        <v>124352000</v>
      </c>
      <c r="I12" s="31"/>
      <c r="J12" s="31">
        <f>J11+C_Ha_Khoa_Hoc_HY[[#This Row],[THÀNH TIỀN]]-C_Ha_Khoa_Hoc_HY[[#This Row],[THANH TOÁN]]</f>
        <v>409668000</v>
      </c>
      <c r="K12" s="24"/>
    </row>
    <row r="13" spans="1:11" x14ac:dyDescent="0.25">
      <c r="A13" s="22"/>
      <c r="B13" s="29">
        <v>46097</v>
      </c>
      <c r="C13" s="23" t="s">
        <v>21</v>
      </c>
      <c r="D13" s="37" t="s">
        <v>22</v>
      </c>
      <c r="E13" s="23" t="s">
        <v>147</v>
      </c>
      <c r="F13" s="31">
        <v>0</v>
      </c>
      <c r="G13" s="31">
        <v>0</v>
      </c>
      <c r="H13" s="31">
        <f>C_Ha_Khoa_Hoc_HY[[#This Row],[ĐƠN GIÁ]]*C_Ha_Khoa_Hoc_HY[[#This Row],[SỐ LƯỢNG]]</f>
        <v>0</v>
      </c>
      <c r="I13" s="31">
        <v>100000000</v>
      </c>
      <c r="J13" s="31">
        <f>J12+C_Ha_Khoa_Hoc_HY[[#This Row],[THÀNH TIỀN]]-C_Ha_Khoa_Hoc_HY[[#This Row],[THANH TOÁN]]</f>
        <v>309668000</v>
      </c>
      <c r="K13" s="24"/>
    </row>
    <row r="14" spans="1:11" x14ac:dyDescent="0.25">
      <c r="A14" s="25"/>
      <c r="B14" s="30">
        <v>46108</v>
      </c>
      <c r="C14" s="26" t="s">
        <v>21</v>
      </c>
      <c r="D14" s="38" t="s">
        <v>22</v>
      </c>
      <c r="E14" s="26" t="s">
        <v>147</v>
      </c>
      <c r="F14" s="28">
        <v>0</v>
      </c>
      <c r="G14" s="28">
        <v>0</v>
      </c>
      <c r="H14" s="28">
        <f>C_Ha_Khoa_Hoc_HY[[#This Row],[ĐƠN GIÁ]]*C_Ha_Khoa_Hoc_HY[[#This Row],[SỐ LƯỢNG]]</f>
        <v>0</v>
      </c>
      <c r="I14" s="28">
        <v>50000000</v>
      </c>
      <c r="J14" s="28">
        <f>J13+C_Ha_Khoa_Hoc_HY[[#This Row],[THÀNH TIỀN]]-C_Ha_Khoa_Hoc_HY[[#This Row],[THANH TOÁN]]</f>
        <v>259668000</v>
      </c>
      <c r="K14" s="27"/>
    </row>
    <row r="15" spans="1:11" x14ac:dyDescent="0.25">
      <c r="A15" s="25">
        <v>8427</v>
      </c>
      <c r="B15" s="30">
        <v>46112</v>
      </c>
      <c r="C15" s="26" t="s">
        <v>13</v>
      </c>
      <c r="D15" s="38" t="s">
        <v>17</v>
      </c>
      <c r="E15" s="26" t="s">
        <v>416</v>
      </c>
      <c r="F15" s="28">
        <v>560</v>
      </c>
      <c r="G15" s="28">
        <v>62000</v>
      </c>
      <c r="H15" s="28">
        <f>C_Ha_Khoa_Hoc_HY[[#This Row],[ĐƠN GIÁ]]*C_Ha_Khoa_Hoc_HY[[#This Row],[SỐ LƯỢNG]]</f>
        <v>34720000</v>
      </c>
      <c r="I15" s="28"/>
      <c r="J15" s="28">
        <f>J14+C_Ha_Khoa_Hoc_HY[[#This Row],[THÀNH TIỀN]]-C_Ha_Khoa_Hoc_HY[[#This Row],[THANH TOÁN]]</f>
        <v>294388000</v>
      </c>
      <c r="K15" s="27"/>
    </row>
    <row r="16" spans="1:11" x14ac:dyDescent="0.25">
      <c r="A16" s="25"/>
      <c r="B16" s="30">
        <v>46115</v>
      </c>
      <c r="C16" s="26" t="s">
        <v>21</v>
      </c>
      <c r="D16" s="38" t="s">
        <v>22</v>
      </c>
      <c r="E16" s="26" t="s">
        <v>147</v>
      </c>
      <c r="F16" s="28">
        <v>0</v>
      </c>
      <c r="G16" s="28"/>
      <c r="H16" s="28">
        <f>C_Ha_Khoa_Hoc_HY[[#This Row],[ĐƠN GIÁ]]*C_Ha_Khoa_Hoc_HY[[#This Row],[SỐ LƯỢNG]]</f>
        <v>0</v>
      </c>
      <c r="I16" s="28">
        <v>100000000</v>
      </c>
      <c r="J16" s="28">
        <f>J15+C_Ha_Khoa_Hoc_HY[[#This Row],[THÀNH TIỀN]]-C_Ha_Khoa_Hoc_HY[[#This Row],[THANH TOÁN]]</f>
        <v>194388000</v>
      </c>
      <c r="K16" s="27"/>
    </row>
    <row r="17" spans="1:11" x14ac:dyDescent="0.25">
      <c r="A17" s="25">
        <v>7918</v>
      </c>
      <c r="B17" s="30">
        <v>46119</v>
      </c>
      <c r="C17" s="26" t="s">
        <v>13</v>
      </c>
      <c r="D17" s="38" t="s">
        <v>26</v>
      </c>
      <c r="E17" s="26" t="s">
        <v>267</v>
      </c>
      <c r="F17" s="28">
        <v>2001</v>
      </c>
      <c r="G17" s="28">
        <v>32000</v>
      </c>
      <c r="H17" s="28">
        <f>C_Ha_Khoa_Hoc_HY[[#This Row],[ĐƠN GIÁ]]*C_Ha_Khoa_Hoc_HY[[#This Row],[SỐ LƯỢNG]]</f>
        <v>64032000</v>
      </c>
      <c r="I17" s="28"/>
      <c r="J17" s="28">
        <f>J16+C_Ha_Khoa_Hoc_HY[[#This Row],[THÀNH TIỀN]]-C_Ha_Khoa_Hoc_HY[[#This Row],[THANH TOÁN]]</f>
        <v>258420000</v>
      </c>
      <c r="K17" s="27"/>
    </row>
    <row r="18" spans="1:11" x14ac:dyDescent="0.25">
      <c r="A18" s="22">
        <v>7918</v>
      </c>
      <c r="B18" s="29">
        <v>46119</v>
      </c>
      <c r="C18" s="23" t="s">
        <v>13</v>
      </c>
      <c r="D18" s="37" t="s">
        <v>17</v>
      </c>
      <c r="E18" s="23" t="s">
        <v>251</v>
      </c>
      <c r="F18" s="31">
        <v>66</v>
      </c>
      <c r="G18" s="31">
        <v>63000</v>
      </c>
      <c r="H18" s="31">
        <f>C_Ha_Khoa_Hoc_HY[[#This Row],[ĐƠN GIÁ]]*C_Ha_Khoa_Hoc_HY[[#This Row],[SỐ LƯỢNG]]</f>
        <v>4158000</v>
      </c>
      <c r="I18" s="31"/>
      <c r="J18" s="31">
        <f>J17+C_Ha_Khoa_Hoc_HY[[#This Row],[THÀNH TIỀN]]-C_Ha_Khoa_Hoc_HY[[#This Row],[THANH TOÁN]]</f>
        <v>262578000</v>
      </c>
      <c r="K18" s="24"/>
    </row>
    <row r="19" spans="1:11" x14ac:dyDescent="0.25">
      <c r="A19" s="22"/>
      <c r="B19" s="29">
        <v>46120</v>
      </c>
      <c r="C19" s="23" t="s">
        <v>21</v>
      </c>
      <c r="D19" s="37" t="s">
        <v>22</v>
      </c>
      <c r="E19" s="23" t="s">
        <v>147</v>
      </c>
      <c r="F19" s="31">
        <v>0</v>
      </c>
      <c r="G19" s="31"/>
      <c r="H19" s="31">
        <f>C_Ha_Khoa_Hoc_HY[[#This Row],[ĐƠN GIÁ]]*C_Ha_Khoa_Hoc_HY[[#This Row],[SỐ LƯỢNG]]</f>
        <v>0</v>
      </c>
      <c r="I19" s="31">
        <v>60000000</v>
      </c>
      <c r="J19" s="31">
        <f>J18+C_Ha_Khoa_Hoc_HY[[#This Row],[THÀNH TIỀN]]-C_Ha_Khoa_Hoc_HY[[#This Row],[THANH TOÁN]]</f>
        <v>202578000</v>
      </c>
      <c r="K19" s="24"/>
    </row>
    <row r="20" spans="1:11" x14ac:dyDescent="0.25">
      <c r="A20" s="22"/>
      <c r="B20" s="29">
        <v>46129</v>
      </c>
      <c r="C20" s="23" t="s">
        <v>21</v>
      </c>
      <c r="D20" s="37" t="s">
        <v>22</v>
      </c>
      <c r="E20" s="23" t="s">
        <v>147</v>
      </c>
      <c r="F20" s="31">
        <v>0</v>
      </c>
      <c r="G20" s="31"/>
      <c r="H20" s="31">
        <f>C_Ha_Khoa_Hoc_HY[[#This Row],[ĐƠN GIÁ]]*C_Ha_Khoa_Hoc_HY[[#This Row],[SỐ LƯỢNG]]</f>
        <v>0</v>
      </c>
      <c r="I20" s="31">
        <v>100000000</v>
      </c>
      <c r="J20" s="31">
        <f>J19+C_Ha_Khoa_Hoc_HY[[#This Row],[THÀNH TIỀN]]-C_Ha_Khoa_Hoc_HY[[#This Row],[THANH TOÁN]]</f>
        <v>102578000</v>
      </c>
      <c r="K20" s="24"/>
    </row>
    <row r="21" spans="1:11" x14ac:dyDescent="0.25">
      <c r="A21" s="22">
        <v>9149</v>
      </c>
      <c r="B21" s="29">
        <v>46146</v>
      </c>
      <c r="C21" s="23" t="s">
        <v>13</v>
      </c>
      <c r="D21" s="37" t="s">
        <v>195</v>
      </c>
      <c r="E21" s="23" t="s">
        <v>1923</v>
      </c>
      <c r="F21" s="31">
        <v>2496</v>
      </c>
      <c r="G21" s="31">
        <v>25000</v>
      </c>
      <c r="H21" s="31">
        <f>C_Ha_Khoa_Hoc_HY[[#This Row],[ĐƠN GIÁ]]*C_Ha_Khoa_Hoc_HY[[#This Row],[SỐ LƯỢNG]]</f>
        <v>62400000</v>
      </c>
      <c r="I21" s="31"/>
      <c r="J21" s="31">
        <f>J20+C_Ha_Khoa_Hoc_HY[[#This Row],[THÀNH TIỀN]]-C_Ha_Khoa_Hoc_HY[[#This Row],[THANH TOÁN]]</f>
        <v>164978000</v>
      </c>
      <c r="K21" s="24"/>
    </row>
    <row r="22" spans="1:11" x14ac:dyDescent="0.25">
      <c r="A22" s="22">
        <v>9149</v>
      </c>
      <c r="B22" s="29">
        <v>46146</v>
      </c>
      <c r="C22" s="23" t="s">
        <v>13</v>
      </c>
      <c r="D22" s="37" t="s">
        <v>195</v>
      </c>
      <c r="E22" s="23" t="s">
        <v>1924</v>
      </c>
      <c r="F22" s="31">
        <v>2152</v>
      </c>
      <c r="G22" s="31">
        <v>25000</v>
      </c>
      <c r="H22" s="31">
        <f>C_Ha_Khoa_Hoc_HY[[#This Row],[ĐƠN GIÁ]]*C_Ha_Khoa_Hoc_HY[[#This Row],[SỐ LƯỢNG]]</f>
        <v>53800000</v>
      </c>
      <c r="I22" s="31"/>
      <c r="J22" s="31">
        <f>J21+C_Ha_Khoa_Hoc_HY[[#This Row],[THÀNH TIỀN]]-C_Ha_Khoa_Hoc_HY[[#This Row],[THANH TOÁN]]</f>
        <v>218778000</v>
      </c>
      <c r="K22" s="24"/>
    </row>
    <row r="23" spans="1:11" x14ac:dyDescent="0.25">
      <c r="A23" s="22"/>
      <c r="B23" s="29">
        <v>46150</v>
      </c>
      <c r="C23" s="23" t="s">
        <v>21</v>
      </c>
      <c r="D23" s="37" t="s">
        <v>22</v>
      </c>
      <c r="E23" s="23" t="s">
        <v>147</v>
      </c>
      <c r="F23" s="31">
        <v>0</v>
      </c>
      <c r="G23" s="31"/>
      <c r="H23" s="31">
        <f>C_Ha_Khoa_Hoc_HY[[#This Row],[ĐƠN GIÁ]]*C_Ha_Khoa_Hoc_HY[[#This Row],[SỐ LƯỢNG]]</f>
        <v>0</v>
      </c>
      <c r="I23" s="31">
        <v>90000000</v>
      </c>
      <c r="J23" s="31">
        <f>J22+C_Ha_Khoa_Hoc_HY[[#This Row],[THÀNH TIỀN]]-C_Ha_Khoa_Hoc_HY[[#This Row],[THANH TOÁN]]</f>
        <v>128778000</v>
      </c>
      <c r="K23" s="24"/>
    </row>
    <row r="24" spans="1:11" x14ac:dyDescent="0.25">
      <c r="A24" s="22">
        <v>9303</v>
      </c>
      <c r="B24" s="29">
        <v>46153</v>
      </c>
      <c r="C24" s="23" t="s">
        <v>13</v>
      </c>
      <c r="D24" s="37" t="s">
        <v>305</v>
      </c>
      <c r="E24" s="23" t="s">
        <v>1458</v>
      </c>
      <c r="F24" s="31">
        <v>928</v>
      </c>
      <c r="G24" s="31">
        <v>32500</v>
      </c>
      <c r="H24" s="31">
        <f>C_Ha_Khoa_Hoc_HY[[#This Row],[ĐƠN GIÁ]]*C_Ha_Khoa_Hoc_HY[[#This Row],[SỐ LƯỢNG]]</f>
        <v>30160000</v>
      </c>
      <c r="I24" s="31"/>
      <c r="J24" s="31">
        <f>J23+C_Ha_Khoa_Hoc_HY[[#This Row],[THÀNH TIỀN]]-C_Ha_Khoa_Hoc_HY[[#This Row],[THANH TOÁN]]</f>
        <v>158938000</v>
      </c>
      <c r="K24" s="24"/>
    </row>
    <row r="25" spans="1:11" x14ac:dyDescent="0.25">
      <c r="A25" s="22"/>
      <c r="B25" s="29">
        <v>46155</v>
      </c>
      <c r="C25" s="23" t="s">
        <v>21</v>
      </c>
      <c r="D25" s="37" t="s">
        <v>22</v>
      </c>
      <c r="E25" s="23" t="s">
        <v>147</v>
      </c>
      <c r="F25" s="31">
        <v>0</v>
      </c>
      <c r="G25" s="31"/>
      <c r="H25" s="31">
        <f>C_Ha_Khoa_Hoc_HY[[#This Row],[ĐƠN GIÁ]]*C_Ha_Khoa_Hoc_HY[[#This Row],[SỐ LƯỢNG]]</f>
        <v>0</v>
      </c>
      <c r="I25" s="31">
        <v>65000000</v>
      </c>
      <c r="J25" s="31">
        <f>J24+C_Ha_Khoa_Hoc_HY[[#This Row],[THÀNH TIỀN]]-C_Ha_Khoa_Hoc_HY[[#This Row],[THANH TOÁN]]</f>
        <v>93938000</v>
      </c>
      <c r="K25" s="24"/>
    </row>
    <row r="26" spans="1:11" x14ac:dyDescent="0.25">
      <c r="A26" s="22"/>
      <c r="B26" s="29">
        <v>46174</v>
      </c>
      <c r="C26" s="23" t="s">
        <v>21</v>
      </c>
      <c r="D26" s="37" t="s">
        <v>22</v>
      </c>
      <c r="E26" s="23" t="s">
        <v>147</v>
      </c>
      <c r="F26" s="31">
        <v>0</v>
      </c>
      <c r="G26" s="31"/>
      <c r="H26" s="31">
        <f>C_Ha_Khoa_Hoc_HY[[#This Row],[ĐƠN GIÁ]]*C_Ha_Khoa_Hoc_HY[[#This Row],[SỐ LƯỢNG]]</f>
        <v>0</v>
      </c>
      <c r="I26" s="31">
        <v>93938000</v>
      </c>
      <c r="J26" s="31">
        <f>J25+C_Ha_Khoa_Hoc_HY[[#This Row],[THÀNH TIỀN]]-C_Ha_Khoa_Hoc_HY[[#This Row],[THANH TOÁN]]</f>
        <v>0</v>
      </c>
      <c r="K26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F52E7-9F3C-4A5F-B9D7-952750597C0F}">
  <sheetPr codeName="Sheet63"/>
  <dimension ref="A5:K45"/>
  <sheetViews>
    <sheetView topLeftCell="A28" workbookViewId="0">
      <selection activeCell="J11" sqref="J11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326602900</v>
      </c>
    </row>
    <row r="6" spans="1:11" ht="22.5" x14ac:dyDescent="0.25">
      <c r="D6" s="34" t="s">
        <v>1114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E_Trung_Cty_Ha_Anh[[#This Row],[ĐƠN GIÁ]]*E_Trung_Cty_Ha_Anh[[#This Row],[SỐ LƯỢNG]]</f>
        <v>0</v>
      </c>
      <c r="I10" s="31"/>
      <c r="J10" s="31">
        <v>194967400</v>
      </c>
      <c r="K10" s="24"/>
    </row>
    <row r="11" spans="1:11" x14ac:dyDescent="0.25">
      <c r="A11" s="22"/>
      <c r="B11" s="29">
        <v>46085</v>
      </c>
      <c r="C11" s="23" t="s">
        <v>21</v>
      </c>
      <c r="D11" s="37" t="s">
        <v>22</v>
      </c>
      <c r="E11" s="23" t="s">
        <v>147</v>
      </c>
      <c r="F11" s="31">
        <v>0</v>
      </c>
      <c r="G11" s="31">
        <v>0</v>
      </c>
      <c r="H11" s="31">
        <f>E_Trung_Cty_Ha_Anh[[#This Row],[ĐƠN GIÁ]]*E_Trung_Cty_Ha_Anh[[#This Row],[SỐ LƯỢNG]]</f>
        <v>0</v>
      </c>
      <c r="I11" s="31">
        <v>60000000</v>
      </c>
      <c r="J11" s="31">
        <f>J10+E_Trung_Cty_Ha_Anh[[#This Row],[THÀNH TIỀN]]-E_Trung_Cty_Ha_Anh[[#This Row],[THANH TOÁN]]</f>
        <v>134967400</v>
      </c>
      <c r="K11" s="24"/>
    </row>
    <row r="12" spans="1:11" x14ac:dyDescent="0.25">
      <c r="A12" s="22">
        <v>7923</v>
      </c>
      <c r="B12" s="29">
        <v>46088</v>
      </c>
      <c r="C12" s="23" t="s">
        <v>13</v>
      </c>
      <c r="D12" s="37" t="s">
        <v>68</v>
      </c>
      <c r="E12" s="23" t="s">
        <v>1115</v>
      </c>
      <c r="F12" s="31">
        <v>238</v>
      </c>
      <c r="G12" s="31">
        <v>41500</v>
      </c>
      <c r="H12" s="31">
        <f>E_Trung_Cty_Ha_Anh[[#This Row],[ĐƠN GIÁ]]*E_Trung_Cty_Ha_Anh[[#This Row],[SỐ LƯỢNG]]</f>
        <v>9877000</v>
      </c>
      <c r="I12" s="31"/>
      <c r="J12" s="31">
        <f>J11+E_Trung_Cty_Ha_Anh[[#This Row],[THÀNH TIỀN]]-E_Trung_Cty_Ha_Anh[[#This Row],[THANH TOÁN]]</f>
        <v>144844400</v>
      </c>
      <c r="K12" s="24"/>
    </row>
    <row r="13" spans="1:11" x14ac:dyDescent="0.25">
      <c r="A13" s="22">
        <v>7923</v>
      </c>
      <c r="B13" s="29">
        <v>46088</v>
      </c>
      <c r="C13" s="23" t="s">
        <v>13</v>
      </c>
      <c r="D13" s="38" t="s">
        <v>68</v>
      </c>
      <c r="E13" s="26" t="s">
        <v>1116</v>
      </c>
      <c r="F13" s="28">
        <v>188</v>
      </c>
      <c r="G13" s="28">
        <v>41500</v>
      </c>
      <c r="H13" s="28">
        <f>E_Trung_Cty_Ha_Anh[[#This Row],[ĐƠN GIÁ]]*E_Trung_Cty_Ha_Anh[[#This Row],[SỐ LƯỢNG]]</f>
        <v>7802000</v>
      </c>
      <c r="I13" s="28"/>
      <c r="J13" s="28">
        <f>J12+E_Trung_Cty_Ha_Anh[[#This Row],[THÀNH TIỀN]]-E_Trung_Cty_Ha_Anh[[#This Row],[THANH TOÁN]]</f>
        <v>152646400</v>
      </c>
      <c r="K13" s="27"/>
    </row>
    <row r="14" spans="1:11" x14ac:dyDescent="0.25">
      <c r="A14" s="25">
        <v>7923</v>
      </c>
      <c r="B14" s="30">
        <v>46088</v>
      </c>
      <c r="C14" s="26" t="s">
        <v>13</v>
      </c>
      <c r="D14" s="38" t="s">
        <v>68</v>
      </c>
      <c r="E14" s="26" t="s">
        <v>176</v>
      </c>
      <c r="F14" s="28">
        <f>174+174</f>
        <v>348</v>
      </c>
      <c r="G14" s="28">
        <v>42500</v>
      </c>
      <c r="H14" s="28">
        <f>E_Trung_Cty_Ha_Anh[[#This Row],[ĐƠN GIÁ]]*E_Trung_Cty_Ha_Anh[[#This Row],[SỐ LƯỢNG]]</f>
        <v>14790000</v>
      </c>
      <c r="I14" s="28"/>
      <c r="J14" s="28">
        <f>J13+E_Trung_Cty_Ha_Anh[[#This Row],[THÀNH TIỀN]]-E_Trung_Cty_Ha_Anh[[#This Row],[THANH TOÁN]]</f>
        <v>167436400</v>
      </c>
      <c r="K14" s="27"/>
    </row>
    <row r="15" spans="1:11" x14ac:dyDescent="0.25">
      <c r="A15" s="25">
        <v>7983</v>
      </c>
      <c r="B15" s="30">
        <v>46091</v>
      </c>
      <c r="C15" s="26" t="s">
        <v>13</v>
      </c>
      <c r="D15" s="38" t="s">
        <v>68</v>
      </c>
      <c r="E15" s="26" t="s">
        <v>69</v>
      </c>
      <c r="F15" s="28">
        <v>90</v>
      </c>
      <c r="G15" s="28">
        <v>42000</v>
      </c>
      <c r="H15" s="28">
        <f>E_Trung_Cty_Ha_Anh[[#This Row],[ĐƠN GIÁ]]*E_Trung_Cty_Ha_Anh[[#This Row],[SỐ LƯỢNG]]</f>
        <v>3780000</v>
      </c>
      <c r="I15" s="28"/>
      <c r="J15" s="28">
        <f>J14+E_Trung_Cty_Ha_Anh[[#This Row],[THÀNH TIỀN]]-E_Trung_Cty_Ha_Anh[[#This Row],[THANH TOÁN]]</f>
        <v>171216400</v>
      </c>
      <c r="K15" s="27"/>
    </row>
    <row r="16" spans="1:11" x14ac:dyDescent="0.25">
      <c r="A16" s="25">
        <v>8150</v>
      </c>
      <c r="B16" s="30">
        <v>46098</v>
      </c>
      <c r="C16" s="26" t="s">
        <v>13</v>
      </c>
      <c r="D16" s="38" t="s">
        <v>14</v>
      </c>
      <c r="E16" s="26" t="s">
        <v>1117</v>
      </c>
      <c r="F16" s="28">
        <v>292</v>
      </c>
      <c r="G16" s="28">
        <v>42000</v>
      </c>
      <c r="H16" s="28">
        <f>E_Trung_Cty_Ha_Anh[[#This Row],[ĐƠN GIÁ]]*E_Trung_Cty_Ha_Anh[[#This Row],[SỐ LƯỢNG]]</f>
        <v>12264000</v>
      </c>
      <c r="I16" s="28"/>
      <c r="J16" s="28">
        <f>J15+E_Trung_Cty_Ha_Anh[[#This Row],[THÀNH TIỀN]]-E_Trung_Cty_Ha_Anh[[#This Row],[THANH TOÁN]]</f>
        <v>183480400</v>
      </c>
      <c r="K16" s="27"/>
    </row>
    <row r="17" spans="1:11" x14ac:dyDescent="0.25">
      <c r="A17" s="25">
        <v>8175</v>
      </c>
      <c r="B17" s="30">
        <v>46099</v>
      </c>
      <c r="C17" s="26" t="s">
        <v>13</v>
      </c>
      <c r="D17" s="38" t="s">
        <v>68</v>
      </c>
      <c r="E17" s="26" t="s">
        <v>1118</v>
      </c>
      <c r="F17" s="28">
        <v>1332</v>
      </c>
      <c r="G17" s="28">
        <v>41500</v>
      </c>
      <c r="H17" s="28">
        <f>E_Trung_Cty_Ha_Anh[[#This Row],[ĐƠN GIÁ]]*E_Trung_Cty_Ha_Anh[[#This Row],[SỐ LƯỢNG]]</f>
        <v>55278000</v>
      </c>
      <c r="I17" s="28"/>
      <c r="J17" s="28">
        <f>J16+E_Trung_Cty_Ha_Anh[[#This Row],[THÀNH TIỀN]]-E_Trung_Cty_Ha_Anh[[#This Row],[THANH TOÁN]]</f>
        <v>238758400</v>
      </c>
      <c r="K17" s="27"/>
    </row>
    <row r="18" spans="1:11" x14ac:dyDescent="0.25">
      <c r="A18" s="25"/>
      <c r="B18" s="30">
        <v>46101</v>
      </c>
      <c r="C18" s="26" t="s">
        <v>21</v>
      </c>
      <c r="D18" s="38" t="s">
        <v>22</v>
      </c>
      <c r="E18" s="26" t="s">
        <v>147</v>
      </c>
      <c r="F18" s="28">
        <v>0</v>
      </c>
      <c r="G18" s="28">
        <v>0</v>
      </c>
      <c r="H18" s="28">
        <f>E_Trung_Cty_Ha_Anh[[#This Row],[ĐƠN GIÁ]]*E_Trung_Cty_Ha_Anh[[#This Row],[SỐ LƯỢNG]]</f>
        <v>0</v>
      </c>
      <c r="I18" s="28">
        <v>50000000</v>
      </c>
      <c r="J18" s="28">
        <f>J17+E_Trung_Cty_Ha_Anh[[#This Row],[THÀNH TIỀN]]-E_Trung_Cty_Ha_Anh[[#This Row],[THANH TOÁN]]</f>
        <v>188758400</v>
      </c>
      <c r="K18" s="27"/>
    </row>
    <row r="19" spans="1:11" x14ac:dyDescent="0.25">
      <c r="A19" s="25">
        <v>8299</v>
      </c>
      <c r="B19" s="30">
        <v>46102</v>
      </c>
      <c r="C19" s="26" t="s">
        <v>13</v>
      </c>
      <c r="D19" s="38" t="s">
        <v>252</v>
      </c>
      <c r="E19" s="26" t="s">
        <v>1119</v>
      </c>
      <c r="F19" s="28">
        <v>496</v>
      </c>
      <c r="G19" s="28">
        <v>37000</v>
      </c>
      <c r="H19" s="28">
        <f>E_Trung_Cty_Ha_Anh[[#This Row],[ĐƠN GIÁ]]*E_Trung_Cty_Ha_Anh[[#This Row],[SỐ LƯỢNG]]</f>
        <v>18352000</v>
      </c>
      <c r="I19" s="28"/>
      <c r="J19" s="28">
        <f>J18+E_Trung_Cty_Ha_Anh[[#This Row],[THÀNH TIỀN]]-E_Trung_Cty_Ha_Anh[[#This Row],[THANH TOÁN]]</f>
        <v>207110400</v>
      </c>
      <c r="K19" s="27"/>
    </row>
    <row r="20" spans="1:11" x14ac:dyDescent="0.25">
      <c r="A20" s="25">
        <v>8328</v>
      </c>
      <c r="B20" s="30">
        <v>46106</v>
      </c>
      <c r="C20" s="26" t="s">
        <v>13</v>
      </c>
      <c r="D20" s="38" t="s">
        <v>14</v>
      </c>
      <c r="E20" s="26" t="s">
        <v>146</v>
      </c>
      <c r="F20" s="28">
        <v>176</v>
      </c>
      <c r="G20" s="28">
        <v>42000</v>
      </c>
      <c r="H20" s="28">
        <f>E_Trung_Cty_Ha_Anh[[#This Row],[ĐƠN GIÁ]]*E_Trung_Cty_Ha_Anh[[#This Row],[SỐ LƯỢNG]]</f>
        <v>7392000</v>
      </c>
      <c r="I20" s="28"/>
      <c r="J20" s="28">
        <f>J19+E_Trung_Cty_Ha_Anh[[#This Row],[THÀNH TIỀN]]-E_Trung_Cty_Ha_Anh[[#This Row],[THANH TOÁN]]</f>
        <v>214502400</v>
      </c>
      <c r="K20" s="27"/>
    </row>
    <row r="21" spans="1:11" x14ac:dyDescent="0.25">
      <c r="A21" s="25">
        <v>8328</v>
      </c>
      <c r="B21" s="30">
        <v>46106</v>
      </c>
      <c r="C21" s="26" t="s">
        <v>13</v>
      </c>
      <c r="D21" s="38" t="s">
        <v>14</v>
      </c>
      <c r="E21" s="26" t="s">
        <v>1120</v>
      </c>
      <c r="F21" s="28">
        <v>228</v>
      </c>
      <c r="G21" s="28">
        <v>42000</v>
      </c>
      <c r="H21" s="28">
        <f>E_Trung_Cty_Ha_Anh[[#This Row],[ĐƠN GIÁ]]*E_Trung_Cty_Ha_Anh[[#This Row],[SỐ LƯỢNG]]</f>
        <v>9576000</v>
      </c>
      <c r="I21" s="28"/>
      <c r="J21" s="28">
        <f>J20+E_Trung_Cty_Ha_Anh[[#This Row],[THÀNH TIỀN]]-E_Trung_Cty_Ha_Anh[[#This Row],[THANH TOÁN]]</f>
        <v>224078400</v>
      </c>
      <c r="K21" s="27"/>
    </row>
    <row r="22" spans="1:11" x14ac:dyDescent="0.25">
      <c r="A22" s="25">
        <v>8328</v>
      </c>
      <c r="B22" s="30">
        <v>46106</v>
      </c>
      <c r="C22" s="26" t="s">
        <v>13</v>
      </c>
      <c r="D22" s="38" t="s">
        <v>14</v>
      </c>
      <c r="E22" s="26" t="s">
        <v>176</v>
      </c>
      <c r="F22" s="28">
        <v>382</v>
      </c>
      <c r="G22" s="28">
        <v>43000</v>
      </c>
      <c r="H22" s="28">
        <f>E_Trung_Cty_Ha_Anh[[#This Row],[ĐƠN GIÁ]]*E_Trung_Cty_Ha_Anh[[#This Row],[SỐ LƯỢNG]]</f>
        <v>16426000</v>
      </c>
      <c r="I22" s="28"/>
      <c r="J22" s="28">
        <f>J21+E_Trung_Cty_Ha_Anh[[#This Row],[THÀNH TIỀN]]-E_Trung_Cty_Ha_Anh[[#This Row],[THANH TOÁN]]</f>
        <v>240504400</v>
      </c>
      <c r="K22" s="27"/>
    </row>
    <row r="23" spans="1:11" x14ac:dyDescent="0.25">
      <c r="A23" s="25">
        <v>8362</v>
      </c>
      <c r="B23" s="30">
        <v>46107</v>
      </c>
      <c r="C23" s="26" t="s">
        <v>13</v>
      </c>
      <c r="D23" s="38" t="s">
        <v>14</v>
      </c>
      <c r="E23" s="26" t="s">
        <v>146</v>
      </c>
      <c r="F23" s="28">
        <v>178</v>
      </c>
      <c r="G23" s="28">
        <v>42000</v>
      </c>
      <c r="H23" s="28">
        <f>E_Trung_Cty_Ha_Anh[[#This Row],[ĐƠN GIÁ]]*E_Trung_Cty_Ha_Anh[[#This Row],[SỐ LƯỢNG]]</f>
        <v>7476000</v>
      </c>
      <c r="I23" s="28"/>
      <c r="J23" s="28">
        <f>J22+E_Trung_Cty_Ha_Anh[[#This Row],[THÀNH TIỀN]]-E_Trung_Cty_Ha_Anh[[#This Row],[THANH TOÁN]]</f>
        <v>247980400</v>
      </c>
      <c r="K23" s="27"/>
    </row>
    <row r="24" spans="1:11" x14ac:dyDescent="0.25">
      <c r="A24" s="25"/>
      <c r="B24" s="30">
        <v>46108</v>
      </c>
      <c r="C24" s="26" t="s">
        <v>21</v>
      </c>
      <c r="D24" s="38" t="s">
        <v>22</v>
      </c>
      <c r="E24" s="26" t="s">
        <v>147</v>
      </c>
      <c r="F24" s="28">
        <v>0</v>
      </c>
      <c r="G24" s="28">
        <v>0</v>
      </c>
      <c r="H24" s="28">
        <f>E_Trung_Cty_Ha_Anh[[#This Row],[ĐƠN GIÁ]]*E_Trung_Cty_Ha_Anh[[#This Row],[SỐ LƯỢNG]]</f>
        <v>0</v>
      </c>
      <c r="I24" s="28">
        <v>50000000</v>
      </c>
      <c r="J24" s="28">
        <f>J23+E_Trung_Cty_Ha_Anh[[#This Row],[THÀNH TIỀN]]-E_Trung_Cty_Ha_Anh[[#This Row],[THANH TOÁN]]</f>
        <v>197980400</v>
      </c>
      <c r="K24" s="27"/>
    </row>
    <row r="25" spans="1:11" x14ac:dyDescent="0.25">
      <c r="A25" s="22">
        <v>8675</v>
      </c>
      <c r="B25" s="29">
        <v>46122</v>
      </c>
      <c r="C25" s="23" t="s">
        <v>13</v>
      </c>
      <c r="D25" s="37" t="s">
        <v>701</v>
      </c>
      <c r="E25" s="23" t="s">
        <v>136</v>
      </c>
      <c r="F25" s="31">
        <v>648</v>
      </c>
      <c r="G25" s="31">
        <v>41500</v>
      </c>
      <c r="H25" s="31">
        <f>E_Trung_Cty_Ha_Anh[[#This Row],[ĐƠN GIÁ]]*E_Trung_Cty_Ha_Anh[[#This Row],[SỐ LƯỢNG]]</f>
        <v>26892000</v>
      </c>
      <c r="I25" s="31"/>
      <c r="J25" s="31">
        <f>J24+E_Trung_Cty_Ha_Anh[[#This Row],[THÀNH TIỀN]]-E_Trung_Cty_Ha_Anh[[#This Row],[THANH TOÁN]]</f>
        <v>224872400</v>
      </c>
      <c r="K25" s="24"/>
    </row>
    <row r="26" spans="1:11" x14ac:dyDescent="0.25">
      <c r="A26" s="22"/>
      <c r="B26" s="29">
        <v>46122</v>
      </c>
      <c r="C26" s="23" t="s">
        <v>21</v>
      </c>
      <c r="D26" s="37" t="s">
        <v>22</v>
      </c>
      <c r="E26" s="23" t="s">
        <v>147</v>
      </c>
      <c r="F26" s="31">
        <v>0</v>
      </c>
      <c r="G26" s="31"/>
      <c r="H26" s="31">
        <f>E_Trung_Cty_Ha_Anh[[#This Row],[ĐƠN GIÁ]]*E_Trung_Cty_Ha_Anh[[#This Row],[SỐ LƯỢNG]]</f>
        <v>0</v>
      </c>
      <c r="I26" s="31">
        <v>60000000</v>
      </c>
      <c r="J26" s="31">
        <f>J25+E_Trung_Cty_Ha_Anh[[#This Row],[THÀNH TIỀN]]-E_Trung_Cty_Ha_Anh[[#This Row],[THANH TOÁN]]</f>
        <v>164872400</v>
      </c>
      <c r="K26" s="24"/>
    </row>
    <row r="27" spans="1:11" x14ac:dyDescent="0.25">
      <c r="A27" s="22">
        <v>8764</v>
      </c>
      <c r="B27" s="29">
        <v>46126</v>
      </c>
      <c r="C27" s="23" t="s">
        <v>13</v>
      </c>
      <c r="D27" s="37" t="s">
        <v>14</v>
      </c>
      <c r="E27" s="23" t="s">
        <v>62</v>
      </c>
      <c r="F27" s="31">
        <v>314</v>
      </c>
      <c r="G27" s="31">
        <v>43000</v>
      </c>
      <c r="H27" s="31">
        <f>E_Trung_Cty_Ha_Anh[[#This Row],[ĐƠN GIÁ]]*E_Trung_Cty_Ha_Anh[[#This Row],[SỐ LƯỢNG]]</f>
        <v>13502000</v>
      </c>
      <c r="I27" s="31"/>
      <c r="J27" s="31">
        <f>J26+E_Trung_Cty_Ha_Anh[[#This Row],[THÀNH TIỀN]]-E_Trung_Cty_Ha_Anh[[#This Row],[THANH TOÁN]]</f>
        <v>178374400</v>
      </c>
      <c r="K27" s="24"/>
    </row>
    <row r="28" spans="1:11" x14ac:dyDescent="0.25">
      <c r="A28" s="22">
        <v>8764</v>
      </c>
      <c r="B28" s="29">
        <v>46126</v>
      </c>
      <c r="C28" s="23" t="s">
        <v>13</v>
      </c>
      <c r="D28" s="37" t="s">
        <v>14</v>
      </c>
      <c r="E28" s="23" t="s">
        <v>136</v>
      </c>
      <c r="F28" s="31">
        <v>332</v>
      </c>
      <c r="G28" s="31">
        <v>41500</v>
      </c>
      <c r="H28" s="31">
        <f>E_Trung_Cty_Ha_Anh[[#This Row],[ĐƠN GIÁ]]*E_Trung_Cty_Ha_Anh[[#This Row],[SỐ LƯỢNG]]</f>
        <v>13778000</v>
      </c>
      <c r="I28" s="31"/>
      <c r="J28" s="31">
        <f>J27+E_Trung_Cty_Ha_Anh[[#This Row],[THÀNH TIỀN]]-E_Trung_Cty_Ha_Anh[[#This Row],[THANH TOÁN]]</f>
        <v>192152400</v>
      </c>
      <c r="K28" s="24"/>
    </row>
    <row r="29" spans="1:11" x14ac:dyDescent="0.25">
      <c r="A29" s="22">
        <v>8764</v>
      </c>
      <c r="B29" s="29">
        <v>46126</v>
      </c>
      <c r="C29" s="23" t="s">
        <v>13</v>
      </c>
      <c r="D29" s="37" t="s">
        <v>75</v>
      </c>
      <c r="E29" s="23" t="s">
        <v>1121</v>
      </c>
      <c r="F29" s="31">
        <v>1152</v>
      </c>
      <c r="G29" s="31">
        <v>37500</v>
      </c>
      <c r="H29" s="31">
        <f>E_Trung_Cty_Ha_Anh[[#This Row],[ĐƠN GIÁ]]*E_Trung_Cty_Ha_Anh[[#This Row],[SỐ LƯỢNG]]</f>
        <v>43200000</v>
      </c>
      <c r="I29" s="31"/>
      <c r="J29" s="31">
        <f>J28+E_Trung_Cty_Ha_Anh[[#This Row],[THÀNH TIỀN]]-E_Trung_Cty_Ha_Anh[[#This Row],[THANH TOÁN]]</f>
        <v>235352400</v>
      </c>
      <c r="K29" s="24"/>
    </row>
    <row r="30" spans="1:11" x14ac:dyDescent="0.25">
      <c r="A30" s="22">
        <v>8813</v>
      </c>
      <c r="B30" s="29">
        <v>46128</v>
      </c>
      <c r="C30" s="23" t="s">
        <v>13</v>
      </c>
      <c r="D30" s="37" t="s">
        <v>252</v>
      </c>
      <c r="E30" s="23" t="s">
        <v>41</v>
      </c>
      <c r="F30" s="31">
        <v>1641</v>
      </c>
      <c r="G30" s="31">
        <v>37500</v>
      </c>
      <c r="H30" s="31">
        <f>E_Trung_Cty_Ha_Anh[[#This Row],[ĐƠN GIÁ]]*E_Trung_Cty_Ha_Anh[[#This Row],[SỐ LƯỢNG]]</f>
        <v>61537500</v>
      </c>
      <c r="I30" s="31"/>
      <c r="J30" s="31">
        <f>J29+E_Trung_Cty_Ha_Anh[[#This Row],[THÀNH TIỀN]]-E_Trung_Cty_Ha_Anh[[#This Row],[THANH TOÁN]]</f>
        <v>296889900</v>
      </c>
      <c r="K30" s="24"/>
    </row>
    <row r="31" spans="1:11" x14ac:dyDescent="0.25">
      <c r="A31" s="22"/>
      <c r="B31" s="29">
        <v>46128</v>
      </c>
      <c r="C31" s="23" t="s">
        <v>21</v>
      </c>
      <c r="D31" s="37" t="s">
        <v>22</v>
      </c>
      <c r="E31" s="23" t="s">
        <v>147</v>
      </c>
      <c r="F31" s="31">
        <v>0</v>
      </c>
      <c r="G31" s="31"/>
      <c r="H31" s="31">
        <f>E_Trung_Cty_Ha_Anh[[#This Row],[ĐƠN GIÁ]]*E_Trung_Cty_Ha_Anh[[#This Row],[SỐ LƯỢNG]]</f>
        <v>0</v>
      </c>
      <c r="I31" s="31">
        <v>50000000</v>
      </c>
      <c r="J31" s="31">
        <f>J30+E_Trung_Cty_Ha_Anh[[#This Row],[THÀNH TIỀN]]-E_Trung_Cty_Ha_Anh[[#This Row],[THANH TOÁN]]</f>
        <v>246889900</v>
      </c>
      <c r="K31" s="24"/>
    </row>
    <row r="32" spans="1:11" x14ac:dyDescent="0.25">
      <c r="A32" s="22"/>
      <c r="B32" s="29">
        <v>46136</v>
      </c>
      <c r="C32" s="23" t="s">
        <v>21</v>
      </c>
      <c r="D32" s="37" t="s">
        <v>22</v>
      </c>
      <c r="E32" s="23" t="s">
        <v>147</v>
      </c>
      <c r="F32" s="31">
        <v>0</v>
      </c>
      <c r="G32" s="31"/>
      <c r="H32" s="31">
        <f>E_Trung_Cty_Ha_Anh[[#This Row],[ĐƠN GIÁ]]*E_Trung_Cty_Ha_Anh[[#This Row],[SỐ LƯỢNG]]</f>
        <v>0</v>
      </c>
      <c r="I32" s="31">
        <v>70000000</v>
      </c>
      <c r="J32" s="31">
        <f>J31+E_Trung_Cty_Ha_Anh[[#This Row],[THÀNH TIỀN]]-E_Trung_Cty_Ha_Anh[[#This Row],[THANH TOÁN]]</f>
        <v>176889900</v>
      </c>
      <c r="K32" s="24"/>
    </row>
    <row r="33" spans="1:11" x14ac:dyDescent="0.25">
      <c r="A33" s="22">
        <v>9005</v>
      </c>
      <c r="B33" s="29">
        <v>46136</v>
      </c>
      <c r="C33" s="23" t="s">
        <v>13</v>
      </c>
      <c r="D33" s="37" t="s">
        <v>32</v>
      </c>
      <c r="E33" s="23" t="s">
        <v>40</v>
      </c>
      <c r="F33" s="31">
        <v>2952</v>
      </c>
      <c r="G33" s="31">
        <v>42000</v>
      </c>
      <c r="H33" s="31">
        <f>E_Trung_Cty_Ha_Anh[[#This Row],[ĐƠN GIÁ]]*E_Trung_Cty_Ha_Anh[[#This Row],[SỐ LƯỢNG]]</f>
        <v>123984000</v>
      </c>
      <c r="I33" s="31"/>
      <c r="J33" s="31">
        <f>J32+E_Trung_Cty_Ha_Anh[[#This Row],[THÀNH TIỀN]]-E_Trung_Cty_Ha_Anh[[#This Row],[THANH TOÁN]]</f>
        <v>300873900</v>
      </c>
      <c r="K33" s="24"/>
    </row>
    <row r="34" spans="1:11" x14ac:dyDescent="0.25">
      <c r="A34" s="22">
        <v>9021</v>
      </c>
      <c r="B34" s="29">
        <v>46137</v>
      </c>
      <c r="C34" s="23" t="s">
        <v>13</v>
      </c>
      <c r="D34" s="37" t="s">
        <v>32</v>
      </c>
      <c r="E34" s="23" t="s">
        <v>40</v>
      </c>
      <c r="F34" s="31">
        <v>500</v>
      </c>
      <c r="G34" s="31">
        <v>42000</v>
      </c>
      <c r="H34" s="31">
        <f>E_Trung_Cty_Ha_Anh[[#This Row],[ĐƠN GIÁ]]*E_Trung_Cty_Ha_Anh[[#This Row],[SỐ LƯỢNG]]</f>
        <v>21000000</v>
      </c>
      <c r="I34" s="31"/>
      <c r="J34" s="31">
        <f>J33+E_Trung_Cty_Ha_Anh[[#This Row],[THÀNH TIỀN]]-E_Trung_Cty_Ha_Anh[[#This Row],[THANH TOÁN]]</f>
        <v>321873900</v>
      </c>
      <c r="K34" s="24"/>
    </row>
    <row r="35" spans="1:11" x14ac:dyDescent="0.25">
      <c r="A35" s="22">
        <v>9033</v>
      </c>
      <c r="B35" s="29">
        <v>46137</v>
      </c>
      <c r="C35" s="23" t="s">
        <v>13</v>
      </c>
      <c r="D35" s="37" t="s">
        <v>1842</v>
      </c>
      <c r="E35" s="23" t="s">
        <v>1843</v>
      </c>
      <c r="F35" s="31">
        <v>252</v>
      </c>
      <c r="G35" s="31">
        <v>71000</v>
      </c>
      <c r="H35" s="31">
        <f>E_Trung_Cty_Ha_Anh[[#This Row],[ĐƠN GIÁ]]*E_Trung_Cty_Ha_Anh[[#This Row],[SỐ LƯỢNG]]</f>
        <v>17892000</v>
      </c>
      <c r="I35" s="31"/>
      <c r="J35" s="31">
        <f>J34+E_Trung_Cty_Ha_Anh[[#This Row],[THÀNH TIỀN]]-E_Trung_Cty_Ha_Anh[[#This Row],[THANH TOÁN]]</f>
        <v>339765900</v>
      </c>
      <c r="K35" s="24"/>
    </row>
    <row r="36" spans="1:11" x14ac:dyDescent="0.25">
      <c r="A36" s="22">
        <v>9033</v>
      </c>
      <c r="B36" s="29">
        <v>46137</v>
      </c>
      <c r="C36" s="23" t="s">
        <v>13</v>
      </c>
      <c r="D36" s="37" t="s">
        <v>1842</v>
      </c>
      <c r="E36" s="23" t="s">
        <v>148</v>
      </c>
      <c r="F36" s="31">
        <v>1652</v>
      </c>
      <c r="G36" s="31">
        <v>71000</v>
      </c>
      <c r="H36" s="31">
        <f>E_Trung_Cty_Ha_Anh[[#This Row],[ĐƠN GIÁ]]*E_Trung_Cty_Ha_Anh[[#This Row],[SỐ LƯỢNG]]</f>
        <v>117292000</v>
      </c>
      <c r="I36" s="31"/>
      <c r="J36" s="31">
        <f>J35+E_Trung_Cty_Ha_Anh[[#This Row],[THÀNH TIỀN]]-E_Trung_Cty_Ha_Anh[[#This Row],[THANH TOÁN]]</f>
        <v>457057900</v>
      </c>
      <c r="K36" s="24"/>
    </row>
    <row r="37" spans="1:11" x14ac:dyDescent="0.25">
      <c r="A37" s="22">
        <v>9081</v>
      </c>
      <c r="B37" s="29">
        <v>46140</v>
      </c>
      <c r="C37" s="23" t="s">
        <v>13</v>
      </c>
      <c r="D37" s="37" t="s">
        <v>173</v>
      </c>
      <c r="E37" s="23" t="s">
        <v>1458</v>
      </c>
      <c r="F37" s="31">
        <v>294</v>
      </c>
      <c r="G37" s="31">
        <v>71000</v>
      </c>
      <c r="H37" s="31">
        <f>E_Trung_Cty_Ha_Anh[[#This Row],[ĐƠN GIÁ]]*E_Trung_Cty_Ha_Anh[[#This Row],[SỐ LƯỢNG]]</f>
        <v>20874000</v>
      </c>
      <c r="I37" s="31"/>
      <c r="J37" s="31">
        <f>J36+E_Trung_Cty_Ha_Anh[[#This Row],[THÀNH TIỀN]]-E_Trung_Cty_Ha_Anh[[#This Row],[THANH TOÁN]]</f>
        <v>477931900</v>
      </c>
      <c r="K37" s="24"/>
    </row>
    <row r="38" spans="1:11" x14ac:dyDescent="0.25">
      <c r="A38" s="22">
        <v>9181</v>
      </c>
      <c r="B38" s="29">
        <v>46147</v>
      </c>
      <c r="C38" s="23" t="s">
        <v>13</v>
      </c>
      <c r="D38" s="37" t="s">
        <v>32</v>
      </c>
      <c r="E38" s="23" t="s">
        <v>40</v>
      </c>
      <c r="F38" s="31">
        <v>602</v>
      </c>
      <c r="G38" s="31">
        <v>42500</v>
      </c>
      <c r="H38" s="31">
        <f>E_Trung_Cty_Ha_Anh[[#This Row],[ĐƠN GIÁ]]*E_Trung_Cty_Ha_Anh[[#This Row],[SỐ LƯỢNG]]</f>
        <v>25585000</v>
      </c>
      <c r="I38" s="31"/>
      <c r="J38" s="31">
        <f>J37+E_Trung_Cty_Ha_Anh[[#This Row],[THÀNH TIỀN]]-E_Trung_Cty_Ha_Anh[[#This Row],[THANH TOÁN]]</f>
        <v>503516900</v>
      </c>
      <c r="K38" s="24"/>
    </row>
    <row r="39" spans="1:11" x14ac:dyDescent="0.25">
      <c r="A39" s="22">
        <v>9261</v>
      </c>
      <c r="B39" s="29">
        <v>46150</v>
      </c>
      <c r="C39" s="23" t="s">
        <v>13</v>
      </c>
      <c r="D39" s="37" t="s">
        <v>32</v>
      </c>
      <c r="E39" s="23" t="s">
        <v>78</v>
      </c>
      <c r="F39" s="31">
        <v>296</v>
      </c>
      <c r="G39" s="31">
        <v>41000</v>
      </c>
      <c r="H39" s="31">
        <f>E_Trung_Cty_Ha_Anh[[#This Row],[ĐƠN GIÁ]]*E_Trung_Cty_Ha_Anh[[#This Row],[SỐ LƯỢNG]]</f>
        <v>12136000</v>
      </c>
      <c r="I39" s="31"/>
      <c r="J39" s="31">
        <f>J38+E_Trung_Cty_Ha_Anh[[#This Row],[THÀNH TIỀN]]-E_Trung_Cty_Ha_Anh[[#This Row],[THANH TOÁN]]</f>
        <v>515652900</v>
      </c>
      <c r="K39" s="24"/>
    </row>
    <row r="40" spans="1:11" x14ac:dyDescent="0.25">
      <c r="A40" s="22">
        <v>9323</v>
      </c>
      <c r="B40" s="29">
        <v>46153</v>
      </c>
      <c r="C40" s="23" t="s">
        <v>13</v>
      </c>
      <c r="D40" s="37" t="s">
        <v>169</v>
      </c>
      <c r="E40" s="23" t="s">
        <v>41</v>
      </c>
      <c r="F40" s="31">
        <v>990</v>
      </c>
      <c r="G40" s="31">
        <v>38000</v>
      </c>
      <c r="H40" s="31">
        <f>E_Trung_Cty_Ha_Anh[[#This Row],[ĐƠN GIÁ]]*E_Trung_Cty_Ha_Anh[[#This Row],[SỐ LƯỢNG]]</f>
        <v>37620000</v>
      </c>
      <c r="I40" s="31"/>
      <c r="J40" s="31">
        <f>J39+E_Trung_Cty_Ha_Anh[[#This Row],[THÀNH TIỀN]]-E_Trung_Cty_Ha_Anh[[#This Row],[THANH TOÁN]]</f>
        <v>553272900</v>
      </c>
      <c r="K40" s="24"/>
    </row>
    <row r="41" spans="1:11" x14ac:dyDescent="0.25">
      <c r="A41" s="22">
        <v>9323</v>
      </c>
      <c r="B41" s="29">
        <v>46153</v>
      </c>
      <c r="C41" s="23" t="s">
        <v>13</v>
      </c>
      <c r="D41" s="37" t="s">
        <v>169</v>
      </c>
      <c r="E41" s="23" t="s">
        <v>62</v>
      </c>
      <c r="F41" s="31">
        <v>412</v>
      </c>
      <c r="G41" s="31">
        <v>39500</v>
      </c>
      <c r="H41" s="31">
        <f>E_Trung_Cty_Ha_Anh[[#This Row],[ĐƠN GIÁ]]*E_Trung_Cty_Ha_Anh[[#This Row],[SỐ LƯỢNG]]</f>
        <v>16274000</v>
      </c>
      <c r="I41" s="31"/>
      <c r="J41" s="31">
        <f>J40+E_Trung_Cty_Ha_Anh[[#This Row],[THÀNH TIỀN]]-E_Trung_Cty_Ha_Anh[[#This Row],[THANH TOÁN]]</f>
        <v>569546900</v>
      </c>
      <c r="K41" s="24"/>
    </row>
    <row r="42" spans="1:11" x14ac:dyDescent="0.25">
      <c r="A42" s="22"/>
      <c r="B42" s="29">
        <v>46157</v>
      </c>
      <c r="C42" s="23" t="s">
        <v>21</v>
      </c>
      <c r="D42" s="37" t="s">
        <v>22</v>
      </c>
      <c r="E42" s="23" t="s">
        <v>147</v>
      </c>
      <c r="F42" s="31">
        <v>0</v>
      </c>
      <c r="G42" s="31"/>
      <c r="H42" s="31">
        <f>E_Trung_Cty_Ha_Anh[[#This Row],[ĐƠN GIÁ]]*E_Trung_Cty_Ha_Anh[[#This Row],[SỐ LƯỢNG]]</f>
        <v>0</v>
      </c>
      <c r="I42" s="31">
        <v>70000000</v>
      </c>
      <c r="J42" s="31">
        <f>J41+E_Trung_Cty_Ha_Anh[[#This Row],[THÀNH TIỀN]]-E_Trung_Cty_Ha_Anh[[#This Row],[THANH TOÁN]]</f>
        <v>499546900</v>
      </c>
      <c r="K42" s="24"/>
    </row>
    <row r="43" spans="1:11" x14ac:dyDescent="0.25">
      <c r="A43" s="22">
        <v>9507</v>
      </c>
      <c r="B43" s="29">
        <v>46162</v>
      </c>
      <c r="C43" s="23" t="s">
        <v>13</v>
      </c>
      <c r="D43" s="37" t="s">
        <v>173</v>
      </c>
      <c r="E43" s="23" t="s">
        <v>185</v>
      </c>
      <c r="F43" s="31">
        <v>98</v>
      </c>
      <c r="G43" s="31">
        <v>72000</v>
      </c>
      <c r="H43" s="31">
        <f>E_Trung_Cty_Ha_Anh[[#This Row],[ĐƠN GIÁ]]*E_Trung_Cty_Ha_Anh[[#This Row],[SỐ LƯỢNG]]</f>
        <v>7056000</v>
      </c>
      <c r="I43" s="31"/>
      <c r="J43" s="31">
        <f>J42+E_Trung_Cty_Ha_Anh[[#This Row],[THÀNH TIỀN]]-E_Trung_Cty_Ha_Anh[[#This Row],[THANH TOÁN]]</f>
        <v>506602900</v>
      </c>
      <c r="K43" s="24"/>
    </row>
    <row r="44" spans="1:11" x14ac:dyDescent="0.25">
      <c r="A44" s="22"/>
      <c r="B44" s="29">
        <v>46164</v>
      </c>
      <c r="C44" s="23" t="s">
        <v>21</v>
      </c>
      <c r="D44" s="37" t="s">
        <v>22</v>
      </c>
      <c r="E44" s="23" t="s">
        <v>147</v>
      </c>
      <c r="F44" s="31">
        <v>0</v>
      </c>
      <c r="G44" s="31"/>
      <c r="H44" s="31">
        <f>E_Trung_Cty_Ha_Anh[[#This Row],[ĐƠN GIÁ]]*E_Trung_Cty_Ha_Anh[[#This Row],[SỐ LƯỢNG]]</f>
        <v>0</v>
      </c>
      <c r="I44" s="31">
        <v>50000000</v>
      </c>
      <c r="J44" s="31">
        <f>J43+E_Trung_Cty_Ha_Anh[[#This Row],[THÀNH TIỀN]]-E_Trung_Cty_Ha_Anh[[#This Row],[THANH TOÁN]]</f>
        <v>456602900</v>
      </c>
      <c r="K44" s="24"/>
    </row>
    <row r="45" spans="1:11" x14ac:dyDescent="0.25">
      <c r="A45" s="22"/>
      <c r="B45" s="29">
        <v>46171</v>
      </c>
      <c r="C45" s="23" t="s">
        <v>21</v>
      </c>
      <c r="D45" s="37" t="s">
        <v>22</v>
      </c>
      <c r="E45" s="23" t="s">
        <v>147</v>
      </c>
      <c r="F45" s="31">
        <v>0</v>
      </c>
      <c r="G45" s="31"/>
      <c r="H45" s="31">
        <f>E_Trung_Cty_Ha_Anh[[#This Row],[ĐƠN GIÁ]]*E_Trung_Cty_Ha_Anh[[#This Row],[SỐ LƯỢNG]]</f>
        <v>0</v>
      </c>
      <c r="I45" s="31">
        <v>130000000</v>
      </c>
      <c r="J45" s="31">
        <f>J44+E_Trung_Cty_Ha_Anh[[#This Row],[THÀNH TIỀN]]-E_Trung_Cty_Ha_Anh[[#This Row],[THANH TOÁN]]</f>
        <v>326602900</v>
      </c>
      <c r="K45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03507A-1E52-4A6A-A877-A94522C4A2AD}">
  <sheetPr codeName="Sheet69"/>
  <dimension ref="A5:K20"/>
  <sheetViews>
    <sheetView tabSelected="1" workbookViewId="0">
      <selection activeCell="H19" sqref="H19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-383246309</v>
      </c>
    </row>
    <row r="6" spans="1:11" ht="22.5" x14ac:dyDescent="0.25">
      <c r="D6" s="34" t="s">
        <v>1122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Cty_Bui_Gia[[#This Row],[ĐƠN GIÁ]]*Cty_Bui_Gia[[#This Row],[SỐ LƯỢNG]]</f>
        <v>0</v>
      </c>
      <c r="I10" s="31"/>
      <c r="J10" s="31">
        <v>-152967000</v>
      </c>
      <c r="K10" s="24"/>
    </row>
    <row r="11" spans="1:11" x14ac:dyDescent="0.25">
      <c r="A11" s="22">
        <v>7925</v>
      </c>
      <c r="B11" s="29">
        <v>46088</v>
      </c>
      <c r="C11" s="23" t="s">
        <v>13</v>
      </c>
      <c r="D11" s="37" t="s">
        <v>43</v>
      </c>
      <c r="E11" s="23" t="s">
        <v>251</v>
      </c>
      <c r="F11" s="31">
        <v>674</v>
      </c>
      <c r="G11" s="31">
        <v>59000</v>
      </c>
      <c r="H11" s="31">
        <f>Cty_Bui_Gia[[#This Row],[ĐƠN GIÁ]]*Cty_Bui_Gia[[#This Row],[SỐ LƯỢNG]]</f>
        <v>39766000</v>
      </c>
      <c r="I11" s="31"/>
      <c r="J11" s="31">
        <f>J10+Cty_Bui_Gia[[#This Row],[THÀNH TIỀN]]-Cty_Bui_Gia[[#This Row],[THANH TOÁN]]</f>
        <v>-113201000</v>
      </c>
      <c r="K11" s="24"/>
    </row>
    <row r="12" spans="1:11" x14ac:dyDescent="0.25">
      <c r="A12" s="22">
        <v>7925</v>
      </c>
      <c r="B12" s="29">
        <v>46088</v>
      </c>
      <c r="C12" s="23" t="s">
        <v>13</v>
      </c>
      <c r="D12" s="37" t="s">
        <v>43</v>
      </c>
      <c r="E12" s="23" t="s">
        <v>256</v>
      </c>
      <c r="F12" s="31">
        <v>800</v>
      </c>
      <c r="G12" s="31">
        <v>57000</v>
      </c>
      <c r="H12" s="31">
        <f>Cty_Bui_Gia[[#This Row],[ĐƠN GIÁ]]*Cty_Bui_Gia[[#This Row],[SỐ LƯỢNG]]</f>
        <v>45600000</v>
      </c>
      <c r="I12" s="31"/>
      <c r="J12" s="31">
        <f>J11+Cty_Bui_Gia[[#This Row],[THÀNH TIỀN]]-Cty_Bui_Gia[[#This Row],[THANH TOÁN]]</f>
        <v>-67601000</v>
      </c>
      <c r="K12" s="24"/>
    </row>
    <row r="13" spans="1:11" x14ac:dyDescent="0.25">
      <c r="A13" s="22">
        <v>2032</v>
      </c>
      <c r="B13" s="29">
        <v>46128</v>
      </c>
      <c r="C13" s="23" t="s">
        <v>692</v>
      </c>
      <c r="D13" s="37" t="s">
        <v>442</v>
      </c>
      <c r="E13" s="23" t="s">
        <v>1123</v>
      </c>
      <c r="F13" s="31">
        <v>7044</v>
      </c>
      <c r="G13" s="31">
        <v>-26000</v>
      </c>
      <c r="H13" s="31">
        <f>Cty_Bui_Gia[[#This Row],[ĐƠN GIÁ]]*Cty_Bui_Gia[[#This Row],[SỐ LƯỢNG]]</f>
        <v>-183144000</v>
      </c>
      <c r="I13" s="31"/>
      <c r="J13" s="31">
        <f>J12+Cty_Bui_Gia[[#This Row],[THÀNH TIỀN]]-Cty_Bui_Gia[[#This Row],[THANH TOÁN]]</f>
        <v>-250745000</v>
      </c>
      <c r="K13" s="24"/>
    </row>
    <row r="14" spans="1:11" x14ac:dyDescent="0.25">
      <c r="A14" s="22">
        <v>2068</v>
      </c>
      <c r="B14" s="29">
        <v>46129</v>
      </c>
      <c r="C14" s="23" t="s">
        <v>692</v>
      </c>
      <c r="D14" s="37" t="s">
        <v>1029</v>
      </c>
      <c r="E14" s="23" t="s">
        <v>1124</v>
      </c>
      <c r="F14" s="31">
        <v>20149</v>
      </c>
      <c r="G14" s="31">
        <v>-26000</v>
      </c>
      <c r="H14" s="31">
        <f>Cty_Bui_Gia[[#This Row],[ĐƠN GIÁ]]*Cty_Bui_Gia[[#This Row],[SỐ LƯỢNG]]</f>
        <v>-523874000</v>
      </c>
      <c r="I14" s="31"/>
      <c r="J14" s="31">
        <f>J13+Cty_Bui_Gia[[#This Row],[THÀNH TIỀN]]-Cty_Bui_Gia[[#This Row],[THANH TOÁN]]</f>
        <v>-774619000</v>
      </c>
      <c r="K14" s="24"/>
    </row>
    <row r="15" spans="1:11" x14ac:dyDescent="0.25">
      <c r="A15" s="22">
        <v>2266</v>
      </c>
      <c r="B15" s="29">
        <v>46136</v>
      </c>
      <c r="C15" s="23" t="s">
        <v>692</v>
      </c>
      <c r="D15" s="37" t="s">
        <v>1029</v>
      </c>
      <c r="E15" s="23" t="s">
        <v>1125</v>
      </c>
      <c r="F15" s="31">
        <v>6072</v>
      </c>
      <c r="G15" s="31">
        <v>-28000</v>
      </c>
      <c r="H15" s="31">
        <f>Cty_Bui_Gia[[#This Row],[ĐƠN GIÁ]]*Cty_Bui_Gia[[#This Row],[SỐ LƯỢNG]]</f>
        <v>-170016000</v>
      </c>
      <c r="I15" s="31"/>
      <c r="J15" s="31">
        <f>J14+Cty_Bui_Gia[[#This Row],[THÀNH TIỀN]]-Cty_Bui_Gia[[#This Row],[THANH TOÁN]]</f>
        <v>-944635000</v>
      </c>
      <c r="K15" s="24"/>
    </row>
    <row r="16" spans="1:11" x14ac:dyDescent="0.25">
      <c r="A16" s="22"/>
      <c r="B16" s="29">
        <v>46154</v>
      </c>
      <c r="C16" s="23" t="s">
        <v>654</v>
      </c>
      <c r="D16" s="37" t="s">
        <v>22</v>
      </c>
      <c r="E16" s="23" t="s">
        <v>2134</v>
      </c>
      <c r="F16" s="31">
        <v>0</v>
      </c>
      <c r="G16" s="31"/>
      <c r="H16" s="31">
        <f>Cty_Bui_Gia[[#This Row],[ĐƠN GIÁ]]*Cty_Bui_Gia[[#This Row],[SỐ LƯỢNG]]</f>
        <v>0</v>
      </c>
      <c r="I16" s="31">
        <v>-877026158</v>
      </c>
      <c r="J16" s="31">
        <f>J15+Cty_Bui_Gia[[#This Row],[THÀNH TIỀN]]-Cty_Bui_Gia[[#This Row],[THANH TOÁN]]</f>
        <v>-67608842</v>
      </c>
      <c r="K16" s="24"/>
    </row>
    <row r="17" spans="1:11" x14ac:dyDescent="0.25">
      <c r="A17" s="22"/>
      <c r="B17" s="29">
        <v>46158</v>
      </c>
      <c r="C17" s="23" t="s">
        <v>2214</v>
      </c>
      <c r="D17" s="37" t="s">
        <v>22</v>
      </c>
      <c r="E17" s="23" t="s">
        <v>83</v>
      </c>
      <c r="F17" s="31">
        <v>0</v>
      </c>
      <c r="G17" s="31"/>
      <c r="H17" s="31">
        <f>Cty_Bui_Gia[[#This Row],[ĐƠN GIÁ]]*Cty_Bui_Gia[[#This Row],[SỐ LƯỢNG]]</f>
        <v>0</v>
      </c>
      <c r="I17" s="31">
        <v>-67600533</v>
      </c>
      <c r="J17" s="31">
        <f>J16+Cty_Bui_Gia[[#This Row],[THÀNH TIỀN]]-Cty_Bui_Gia[[#This Row],[THANH TOÁN]]</f>
        <v>-8309</v>
      </c>
      <c r="K17" s="24"/>
    </row>
    <row r="18" spans="1:11" x14ac:dyDescent="0.25">
      <c r="A18" s="25">
        <v>2920</v>
      </c>
      <c r="B18" s="30">
        <v>46168</v>
      </c>
      <c r="C18" s="26" t="s">
        <v>692</v>
      </c>
      <c r="D18" s="38" t="s">
        <v>1029</v>
      </c>
      <c r="E18" s="26" t="s">
        <v>2364</v>
      </c>
      <c r="F18" s="28">
        <v>7006</v>
      </c>
      <c r="G18" s="28">
        <v>-27000</v>
      </c>
      <c r="H18" s="28">
        <f>Cty_Bui_Gia[[#This Row],[ĐƠN GIÁ]]*Cty_Bui_Gia[[#This Row],[SỐ LƯỢNG]]</f>
        <v>-189162000</v>
      </c>
      <c r="I18" s="28"/>
      <c r="J18" s="28">
        <f>J17+Cty_Bui_Gia[[#This Row],[THÀNH TIỀN]]-Cty_Bui_Gia[[#This Row],[THANH TOÁN]]</f>
        <v>-189170309</v>
      </c>
      <c r="K18" s="27"/>
    </row>
    <row r="19" spans="1:11" x14ac:dyDescent="0.25">
      <c r="A19" s="25">
        <v>2941</v>
      </c>
      <c r="B19" s="30">
        <v>46169</v>
      </c>
      <c r="C19" s="26" t="s">
        <v>692</v>
      </c>
      <c r="D19" s="38" t="s">
        <v>1029</v>
      </c>
      <c r="E19" s="26" t="s">
        <v>2494</v>
      </c>
      <c r="F19" s="28">
        <v>7188</v>
      </c>
      <c r="G19" s="28">
        <v>-27000</v>
      </c>
      <c r="H19" s="28">
        <f>Cty_Bui_Gia[[#This Row],[ĐƠN GIÁ]]*Cty_Bui_Gia[[#This Row],[SỐ LƯỢNG]]</f>
        <v>-194076000</v>
      </c>
      <c r="I19" s="28"/>
      <c r="J19" s="28">
        <f>J18+Cty_Bui_Gia[[#This Row],[THÀNH TIỀN]]-Cty_Bui_Gia[[#This Row],[THANH TOÁN]]</f>
        <v>-383246309</v>
      </c>
      <c r="K19" s="27"/>
    </row>
    <row r="20" spans="1:11" x14ac:dyDescent="0.25">
      <c r="A20" s="22"/>
      <c r="B20" s="29">
        <v>46179</v>
      </c>
      <c r="C20" s="23" t="s">
        <v>2214</v>
      </c>
      <c r="D20" s="37" t="s">
        <v>22</v>
      </c>
      <c r="E20" s="23" t="s">
        <v>147</v>
      </c>
      <c r="F20" s="31">
        <v>0</v>
      </c>
      <c r="G20" s="31"/>
      <c r="H20" s="31">
        <f>Cty_Bui_Gia[[#This Row],[ĐƠN GIÁ]]*Cty_Bui_Gia[[#This Row],[SỐ LƯỢNG]]</f>
        <v>0</v>
      </c>
      <c r="I20" s="31">
        <v>-200000000</v>
      </c>
      <c r="J20" s="31">
        <f>J19+Cty_Bui_Gia[[#This Row],[THÀNH TIỀN]]-Cty_Bui_Gia[[#This Row],[THANH TOÁN]]</f>
        <v>-183246309</v>
      </c>
      <c r="K20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4D17A6-8A0D-47FD-B4D9-9C72ECC50B43}">
  <sheetPr codeName="Sheet70"/>
  <dimension ref="A5:K33"/>
  <sheetViews>
    <sheetView topLeftCell="A4" workbookViewId="0">
      <selection activeCell="I21" sqref="I21:I30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91688000</v>
      </c>
    </row>
    <row r="6" spans="1:11" ht="22.5" x14ac:dyDescent="0.25">
      <c r="D6" s="34" t="s">
        <v>1126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Cty_Hien_Hoa_ND[[#This Row],[ĐƠN GIÁ]]*Cty_Hien_Hoa_ND[[#This Row],[SỐ LƯỢNG]]</f>
        <v>0</v>
      </c>
      <c r="I10" s="31"/>
      <c r="J10" s="31">
        <v>0</v>
      </c>
      <c r="K10" s="24"/>
    </row>
    <row r="11" spans="1:11" x14ac:dyDescent="0.25">
      <c r="A11" s="22">
        <v>7929</v>
      </c>
      <c r="B11" s="29">
        <v>46088</v>
      </c>
      <c r="C11" s="23" t="s">
        <v>13</v>
      </c>
      <c r="D11" s="37" t="s">
        <v>103</v>
      </c>
      <c r="E11" s="23" t="s">
        <v>1127</v>
      </c>
      <c r="F11" s="31">
        <v>1054</v>
      </c>
      <c r="G11" s="31">
        <v>36000</v>
      </c>
      <c r="H11" s="31">
        <f>Cty_Hien_Hoa_ND[[#This Row],[ĐƠN GIÁ]]*Cty_Hien_Hoa_ND[[#This Row],[SỐ LƯỢNG]]</f>
        <v>37944000</v>
      </c>
      <c r="I11" s="31"/>
      <c r="J11" s="31">
        <f>J10+Cty_Hien_Hoa_ND[[#This Row],[THÀNH TIỀN]]-Cty_Hien_Hoa_ND[[#This Row],[THANH TOÁN]]</f>
        <v>37944000</v>
      </c>
      <c r="K11" s="24"/>
    </row>
    <row r="12" spans="1:11" x14ac:dyDescent="0.25">
      <c r="A12" s="22">
        <v>7929</v>
      </c>
      <c r="B12" s="29">
        <v>46088</v>
      </c>
      <c r="C12" s="23" t="s">
        <v>13</v>
      </c>
      <c r="D12" s="37" t="s">
        <v>103</v>
      </c>
      <c r="E12" s="23" t="s">
        <v>887</v>
      </c>
      <c r="F12" s="31">
        <v>524</v>
      </c>
      <c r="G12" s="31">
        <v>36000</v>
      </c>
      <c r="H12" s="31">
        <f>Cty_Hien_Hoa_ND[[#This Row],[ĐƠN GIÁ]]*Cty_Hien_Hoa_ND[[#This Row],[SỐ LƯỢNG]]</f>
        <v>18864000</v>
      </c>
      <c r="I12" s="31"/>
      <c r="J12" s="31">
        <f>J11+Cty_Hien_Hoa_ND[[#This Row],[THÀNH TIỀN]]-Cty_Hien_Hoa_ND[[#This Row],[THANH TOÁN]]</f>
        <v>56808000</v>
      </c>
      <c r="K12" s="24"/>
    </row>
    <row r="13" spans="1:11" x14ac:dyDescent="0.25">
      <c r="A13" s="22">
        <v>7929</v>
      </c>
      <c r="B13" s="29">
        <v>46088</v>
      </c>
      <c r="C13" s="23" t="s">
        <v>13</v>
      </c>
      <c r="D13" s="38" t="s">
        <v>50</v>
      </c>
      <c r="E13" s="26" t="s">
        <v>1128</v>
      </c>
      <c r="F13" s="28">
        <v>646</v>
      </c>
      <c r="G13" s="28">
        <v>55500</v>
      </c>
      <c r="H13" s="28">
        <f>Cty_Hien_Hoa_ND[[#This Row],[ĐƠN GIÁ]]*Cty_Hien_Hoa_ND[[#This Row],[SỐ LƯỢNG]]</f>
        <v>35853000</v>
      </c>
      <c r="I13" s="28"/>
      <c r="J13" s="28">
        <f>J12+Cty_Hien_Hoa_ND[[#This Row],[THÀNH TIỀN]]-Cty_Hien_Hoa_ND[[#This Row],[THANH TOÁN]]</f>
        <v>92661000</v>
      </c>
      <c r="K13" s="27"/>
    </row>
    <row r="14" spans="1:11" x14ac:dyDescent="0.25">
      <c r="A14" s="22">
        <v>7929</v>
      </c>
      <c r="B14" s="29">
        <v>46088</v>
      </c>
      <c r="C14" s="23" t="s">
        <v>13</v>
      </c>
      <c r="D14" s="38" t="s">
        <v>43</v>
      </c>
      <c r="E14" s="26" t="s">
        <v>214</v>
      </c>
      <c r="F14" s="28">
        <v>286</v>
      </c>
      <c r="G14" s="28">
        <v>55500</v>
      </c>
      <c r="H14" s="28">
        <f>Cty_Hien_Hoa_ND[[#This Row],[ĐƠN GIÁ]]*Cty_Hien_Hoa_ND[[#This Row],[SỐ LƯỢNG]]</f>
        <v>15873000</v>
      </c>
      <c r="I14" s="28"/>
      <c r="J14" s="28">
        <f>J13+Cty_Hien_Hoa_ND[[#This Row],[THÀNH TIỀN]]-Cty_Hien_Hoa_ND[[#This Row],[THANH TOÁN]]</f>
        <v>108534000</v>
      </c>
      <c r="K14" s="27"/>
    </row>
    <row r="15" spans="1:11" x14ac:dyDescent="0.25">
      <c r="A15" s="22">
        <v>7929</v>
      </c>
      <c r="B15" s="29">
        <v>46088</v>
      </c>
      <c r="C15" s="23" t="s">
        <v>13</v>
      </c>
      <c r="D15" s="38" t="s">
        <v>50</v>
      </c>
      <c r="E15" s="26" t="s">
        <v>1129</v>
      </c>
      <c r="F15" s="28">
        <v>1682</v>
      </c>
      <c r="G15" s="28">
        <v>55500</v>
      </c>
      <c r="H15" s="28">
        <f>Cty_Hien_Hoa_ND[[#This Row],[ĐƠN GIÁ]]*Cty_Hien_Hoa_ND[[#This Row],[SỐ LƯỢNG]]</f>
        <v>93351000</v>
      </c>
      <c r="I15" s="28"/>
      <c r="J15" s="28">
        <f>J14+Cty_Hien_Hoa_ND[[#This Row],[THÀNH TIỀN]]-Cty_Hien_Hoa_ND[[#This Row],[THANH TOÁN]]</f>
        <v>201885000</v>
      </c>
      <c r="K15" s="27"/>
    </row>
    <row r="16" spans="1:11" x14ac:dyDescent="0.25">
      <c r="A16" s="22">
        <v>7929</v>
      </c>
      <c r="B16" s="29">
        <v>46088</v>
      </c>
      <c r="C16" s="23" t="s">
        <v>13</v>
      </c>
      <c r="D16" s="38" t="s">
        <v>50</v>
      </c>
      <c r="E16" s="23" t="s">
        <v>1130</v>
      </c>
      <c r="F16" s="31">
        <v>550</v>
      </c>
      <c r="G16" s="31">
        <v>56500</v>
      </c>
      <c r="H16" s="31">
        <f>Cty_Hien_Hoa_ND[[#This Row],[ĐƠN GIÁ]]*Cty_Hien_Hoa_ND[[#This Row],[SỐ LƯỢNG]]</f>
        <v>31075000</v>
      </c>
      <c r="I16" s="31"/>
      <c r="J16" s="31">
        <f>J15+Cty_Hien_Hoa_ND[[#This Row],[THÀNH TIỀN]]-Cty_Hien_Hoa_ND[[#This Row],[THANH TOÁN]]</f>
        <v>232960000</v>
      </c>
      <c r="K16" s="24"/>
    </row>
    <row r="17" spans="1:11" x14ac:dyDescent="0.25">
      <c r="A17" s="25">
        <v>8192</v>
      </c>
      <c r="B17" s="30">
        <v>46100</v>
      </c>
      <c r="C17" s="26" t="s">
        <v>13</v>
      </c>
      <c r="D17" s="38" t="s">
        <v>1131</v>
      </c>
      <c r="E17" s="26" t="s">
        <v>831</v>
      </c>
      <c r="F17" s="28">
        <v>856</v>
      </c>
      <c r="G17" s="28">
        <v>58000</v>
      </c>
      <c r="H17" s="28">
        <f>Cty_Hien_Hoa_ND[[#This Row],[ĐƠN GIÁ]]*Cty_Hien_Hoa_ND[[#This Row],[SỐ LƯỢNG]]</f>
        <v>49648000</v>
      </c>
      <c r="I17" s="28"/>
      <c r="J17" s="28">
        <f>J16+Cty_Hien_Hoa_ND[[#This Row],[THÀNH TIỀN]]-Cty_Hien_Hoa_ND[[#This Row],[THANH TOÁN]]</f>
        <v>282608000</v>
      </c>
      <c r="K17" s="27"/>
    </row>
    <row r="18" spans="1:11" x14ac:dyDescent="0.25">
      <c r="A18" s="25">
        <v>8192</v>
      </c>
      <c r="B18" s="30">
        <v>46100</v>
      </c>
      <c r="C18" s="26" t="s">
        <v>13</v>
      </c>
      <c r="D18" s="38" t="s">
        <v>1132</v>
      </c>
      <c r="E18" s="26" t="s">
        <v>1133</v>
      </c>
      <c r="F18" s="28">
        <v>464</v>
      </c>
      <c r="G18" s="28">
        <v>56500</v>
      </c>
      <c r="H18" s="28">
        <f>Cty_Hien_Hoa_ND[[#This Row],[ĐƠN GIÁ]]*Cty_Hien_Hoa_ND[[#This Row],[SỐ LƯỢNG]]</f>
        <v>26216000</v>
      </c>
      <c r="I18" s="28"/>
      <c r="J18" s="28">
        <f>J17+Cty_Hien_Hoa_ND[[#This Row],[THÀNH TIỀN]]-Cty_Hien_Hoa_ND[[#This Row],[THANH TOÁN]]</f>
        <v>308824000</v>
      </c>
      <c r="K18" s="27"/>
    </row>
    <row r="19" spans="1:11" x14ac:dyDescent="0.25">
      <c r="A19" s="25">
        <v>8192</v>
      </c>
      <c r="B19" s="30">
        <v>46100</v>
      </c>
      <c r="C19" s="26" t="s">
        <v>13</v>
      </c>
      <c r="D19" s="38" t="s">
        <v>1134</v>
      </c>
      <c r="E19" s="26" t="s">
        <v>1135</v>
      </c>
      <c r="F19" s="28">
        <v>686</v>
      </c>
      <c r="G19" s="28">
        <v>57000</v>
      </c>
      <c r="H19" s="28">
        <f>Cty_Hien_Hoa_ND[[#This Row],[ĐƠN GIÁ]]*Cty_Hien_Hoa_ND[[#This Row],[SỐ LƯỢNG]]</f>
        <v>39102000</v>
      </c>
      <c r="I19" s="28"/>
      <c r="J19" s="28">
        <f>J18+Cty_Hien_Hoa_ND[[#This Row],[THÀNH TIỀN]]-Cty_Hien_Hoa_ND[[#This Row],[THANH TOÁN]]</f>
        <v>347926000</v>
      </c>
      <c r="K19" s="27"/>
    </row>
    <row r="20" spans="1:11" x14ac:dyDescent="0.25">
      <c r="A20" s="25">
        <v>8192</v>
      </c>
      <c r="B20" s="30">
        <v>46100</v>
      </c>
      <c r="C20" s="26" t="s">
        <v>13</v>
      </c>
      <c r="D20" s="38" t="s">
        <v>1136</v>
      </c>
      <c r="E20" s="26" t="s">
        <v>717</v>
      </c>
      <c r="F20" s="28">
        <v>640</v>
      </c>
      <c r="G20" s="28">
        <v>57000</v>
      </c>
      <c r="H20" s="28">
        <f>Cty_Hien_Hoa_ND[[#This Row],[ĐƠN GIÁ]]*Cty_Hien_Hoa_ND[[#This Row],[SỐ LƯỢNG]]</f>
        <v>36480000</v>
      </c>
      <c r="I20" s="28"/>
      <c r="J20" s="28">
        <f>J19+Cty_Hien_Hoa_ND[[#This Row],[THÀNH TIỀN]]-Cty_Hien_Hoa_ND[[#This Row],[THANH TOÁN]]</f>
        <v>384406000</v>
      </c>
      <c r="K20" s="27"/>
    </row>
    <row r="21" spans="1:11" x14ac:dyDescent="0.25">
      <c r="A21" s="25">
        <v>8192</v>
      </c>
      <c r="B21" s="30">
        <v>46100</v>
      </c>
      <c r="C21" s="26" t="s">
        <v>13</v>
      </c>
      <c r="D21" s="38" t="s">
        <v>1137</v>
      </c>
      <c r="E21" s="26" t="s">
        <v>1127</v>
      </c>
      <c r="F21" s="28">
        <v>380</v>
      </c>
      <c r="G21" s="28">
        <v>57000</v>
      </c>
      <c r="H21" s="28">
        <f>Cty_Hien_Hoa_ND[[#This Row],[ĐƠN GIÁ]]*Cty_Hien_Hoa_ND[[#This Row],[SỐ LƯỢNG]]</f>
        <v>21660000</v>
      </c>
      <c r="I21" s="28"/>
      <c r="J21" s="28">
        <f>J20+Cty_Hien_Hoa_ND[[#This Row],[THÀNH TIỀN]]-Cty_Hien_Hoa_ND[[#This Row],[THANH TOÁN]]</f>
        <v>406066000</v>
      </c>
      <c r="K21" s="27"/>
    </row>
    <row r="22" spans="1:11" x14ac:dyDescent="0.25">
      <c r="A22" s="22">
        <v>8614</v>
      </c>
      <c r="B22" s="29">
        <v>46119</v>
      </c>
      <c r="C22" s="23" t="s">
        <v>13</v>
      </c>
      <c r="D22" s="37" t="s">
        <v>195</v>
      </c>
      <c r="E22" s="23" t="s">
        <v>1138</v>
      </c>
      <c r="F22" s="31">
        <v>3798</v>
      </c>
      <c r="G22" s="31">
        <v>20000</v>
      </c>
      <c r="H22" s="31">
        <f>Cty_Hien_Hoa_ND[[#This Row],[ĐƠN GIÁ]]*Cty_Hien_Hoa_ND[[#This Row],[SỐ LƯỢNG]]</f>
        <v>75960000</v>
      </c>
      <c r="I22" s="31"/>
      <c r="J22" s="31">
        <f>J21+Cty_Hien_Hoa_ND[[#This Row],[THÀNH TIỀN]]-Cty_Hien_Hoa_ND[[#This Row],[THANH TOÁN]]</f>
        <v>482026000</v>
      </c>
      <c r="K22" s="24" t="s">
        <v>128</v>
      </c>
    </row>
    <row r="23" spans="1:11" x14ac:dyDescent="0.25">
      <c r="A23" s="22">
        <v>8614</v>
      </c>
      <c r="B23" s="29">
        <v>46119</v>
      </c>
      <c r="C23" s="23" t="s">
        <v>13</v>
      </c>
      <c r="D23" s="37" t="s">
        <v>103</v>
      </c>
      <c r="E23" s="23" t="s">
        <v>122</v>
      </c>
      <c r="F23" s="31">
        <v>1918</v>
      </c>
      <c r="G23" s="31">
        <v>37000</v>
      </c>
      <c r="H23" s="31">
        <f>Cty_Hien_Hoa_ND[[#This Row],[ĐƠN GIÁ]]*Cty_Hien_Hoa_ND[[#This Row],[SỐ LƯỢNG]]</f>
        <v>70966000</v>
      </c>
      <c r="I23" s="31"/>
      <c r="J23" s="31">
        <f>J22+Cty_Hien_Hoa_ND[[#This Row],[THÀNH TIỀN]]-Cty_Hien_Hoa_ND[[#This Row],[THANH TOÁN]]</f>
        <v>552992000</v>
      </c>
      <c r="K23" s="24"/>
    </row>
    <row r="24" spans="1:11" x14ac:dyDescent="0.25">
      <c r="A24" s="22">
        <v>8704</v>
      </c>
      <c r="B24" s="29">
        <v>46123</v>
      </c>
      <c r="C24" s="23" t="s">
        <v>13</v>
      </c>
      <c r="D24" s="37" t="s">
        <v>470</v>
      </c>
      <c r="E24" s="23" t="s">
        <v>40</v>
      </c>
      <c r="F24" s="31">
        <v>4928</v>
      </c>
      <c r="G24" s="31">
        <v>39500</v>
      </c>
      <c r="H24" s="31">
        <f>Cty_Hien_Hoa_ND[[#This Row],[ĐƠN GIÁ]]*Cty_Hien_Hoa_ND[[#This Row],[SỐ LƯỢNG]]</f>
        <v>194656000</v>
      </c>
      <c r="I24" s="31"/>
      <c r="J24" s="31">
        <f>J23+Cty_Hien_Hoa_ND[[#This Row],[THÀNH TIỀN]]-Cty_Hien_Hoa_ND[[#This Row],[THANH TOÁN]]</f>
        <v>747648000</v>
      </c>
      <c r="K24" s="24"/>
    </row>
    <row r="25" spans="1:11" x14ac:dyDescent="0.25">
      <c r="A25" s="22"/>
      <c r="B25" s="29">
        <v>46116</v>
      </c>
      <c r="C25" s="23" t="s">
        <v>21</v>
      </c>
      <c r="D25" s="37" t="s">
        <v>22</v>
      </c>
      <c r="E25" s="23" t="s">
        <v>83</v>
      </c>
      <c r="F25" s="31">
        <v>0</v>
      </c>
      <c r="G25" s="31"/>
      <c r="H25" s="31">
        <f>Cty_Hien_Hoa_ND[[#This Row],[ĐƠN GIÁ]]*Cty_Hien_Hoa_ND[[#This Row],[SỐ LƯỢNG]]</f>
        <v>0</v>
      </c>
      <c r="I25" s="31">
        <v>230000000</v>
      </c>
      <c r="J25" s="31">
        <f>J24+Cty_Hien_Hoa_ND[[#This Row],[THÀNH TIỀN]]-Cty_Hien_Hoa_ND[[#This Row],[THANH TOÁN]]</f>
        <v>517648000</v>
      </c>
      <c r="K25" s="24"/>
    </row>
    <row r="26" spans="1:11" x14ac:dyDescent="0.25">
      <c r="A26" s="22"/>
      <c r="B26" s="29">
        <v>46126</v>
      </c>
      <c r="C26" s="23" t="s">
        <v>21</v>
      </c>
      <c r="D26" s="37" t="s">
        <v>22</v>
      </c>
      <c r="E26" s="23" t="s">
        <v>83</v>
      </c>
      <c r="F26" s="31">
        <v>0</v>
      </c>
      <c r="G26" s="31"/>
      <c r="H26" s="31">
        <f>Cty_Hien_Hoa_ND[[#This Row],[ĐƠN GIÁ]]*Cty_Hien_Hoa_ND[[#This Row],[SỐ LƯỢNG]]</f>
        <v>0</v>
      </c>
      <c r="I26" s="31">
        <v>100000000</v>
      </c>
      <c r="J26" s="31">
        <f>J25+Cty_Hien_Hoa_ND[[#This Row],[THÀNH TIỀN]]-Cty_Hien_Hoa_ND[[#This Row],[THANH TOÁN]]</f>
        <v>417648000</v>
      </c>
      <c r="K26" s="24"/>
    </row>
    <row r="27" spans="1:11" x14ac:dyDescent="0.25">
      <c r="A27" s="22"/>
      <c r="B27" s="29">
        <v>46139</v>
      </c>
      <c r="C27" s="23" t="s">
        <v>21</v>
      </c>
      <c r="D27" s="37" t="s">
        <v>22</v>
      </c>
      <c r="E27" s="23" t="s">
        <v>83</v>
      </c>
      <c r="F27" s="31">
        <v>0</v>
      </c>
      <c r="G27" s="31"/>
      <c r="H27" s="31">
        <f>Cty_Hien_Hoa_ND[[#This Row],[ĐƠN GIÁ]]*Cty_Hien_Hoa_ND[[#This Row],[SỐ LƯỢNG]]</f>
        <v>0</v>
      </c>
      <c r="I27" s="31">
        <v>200000000</v>
      </c>
      <c r="J27" s="31">
        <f>J26+Cty_Hien_Hoa_ND[[#This Row],[THÀNH TIỀN]]-Cty_Hien_Hoa_ND[[#This Row],[THANH TOÁN]]</f>
        <v>217648000</v>
      </c>
      <c r="K27" s="24"/>
    </row>
    <row r="28" spans="1:11" x14ac:dyDescent="0.25">
      <c r="A28" s="22"/>
      <c r="B28" s="29">
        <v>46153</v>
      </c>
      <c r="C28" s="23" t="s">
        <v>21</v>
      </c>
      <c r="D28" s="37" t="s">
        <v>24</v>
      </c>
      <c r="E28" s="23"/>
      <c r="F28" s="31">
        <v>0</v>
      </c>
      <c r="G28" s="31"/>
      <c r="H28" s="31">
        <f>Cty_Hien_Hoa_ND[[#This Row],[ĐƠN GIÁ]]*Cty_Hien_Hoa_ND[[#This Row],[SỐ LƯỢNG]]</f>
        <v>0</v>
      </c>
      <c r="I28" s="31">
        <v>75960000</v>
      </c>
      <c r="J28" s="31">
        <f>J27+Cty_Hien_Hoa_ND[[#This Row],[THÀNH TIỀN]]-Cty_Hien_Hoa_ND[[#This Row],[THANH TOÁN]]</f>
        <v>141688000</v>
      </c>
      <c r="K28" s="24"/>
    </row>
    <row r="29" spans="1:11" x14ac:dyDescent="0.25">
      <c r="A29" s="22"/>
      <c r="B29" s="29">
        <v>46170</v>
      </c>
      <c r="C29" s="23" t="s">
        <v>21</v>
      </c>
      <c r="D29" s="37" t="s">
        <v>22</v>
      </c>
      <c r="E29" s="23" t="s">
        <v>83</v>
      </c>
      <c r="F29" s="31">
        <v>0</v>
      </c>
      <c r="G29" s="31"/>
      <c r="H29" s="31">
        <f>Cty_Hien_Hoa_ND[[#This Row],[ĐƠN GIÁ]]*Cty_Hien_Hoa_ND[[#This Row],[SỐ LƯỢNG]]</f>
        <v>0</v>
      </c>
      <c r="I29" s="31">
        <v>50000000</v>
      </c>
      <c r="J29" s="31">
        <f>J28+Cty_Hien_Hoa_ND[[#This Row],[THÀNH TIỀN]]-Cty_Hien_Hoa_ND[[#This Row],[THANH TOÁN]]</f>
        <v>91688000</v>
      </c>
      <c r="K29" s="24"/>
    </row>
    <row r="33" spans="8:8" x14ac:dyDescent="0.25">
      <c r="H33" s="35"/>
    </row>
  </sheetData>
  <phoneticPr fontId="9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93A2F9-1D97-4CDB-8A3E-07D00ACF3EBE}">
  <sheetPr codeName="Sheet72"/>
  <dimension ref="A5:K79"/>
  <sheetViews>
    <sheetView topLeftCell="A39" workbookViewId="0">
      <selection activeCell="B58" sqref="B58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280875860</v>
      </c>
    </row>
    <row r="6" spans="1:11" ht="22.5" x14ac:dyDescent="0.25">
      <c r="D6" s="34" t="s">
        <v>1139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A_Cuong_Linh_Dam[[#This Row],[ĐƠN GIÁ]]*A_Cuong_Linh_Dam[[#This Row],[SỐ LƯỢNG]]</f>
        <v>0</v>
      </c>
      <c r="I10" s="31"/>
      <c r="J10" s="31">
        <v>0</v>
      </c>
      <c r="K10" s="24"/>
    </row>
    <row r="11" spans="1:11" x14ac:dyDescent="0.25">
      <c r="A11" s="22">
        <v>7932</v>
      </c>
      <c r="B11" s="29">
        <v>46088</v>
      </c>
      <c r="C11" s="23" t="s">
        <v>13</v>
      </c>
      <c r="D11" s="37" t="s">
        <v>1085</v>
      </c>
      <c r="E11" s="23" t="s">
        <v>1082</v>
      </c>
      <c r="F11" s="31">
        <f>656+688+669</f>
        <v>2013</v>
      </c>
      <c r="G11" s="31">
        <v>36000</v>
      </c>
      <c r="H11" s="31">
        <f>A_Cuong_Linh_Dam[[#This Row],[ĐƠN GIÁ]]*A_Cuong_Linh_Dam[[#This Row],[SỐ LƯỢNG]]</f>
        <v>72468000</v>
      </c>
      <c r="I11" s="31"/>
      <c r="J11" s="31">
        <f>J10+A_Cuong_Linh_Dam[[#This Row],[THÀNH TIỀN]]-A_Cuong_Linh_Dam[[#This Row],[THANH TOÁN]]</f>
        <v>72468000</v>
      </c>
      <c r="K11" s="24"/>
    </row>
    <row r="12" spans="1:11" x14ac:dyDescent="0.25">
      <c r="A12" s="22">
        <v>7932</v>
      </c>
      <c r="B12" s="29">
        <v>46088</v>
      </c>
      <c r="C12" s="23" t="s">
        <v>1140</v>
      </c>
      <c r="D12" s="37" t="s">
        <v>1085</v>
      </c>
      <c r="E12" s="23" t="s">
        <v>1082</v>
      </c>
      <c r="F12" s="31">
        <f>656+688+669</f>
        <v>2013</v>
      </c>
      <c r="G12" s="31">
        <v>2000</v>
      </c>
      <c r="H12" s="31">
        <f>A_Cuong_Linh_Dam[[#This Row],[ĐƠN GIÁ]]*A_Cuong_Linh_Dam[[#This Row],[SỐ LƯỢNG]]</f>
        <v>4026000</v>
      </c>
      <c r="I12" s="31"/>
      <c r="J12" s="31">
        <f>J11+A_Cuong_Linh_Dam[[#This Row],[THÀNH TIỀN]]-A_Cuong_Linh_Dam[[#This Row],[THANH TOÁN]]</f>
        <v>76494000</v>
      </c>
      <c r="K12" s="24"/>
    </row>
    <row r="13" spans="1:11" x14ac:dyDescent="0.25">
      <c r="A13" s="25">
        <v>7946</v>
      </c>
      <c r="B13" s="30">
        <v>46090</v>
      </c>
      <c r="C13" s="26" t="s">
        <v>13</v>
      </c>
      <c r="D13" s="38" t="s">
        <v>1085</v>
      </c>
      <c r="E13" s="26" t="s">
        <v>206</v>
      </c>
      <c r="F13" s="28">
        <f>1426+1488+1361</f>
        <v>4275</v>
      </c>
      <c r="G13" s="28">
        <v>36000</v>
      </c>
      <c r="H13" s="28">
        <f>A_Cuong_Linh_Dam[[#This Row],[ĐƠN GIÁ]]*A_Cuong_Linh_Dam[[#This Row],[SỐ LƯỢNG]]</f>
        <v>153900000</v>
      </c>
      <c r="I13" s="28"/>
      <c r="J13" s="28">
        <f>J12+A_Cuong_Linh_Dam[[#This Row],[THÀNH TIỀN]]-A_Cuong_Linh_Dam[[#This Row],[THANH TOÁN]]</f>
        <v>230394000</v>
      </c>
      <c r="K13" s="27"/>
    </row>
    <row r="14" spans="1:11" x14ac:dyDescent="0.25">
      <c r="A14" s="25"/>
      <c r="B14" s="30">
        <v>46092</v>
      </c>
      <c r="C14" s="26" t="s">
        <v>21</v>
      </c>
      <c r="D14" s="38" t="s">
        <v>22</v>
      </c>
      <c r="E14" s="26" t="s">
        <v>2067</v>
      </c>
      <c r="F14" s="28">
        <v>0</v>
      </c>
      <c r="G14" s="28">
        <v>0</v>
      </c>
      <c r="H14" s="28">
        <f>A_Cuong_Linh_Dam[[#This Row],[ĐƠN GIÁ]]*A_Cuong_Linh_Dam[[#This Row],[SỐ LƯỢNG]]</f>
        <v>0</v>
      </c>
      <c r="I14" s="28">
        <v>6900000</v>
      </c>
      <c r="J14" s="28">
        <f>J13+A_Cuong_Linh_Dam[[#This Row],[THÀNH TIỀN]]-A_Cuong_Linh_Dam[[#This Row],[THANH TOÁN]]</f>
        <v>223494000</v>
      </c>
      <c r="K14" s="27"/>
    </row>
    <row r="15" spans="1:11" x14ac:dyDescent="0.25">
      <c r="A15" s="25"/>
      <c r="B15" s="30">
        <v>46094</v>
      </c>
      <c r="C15" s="26" t="s">
        <v>21</v>
      </c>
      <c r="D15" s="38" t="s">
        <v>22</v>
      </c>
      <c r="E15" s="26" t="s">
        <v>2067</v>
      </c>
      <c r="F15" s="28">
        <v>0</v>
      </c>
      <c r="G15" s="28">
        <v>0</v>
      </c>
      <c r="H15" s="28">
        <f>A_Cuong_Linh_Dam[[#This Row],[ĐƠN GIÁ]]*A_Cuong_Linh_Dam[[#This Row],[SỐ LƯỢNG]]</f>
        <v>0</v>
      </c>
      <c r="I15" s="28">
        <v>8750000</v>
      </c>
      <c r="J15" s="28">
        <f>J14+A_Cuong_Linh_Dam[[#This Row],[THÀNH TIỀN]]-A_Cuong_Linh_Dam[[#This Row],[THANH TOÁN]]</f>
        <v>214744000</v>
      </c>
      <c r="K15" s="27"/>
    </row>
    <row r="16" spans="1:11" x14ac:dyDescent="0.25">
      <c r="A16" s="25"/>
      <c r="B16" s="30">
        <v>46096</v>
      </c>
      <c r="C16" s="26" t="s">
        <v>21</v>
      </c>
      <c r="D16" s="38" t="s">
        <v>22</v>
      </c>
      <c r="E16" s="26" t="s">
        <v>2067</v>
      </c>
      <c r="F16" s="28">
        <v>0</v>
      </c>
      <c r="G16" s="28">
        <v>0</v>
      </c>
      <c r="H16" s="28">
        <f>A_Cuong_Linh_Dam[[#This Row],[ĐƠN GIÁ]]*A_Cuong_Linh_Dam[[#This Row],[SỐ LƯỢNG]]</f>
        <v>0</v>
      </c>
      <c r="I16" s="28">
        <v>6650000</v>
      </c>
      <c r="J16" s="28">
        <f>J15+A_Cuong_Linh_Dam[[#This Row],[THÀNH TIỀN]]-A_Cuong_Linh_Dam[[#This Row],[THANH TOÁN]]</f>
        <v>208094000</v>
      </c>
      <c r="K16" s="27"/>
    </row>
    <row r="17" spans="1:11" x14ac:dyDescent="0.25">
      <c r="A17" s="25"/>
      <c r="B17" s="30">
        <v>46097</v>
      </c>
      <c r="C17" s="26" t="s">
        <v>21</v>
      </c>
      <c r="D17" s="38" t="s">
        <v>22</v>
      </c>
      <c r="E17" s="26" t="s">
        <v>2067</v>
      </c>
      <c r="F17" s="28">
        <v>0</v>
      </c>
      <c r="G17" s="28">
        <v>0</v>
      </c>
      <c r="H17" s="28">
        <f>A_Cuong_Linh_Dam[[#This Row],[ĐƠN GIÁ]]*A_Cuong_Linh_Dam[[#This Row],[SỐ LƯỢNG]]</f>
        <v>0</v>
      </c>
      <c r="I17" s="28">
        <v>2920000</v>
      </c>
      <c r="J17" s="28">
        <f>J16+A_Cuong_Linh_Dam[[#This Row],[THÀNH TIỀN]]-A_Cuong_Linh_Dam[[#This Row],[THANH TOÁN]]</f>
        <v>205174000</v>
      </c>
      <c r="K17" s="27"/>
    </row>
    <row r="18" spans="1:11" x14ac:dyDescent="0.25">
      <c r="A18" s="25"/>
      <c r="B18" s="30">
        <v>46097</v>
      </c>
      <c r="C18" s="26" t="s">
        <v>21</v>
      </c>
      <c r="D18" s="38" t="s">
        <v>22</v>
      </c>
      <c r="E18" s="26" t="s">
        <v>2067</v>
      </c>
      <c r="F18" s="28">
        <v>0</v>
      </c>
      <c r="G18" s="28"/>
      <c r="H18" s="28">
        <f>A_Cuong_Linh_Dam[[#This Row],[ĐƠN GIÁ]]*A_Cuong_Linh_Dam[[#This Row],[SỐ LƯỢNG]]</f>
        <v>0</v>
      </c>
      <c r="I18" s="28">
        <v>3100000</v>
      </c>
      <c r="J18" s="28">
        <f>J17+A_Cuong_Linh_Dam[[#This Row],[THÀNH TIỀN]]-A_Cuong_Linh_Dam[[#This Row],[THANH TOÁN]]</f>
        <v>202074000</v>
      </c>
      <c r="K18" s="27"/>
    </row>
    <row r="19" spans="1:11" x14ac:dyDescent="0.25">
      <c r="A19" s="25"/>
      <c r="B19" s="30">
        <v>46098</v>
      </c>
      <c r="C19" s="26" t="s">
        <v>21</v>
      </c>
      <c r="D19" s="38" t="s">
        <v>22</v>
      </c>
      <c r="E19" s="26" t="s">
        <v>2067</v>
      </c>
      <c r="F19" s="28">
        <v>0</v>
      </c>
      <c r="G19" s="28">
        <v>0</v>
      </c>
      <c r="H19" s="28">
        <f>A_Cuong_Linh_Dam[[#This Row],[ĐƠN GIÁ]]*A_Cuong_Linh_Dam[[#This Row],[SỐ LƯỢNG]]</f>
        <v>0</v>
      </c>
      <c r="I19" s="28">
        <v>35100000</v>
      </c>
      <c r="J19" s="28">
        <f>J18+A_Cuong_Linh_Dam[[#This Row],[THÀNH TIỀN]]-A_Cuong_Linh_Dam[[#This Row],[THANH TOÁN]]</f>
        <v>166974000</v>
      </c>
      <c r="K19" s="27"/>
    </row>
    <row r="20" spans="1:11" x14ac:dyDescent="0.25">
      <c r="A20" s="22"/>
      <c r="B20" s="30">
        <v>46098</v>
      </c>
      <c r="C20" s="26" t="s">
        <v>21</v>
      </c>
      <c r="D20" s="38" t="s">
        <v>22</v>
      </c>
      <c r="E20" s="26" t="s">
        <v>2067</v>
      </c>
      <c r="F20" s="28">
        <v>0</v>
      </c>
      <c r="G20" s="28">
        <v>0</v>
      </c>
      <c r="H20" s="31">
        <f>A_Cuong_Linh_Dam[[#This Row],[ĐƠN GIÁ]]*A_Cuong_Linh_Dam[[#This Row],[SỐ LƯỢNG]]</f>
        <v>0</v>
      </c>
      <c r="I20" s="31">
        <v>3810000</v>
      </c>
      <c r="J20" s="31">
        <f>J19+A_Cuong_Linh_Dam[[#This Row],[THÀNH TIỀN]]-A_Cuong_Linh_Dam[[#This Row],[THANH TOÁN]]</f>
        <v>163164000</v>
      </c>
      <c r="K20" s="24"/>
    </row>
    <row r="21" spans="1:11" x14ac:dyDescent="0.25">
      <c r="A21" s="22"/>
      <c r="B21" s="30">
        <v>46098</v>
      </c>
      <c r="C21" s="26" t="s">
        <v>21</v>
      </c>
      <c r="D21" s="38" t="s">
        <v>22</v>
      </c>
      <c r="E21" s="26" t="s">
        <v>2067</v>
      </c>
      <c r="F21" s="28">
        <v>0</v>
      </c>
      <c r="G21" s="28">
        <v>0</v>
      </c>
      <c r="H21" s="31">
        <f>A_Cuong_Linh_Dam[[#This Row],[ĐƠN GIÁ]]*A_Cuong_Linh_Dam[[#This Row],[SỐ LƯỢNG]]</f>
        <v>0</v>
      </c>
      <c r="I21" s="31">
        <v>6000000</v>
      </c>
      <c r="J21" s="31">
        <f>J20+A_Cuong_Linh_Dam[[#This Row],[THÀNH TIỀN]]-A_Cuong_Linh_Dam[[#This Row],[THANH TOÁN]]</f>
        <v>157164000</v>
      </c>
      <c r="K21" s="24"/>
    </row>
    <row r="22" spans="1:11" x14ac:dyDescent="0.25">
      <c r="A22" s="25"/>
      <c r="B22" s="30">
        <v>46099</v>
      </c>
      <c r="C22" s="26" t="s">
        <v>21</v>
      </c>
      <c r="D22" s="38" t="s">
        <v>22</v>
      </c>
      <c r="E22" s="26" t="s">
        <v>2067</v>
      </c>
      <c r="F22" s="28">
        <v>0</v>
      </c>
      <c r="G22" s="28">
        <v>0</v>
      </c>
      <c r="H22" s="28">
        <f>A_Cuong_Linh_Dam[[#This Row],[ĐƠN GIÁ]]*A_Cuong_Linh_Dam[[#This Row],[SỐ LƯỢNG]]</f>
        <v>0</v>
      </c>
      <c r="I22" s="28">
        <v>4650000</v>
      </c>
      <c r="J22" s="28">
        <f>J21+A_Cuong_Linh_Dam[[#This Row],[THÀNH TIỀN]]-A_Cuong_Linh_Dam[[#This Row],[THANH TOÁN]]</f>
        <v>152514000</v>
      </c>
      <c r="K22" s="27"/>
    </row>
    <row r="23" spans="1:11" x14ac:dyDescent="0.25">
      <c r="A23" s="25"/>
      <c r="B23" s="30">
        <v>46100</v>
      </c>
      <c r="C23" s="26" t="s">
        <v>21</v>
      </c>
      <c r="D23" s="38" t="s">
        <v>22</v>
      </c>
      <c r="E23" s="26" t="s">
        <v>2067</v>
      </c>
      <c r="F23" s="28">
        <v>0</v>
      </c>
      <c r="G23" s="28">
        <v>0</v>
      </c>
      <c r="H23" s="28">
        <f>A_Cuong_Linh_Dam[[#This Row],[ĐƠN GIÁ]]*A_Cuong_Linh_Dam[[#This Row],[SỐ LƯỢNG]]</f>
        <v>0</v>
      </c>
      <c r="I23" s="28">
        <v>12254000</v>
      </c>
      <c r="J23" s="28">
        <f>J22+A_Cuong_Linh_Dam[[#This Row],[THÀNH TIỀN]]-A_Cuong_Linh_Dam[[#This Row],[THANH TOÁN]]</f>
        <v>140260000</v>
      </c>
      <c r="K23" s="27"/>
    </row>
    <row r="24" spans="1:11" x14ac:dyDescent="0.25">
      <c r="A24" s="25"/>
      <c r="B24" s="30">
        <v>46100</v>
      </c>
      <c r="C24" s="26" t="s">
        <v>21</v>
      </c>
      <c r="D24" s="38" t="s">
        <v>22</v>
      </c>
      <c r="E24" s="26" t="s">
        <v>2067</v>
      </c>
      <c r="F24" s="28">
        <v>0</v>
      </c>
      <c r="G24" s="28">
        <v>0</v>
      </c>
      <c r="H24" s="28">
        <f>A_Cuong_Linh_Dam[[#This Row],[ĐƠN GIÁ]]*A_Cuong_Linh_Dam[[#This Row],[SỐ LƯỢNG]]</f>
        <v>0</v>
      </c>
      <c r="I24" s="28">
        <v>10000000</v>
      </c>
      <c r="J24" s="28">
        <f>J23+A_Cuong_Linh_Dam[[#This Row],[THÀNH TIỀN]]-A_Cuong_Linh_Dam[[#This Row],[THANH TOÁN]]</f>
        <v>130260000</v>
      </c>
      <c r="K24" s="27"/>
    </row>
    <row r="25" spans="1:11" x14ac:dyDescent="0.25">
      <c r="A25" s="25"/>
      <c r="B25" s="30">
        <v>46102</v>
      </c>
      <c r="C25" s="26" t="s">
        <v>21</v>
      </c>
      <c r="D25" s="38" t="s">
        <v>22</v>
      </c>
      <c r="E25" s="26" t="s">
        <v>2067</v>
      </c>
      <c r="F25" s="28">
        <v>0</v>
      </c>
      <c r="G25" s="28">
        <v>0</v>
      </c>
      <c r="H25" s="28">
        <f>A_Cuong_Linh_Dam[[#This Row],[ĐƠN GIÁ]]*A_Cuong_Linh_Dam[[#This Row],[SỐ LƯỢNG]]</f>
        <v>0</v>
      </c>
      <c r="I25" s="28">
        <v>5500000</v>
      </c>
      <c r="J25" s="28">
        <f>J24+A_Cuong_Linh_Dam[[#This Row],[THÀNH TIỀN]]-A_Cuong_Linh_Dam[[#This Row],[THANH TOÁN]]</f>
        <v>124760000</v>
      </c>
      <c r="K25" s="27"/>
    </row>
    <row r="26" spans="1:11" x14ac:dyDescent="0.25">
      <c r="A26" s="25"/>
      <c r="B26" s="30">
        <v>46102</v>
      </c>
      <c r="C26" s="26" t="s">
        <v>21</v>
      </c>
      <c r="D26" s="38" t="s">
        <v>22</v>
      </c>
      <c r="E26" s="26" t="s">
        <v>2067</v>
      </c>
      <c r="F26" s="28">
        <v>0</v>
      </c>
      <c r="G26" s="28"/>
      <c r="H26" s="28">
        <f>A_Cuong_Linh_Dam[[#This Row],[ĐƠN GIÁ]]*A_Cuong_Linh_Dam[[#This Row],[SỐ LƯỢNG]]</f>
        <v>0</v>
      </c>
      <c r="I26" s="28">
        <v>6220000</v>
      </c>
      <c r="J26" s="28">
        <f>J25+A_Cuong_Linh_Dam[[#This Row],[THÀNH TIỀN]]-A_Cuong_Linh_Dam[[#This Row],[THANH TOÁN]]</f>
        <v>118540000</v>
      </c>
      <c r="K26" s="27"/>
    </row>
    <row r="27" spans="1:11" x14ac:dyDescent="0.25">
      <c r="A27" s="25"/>
      <c r="B27" s="30">
        <v>46105</v>
      </c>
      <c r="C27" s="26" t="s">
        <v>21</v>
      </c>
      <c r="D27" s="38" t="s">
        <v>22</v>
      </c>
      <c r="E27" s="26" t="s">
        <v>2067</v>
      </c>
      <c r="F27" s="28">
        <v>0</v>
      </c>
      <c r="G27" s="28">
        <v>0</v>
      </c>
      <c r="H27" s="28">
        <f>A_Cuong_Linh_Dam[[#This Row],[ĐƠN GIÁ]]*A_Cuong_Linh_Dam[[#This Row],[SỐ LƯỢNG]]</f>
        <v>0</v>
      </c>
      <c r="I27" s="28">
        <v>2880000</v>
      </c>
      <c r="J27" s="28">
        <f>J26+A_Cuong_Linh_Dam[[#This Row],[THÀNH TIỀN]]-A_Cuong_Linh_Dam[[#This Row],[THANH TOÁN]]</f>
        <v>115660000</v>
      </c>
      <c r="K27" s="27"/>
    </row>
    <row r="28" spans="1:11" x14ac:dyDescent="0.25">
      <c r="A28" s="22"/>
      <c r="B28" s="30">
        <v>46106</v>
      </c>
      <c r="C28" s="26" t="s">
        <v>21</v>
      </c>
      <c r="D28" s="38" t="s">
        <v>22</v>
      </c>
      <c r="E28" s="26" t="s">
        <v>2067</v>
      </c>
      <c r="F28" s="28">
        <v>0</v>
      </c>
      <c r="G28" s="28">
        <v>0</v>
      </c>
      <c r="H28" s="31">
        <f>A_Cuong_Linh_Dam[[#This Row],[ĐƠN GIÁ]]*A_Cuong_Linh_Dam[[#This Row],[SỐ LƯỢNG]]</f>
        <v>0</v>
      </c>
      <c r="I28" s="31">
        <v>4200000</v>
      </c>
      <c r="J28" s="31">
        <f>J27+A_Cuong_Linh_Dam[[#This Row],[THÀNH TIỀN]]-A_Cuong_Linh_Dam[[#This Row],[THANH TOÁN]]</f>
        <v>111460000</v>
      </c>
      <c r="K28" s="24"/>
    </row>
    <row r="29" spans="1:11" x14ac:dyDescent="0.25">
      <c r="A29" s="25"/>
      <c r="B29" s="30">
        <v>46107</v>
      </c>
      <c r="C29" s="26" t="s">
        <v>21</v>
      </c>
      <c r="D29" s="38" t="s">
        <v>22</v>
      </c>
      <c r="E29" s="26" t="s">
        <v>2067</v>
      </c>
      <c r="F29" s="28">
        <v>0</v>
      </c>
      <c r="G29" s="28">
        <v>0</v>
      </c>
      <c r="H29" s="28">
        <f>A_Cuong_Linh_Dam[[#This Row],[ĐƠN GIÁ]]*A_Cuong_Linh_Dam[[#This Row],[SỐ LƯỢNG]]</f>
        <v>0</v>
      </c>
      <c r="I29" s="28">
        <v>7500000</v>
      </c>
      <c r="J29" s="28">
        <f>J28+A_Cuong_Linh_Dam[[#This Row],[THÀNH TIỀN]]-A_Cuong_Linh_Dam[[#This Row],[THANH TOÁN]]</f>
        <v>103960000</v>
      </c>
      <c r="K29" s="27"/>
    </row>
    <row r="30" spans="1:11" x14ac:dyDescent="0.25">
      <c r="A30" s="22"/>
      <c r="B30" s="30">
        <v>46107</v>
      </c>
      <c r="C30" s="26" t="s">
        <v>21</v>
      </c>
      <c r="D30" s="38" t="s">
        <v>22</v>
      </c>
      <c r="E30" s="26" t="s">
        <v>2067</v>
      </c>
      <c r="F30" s="28">
        <v>0</v>
      </c>
      <c r="G30" s="28">
        <v>0</v>
      </c>
      <c r="H30" s="31">
        <f>A_Cuong_Linh_Dam[[#This Row],[ĐƠN GIÁ]]*A_Cuong_Linh_Dam[[#This Row],[SỐ LƯỢNG]]</f>
        <v>0</v>
      </c>
      <c r="I30" s="31">
        <v>6150000</v>
      </c>
      <c r="J30" s="31">
        <f>J29+A_Cuong_Linh_Dam[[#This Row],[THÀNH TIỀN]]-A_Cuong_Linh_Dam[[#This Row],[THANH TOÁN]]</f>
        <v>97810000</v>
      </c>
      <c r="K30" s="24"/>
    </row>
    <row r="31" spans="1:11" x14ac:dyDescent="0.25">
      <c r="A31" s="25"/>
      <c r="B31" s="30">
        <v>46107</v>
      </c>
      <c r="C31" s="26" t="s">
        <v>21</v>
      </c>
      <c r="D31" s="38" t="s">
        <v>22</v>
      </c>
      <c r="E31" s="26" t="s">
        <v>2067</v>
      </c>
      <c r="F31" s="28">
        <v>0</v>
      </c>
      <c r="G31" s="28">
        <v>0</v>
      </c>
      <c r="H31" s="28">
        <f>A_Cuong_Linh_Dam[[#This Row],[ĐƠN GIÁ]]*A_Cuong_Linh_Dam[[#This Row],[SỐ LƯỢNG]]</f>
        <v>0</v>
      </c>
      <c r="I31" s="28">
        <v>4960000</v>
      </c>
      <c r="J31" s="28">
        <f>J30+A_Cuong_Linh_Dam[[#This Row],[THÀNH TIỀN]]-A_Cuong_Linh_Dam[[#This Row],[THANH TOÁN]]</f>
        <v>92850000</v>
      </c>
      <c r="K31" s="27"/>
    </row>
    <row r="32" spans="1:11" x14ac:dyDescent="0.25">
      <c r="A32" s="25"/>
      <c r="B32" s="30">
        <v>46107</v>
      </c>
      <c r="C32" s="26" t="s">
        <v>21</v>
      </c>
      <c r="D32" s="38" t="s">
        <v>22</v>
      </c>
      <c r="E32" s="26" t="s">
        <v>2067</v>
      </c>
      <c r="F32" s="28">
        <v>0</v>
      </c>
      <c r="G32" s="28">
        <v>0</v>
      </c>
      <c r="H32" s="31">
        <f>A_Cuong_Linh_Dam[[#This Row],[ĐƠN GIÁ]]*A_Cuong_Linh_Dam[[#This Row],[SỐ LƯỢNG]]</f>
        <v>0</v>
      </c>
      <c r="I32" s="31">
        <v>5300000</v>
      </c>
      <c r="J32" s="31">
        <f>J31+A_Cuong_Linh_Dam[[#This Row],[THÀNH TIỀN]]-A_Cuong_Linh_Dam[[#This Row],[THANH TOÁN]]</f>
        <v>87550000</v>
      </c>
      <c r="K32" s="24"/>
    </row>
    <row r="33" spans="1:11" x14ac:dyDescent="0.25">
      <c r="A33" s="25"/>
      <c r="B33" s="30">
        <v>46108</v>
      </c>
      <c r="C33" s="26" t="s">
        <v>21</v>
      </c>
      <c r="D33" s="38" t="s">
        <v>22</v>
      </c>
      <c r="E33" s="26" t="s">
        <v>2067</v>
      </c>
      <c r="F33" s="28">
        <v>0</v>
      </c>
      <c r="G33" s="28">
        <v>0</v>
      </c>
      <c r="H33" s="31">
        <f>A_Cuong_Linh_Dam[[#This Row],[ĐƠN GIÁ]]*A_Cuong_Linh_Dam[[#This Row],[SỐ LƯỢNG]]</f>
        <v>0</v>
      </c>
      <c r="I33" s="31">
        <v>6280000</v>
      </c>
      <c r="J33" s="31">
        <f>J32+A_Cuong_Linh_Dam[[#This Row],[THÀNH TIỀN]]-A_Cuong_Linh_Dam[[#This Row],[THANH TOÁN]]</f>
        <v>81270000</v>
      </c>
      <c r="K33" s="24"/>
    </row>
    <row r="34" spans="1:11" x14ac:dyDescent="0.25">
      <c r="A34" s="25"/>
      <c r="B34" s="30">
        <v>46108</v>
      </c>
      <c r="C34" s="26" t="s">
        <v>21</v>
      </c>
      <c r="D34" s="38" t="s">
        <v>22</v>
      </c>
      <c r="E34" s="26" t="s">
        <v>2067</v>
      </c>
      <c r="F34" s="28">
        <v>0</v>
      </c>
      <c r="G34" s="28">
        <v>0</v>
      </c>
      <c r="H34" s="31">
        <f>A_Cuong_Linh_Dam[[#This Row],[ĐƠN GIÁ]]*A_Cuong_Linh_Dam[[#This Row],[SỐ LƯỢNG]]</f>
        <v>0</v>
      </c>
      <c r="I34" s="31">
        <v>3920000</v>
      </c>
      <c r="J34" s="31">
        <f>J33+A_Cuong_Linh_Dam[[#This Row],[THÀNH TIỀN]]-A_Cuong_Linh_Dam[[#This Row],[THANH TOÁN]]</f>
        <v>77350000</v>
      </c>
      <c r="K34" s="24"/>
    </row>
    <row r="35" spans="1:11" x14ac:dyDescent="0.25">
      <c r="A35" s="25"/>
      <c r="B35" s="30">
        <v>46108</v>
      </c>
      <c r="C35" s="26" t="s">
        <v>21</v>
      </c>
      <c r="D35" s="38" t="s">
        <v>22</v>
      </c>
      <c r="E35" s="26" t="s">
        <v>2067</v>
      </c>
      <c r="F35" s="28">
        <v>0</v>
      </c>
      <c r="G35" s="28">
        <v>0</v>
      </c>
      <c r="H35" s="31">
        <f>A_Cuong_Linh_Dam[[#This Row],[ĐƠN GIÁ]]*A_Cuong_Linh_Dam[[#This Row],[SỐ LƯỢNG]]</f>
        <v>0</v>
      </c>
      <c r="I35" s="31">
        <v>5390000</v>
      </c>
      <c r="J35" s="31">
        <f>J34+A_Cuong_Linh_Dam[[#This Row],[THÀNH TIỀN]]-A_Cuong_Linh_Dam[[#This Row],[THANH TOÁN]]</f>
        <v>71960000</v>
      </c>
      <c r="K35" s="24"/>
    </row>
    <row r="36" spans="1:11" x14ac:dyDescent="0.25">
      <c r="A36" s="25"/>
      <c r="B36" s="30">
        <v>46108</v>
      </c>
      <c r="C36" s="26" t="s">
        <v>21</v>
      </c>
      <c r="D36" s="38" t="s">
        <v>22</v>
      </c>
      <c r="E36" s="26" t="s">
        <v>2067</v>
      </c>
      <c r="F36" s="28">
        <v>0</v>
      </c>
      <c r="G36" s="28">
        <v>0</v>
      </c>
      <c r="H36" s="28">
        <f>A_Cuong_Linh_Dam[[#This Row],[ĐƠN GIÁ]]*A_Cuong_Linh_Dam[[#This Row],[SỐ LƯỢNG]]</f>
        <v>0</v>
      </c>
      <c r="I36" s="28">
        <v>1715000</v>
      </c>
      <c r="J36" s="28">
        <f>J35+A_Cuong_Linh_Dam[[#This Row],[THÀNH TIỀN]]-A_Cuong_Linh_Dam[[#This Row],[THANH TOÁN]]</f>
        <v>70245000</v>
      </c>
      <c r="K36" s="27"/>
    </row>
    <row r="37" spans="1:11" x14ac:dyDescent="0.25">
      <c r="A37" s="22"/>
      <c r="B37" s="30">
        <v>46108</v>
      </c>
      <c r="C37" s="26" t="s">
        <v>21</v>
      </c>
      <c r="D37" s="38" t="s">
        <v>22</v>
      </c>
      <c r="E37" s="26" t="s">
        <v>2067</v>
      </c>
      <c r="F37" s="28">
        <v>0</v>
      </c>
      <c r="G37" s="28">
        <v>0</v>
      </c>
      <c r="H37" s="31">
        <f>A_Cuong_Linh_Dam[[#This Row],[ĐƠN GIÁ]]*A_Cuong_Linh_Dam[[#This Row],[SỐ LƯỢNG]]</f>
        <v>0</v>
      </c>
      <c r="I37" s="31">
        <v>6060000</v>
      </c>
      <c r="J37" s="31">
        <f>J36+A_Cuong_Linh_Dam[[#This Row],[THÀNH TIỀN]]-A_Cuong_Linh_Dam[[#This Row],[THANH TOÁN]]</f>
        <v>64185000</v>
      </c>
      <c r="K37" s="24"/>
    </row>
    <row r="38" spans="1:11" x14ac:dyDescent="0.25">
      <c r="A38" s="22"/>
      <c r="B38" s="29">
        <v>46110</v>
      </c>
      <c r="C38" s="23" t="s">
        <v>21</v>
      </c>
      <c r="D38" s="37" t="s">
        <v>22</v>
      </c>
      <c r="E38" s="26" t="s">
        <v>2067</v>
      </c>
      <c r="F38" s="31">
        <v>0</v>
      </c>
      <c r="G38" s="31">
        <v>0</v>
      </c>
      <c r="H38" s="31">
        <f>A_Cuong_Linh_Dam[[#This Row],[ĐƠN GIÁ]]*A_Cuong_Linh_Dam[[#This Row],[SỐ LƯỢNG]]</f>
        <v>0</v>
      </c>
      <c r="I38" s="31">
        <v>1960000</v>
      </c>
      <c r="J38" s="31">
        <f>J37+A_Cuong_Linh_Dam[[#This Row],[THÀNH TIỀN]]-A_Cuong_Linh_Dam[[#This Row],[THANH TOÁN]]</f>
        <v>62225000</v>
      </c>
      <c r="K38" s="24"/>
    </row>
    <row r="39" spans="1:11" x14ac:dyDescent="0.25">
      <c r="A39" s="22"/>
      <c r="B39" s="29">
        <v>46110</v>
      </c>
      <c r="C39" s="23" t="s">
        <v>21</v>
      </c>
      <c r="D39" s="37" t="s">
        <v>22</v>
      </c>
      <c r="E39" s="26" t="s">
        <v>2067</v>
      </c>
      <c r="F39" s="31">
        <v>0</v>
      </c>
      <c r="G39" s="31">
        <v>0</v>
      </c>
      <c r="H39" s="31">
        <f>A_Cuong_Linh_Dam[[#This Row],[ĐƠN GIÁ]]*A_Cuong_Linh_Dam[[#This Row],[SỐ LƯỢNG]]</f>
        <v>0</v>
      </c>
      <c r="I39" s="31">
        <v>6200000</v>
      </c>
      <c r="J39" s="31">
        <f>J38+A_Cuong_Linh_Dam[[#This Row],[THÀNH TIỀN]]-A_Cuong_Linh_Dam[[#This Row],[THANH TOÁN]]</f>
        <v>56025000</v>
      </c>
      <c r="K39" s="24"/>
    </row>
    <row r="40" spans="1:11" x14ac:dyDescent="0.25">
      <c r="A40" s="22"/>
      <c r="B40" s="29">
        <v>46112</v>
      </c>
      <c r="C40" s="23" t="s">
        <v>21</v>
      </c>
      <c r="D40" s="37" t="s">
        <v>22</v>
      </c>
      <c r="E40" s="26" t="s">
        <v>2067</v>
      </c>
      <c r="F40" s="31">
        <v>0</v>
      </c>
      <c r="G40" s="31">
        <v>0</v>
      </c>
      <c r="H40" s="31">
        <f>A_Cuong_Linh_Dam[[#This Row],[ĐƠN GIÁ]]*A_Cuong_Linh_Dam[[#This Row],[SỐ LƯỢNG]]</f>
        <v>0</v>
      </c>
      <c r="I40" s="31">
        <v>4940000</v>
      </c>
      <c r="J40" s="31">
        <f>J39+A_Cuong_Linh_Dam[[#This Row],[THÀNH TIỀN]]-A_Cuong_Linh_Dam[[#This Row],[THANH TOÁN]]</f>
        <v>51085000</v>
      </c>
      <c r="K40" s="24"/>
    </row>
    <row r="41" spans="1:11" x14ac:dyDescent="0.25">
      <c r="A41" s="22">
        <v>8461</v>
      </c>
      <c r="B41" s="29">
        <v>46113</v>
      </c>
      <c r="C41" s="23" t="s">
        <v>13</v>
      </c>
      <c r="D41" s="37" t="s">
        <v>1085</v>
      </c>
      <c r="E41" s="23" t="s">
        <v>62</v>
      </c>
      <c r="F41" s="31">
        <v>3061</v>
      </c>
      <c r="G41" s="31">
        <v>38000</v>
      </c>
      <c r="H41" s="31">
        <f>A_Cuong_Linh_Dam[[#This Row],[ĐƠN GIÁ]]*A_Cuong_Linh_Dam[[#This Row],[SỐ LƯỢNG]]</f>
        <v>116318000</v>
      </c>
      <c r="I41" s="31"/>
      <c r="J41" s="31">
        <f>J40+A_Cuong_Linh_Dam[[#This Row],[THÀNH TIỀN]]-A_Cuong_Linh_Dam[[#This Row],[THANH TOÁN]]</f>
        <v>167403000</v>
      </c>
      <c r="K41" s="24" t="s">
        <v>1144</v>
      </c>
    </row>
    <row r="42" spans="1:11" x14ac:dyDescent="0.25">
      <c r="A42" s="22"/>
      <c r="B42" s="29">
        <v>46113</v>
      </c>
      <c r="C42" s="23" t="s">
        <v>21</v>
      </c>
      <c r="D42" s="37" t="s">
        <v>22</v>
      </c>
      <c r="E42" s="23" t="s">
        <v>2067</v>
      </c>
      <c r="F42" s="31">
        <v>0</v>
      </c>
      <c r="G42" s="31"/>
      <c r="H42" s="31">
        <f>A_Cuong_Linh_Dam[[#This Row],[ĐƠN GIÁ]]*A_Cuong_Linh_Dam[[#This Row],[SỐ LƯỢNG]]</f>
        <v>0</v>
      </c>
      <c r="I42" s="31">
        <v>23800000</v>
      </c>
      <c r="J42" s="31">
        <f>J41+A_Cuong_Linh_Dam[[#This Row],[THÀNH TIỀN]]-A_Cuong_Linh_Dam[[#This Row],[THANH TOÁN]]</f>
        <v>143603000</v>
      </c>
      <c r="K42" s="24"/>
    </row>
    <row r="43" spans="1:11" x14ac:dyDescent="0.25">
      <c r="A43" s="22"/>
      <c r="B43" s="29">
        <v>46117</v>
      </c>
      <c r="C43" s="23" t="s">
        <v>21</v>
      </c>
      <c r="D43" s="37" t="s">
        <v>22</v>
      </c>
      <c r="E43" s="23" t="s">
        <v>2067</v>
      </c>
      <c r="F43" s="31">
        <v>0</v>
      </c>
      <c r="G43" s="31"/>
      <c r="H43" s="31">
        <f>A_Cuong_Linh_Dam[[#This Row],[ĐƠN GIÁ]]*A_Cuong_Linh_Dam[[#This Row],[SỐ LƯỢNG]]</f>
        <v>0</v>
      </c>
      <c r="I43" s="31">
        <v>8100000</v>
      </c>
      <c r="J43" s="31">
        <f>J42+A_Cuong_Linh_Dam[[#This Row],[THÀNH TIỀN]]-A_Cuong_Linh_Dam[[#This Row],[THANH TOÁN]]</f>
        <v>135503000</v>
      </c>
      <c r="K43" s="24"/>
    </row>
    <row r="44" spans="1:11" x14ac:dyDescent="0.25">
      <c r="A44" s="22"/>
      <c r="B44" s="29">
        <v>46123</v>
      </c>
      <c r="C44" s="23" t="s">
        <v>21</v>
      </c>
      <c r="D44" s="37" t="s">
        <v>22</v>
      </c>
      <c r="E44" s="23" t="s">
        <v>2067</v>
      </c>
      <c r="F44" s="31">
        <v>0</v>
      </c>
      <c r="G44" s="31"/>
      <c r="H44" s="31">
        <f>A_Cuong_Linh_Dam[[#This Row],[ĐƠN GIÁ]]*A_Cuong_Linh_Dam[[#This Row],[SỐ LƯỢNG]]</f>
        <v>0</v>
      </c>
      <c r="I44" s="31">
        <v>10730000</v>
      </c>
      <c r="J44" s="31">
        <f>J43+A_Cuong_Linh_Dam[[#This Row],[THÀNH TIỀN]]-A_Cuong_Linh_Dam[[#This Row],[THANH TOÁN]]</f>
        <v>124773000</v>
      </c>
      <c r="K44" s="24"/>
    </row>
    <row r="45" spans="1:11" x14ac:dyDescent="0.25">
      <c r="A45" s="22">
        <v>8732</v>
      </c>
      <c r="B45" s="29">
        <v>46125</v>
      </c>
      <c r="C45" s="23" t="s">
        <v>13</v>
      </c>
      <c r="D45" s="37" t="s">
        <v>26</v>
      </c>
      <c r="E45" s="23" t="s">
        <v>1141</v>
      </c>
      <c r="F45" s="31">
        <v>1054</v>
      </c>
      <c r="G45" s="31">
        <v>36000</v>
      </c>
      <c r="H45" s="31">
        <f>A_Cuong_Linh_Dam[[#This Row],[ĐƠN GIÁ]]*A_Cuong_Linh_Dam[[#This Row],[SỐ LƯỢNG]]</f>
        <v>37944000</v>
      </c>
      <c r="I45" s="31"/>
      <c r="J45" s="31">
        <f>J44+A_Cuong_Linh_Dam[[#This Row],[THÀNH TIỀN]]-A_Cuong_Linh_Dam[[#This Row],[THANH TOÁN]]</f>
        <v>162717000</v>
      </c>
      <c r="K45" s="24"/>
    </row>
    <row r="46" spans="1:11" x14ac:dyDescent="0.25">
      <c r="A46" s="22">
        <v>8732</v>
      </c>
      <c r="B46" s="29">
        <v>46125</v>
      </c>
      <c r="C46" s="23" t="s">
        <v>13</v>
      </c>
      <c r="D46" s="37" t="s">
        <v>26</v>
      </c>
      <c r="E46" s="23" t="s">
        <v>1142</v>
      </c>
      <c r="F46" s="31">
        <v>1445</v>
      </c>
      <c r="G46" s="31">
        <v>36000</v>
      </c>
      <c r="H46" s="31">
        <f>A_Cuong_Linh_Dam[[#This Row],[ĐƠN GIÁ]]*A_Cuong_Linh_Dam[[#This Row],[SỐ LƯỢNG]]</f>
        <v>52020000</v>
      </c>
      <c r="I46" s="31"/>
      <c r="J46" s="31">
        <f>J45+A_Cuong_Linh_Dam[[#This Row],[THÀNH TIỀN]]-A_Cuong_Linh_Dam[[#This Row],[THANH TOÁN]]</f>
        <v>214737000</v>
      </c>
      <c r="K46" s="24"/>
    </row>
    <row r="47" spans="1:11" x14ac:dyDescent="0.25">
      <c r="A47" s="22">
        <v>8732</v>
      </c>
      <c r="B47" s="29">
        <v>46125</v>
      </c>
      <c r="C47" s="23" t="s">
        <v>13</v>
      </c>
      <c r="D47" s="37" t="s">
        <v>26</v>
      </c>
      <c r="E47" s="23" t="s">
        <v>1143</v>
      </c>
      <c r="F47" s="31">
        <v>1811</v>
      </c>
      <c r="G47" s="31">
        <v>36000</v>
      </c>
      <c r="H47" s="31">
        <f>A_Cuong_Linh_Dam[[#This Row],[ĐƠN GIÁ]]*A_Cuong_Linh_Dam[[#This Row],[SỐ LƯỢNG]]</f>
        <v>65196000</v>
      </c>
      <c r="I47" s="31"/>
      <c r="J47" s="31">
        <f>J46+A_Cuong_Linh_Dam[[#This Row],[THÀNH TIỀN]]-A_Cuong_Linh_Dam[[#This Row],[THANH TOÁN]]</f>
        <v>279933000</v>
      </c>
      <c r="K47" s="24"/>
    </row>
    <row r="48" spans="1:11" x14ac:dyDescent="0.25">
      <c r="A48" s="22"/>
      <c r="B48" s="29">
        <v>46126</v>
      </c>
      <c r="C48" s="23" t="s">
        <v>21</v>
      </c>
      <c r="D48" s="37" t="s">
        <v>22</v>
      </c>
      <c r="E48" s="23" t="s">
        <v>2067</v>
      </c>
      <c r="F48" s="31">
        <v>0</v>
      </c>
      <c r="G48" s="31"/>
      <c r="H48" s="31">
        <f>A_Cuong_Linh_Dam[[#This Row],[ĐƠN GIÁ]]*A_Cuong_Linh_Dam[[#This Row],[SỐ LƯỢNG]]</f>
        <v>0</v>
      </c>
      <c r="I48" s="31">
        <v>17760000</v>
      </c>
      <c r="J48" s="31">
        <f>J47+A_Cuong_Linh_Dam[[#This Row],[THÀNH TIỀN]]-A_Cuong_Linh_Dam[[#This Row],[THANH TOÁN]]</f>
        <v>262173000</v>
      </c>
      <c r="K48" s="24"/>
    </row>
    <row r="49" spans="1:11" x14ac:dyDescent="0.25">
      <c r="A49" s="22">
        <v>8880</v>
      </c>
      <c r="B49" s="29">
        <v>46130</v>
      </c>
      <c r="C49" s="23" t="s">
        <v>13</v>
      </c>
      <c r="D49" s="37" t="s">
        <v>643</v>
      </c>
      <c r="E49" s="23" t="s">
        <v>62</v>
      </c>
      <c r="F49" s="31">
        <v>2824</v>
      </c>
      <c r="G49" s="31">
        <v>38000</v>
      </c>
      <c r="H49" s="31">
        <f>A_Cuong_Linh_Dam[[#This Row],[ĐƠN GIÁ]]*A_Cuong_Linh_Dam[[#This Row],[SỐ LƯỢNG]]</f>
        <v>107312000</v>
      </c>
      <c r="I49" s="31"/>
      <c r="J49" s="31">
        <f>J48+A_Cuong_Linh_Dam[[#This Row],[THÀNH TIỀN]]-A_Cuong_Linh_Dam[[#This Row],[THANH TOÁN]]</f>
        <v>369485000</v>
      </c>
      <c r="K49" s="24" t="s">
        <v>1144</v>
      </c>
    </row>
    <row r="50" spans="1:11" x14ac:dyDescent="0.25">
      <c r="A50" s="25"/>
      <c r="B50" s="30">
        <v>46132</v>
      </c>
      <c r="C50" s="26" t="s">
        <v>21</v>
      </c>
      <c r="D50" s="38" t="s">
        <v>22</v>
      </c>
      <c r="E50" s="26" t="s">
        <v>261</v>
      </c>
      <c r="F50" s="28">
        <v>0</v>
      </c>
      <c r="G50" s="28"/>
      <c r="H50" s="28">
        <f>A_Cuong_Linh_Dam[[#This Row],[ĐƠN GIÁ]]*A_Cuong_Linh_Dam[[#This Row],[SỐ LƯỢNG]]</f>
        <v>0</v>
      </c>
      <c r="I50" s="28">
        <v>93009840</v>
      </c>
      <c r="J50" s="28">
        <f>J49+A_Cuong_Linh_Dam[[#This Row],[THÀNH TIỀN]]-A_Cuong_Linh_Dam[[#This Row],[THANH TOÁN]]</f>
        <v>276475160</v>
      </c>
      <c r="K50" s="27"/>
    </row>
    <row r="51" spans="1:11" x14ac:dyDescent="0.25">
      <c r="A51" s="25"/>
      <c r="B51" s="30">
        <v>46132</v>
      </c>
      <c r="C51" s="26" t="s">
        <v>21</v>
      </c>
      <c r="D51" s="38" t="s">
        <v>22</v>
      </c>
      <c r="E51" s="26" t="s">
        <v>2067</v>
      </c>
      <c r="F51" s="28">
        <v>0</v>
      </c>
      <c r="G51" s="28"/>
      <c r="H51" s="28">
        <f>A_Cuong_Linh_Dam[[#This Row],[ĐƠN GIÁ]]*A_Cuong_Linh_Dam[[#This Row],[SỐ LƯỢNG]]</f>
        <v>0</v>
      </c>
      <c r="I51" s="28">
        <v>18880000</v>
      </c>
      <c r="J51" s="28">
        <f>J50+A_Cuong_Linh_Dam[[#This Row],[THÀNH TIỀN]]-A_Cuong_Linh_Dam[[#This Row],[THANH TOÁN]]</f>
        <v>257595160</v>
      </c>
      <c r="K51" s="27"/>
    </row>
    <row r="52" spans="1:11" x14ac:dyDescent="0.25">
      <c r="A52" s="25"/>
      <c r="B52" s="30">
        <v>46132</v>
      </c>
      <c r="C52" s="26" t="s">
        <v>21</v>
      </c>
      <c r="D52" s="38" t="s">
        <v>22</v>
      </c>
      <c r="E52" s="26" t="s">
        <v>2067</v>
      </c>
      <c r="F52" s="28">
        <v>0</v>
      </c>
      <c r="G52" s="28"/>
      <c r="H52" s="28">
        <f>A_Cuong_Linh_Dam[[#This Row],[ĐƠN GIÁ]]*A_Cuong_Linh_Dam[[#This Row],[SỐ LƯỢNG]]</f>
        <v>0</v>
      </c>
      <c r="I52" s="28">
        <v>6785000</v>
      </c>
      <c r="J52" s="28">
        <f>J51+A_Cuong_Linh_Dam[[#This Row],[THÀNH TIỀN]]-A_Cuong_Linh_Dam[[#This Row],[THANH TOÁN]]</f>
        <v>250810160</v>
      </c>
      <c r="K52" s="27"/>
    </row>
    <row r="53" spans="1:11" x14ac:dyDescent="0.25">
      <c r="A53" s="25"/>
      <c r="B53" s="30">
        <v>46134</v>
      </c>
      <c r="C53" s="26" t="s">
        <v>21</v>
      </c>
      <c r="D53" s="38" t="s">
        <v>22</v>
      </c>
      <c r="E53" s="26" t="s">
        <v>2067</v>
      </c>
      <c r="F53" s="28">
        <v>0</v>
      </c>
      <c r="G53" s="28"/>
      <c r="H53" s="28">
        <f>A_Cuong_Linh_Dam[[#This Row],[ĐƠN GIÁ]]*A_Cuong_Linh_Dam[[#This Row],[SỐ LƯỢNG]]</f>
        <v>0</v>
      </c>
      <c r="I53" s="28">
        <v>17300000</v>
      </c>
      <c r="J53" s="28">
        <f>J52+A_Cuong_Linh_Dam[[#This Row],[THÀNH TIỀN]]-A_Cuong_Linh_Dam[[#This Row],[THANH TOÁN]]</f>
        <v>233510160</v>
      </c>
      <c r="K53" s="27"/>
    </row>
    <row r="54" spans="1:11" x14ac:dyDescent="0.25">
      <c r="A54" s="25"/>
      <c r="B54" s="30">
        <v>46134</v>
      </c>
      <c r="C54" s="26" t="s">
        <v>21</v>
      </c>
      <c r="D54" s="38" t="s">
        <v>22</v>
      </c>
      <c r="E54" s="26" t="s">
        <v>2067</v>
      </c>
      <c r="F54" s="28">
        <v>0</v>
      </c>
      <c r="G54" s="28"/>
      <c r="H54" s="28">
        <f>A_Cuong_Linh_Dam[[#This Row],[ĐƠN GIÁ]]*A_Cuong_Linh_Dam[[#This Row],[SỐ LƯỢNG]]</f>
        <v>0</v>
      </c>
      <c r="I54" s="28">
        <v>6400000</v>
      </c>
      <c r="J54" s="28">
        <f>J53+A_Cuong_Linh_Dam[[#This Row],[THÀNH TIỀN]]-A_Cuong_Linh_Dam[[#This Row],[THANH TOÁN]]</f>
        <v>227110160</v>
      </c>
      <c r="K54" s="27"/>
    </row>
    <row r="55" spans="1:11" x14ac:dyDescent="0.25">
      <c r="A55" s="25"/>
      <c r="B55" s="30">
        <v>46137</v>
      </c>
      <c r="C55" s="26" t="s">
        <v>21</v>
      </c>
      <c r="D55" s="38" t="s">
        <v>22</v>
      </c>
      <c r="E55" s="26" t="s">
        <v>2067</v>
      </c>
      <c r="F55" s="28"/>
      <c r="G55" s="28"/>
      <c r="H55" s="28">
        <f>A_Cuong_Linh_Dam[[#This Row],[ĐƠN GIÁ]]*A_Cuong_Linh_Dam[[#This Row],[SỐ LƯỢNG]]</f>
        <v>0</v>
      </c>
      <c r="I55" s="28">
        <v>250000</v>
      </c>
      <c r="J55" s="28">
        <f>J54+A_Cuong_Linh_Dam[[#This Row],[THÀNH TIỀN]]-A_Cuong_Linh_Dam[[#This Row],[THANH TOÁN]]</f>
        <v>226860160</v>
      </c>
      <c r="K55" s="27"/>
    </row>
    <row r="56" spans="1:11" x14ac:dyDescent="0.25">
      <c r="A56" s="25"/>
      <c r="B56" s="30">
        <v>46149</v>
      </c>
      <c r="C56" s="26" t="s">
        <v>21</v>
      </c>
      <c r="D56" s="38" t="s">
        <v>22</v>
      </c>
      <c r="E56" s="26" t="s">
        <v>2067</v>
      </c>
      <c r="F56" s="28">
        <v>0</v>
      </c>
      <c r="G56" s="28"/>
      <c r="H56" s="28">
        <f>A_Cuong_Linh_Dam[[#This Row],[ĐƠN GIÁ]]*A_Cuong_Linh_Dam[[#This Row],[SỐ LƯỢNG]]</f>
        <v>0</v>
      </c>
      <c r="I56" s="28">
        <v>3390000</v>
      </c>
      <c r="J56" s="28">
        <f>J55+A_Cuong_Linh_Dam[[#This Row],[THÀNH TIỀN]]-A_Cuong_Linh_Dam[[#This Row],[THANH TOÁN]]</f>
        <v>223470160</v>
      </c>
      <c r="K56" s="27"/>
    </row>
    <row r="57" spans="1:11" x14ac:dyDescent="0.25">
      <c r="A57" s="25"/>
      <c r="B57" s="30">
        <v>46149</v>
      </c>
      <c r="C57" s="26" t="s">
        <v>21</v>
      </c>
      <c r="D57" s="38" t="s">
        <v>22</v>
      </c>
      <c r="E57" s="26" t="s">
        <v>2067</v>
      </c>
      <c r="F57" s="28">
        <v>0</v>
      </c>
      <c r="G57" s="28"/>
      <c r="H57" s="28">
        <f>A_Cuong_Linh_Dam[[#This Row],[ĐƠN GIÁ]]*A_Cuong_Linh_Dam[[#This Row],[SỐ LƯỢNG]]</f>
        <v>0</v>
      </c>
      <c r="I57" s="28">
        <v>8370000</v>
      </c>
      <c r="J57" s="28">
        <f>J56+A_Cuong_Linh_Dam[[#This Row],[THÀNH TIỀN]]-A_Cuong_Linh_Dam[[#This Row],[THANH TOÁN]]</f>
        <v>215100160</v>
      </c>
      <c r="K57" s="27"/>
    </row>
    <row r="58" spans="1:11" x14ac:dyDescent="0.25">
      <c r="A58" s="22"/>
      <c r="B58" s="29">
        <v>46150</v>
      </c>
      <c r="C58" s="23" t="s">
        <v>21</v>
      </c>
      <c r="D58" s="37" t="s">
        <v>22</v>
      </c>
      <c r="E58" s="23" t="s">
        <v>2067</v>
      </c>
      <c r="F58" s="31"/>
      <c r="G58" s="31"/>
      <c r="H58" s="31">
        <f>A_Cuong_Linh_Dam[[#This Row],[ĐƠN GIÁ]]*A_Cuong_Linh_Dam[[#This Row],[SỐ LƯỢNG]]</f>
        <v>0</v>
      </c>
      <c r="I58" s="31">
        <v>17470000</v>
      </c>
      <c r="J58" s="31">
        <f>J57+A_Cuong_Linh_Dam[[#This Row],[THÀNH TIỀN]]-A_Cuong_Linh_Dam[[#This Row],[THANH TOÁN]]</f>
        <v>197630160</v>
      </c>
      <c r="K58" s="24"/>
    </row>
    <row r="59" spans="1:11" x14ac:dyDescent="0.25">
      <c r="A59" s="22"/>
      <c r="B59" s="29">
        <v>46150</v>
      </c>
      <c r="C59" s="23" t="s">
        <v>21</v>
      </c>
      <c r="D59" s="37" t="s">
        <v>22</v>
      </c>
      <c r="E59" s="23" t="s">
        <v>2067</v>
      </c>
      <c r="F59" s="31"/>
      <c r="G59" s="31"/>
      <c r="H59" s="31">
        <f>A_Cuong_Linh_Dam[[#This Row],[ĐƠN GIÁ]]*A_Cuong_Linh_Dam[[#This Row],[SỐ LƯỢNG]]</f>
        <v>0</v>
      </c>
      <c r="I59" s="31">
        <v>16300000</v>
      </c>
      <c r="J59" s="31">
        <f>J58+A_Cuong_Linh_Dam[[#This Row],[THÀNH TIỀN]]-A_Cuong_Linh_Dam[[#This Row],[THANH TOÁN]]</f>
        <v>181330160</v>
      </c>
      <c r="K59" s="24"/>
    </row>
    <row r="60" spans="1:11" x14ac:dyDescent="0.25">
      <c r="A60" s="22"/>
      <c r="B60" s="29">
        <v>46152</v>
      </c>
      <c r="C60" s="23" t="s">
        <v>21</v>
      </c>
      <c r="D60" s="37" t="s">
        <v>22</v>
      </c>
      <c r="E60" s="23" t="s">
        <v>2067</v>
      </c>
      <c r="F60" s="31"/>
      <c r="G60" s="31"/>
      <c r="H60" s="31">
        <f>A_Cuong_Linh_Dam[[#This Row],[ĐƠN GIÁ]]*A_Cuong_Linh_Dam[[#This Row],[SỐ LƯỢNG]]</f>
        <v>0</v>
      </c>
      <c r="I60" s="31">
        <v>35900000</v>
      </c>
      <c r="J60" s="31">
        <f>J59+A_Cuong_Linh_Dam[[#This Row],[THÀNH TIỀN]]-A_Cuong_Linh_Dam[[#This Row],[THANH TOÁN]]</f>
        <v>145430160</v>
      </c>
      <c r="K60" s="24"/>
    </row>
    <row r="61" spans="1:11" x14ac:dyDescent="0.25">
      <c r="A61" s="22"/>
      <c r="B61" s="29">
        <v>46155</v>
      </c>
      <c r="C61" s="23" t="s">
        <v>21</v>
      </c>
      <c r="D61" s="37" t="s">
        <v>22</v>
      </c>
      <c r="E61" s="23" t="s">
        <v>2067</v>
      </c>
      <c r="F61" s="31">
        <v>0</v>
      </c>
      <c r="G61" s="31"/>
      <c r="H61" s="31">
        <f>A_Cuong_Linh_Dam[[#This Row],[ĐƠN GIÁ]]*A_Cuong_Linh_Dam[[#This Row],[SỐ LƯỢNG]]</f>
        <v>0</v>
      </c>
      <c r="I61" s="31">
        <v>10150000</v>
      </c>
      <c r="J61" s="31">
        <f>J60+A_Cuong_Linh_Dam[[#This Row],[THÀNH TIỀN]]-A_Cuong_Linh_Dam[[#This Row],[THANH TOÁN]]</f>
        <v>135280160</v>
      </c>
      <c r="K61" s="24"/>
    </row>
    <row r="62" spans="1:11" x14ac:dyDescent="0.25">
      <c r="A62" s="22"/>
      <c r="B62" s="29">
        <v>46160</v>
      </c>
      <c r="C62" s="23" t="s">
        <v>21</v>
      </c>
      <c r="D62" s="37" t="s">
        <v>22</v>
      </c>
      <c r="E62" s="23" t="s">
        <v>2067</v>
      </c>
      <c r="F62" s="31"/>
      <c r="G62" s="31"/>
      <c r="H62" s="31">
        <f>A_Cuong_Linh_Dam[[#This Row],[ĐƠN GIÁ]]*A_Cuong_Linh_Dam[[#This Row],[SỐ LƯỢNG]]</f>
        <v>0</v>
      </c>
      <c r="I62" s="31">
        <v>12500000</v>
      </c>
      <c r="J62" s="31">
        <f>J61+A_Cuong_Linh_Dam[[#This Row],[THÀNH TIỀN]]-A_Cuong_Linh_Dam[[#This Row],[THANH TOÁN]]</f>
        <v>122780160</v>
      </c>
      <c r="K62" s="24"/>
    </row>
    <row r="63" spans="1:11" x14ac:dyDescent="0.25">
      <c r="A63" s="22"/>
      <c r="B63" s="29">
        <v>46161</v>
      </c>
      <c r="C63" s="23" t="s">
        <v>21</v>
      </c>
      <c r="D63" s="37" t="s">
        <v>22</v>
      </c>
      <c r="E63" s="23" t="s">
        <v>2067</v>
      </c>
      <c r="F63" s="31">
        <v>0</v>
      </c>
      <c r="G63" s="31"/>
      <c r="H63" s="31">
        <f>A_Cuong_Linh_Dam[[#This Row],[ĐƠN GIÁ]]*A_Cuong_Linh_Dam[[#This Row],[SỐ LƯỢNG]]</f>
        <v>0</v>
      </c>
      <c r="I63" s="31">
        <v>7000000</v>
      </c>
      <c r="J63" s="31">
        <f>J62+A_Cuong_Linh_Dam[[#This Row],[THÀNH TIỀN]]-A_Cuong_Linh_Dam[[#This Row],[THANH TOÁN]]</f>
        <v>115780160</v>
      </c>
      <c r="K63" s="24"/>
    </row>
    <row r="64" spans="1:11" x14ac:dyDescent="0.25">
      <c r="A64" s="22">
        <v>9567</v>
      </c>
      <c r="B64" s="29">
        <v>46165</v>
      </c>
      <c r="C64" s="23" t="s">
        <v>13</v>
      </c>
      <c r="D64" s="37" t="s">
        <v>1085</v>
      </c>
      <c r="E64" s="23" t="s">
        <v>62</v>
      </c>
      <c r="F64" s="31">
        <v>1989</v>
      </c>
      <c r="G64" s="31">
        <v>38300</v>
      </c>
      <c r="H64" s="31">
        <f>A_Cuong_Linh_Dam[[#This Row],[ĐƠN GIÁ]]*A_Cuong_Linh_Dam[[#This Row],[SỐ LƯỢNG]]</f>
        <v>76178700</v>
      </c>
      <c r="I64" s="31"/>
      <c r="J64" s="31">
        <f>J63+A_Cuong_Linh_Dam[[#This Row],[THÀNH TIỀN]]-A_Cuong_Linh_Dam[[#This Row],[THANH TOÁN]]</f>
        <v>191958860</v>
      </c>
      <c r="K64" s="24" t="s">
        <v>2311</v>
      </c>
    </row>
    <row r="65" spans="1:11" x14ac:dyDescent="0.25">
      <c r="A65" s="22"/>
      <c r="B65" s="29">
        <v>46165</v>
      </c>
      <c r="C65" s="23" t="s">
        <v>21</v>
      </c>
      <c r="D65" s="37" t="s">
        <v>22</v>
      </c>
      <c r="E65" s="23" t="s">
        <v>2067</v>
      </c>
      <c r="F65" s="31">
        <v>0</v>
      </c>
      <c r="G65" s="31"/>
      <c r="H65" s="31">
        <f>A_Cuong_Linh_Dam[[#This Row],[ĐƠN GIÁ]]*A_Cuong_Linh_Dam[[#This Row],[SỐ LƯỢNG]]</f>
        <v>0</v>
      </c>
      <c r="I65" s="31">
        <v>24100000</v>
      </c>
      <c r="J65" s="31">
        <f>J64+A_Cuong_Linh_Dam[[#This Row],[THÀNH TIỀN]]-A_Cuong_Linh_Dam[[#This Row],[THANH TOÁN]]</f>
        <v>167858860</v>
      </c>
      <c r="K65" s="24"/>
    </row>
    <row r="66" spans="1:11" x14ac:dyDescent="0.25">
      <c r="A66" s="25"/>
      <c r="B66" s="30">
        <v>46166</v>
      </c>
      <c r="C66" s="26" t="s">
        <v>21</v>
      </c>
      <c r="D66" s="38" t="s">
        <v>22</v>
      </c>
      <c r="E66" s="23" t="s">
        <v>2067</v>
      </c>
      <c r="F66" s="28">
        <v>0</v>
      </c>
      <c r="G66" s="28"/>
      <c r="H66" s="28">
        <f>A_Cuong_Linh_Dam[[#This Row],[ĐƠN GIÁ]]*A_Cuong_Linh_Dam[[#This Row],[SỐ LƯỢNG]]</f>
        <v>0</v>
      </c>
      <c r="I66" s="28">
        <v>6260000</v>
      </c>
      <c r="J66" s="28">
        <f>J65+A_Cuong_Linh_Dam[[#This Row],[THÀNH TIỀN]]-A_Cuong_Linh_Dam[[#This Row],[THANH TOÁN]]</f>
        <v>161598860</v>
      </c>
      <c r="K66" s="27"/>
    </row>
    <row r="67" spans="1:11" x14ac:dyDescent="0.25">
      <c r="A67" s="25"/>
      <c r="B67" s="30">
        <v>46167</v>
      </c>
      <c r="C67" s="26" t="s">
        <v>21</v>
      </c>
      <c r="D67" s="38" t="s">
        <v>22</v>
      </c>
      <c r="E67" s="23" t="s">
        <v>2067</v>
      </c>
      <c r="F67" s="28">
        <v>0</v>
      </c>
      <c r="G67" s="28"/>
      <c r="H67" s="28">
        <f>A_Cuong_Linh_Dam[[#This Row],[ĐƠN GIÁ]]*A_Cuong_Linh_Dam[[#This Row],[SỐ LƯỢNG]]</f>
        <v>0</v>
      </c>
      <c r="I67" s="28">
        <v>28100000</v>
      </c>
      <c r="J67" s="28">
        <f>J66+A_Cuong_Linh_Dam[[#This Row],[THÀNH TIỀN]]-A_Cuong_Linh_Dam[[#This Row],[THANH TOÁN]]</f>
        <v>133498860</v>
      </c>
      <c r="K67" s="27"/>
    </row>
    <row r="68" spans="1:11" x14ac:dyDescent="0.25">
      <c r="A68" s="25"/>
      <c r="B68" s="30">
        <v>46168</v>
      </c>
      <c r="C68" s="26" t="s">
        <v>21</v>
      </c>
      <c r="D68" s="38" t="s">
        <v>22</v>
      </c>
      <c r="E68" s="23" t="s">
        <v>2067</v>
      </c>
      <c r="F68" s="28">
        <v>0</v>
      </c>
      <c r="G68" s="28"/>
      <c r="H68" s="28">
        <f>A_Cuong_Linh_Dam[[#This Row],[ĐƠN GIÁ]]*A_Cuong_Linh_Dam[[#This Row],[SỐ LƯỢNG]]</f>
        <v>0</v>
      </c>
      <c r="I68" s="28">
        <v>28945000</v>
      </c>
      <c r="J68" s="28">
        <f>J67+A_Cuong_Linh_Dam[[#This Row],[THÀNH TIỀN]]-A_Cuong_Linh_Dam[[#This Row],[THANH TOÁN]]</f>
        <v>104553860</v>
      </c>
      <c r="K68" s="27"/>
    </row>
    <row r="69" spans="1:11" x14ac:dyDescent="0.25">
      <c r="A69" s="25"/>
      <c r="B69" s="30">
        <v>46168</v>
      </c>
      <c r="C69" s="26" t="s">
        <v>21</v>
      </c>
      <c r="D69" s="38" t="s">
        <v>22</v>
      </c>
      <c r="E69" s="26" t="s">
        <v>2067</v>
      </c>
      <c r="F69" s="28">
        <v>0</v>
      </c>
      <c r="G69" s="28"/>
      <c r="H69" s="28">
        <f>A_Cuong_Linh_Dam[[#This Row],[ĐƠN GIÁ]]*A_Cuong_Linh_Dam[[#This Row],[SỐ LƯỢNG]]</f>
        <v>0</v>
      </c>
      <c r="I69" s="28">
        <v>8950000</v>
      </c>
      <c r="J69" s="28">
        <f>J68+A_Cuong_Linh_Dam[[#This Row],[THÀNH TIỀN]]-A_Cuong_Linh_Dam[[#This Row],[THANH TOÁN]]</f>
        <v>95603860</v>
      </c>
      <c r="K69" s="27"/>
    </row>
    <row r="70" spans="1:11" x14ac:dyDescent="0.25">
      <c r="A70" s="25">
        <v>9744</v>
      </c>
      <c r="B70" s="30">
        <v>46175</v>
      </c>
      <c r="C70" s="26" t="s">
        <v>13</v>
      </c>
      <c r="D70" s="38" t="s">
        <v>26</v>
      </c>
      <c r="E70" s="26" t="s">
        <v>40</v>
      </c>
      <c r="F70" s="28">
        <v>2857</v>
      </c>
      <c r="G70" s="28">
        <v>36000</v>
      </c>
      <c r="H70" s="28">
        <f>A_Cuong_Linh_Dam[[#This Row],[ĐƠN GIÁ]]*A_Cuong_Linh_Dam[[#This Row],[SỐ LƯỢNG]]</f>
        <v>102852000</v>
      </c>
      <c r="I70" s="28"/>
      <c r="J70" s="28">
        <f>J69+A_Cuong_Linh_Dam[[#This Row],[THÀNH TIỀN]]-A_Cuong_Linh_Dam[[#This Row],[THANH TOÁN]]</f>
        <v>198455860</v>
      </c>
      <c r="K70" s="27"/>
    </row>
    <row r="79" spans="1:11" x14ac:dyDescent="0.25">
      <c r="H79" s="3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685EE-1E01-4472-A601-F87E418897C2}">
  <sheetPr codeName="Sheet74"/>
  <dimension ref="A5:K44"/>
  <sheetViews>
    <sheetView workbookViewId="0">
      <selection activeCell="F11" sqref="F11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88502000</v>
      </c>
    </row>
    <row r="6" spans="1:11" ht="22.5" x14ac:dyDescent="0.25">
      <c r="D6" s="34" t="s">
        <v>1145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C_Dung_HD[[#This Row],[ĐƠN GIÁ]]*C_Dung_HD[[#This Row],[SỐ LƯỢNG]]</f>
        <v>0</v>
      </c>
      <c r="I10" s="31"/>
      <c r="J10" s="31">
        <v>0</v>
      </c>
      <c r="K10" s="24"/>
    </row>
    <row r="11" spans="1:11" x14ac:dyDescent="0.25">
      <c r="A11" s="22">
        <v>7934</v>
      </c>
      <c r="B11" s="29">
        <v>46088</v>
      </c>
      <c r="C11" s="23" t="s">
        <v>13</v>
      </c>
      <c r="D11" s="37" t="s">
        <v>26</v>
      </c>
      <c r="E11" s="23" t="s">
        <v>1146</v>
      </c>
      <c r="F11" s="31">
        <f>1013+1124</f>
        <v>2137</v>
      </c>
      <c r="G11" s="31">
        <v>31000</v>
      </c>
      <c r="H11" s="31">
        <f>C_Dung_HD[[#This Row],[ĐƠN GIÁ]]*C_Dung_HD[[#This Row],[SỐ LƯỢNG]]</f>
        <v>66247000</v>
      </c>
      <c r="I11" s="31"/>
      <c r="J11" s="31">
        <f>J10+C_Dung_HD[[#This Row],[THÀNH TIỀN]]-C_Dung_HD[[#This Row],[THANH TOÁN]]</f>
        <v>66247000</v>
      </c>
      <c r="K11" s="24" t="s">
        <v>128</v>
      </c>
    </row>
    <row r="12" spans="1:11" x14ac:dyDescent="0.25">
      <c r="A12" s="22">
        <v>8028</v>
      </c>
      <c r="B12" s="29">
        <v>46093</v>
      </c>
      <c r="C12" s="23" t="s">
        <v>13</v>
      </c>
      <c r="D12" s="37" t="s">
        <v>109</v>
      </c>
      <c r="E12" s="23" t="s">
        <v>1147</v>
      </c>
      <c r="F12" s="31">
        <v>1644</v>
      </c>
      <c r="G12" s="31">
        <v>56000</v>
      </c>
      <c r="H12" s="31">
        <f>C_Dung_HD[[#This Row],[ĐƠN GIÁ]]*C_Dung_HD[[#This Row],[SỐ LƯỢNG]]</f>
        <v>92064000</v>
      </c>
      <c r="I12" s="31"/>
      <c r="J12" s="31">
        <f>J11+C_Dung_HD[[#This Row],[THÀNH TIỀN]]-C_Dung_HD[[#This Row],[THANH TOÁN]]</f>
        <v>158311000</v>
      </c>
      <c r="K12" s="24" t="s">
        <v>128</v>
      </c>
    </row>
    <row r="13" spans="1:11" x14ac:dyDescent="0.25">
      <c r="A13" s="22">
        <v>8028</v>
      </c>
      <c r="B13" s="29">
        <v>46093</v>
      </c>
      <c r="C13" s="23" t="s">
        <v>13</v>
      </c>
      <c r="D13" s="37" t="s">
        <v>109</v>
      </c>
      <c r="E13" s="23" t="s">
        <v>1148</v>
      </c>
      <c r="F13" s="31">
        <v>3656</v>
      </c>
      <c r="G13" s="31">
        <v>56000</v>
      </c>
      <c r="H13" s="31">
        <f>C_Dung_HD[[#This Row],[ĐƠN GIÁ]]*C_Dung_HD[[#This Row],[SỐ LƯỢNG]]</f>
        <v>204736000</v>
      </c>
      <c r="I13" s="31"/>
      <c r="J13" s="31">
        <f>J12+C_Dung_HD[[#This Row],[THÀNH TIỀN]]-C_Dung_HD[[#This Row],[THANH TOÁN]]</f>
        <v>363047000</v>
      </c>
      <c r="K13" s="24" t="s">
        <v>128</v>
      </c>
    </row>
    <row r="14" spans="1:11" x14ac:dyDescent="0.25">
      <c r="A14" s="25">
        <v>8214</v>
      </c>
      <c r="B14" s="30">
        <v>46104</v>
      </c>
      <c r="C14" s="26" t="s">
        <v>13</v>
      </c>
      <c r="D14" s="38" t="s">
        <v>43</v>
      </c>
      <c r="E14" s="26" t="s">
        <v>134</v>
      </c>
      <c r="F14" s="28">
        <v>1142</v>
      </c>
      <c r="G14" s="28">
        <f>58500-2000</f>
        <v>56500</v>
      </c>
      <c r="H14" s="28">
        <f>C_Dung_HD[[#This Row],[ĐƠN GIÁ]]*C_Dung_HD[[#This Row],[SỐ LƯỢNG]]</f>
        <v>64523000</v>
      </c>
      <c r="I14" s="28"/>
      <c r="J14" s="28">
        <f>J13+C_Dung_HD[[#This Row],[THÀNH TIỀN]]-C_Dung_HD[[#This Row],[THANH TOÁN]]</f>
        <v>427570000</v>
      </c>
      <c r="K14" s="27"/>
    </row>
    <row r="15" spans="1:11" x14ac:dyDescent="0.25">
      <c r="A15" s="25">
        <v>8398</v>
      </c>
      <c r="B15" s="30">
        <v>46109</v>
      </c>
      <c r="C15" s="26" t="s">
        <v>13</v>
      </c>
      <c r="D15" s="38" t="s">
        <v>1149</v>
      </c>
      <c r="E15" s="26" t="s">
        <v>1150</v>
      </c>
      <c r="F15" s="28">
        <v>1538</v>
      </c>
      <c r="G15" s="28">
        <v>34000</v>
      </c>
      <c r="H15" s="28">
        <f>C_Dung_HD[[#This Row],[ĐƠN GIÁ]]*C_Dung_HD[[#This Row],[SỐ LƯỢNG]]</f>
        <v>52292000</v>
      </c>
      <c r="I15" s="28"/>
      <c r="J15" s="28">
        <f>J14+C_Dung_HD[[#This Row],[THÀNH TIỀN]]-C_Dung_HD[[#This Row],[THANH TOÁN]]</f>
        <v>479862000</v>
      </c>
      <c r="K15" s="27"/>
    </row>
    <row r="16" spans="1:11" x14ac:dyDescent="0.25">
      <c r="A16" s="25"/>
      <c r="B16" s="30">
        <v>46088</v>
      </c>
      <c r="C16" s="26" t="s">
        <v>21</v>
      </c>
      <c r="D16" s="38" t="s">
        <v>24</v>
      </c>
      <c r="E16" s="26"/>
      <c r="F16" s="28">
        <v>0</v>
      </c>
      <c r="G16" s="28">
        <v>0</v>
      </c>
      <c r="H16" s="28">
        <f>C_Dung_HD[[#This Row],[ĐƠN GIÁ]]*C_Dung_HD[[#This Row],[SỐ LƯỢNG]]</f>
        <v>0</v>
      </c>
      <c r="I16" s="28">
        <v>66247000</v>
      </c>
      <c r="J16" s="28">
        <f>J15+C_Dung_HD[[#This Row],[THÀNH TIỀN]]-C_Dung_HD[[#This Row],[THANH TOÁN]]</f>
        <v>413615000</v>
      </c>
      <c r="K16" s="27"/>
    </row>
    <row r="17" spans="1:11" x14ac:dyDescent="0.25">
      <c r="A17" s="25"/>
      <c r="B17" s="30">
        <v>46093</v>
      </c>
      <c r="C17" s="26" t="s">
        <v>21</v>
      </c>
      <c r="D17" s="38" t="s">
        <v>24</v>
      </c>
      <c r="E17" s="26"/>
      <c r="F17" s="28">
        <v>0</v>
      </c>
      <c r="G17" s="28">
        <v>0</v>
      </c>
      <c r="H17" s="28">
        <f>C_Dung_HD[[#This Row],[ĐƠN GIÁ]]*C_Dung_HD[[#This Row],[SỐ LƯỢNG]]</f>
        <v>0</v>
      </c>
      <c r="I17" s="28">
        <v>296800000</v>
      </c>
      <c r="J17" s="28">
        <f>J16+C_Dung_HD[[#This Row],[THÀNH TIỀN]]-C_Dung_HD[[#This Row],[THANH TOÁN]]</f>
        <v>116815000</v>
      </c>
      <c r="K17" s="27"/>
    </row>
    <row r="18" spans="1:11" x14ac:dyDescent="0.25">
      <c r="A18" s="25"/>
      <c r="B18" s="30">
        <v>46104</v>
      </c>
      <c r="C18" s="26" t="s">
        <v>21</v>
      </c>
      <c r="D18" s="38" t="s">
        <v>24</v>
      </c>
      <c r="E18" s="26"/>
      <c r="F18" s="28">
        <f>1091+958+901</f>
        <v>2950</v>
      </c>
      <c r="G18" s="28"/>
      <c r="H18" s="28">
        <f>C_Dung_HD[[#This Row],[ĐƠN GIÁ]]*C_Dung_HD[[#This Row],[SỐ LƯỢNG]]</f>
        <v>0</v>
      </c>
      <c r="I18" s="28">
        <v>64523000</v>
      </c>
      <c r="J18" s="28">
        <f>J17+C_Dung_HD[[#This Row],[THÀNH TIỀN]]-C_Dung_HD[[#This Row],[THANH TOÁN]]</f>
        <v>52292000</v>
      </c>
      <c r="K18" s="27"/>
    </row>
    <row r="19" spans="1:11" x14ac:dyDescent="0.25">
      <c r="A19" s="25"/>
      <c r="B19" s="30">
        <v>46109</v>
      </c>
      <c r="C19" s="26" t="s">
        <v>21</v>
      </c>
      <c r="D19" s="38" t="s">
        <v>24</v>
      </c>
      <c r="E19" s="26"/>
      <c r="F19" s="28">
        <f>1091+958+901</f>
        <v>2950</v>
      </c>
      <c r="G19" s="28"/>
      <c r="H19" s="28">
        <f>C_Dung_HD[[#This Row],[ĐƠN GIÁ]]*C_Dung_HD[[#This Row],[SỐ LƯỢNG]]</f>
        <v>0</v>
      </c>
      <c r="I19" s="28">
        <v>52292000</v>
      </c>
      <c r="J19" s="28">
        <f>J18+C_Dung_HD[[#This Row],[THÀNH TIỀN]]-C_Dung_HD[[#This Row],[THANH TOÁN]]</f>
        <v>0</v>
      </c>
      <c r="K19" s="27"/>
    </row>
    <row r="20" spans="1:11" x14ac:dyDescent="0.25">
      <c r="A20" s="22">
        <v>8592</v>
      </c>
      <c r="B20" s="29">
        <v>46118</v>
      </c>
      <c r="C20" s="23" t="s">
        <v>13</v>
      </c>
      <c r="D20" s="37" t="s">
        <v>26</v>
      </c>
      <c r="E20" s="23" t="s">
        <v>254</v>
      </c>
      <c r="F20" s="31">
        <v>2330</v>
      </c>
      <c r="G20" s="31">
        <v>33000</v>
      </c>
      <c r="H20" s="31">
        <f>C_Dung_HD[[#This Row],[ĐƠN GIÁ]]*C_Dung_HD[[#This Row],[SỐ LƯỢNG]]</f>
        <v>76890000</v>
      </c>
      <c r="I20" s="31"/>
      <c r="J20" s="31">
        <f>J19+C_Dung_HD[[#This Row],[THÀNH TIỀN]]-C_Dung_HD[[#This Row],[THANH TOÁN]]</f>
        <v>76890000</v>
      </c>
      <c r="K20" s="24" t="s">
        <v>42</v>
      </c>
    </row>
    <row r="21" spans="1:11" x14ac:dyDescent="0.25">
      <c r="A21" s="22">
        <v>8823</v>
      </c>
      <c r="B21" s="29">
        <v>46128</v>
      </c>
      <c r="C21" s="23" t="s">
        <v>13</v>
      </c>
      <c r="D21" s="37" t="s">
        <v>43</v>
      </c>
      <c r="E21" s="23" t="s">
        <v>204</v>
      </c>
      <c r="F21" s="31">
        <v>426</v>
      </c>
      <c r="G21" s="31">
        <v>58000</v>
      </c>
      <c r="H21" s="31">
        <f>C_Dung_HD[[#This Row],[ĐƠN GIÁ]]*C_Dung_HD[[#This Row],[SỐ LƯỢNG]]</f>
        <v>24708000</v>
      </c>
      <c r="I21" s="31"/>
      <c r="J21" s="31">
        <f>J20+C_Dung_HD[[#This Row],[THÀNH TIỀN]]-C_Dung_HD[[#This Row],[THANH TOÁN]]</f>
        <v>101598000</v>
      </c>
      <c r="K21" s="24"/>
    </row>
    <row r="22" spans="1:11" x14ac:dyDescent="0.25">
      <c r="A22" s="22">
        <v>8881</v>
      </c>
      <c r="B22" s="29">
        <v>46130</v>
      </c>
      <c r="C22" s="23" t="s">
        <v>13</v>
      </c>
      <c r="D22" s="37" t="s">
        <v>26</v>
      </c>
      <c r="E22" s="23" t="s">
        <v>1151</v>
      </c>
      <c r="F22" s="31">
        <v>1439</v>
      </c>
      <c r="G22" s="31">
        <v>33000</v>
      </c>
      <c r="H22" s="31">
        <f>C_Dung_HD[[#This Row],[ĐƠN GIÁ]]*C_Dung_HD[[#This Row],[SỐ LƯỢNG]]</f>
        <v>47487000</v>
      </c>
      <c r="I22" s="31"/>
      <c r="J22" s="31">
        <f>J21+C_Dung_HD[[#This Row],[THÀNH TIỀN]]-C_Dung_HD[[#This Row],[THANH TOÁN]]</f>
        <v>149085000</v>
      </c>
      <c r="K22" s="24"/>
    </row>
    <row r="23" spans="1:11" x14ac:dyDescent="0.25">
      <c r="A23" s="22">
        <v>8881</v>
      </c>
      <c r="B23" s="29">
        <v>46130</v>
      </c>
      <c r="C23" s="23" t="s">
        <v>13</v>
      </c>
      <c r="D23" s="37" t="s">
        <v>26</v>
      </c>
      <c r="E23" s="23" t="s">
        <v>1152</v>
      </c>
      <c r="F23" s="31">
        <v>1928</v>
      </c>
      <c r="G23" s="31">
        <v>33000</v>
      </c>
      <c r="H23" s="31">
        <f>C_Dung_HD[[#This Row],[ĐƠN GIÁ]]*C_Dung_HD[[#This Row],[SỐ LƯỢNG]]</f>
        <v>63624000</v>
      </c>
      <c r="I23" s="31"/>
      <c r="J23" s="31">
        <f>J22+C_Dung_HD[[#This Row],[THÀNH TIỀN]]-C_Dung_HD[[#This Row],[THANH TOÁN]]</f>
        <v>212709000</v>
      </c>
      <c r="K23" s="24"/>
    </row>
    <row r="24" spans="1:11" x14ac:dyDescent="0.25">
      <c r="A24" s="22">
        <v>9052</v>
      </c>
      <c r="B24" s="29">
        <v>46139</v>
      </c>
      <c r="C24" s="23" t="s">
        <v>13</v>
      </c>
      <c r="D24" s="37" t="s">
        <v>43</v>
      </c>
      <c r="E24" s="23" t="s">
        <v>283</v>
      </c>
      <c r="F24" s="31">
        <v>1510</v>
      </c>
      <c r="G24" s="31">
        <v>61000</v>
      </c>
      <c r="H24" s="31">
        <f>C_Dung_HD[[#This Row],[ĐƠN GIÁ]]*C_Dung_HD[[#This Row],[SỐ LƯỢNG]]</f>
        <v>92110000</v>
      </c>
      <c r="I24" s="31"/>
      <c r="J24" s="31">
        <f>J23+C_Dung_HD[[#This Row],[THÀNH TIỀN]]-C_Dung_HD[[#This Row],[THANH TOÁN]]</f>
        <v>304819000</v>
      </c>
      <c r="K24" s="24"/>
    </row>
    <row r="25" spans="1:11" x14ac:dyDescent="0.25">
      <c r="A25" s="22"/>
      <c r="B25" s="29">
        <v>46140</v>
      </c>
      <c r="C25" s="23" t="s">
        <v>21</v>
      </c>
      <c r="D25" s="37" t="s">
        <v>22</v>
      </c>
      <c r="E25" s="23" t="s">
        <v>261</v>
      </c>
      <c r="F25" s="31">
        <v>0</v>
      </c>
      <c r="G25" s="31"/>
      <c r="H25" s="31">
        <f>C_Dung_HD[[#This Row],[ĐƠN GIÁ]]*C_Dung_HD[[#This Row],[SỐ LƯỢNG]]</f>
        <v>0</v>
      </c>
      <c r="I25" s="31">
        <v>92109160</v>
      </c>
      <c r="J25" s="31">
        <f>J24+C_Dung_HD[[#This Row],[THÀNH TIỀN]]-C_Dung_HD[[#This Row],[THANH TOÁN]]</f>
        <v>212709840</v>
      </c>
      <c r="K25" s="24"/>
    </row>
    <row r="26" spans="1:11" x14ac:dyDescent="0.25">
      <c r="A26" s="22">
        <v>9150</v>
      </c>
      <c r="B26" s="29">
        <v>46146</v>
      </c>
      <c r="C26" s="23" t="s">
        <v>13</v>
      </c>
      <c r="D26" s="37" t="s">
        <v>26</v>
      </c>
      <c r="E26" s="23" t="s">
        <v>283</v>
      </c>
      <c r="F26" s="31">
        <v>2274</v>
      </c>
      <c r="G26" s="31">
        <v>33000</v>
      </c>
      <c r="H26" s="31">
        <f>C_Dung_HD[[#This Row],[ĐƠN GIÁ]]*C_Dung_HD[[#This Row],[SỐ LƯỢNG]]</f>
        <v>75042000</v>
      </c>
      <c r="I26" s="31"/>
      <c r="J26" s="31">
        <f>J25+C_Dung_HD[[#This Row],[THÀNH TIỀN]]-C_Dung_HD[[#This Row],[THANH TOÁN]]</f>
        <v>287751840</v>
      </c>
      <c r="K26" s="24" t="s">
        <v>42</v>
      </c>
    </row>
    <row r="27" spans="1:11" x14ac:dyDescent="0.25">
      <c r="A27" s="22">
        <v>9213</v>
      </c>
      <c r="B27" s="29">
        <v>46148</v>
      </c>
      <c r="C27" s="23" t="s">
        <v>13</v>
      </c>
      <c r="D27" s="37" t="s">
        <v>26</v>
      </c>
      <c r="E27" s="23" t="s">
        <v>136</v>
      </c>
      <c r="F27" s="31">
        <v>1308</v>
      </c>
      <c r="G27" s="31">
        <v>33000</v>
      </c>
      <c r="H27" s="31">
        <f>C_Dung_HD[[#This Row],[ĐƠN GIÁ]]*C_Dung_HD[[#This Row],[SỐ LƯỢNG]]</f>
        <v>43164000</v>
      </c>
      <c r="I27" s="31"/>
      <c r="J27" s="31">
        <f>J26+C_Dung_HD[[#This Row],[THÀNH TIỀN]]-C_Dung_HD[[#This Row],[THANH TOÁN]]</f>
        <v>330915840</v>
      </c>
      <c r="K27" s="24" t="s">
        <v>42</v>
      </c>
    </row>
    <row r="28" spans="1:11" x14ac:dyDescent="0.25">
      <c r="A28" s="22">
        <v>9318</v>
      </c>
      <c r="B28" s="29">
        <v>46153</v>
      </c>
      <c r="C28" s="23" t="s">
        <v>13</v>
      </c>
      <c r="D28" s="37" t="s">
        <v>43</v>
      </c>
      <c r="E28" s="23" t="s">
        <v>2015</v>
      </c>
      <c r="F28" s="31">
        <v>1052</v>
      </c>
      <c r="G28" s="31">
        <v>61500</v>
      </c>
      <c r="H28" s="31">
        <f>C_Dung_HD[[#This Row],[ĐƠN GIÁ]]*C_Dung_HD[[#This Row],[SỐ LƯỢNG]]</f>
        <v>64698000</v>
      </c>
      <c r="I28" s="31"/>
      <c r="J28" s="31">
        <f>J27+C_Dung_HD[[#This Row],[THÀNH TIỀN]]-C_Dung_HD[[#This Row],[THANH TOÁN]]</f>
        <v>395613840</v>
      </c>
      <c r="K28" s="24"/>
    </row>
    <row r="29" spans="1:11" x14ac:dyDescent="0.25">
      <c r="A29" s="22"/>
      <c r="B29" s="29">
        <v>46118</v>
      </c>
      <c r="C29" s="23" t="s">
        <v>21</v>
      </c>
      <c r="D29" s="37" t="s">
        <v>24</v>
      </c>
      <c r="E29" s="23"/>
      <c r="F29" s="31">
        <v>0</v>
      </c>
      <c r="G29" s="31"/>
      <c r="H29" s="31">
        <f>C_Dung_HD[[#This Row],[ĐƠN GIÁ]]*C_Dung_HD[[#This Row],[SỐ LƯỢNG]]</f>
        <v>0</v>
      </c>
      <c r="I29" s="31">
        <v>66890000</v>
      </c>
      <c r="J29" s="31">
        <f>J28+C_Dung_HD[[#This Row],[THÀNH TIỀN]]-C_Dung_HD[[#This Row],[THANH TOÁN]]</f>
        <v>328723840</v>
      </c>
      <c r="K29" s="24"/>
    </row>
    <row r="30" spans="1:11" x14ac:dyDescent="0.25">
      <c r="A30" s="22"/>
      <c r="B30" s="29">
        <v>46128</v>
      </c>
      <c r="C30" s="23" t="s">
        <v>21</v>
      </c>
      <c r="D30" s="37" t="s">
        <v>24</v>
      </c>
      <c r="E30" s="23"/>
      <c r="F30" s="31">
        <v>0</v>
      </c>
      <c r="G30" s="31"/>
      <c r="H30" s="31">
        <f>C_Dung_HD[[#This Row],[ĐƠN GIÁ]]*C_Dung_HD[[#This Row],[SỐ LƯỢNG]]</f>
        <v>0</v>
      </c>
      <c r="I30" s="31">
        <v>34710000</v>
      </c>
      <c r="J30" s="31">
        <f>J29+C_Dung_HD[[#This Row],[THÀNH TIỀN]]-C_Dung_HD[[#This Row],[THANH TOÁN]]</f>
        <v>294013840</v>
      </c>
      <c r="K30" s="24"/>
    </row>
    <row r="31" spans="1:11" x14ac:dyDescent="0.25">
      <c r="A31" s="22"/>
      <c r="B31" s="29">
        <v>46130</v>
      </c>
      <c r="C31" s="23" t="s">
        <v>21</v>
      </c>
      <c r="D31" s="37" t="s">
        <v>24</v>
      </c>
      <c r="E31" s="23"/>
      <c r="F31" s="31">
        <v>0</v>
      </c>
      <c r="G31" s="31"/>
      <c r="H31" s="31">
        <f>C_Dung_HD[[#This Row],[ĐƠN GIÁ]]*C_Dung_HD[[#This Row],[SỐ LƯỢNG]]</f>
        <v>0</v>
      </c>
      <c r="I31" s="31">
        <v>111111000</v>
      </c>
      <c r="J31" s="31">
        <f>J30+C_Dung_HD[[#This Row],[THÀNH TIỀN]]-C_Dung_HD[[#This Row],[THANH TOÁN]]</f>
        <v>182902840</v>
      </c>
      <c r="K31" s="24"/>
    </row>
    <row r="32" spans="1:11" x14ac:dyDescent="0.25">
      <c r="A32" s="22"/>
      <c r="B32" s="29">
        <v>46146</v>
      </c>
      <c r="C32" s="23" t="s">
        <v>21</v>
      </c>
      <c r="D32" s="37" t="s">
        <v>24</v>
      </c>
      <c r="E32" s="23"/>
      <c r="F32" s="31">
        <v>0</v>
      </c>
      <c r="G32" s="31"/>
      <c r="H32" s="31">
        <f>C_Dung_HD[[#This Row],[ĐƠN GIÁ]]*C_Dung_HD[[#This Row],[SỐ LƯỢNG]]</f>
        <v>0</v>
      </c>
      <c r="I32" s="31">
        <v>75042000</v>
      </c>
      <c r="J32" s="31">
        <f>J31+C_Dung_HD[[#This Row],[THÀNH TIỀN]]-C_Dung_HD[[#This Row],[THANH TOÁN]]</f>
        <v>107860840</v>
      </c>
      <c r="K32" s="24"/>
    </row>
    <row r="33" spans="1:11" x14ac:dyDescent="0.25">
      <c r="A33" s="22"/>
      <c r="B33" s="29">
        <v>46148</v>
      </c>
      <c r="C33" s="23" t="s">
        <v>21</v>
      </c>
      <c r="D33" s="37" t="s">
        <v>24</v>
      </c>
      <c r="E33" s="23"/>
      <c r="F33" s="31">
        <v>0</v>
      </c>
      <c r="G33" s="31"/>
      <c r="H33" s="31">
        <f>C_Dung_HD[[#This Row],[ĐƠN GIÁ]]*C_Dung_HD[[#This Row],[SỐ LƯỢNG]]</f>
        <v>0</v>
      </c>
      <c r="I33" s="31">
        <v>43165000</v>
      </c>
      <c r="J33" s="31">
        <f>J32+C_Dung_HD[[#This Row],[THÀNH TIỀN]]-C_Dung_HD[[#This Row],[THANH TOÁN]]</f>
        <v>64695840</v>
      </c>
      <c r="K33" s="24"/>
    </row>
    <row r="34" spans="1:11" x14ac:dyDescent="0.25">
      <c r="A34" s="22"/>
      <c r="B34" s="29">
        <v>46153</v>
      </c>
      <c r="C34" s="23" t="s">
        <v>21</v>
      </c>
      <c r="D34" s="37" t="s">
        <v>24</v>
      </c>
      <c r="E34" s="23"/>
      <c r="F34" s="31">
        <v>0</v>
      </c>
      <c r="G34" s="31"/>
      <c r="H34" s="31">
        <f>C_Dung_HD[[#This Row],[ĐƠN GIÁ]]*C_Dung_HD[[#This Row],[SỐ LƯỢNG]]</f>
        <v>0</v>
      </c>
      <c r="I34" s="31">
        <v>64700000</v>
      </c>
      <c r="J34" s="31">
        <f>J33+C_Dung_HD[[#This Row],[THÀNH TIỀN]]-C_Dung_HD[[#This Row],[THANH TOÁN]]</f>
        <v>-4160</v>
      </c>
      <c r="K34" s="24"/>
    </row>
    <row r="35" spans="1:11" x14ac:dyDescent="0.25">
      <c r="A35" s="22">
        <v>9462</v>
      </c>
      <c r="B35" s="29">
        <v>46160</v>
      </c>
      <c r="C35" s="23" t="s">
        <v>13</v>
      </c>
      <c r="D35" s="37" t="s">
        <v>54</v>
      </c>
      <c r="E35" s="23" t="s">
        <v>2206</v>
      </c>
      <c r="F35" s="31">
        <v>1450</v>
      </c>
      <c r="G35" s="31"/>
      <c r="H35" s="31">
        <f>C_Dung_HD[[#This Row],[ĐƠN GIÁ]]*C_Dung_HD[[#This Row],[SỐ LƯỢNG]]</f>
        <v>0</v>
      </c>
      <c r="I35" s="31">
        <v>-4160</v>
      </c>
      <c r="J35" s="31">
        <f>J34+C_Dung_HD[[#This Row],[THÀNH TIỀN]]-C_Dung_HD[[#This Row],[THANH TOÁN]]</f>
        <v>0</v>
      </c>
      <c r="K35" s="24"/>
    </row>
    <row r="36" spans="1:11" x14ac:dyDescent="0.25">
      <c r="A36" s="22">
        <v>9526</v>
      </c>
      <c r="B36" s="29">
        <v>46163</v>
      </c>
      <c r="C36" s="23" t="s">
        <v>13</v>
      </c>
      <c r="D36" s="37" t="s">
        <v>305</v>
      </c>
      <c r="E36" s="23" t="s">
        <v>1150</v>
      </c>
      <c r="F36" s="31">
        <v>1450</v>
      </c>
      <c r="G36" s="31">
        <v>35500</v>
      </c>
      <c r="H36" s="31">
        <f>C_Dung_HD[[#This Row],[ĐƠN GIÁ]]*C_Dung_HD[[#This Row],[SỐ LƯỢNG]]</f>
        <v>51475000</v>
      </c>
      <c r="I36" s="31"/>
      <c r="J36" s="31">
        <f>J35+C_Dung_HD[[#This Row],[THÀNH TIỀN]]-C_Dung_HD[[#This Row],[THANH TOÁN]]</f>
        <v>51475000</v>
      </c>
      <c r="K36" s="24" t="s">
        <v>2266</v>
      </c>
    </row>
    <row r="37" spans="1:11" x14ac:dyDescent="0.25">
      <c r="A37" s="22">
        <v>9526</v>
      </c>
      <c r="B37" s="29">
        <v>46163</v>
      </c>
      <c r="C37" s="23" t="s">
        <v>13</v>
      </c>
      <c r="D37" s="37" t="s">
        <v>26</v>
      </c>
      <c r="E37" s="23" t="s">
        <v>2265</v>
      </c>
      <c r="F37" s="31">
        <v>2458</v>
      </c>
      <c r="G37" s="31">
        <v>33000</v>
      </c>
      <c r="H37" s="31">
        <f>C_Dung_HD[[#This Row],[ĐƠN GIÁ]]*C_Dung_HD[[#This Row],[SỐ LƯỢNG]]</f>
        <v>81114000</v>
      </c>
      <c r="I37" s="31"/>
      <c r="J37" s="31">
        <f>J36+C_Dung_HD[[#This Row],[THÀNH TIỀN]]-C_Dung_HD[[#This Row],[THANH TOÁN]]</f>
        <v>132589000</v>
      </c>
      <c r="K37" s="24"/>
    </row>
    <row r="38" spans="1:11" x14ac:dyDescent="0.25">
      <c r="A38" s="22">
        <v>9526</v>
      </c>
      <c r="B38" s="29">
        <v>46163</v>
      </c>
      <c r="C38" s="23" t="s">
        <v>13</v>
      </c>
      <c r="D38" s="37" t="s">
        <v>26</v>
      </c>
      <c r="E38" s="23" t="s">
        <v>2267</v>
      </c>
      <c r="F38" s="31">
        <v>985</v>
      </c>
      <c r="G38" s="31">
        <v>33700</v>
      </c>
      <c r="H38" s="31">
        <f>C_Dung_HD[[#This Row],[ĐƠN GIÁ]]*C_Dung_HD[[#This Row],[SỐ LƯỢNG]]</f>
        <v>33194500</v>
      </c>
      <c r="I38" s="31"/>
      <c r="J38" s="31">
        <f>J37+C_Dung_HD[[#This Row],[THÀNH TIỀN]]-C_Dung_HD[[#This Row],[THANH TOÁN]]</f>
        <v>165783500</v>
      </c>
      <c r="K38" s="24" t="s">
        <v>1805</v>
      </c>
    </row>
    <row r="39" spans="1:11" x14ac:dyDescent="0.25">
      <c r="A39" s="22">
        <v>9526</v>
      </c>
      <c r="B39" s="29">
        <v>46163</v>
      </c>
      <c r="C39" s="23" t="s">
        <v>13</v>
      </c>
      <c r="D39" s="37" t="s">
        <v>26</v>
      </c>
      <c r="E39" s="23" t="s">
        <v>2268</v>
      </c>
      <c r="F39" s="31">
        <v>1005</v>
      </c>
      <c r="G39" s="31">
        <v>33700</v>
      </c>
      <c r="H39" s="31">
        <f>C_Dung_HD[[#This Row],[ĐƠN GIÁ]]*C_Dung_HD[[#This Row],[SỐ LƯỢNG]]</f>
        <v>33868500</v>
      </c>
      <c r="I39" s="31"/>
      <c r="J39" s="31">
        <f>J38+C_Dung_HD[[#This Row],[THÀNH TIỀN]]-C_Dung_HD[[#This Row],[THANH TOÁN]]</f>
        <v>199652000</v>
      </c>
      <c r="K39" s="24" t="s">
        <v>1805</v>
      </c>
    </row>
    <row r="40" spans="1:11" x14ac:dyDescent="0.25">
      <c r="A40" s="22">
        <v>9526</v>
      </c>
      <c r="B40" s="29">
        <v>46163</v>
      </c>
      <c r="C40" s="23" t="s">
        <v>13</v>
      </c>
      <c r="D40" s="37" t="s">
        <v>26</v>
      </c>
      <c r="E40" s="23" t="s">
        <v>2269</v>
      </c>
      <c r="F40" s="31">
        <v>1340</v>
      </c>
      <c r="G40" s="31">
        <v>33700</v>
      </c>
      <c r="H40" s="31">
        <f>C_Dung_HD[[#This Row],[ĐƠN GIÁ]]*C_Dung_HD[[#This Row],[SỐ LƯỢNG]]</f>
        <v>45158000</v>
      </c>
      <c r="I40" s="31"/>
      <c r="J40" s="31">
        <f>J39+C_Dung_HD[[#This Row],[THÀNH TIỀN]]-C_Dung_HD[[#This Row],[THANH TOÁN]]</f>
        <v>244810000</v>
      </c>
      <c r="K40" s="24" t="s">
        <v>1805</v>
      </c>
    </row>
    <row r="41" spans="1:11" x14ac:dyDescent="0.25">
      <c r="A41" s="22">
        <v>9616</v>
      </c>
      <c r="B41" s="29">
        <v>46168</v>
      </c>
      <c r="C41" s="23" t="s">
        <v>13</v>
      </c>
      <c r="D41" s="37" t="s">
        <v>43</v>
      </c>
      <c r="E41" s="23" t="s">
        <v>915</v>
      </c>
      <c r="F41" s="31">
        <v>2254</v>
      </c>
      <c r="G41" s="31">
        <v>62000</v>
      </c>
      <c r="H41" s="31">
        <f>C_Dung_HD[[#This Row],[ĐƠN GIÁ]]*C_Dung_HD[[#This Row],[SỐ LƯỢNG]]</f>
        <v>139748000</v>
      </c>
      <c r="I41" s="31"/>
      <c r="J41" s="31">
        <f>J40+C_Dung_HD[[#This Row],[THÀNH TIỀN]]-C_Dung_HD[[#This Row],[THANH TOÁN]]</f>
        <v>384558000</v>
      </c>
      <c r="K41" s="24"/>
    </row>
    <row r="42" spans="1:11" x14ac:dyDescent="0.25">
      <c r="A42" s="22"/>
      <c r="B42" s="29">
        <v>46163</v>
      </c>
      <c r="C42" s="23" t="s">
        <v>21</v>
      </c>
      <c r="D42" s="37" t="s">
        <v>2157</v>
      </c>
      <c r="E42" s="23"/>
      <c r="F42" s="31">
        <v>0</v>
      </c>
      <c r="G42" s="31"/>
      <c r="H42" s="31">
        <f>C_Dung_HD[[#This Row],[ĐƠN GIÁ]]*C_Dung_HD[[#This Row],[SỐ LƯỢNG]]</f>
        <v>0</v>
      </c>
      <c r="I42" s="31">
        <v>244810000</v>
      </c>
      <c r="J42" s="31">
        <f>J41+C_Dung_HD[[#This Row],[THÀNH TIỀN]]-C_Dung_HD[[#This Row],[THANH TOÁN]]</f>
        <v>139748000</v>
      </c>
      <c r="K42" s="24"/>
    </row>
    <row r="43" spans="1:11" x14ac:dyDescent="0.25">
      <c r="A43" s="22"/>
      <c r="B43" s="29">
        <v>46168</v>
      </c>
      <c r="C43" s="23" t="s">
        <v>21</v>
      </c>
      <c r="D43" s="37" t="s">
        <v>2157</v>
      </c>
      <c r="E43" s="23"/>
      <c r="F43" s="31">
        <v>0</v>
      </c>
      <c r="G43" s="31"/>
      <c r="H43" s="31">
        <f>C_Dung_HD[[#This Row],[ĐƠN GIÁ]]*C_Dung_HD[[#This Row],[SỐ LƯỢNG]]</f>
        <v>0</v>
      </c>
      <c r="I43" s="31">
        <v>139750000</v>
      </c>
      <c r="J43" s="31">
        <f>J42+C_Dung_HD[[#This Row],[THÀNH TIỀN]]-C_Dung_HD[[#This Row],[THANH TOÁN]]</f>
        <v>-2000</v>
      </c>
      <c r="K43" s="24"/>
    </row>
    <row r="44" spans="1:11" x14ac:dyDescent="0.25">
      <c r="A44" s="22">
        <v>9673</v>
      </c>
      <c r="B44" s="29">
        <v>46170</v>
      </c>
      <c r="C44" s="23" t="s">
        <v>13</v>
      </c>
      <c r="D44" s="37" t="s">
        <v>195</v>
      </c>
      <c r="E44" s="23" t="s">
        <v>2507</v>
      </c>
      <c r="F44" s="31">
        <v>3404</v>
      </c>
      <c r="G44" s="31">
        <v>26000</v>
      </c>
      <c r="H44" s="31">
        <f>C_Dung_HD[[#This Row],[ĐƠN GIÁ]]*C_Dung_HD[[#This Row],[SỐ LƯỢNG]]</f>
        <v>88504000</v>
      </c>
      <c r="I44" s="31"/>
      <c r="J44" s="31">
        <f>J43+C_Dung_HD[[#This Row],[THÀNH TIỀN]]-C_Dung_HD[[#This Row],[THANH TOÁN]]</f>
        <v>88502000</v>
      </c>
      <c r="K44" s="24" t="s">
        <v>42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D79FF-2E53-4AC6-9CC7-5FEA67B93005}">
  <sheetPr codeName="Sheet76"/>
  <dimension ref="A5:K26"/>
  <sheetViews>
    <sheetView workbookViewId="0">
      <selection activeCell="I17" sqref="I17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726339864</v>
      </c>
    </row>
    <row r="6" spans="1:11" ht="22.5" x14ac:dyDescent="0.25">
      <c r="D6" s="34" t="s">
        <v>1153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Cty_Co_Khi_CTM_Phu_Thinh_DN[[#This Row],[ĐƠN GIÁ]]*Cty_Co_Khi_CTM_Phu_Thinh_DN[[#This Row],[SỐ LƯỢNG]]</f>
        <v>0</v>
      </c>
      <c r="I10" s="31"/>
      <c r="J10" s="31">
        <v>0</v>
      </c>
      <c r="K10" s="24"/>
    </row>
    <row r="11" spans="1:11" x14ac:dyDescent="0.25">
      <c r="A11" s="22">
        <v>7935</v>
      </c>
      <c r="B11" s="29">
        <v>46088</v>
      </c>
      <c r="C11" s="23" t="s">
        <v>13</v>
      </c>
      <c r="D11" s="37" t="s">
        <v>1029</v>
      </c>
      <c r="E11" s="23" t="s">
        <v>1154</v>
      </c>
      <c r="F11" s="31">
        <v>6978</v>
      </c>
      <c r="G11" s="31">
        <v>29500</v>
      </c>
      <c r="H11" s="31">
        <f>Cty_Co_Khi_CTM_Phu_Thinh_DN[[#This Row],[ĐƠN GIÁ]]*Cty_Co_Khi_CTM_Phu_Thinh_DN[[#This Row],[SỐ LƯỢNG]]</f>
        <v>205851000</v>
      </c>
      <c r="I11" s="31"/>
      <c r="J11" s="31">
        <f>J10+Cty_Co_Khi_CTM_Phu_Thinh_DN[[#This Row],[THÀNH TIỀN]]-Cty_Co_Khi_CTM_Phu_Thinh_DN[[#This Row],[THANH TOÁN]]</f>
        <v>205851000</v>
      </c>
      <c r="K11" s="24"/>
    </row>
    <row r="12" spans="1:11" x14ac:dyDescent="0.25">
      <c r="A12" s="22">
        <v>7935</v>
      </c>
      <c r="B12" s="29">
        <v>46088</v>
      </c>
      <c r="C12" s="23" t="s">
        <v>13</v>
      </c>
      <c r="D12" s="37" t="s">
        <v>1029</v>
      </c>
      <c r="E12" s="23" t="s">
        <v>1155</v>
      </c>
      <c r="F12" s="31">
        <v>6600</v>
      </c>
      <c r="G12" s="31">
        <v>29500</v>
      </c>
      <c r="H12" s="31">
        <f>Cty_Co_Khi_CTM_Phu_Thinh_DN[[#This Row],[ĐƠN GIÁ]]*Cty_Co_Khi_CTM_Phu_Thinh_DN[[#This Row],[SỐ LƯỢNG]]</f>
        <v>194700000</v>
      </c>
      <c r="I12" s="31"/>
      <c r="J12" s="31">
        <f>J11+Cty_Co_Khi_CTM_Phu_Thinh_DN[[#This Row],[THÀNH TIỀN]]-Cty_Co_Khi_CTM_Phu_Thinh_DN[[#This Row],[THANH TOÁN]]</f>
        <v>400551000</v>
      </c>
      <c r="K12" s="24"/>
    </row>
    <row r="13" spans="1:11" x14ac:dyDescent="0.25">
      <c r="A13" s="22">
        <v>7935</v>
      </c>
      <c r="B13" s="29">
        <v>46088</v>
      </c>
      <c r="C13" s="23" t="s">
        <v>13</v>
      </c>
      <c r="D13" s="37" t="s">
        <v>1029</v>
      </c>
      <c r="E13" s="23" t="s">
        <v>1156</v>
      </c>
      <c r="F13" s="31">
        <v>7594</v>
      </c>
      <c r="G13" s="31">
        <v>33500</v>
      </c>
      <c r="H13" s="31">
        <f>Cty_Co_Khi_CTM_Phu_Thinh_DN[[#This Row],[ĐƠN GIÁ]]*Cty_Co_Khi_CTM_Phu_Thinh_DN[[#This Row],[SỐ LƯỢNG]]</f>
        <v>254399000</v>
      </c>
      <c r="I13" s="31"/>
      <c r="J13" s="31">
        <f>J12+Cty_Co_Khi_CTM_Phu_Thinh_DN[[#This Row],[THÀNH TIỀN]]-Cty_Co_Khi_CTM_Phu_Thinh_DN[[#This Row],[THANH TOÁN]]</f>
        <v>654950000</v>
      </c>
      <c r="K13" s="24"/>
    </row>
    <row r="14" spans="1:11" x14ac:dyDescent="0.25">
      <c r="A14" s="25">
        <v>8087</v>
      </c>
      <c r="B14" s="30">
        <v>46095</v>
      </c>
      <c r="C14" s="26" t="s">
        <v>13</v>
      </c>
      <c r="D14" s="38" t="s">
        <v>1029</v>
      </c>
      <c r="E14" s="26" t="s">
        <v>1157</v>
      </c>
      <c r="F14" s="28">
        <f>1992+5088</f>
        <v>7080</v>
      </c>
      <c r="G14" s="28">
        <v>29500</v>
      </c>
      <c r="H14" s="28">
        <f>Cty_Co_Khi_CTM_Phu_Thinh_DN[[#This Row],[ĐƠN GIÁ]]*Cty_Co_Khi_CTM_Phu_Thinh_DN[[#This Row],[SỐ LƯỢNG]]</f>
        <v>208860000</v>
      </c>
      <c r="I14" s="28"/>
      <c r="J14" s="28">
        <f>J13+Cty_Co_Khi_CTM_Phu_Thinh_DN[[#This Row],[THÀNH TIỀN]]-Cty_Co_Khi_CTM_Phu_Thinh_DN[[#This Row],[THANH TOÁN]]</f>
        <v>863810000</v>
      </c>
      <c r="K14" s="27"/>
    </row>
    <row r="15" spans="1:11" x14ac:dyDescent="0.25">
      <c r="A15" s="25">
        <v>8087</v>
      </c>
      <c r="B15" s="30">
        <v>46095</v>
      </c>
      <c r="C15" s="26" t="s">
        <v>13</v>
      </c>
      <c r="D15" s="38" t="s">
        <v>1158</v>
      </c>
      <c r="E15" s="23" t="s">
        <v>1159</v>
      </c>
      <c r="F15" s="31">
        <v>3664</v>
      </c>
      <c r="G15" s="31">
        <v>29500</v>
      </c>
      <c r="H15" s="31">
        <f>Cty_Co_Khi_CTM_Phu_Thinh_DN[[#This Row],[ĐƠN GIÁ]]*Cty_Co_Khi_CTM_Phu_Thinh_DN[[#This Row],[SỐ LƯỢNG]]</f>
        <v>108088000</v>
      </c>
      <c r="I15" s="31"/>
      <c r="J15" s="31">
        <f>J14+Cty_Co_Khi_CTM_Phu_Thinh_DN[[#This Row],[THÀNH TIỀN]]-Cty_Co_Khi_CTM_Phu_Thinh_DN[[#This Row],[THANH TOÁN]]</f>
        <v>971898000</v>
      </c>
      <c r="K15" s="24"/>
    </row>
    <row r="16" spans="1:11" x14ac:dyDescent="0.25">
      <c r="A16" s="25"/>
      <c r="B16" s="30">
        <v>46092</v>
      </c>
      <c r="C16" s="26" t="s">
        <v>21</v>
      </c>
      <c r="D16" s="38" t="s">
        <v>22</v>
      </c>
      <c r="E16" s="26" t="s">
        <v>147</v>
      </c>
      <c r="F16" s="28">
        <v>0</v>
      </c>
      <c r="G16" s="28">
        <v>0</v>
      </c>
      <c r="H16" s="28">
        <f>Cty_Co_Khi_CTM_Phu_Thinh_DN[[#This Row],[ĐƠN GIÁ]]*Cty_Co_Khi_CTM_Phu_Thinh_DN[[#This Row],[SỐ LƯỢNG]]</f>
        <v>0</v>
      </c>
      <c r="I16" s="28">
        <v>971883691</v>
      </c>
      <c r="J16" s="28">
        <f>J15+Cty_Co_Khi_CTM_Phu_Thinh_DN[[#This Row],[THÀNH TIỀN]]-Cty_Co_Khi_CTM_Phu_Thinh_DN[[#This Row],[THANH TOÁN]]</f>
        <v>14309</v>
      </c>
      <c r="K16" s="27"/>
    </row>
    <row r="17" spans="1:11" x14ac:dyDescent="0.25">
      <c r="A17" s="22">
        <v>8797</v>
      </c>
      <c r="B17" s="29">
        <v>46127</v>
      </c>
      <c r="C17" s="23" t="s">
        <v>13</v>
      </c>
      <c r="D17" s="37" t="s">
        <v>195</v>
      </c>
      <c r="E17" s="23" t="s">
        <v>682</v>
      </c>
      <c r="F17" s="31">
        <v>4540</v>
      </c>
      <c r="G17" s="31">
        <v>30000</v>
      </c>
      <c r="H17" s="31">
        <f>Cty_Co_Khi_CTM_Phu_Thinh_DN[[#This Row],[ĐƠN GIÁ]]*Cty_Co_Khi_CTM_Phu_Thinh_DN[[#This Row],[SỐ LƯỢNG]]</f>
        <v>136200000</v>
      </c>
      <c r="I17" s="31"/>
      <c r="J17" s="31">
        <f>J16+Cty_Co_Khi_CTM_Phu_Thinh_DN[[#This Row],[THÀNH TIỀN]]-Cty_Co_Khi_CTM_Phu_Thinh_DN[[#This Row],[THANH TOÁN]]</f>
        <v>136214309</v>
      </c>
      <c r="K17" s="24"/>
    </row>
    <row r="18" spans="1:11" x14ac:dyDescent="0.25">
      <c r="A18" s="22">
        <v>8876</v>
      </c>
      <c r="B18" s="29">
        <v>46130</v>
      </c>
      <c r="C18" s="23" t="s">
        <v>13</v>
      </c>
      <c r="D18" s="37" t="s">
        <v>195</v>
      </c>
      <c r="E18" s="23" t="s">
        <v>682</v>
      </c>
      <c r="F18" s="31">
        <v>1010</v>
      </c>
      <c r="G18" s="31">
        <v>30000</v>
      </c>
      <c r="H18" s="31">
        <f>Cty_Co_Khi_CTM_Phu_Thinh_DN[[#This Row],[ĐƠN GIÁ]]*Cty_Co_Khi_CTM_Phu_Thinh_DN[[#This Row],[SỐ LƯỢNG]]</f>
        <v>30300000</v>
      </c>
      <c r="I18" s="31"/>
      <c r="J18" s="31">
        <f>J17+Cty_Co_Khi_CTM_Phu_Thinh_DN[[#This Row],[THÀNH TIỀN]]-Cty_Co_Khi_CTM_Phu_Thinh_DN[[#This Row],[THANH TOÁN]]</f>
        <v>166514309</v>
      </c>
      <c r="K18" s="24"/>
    </row>
    <row r="19" spans="1:11" x14ac:dyDescent="0.25">
      <c r="A19" s="22">
        <v>8876</v>
      </c>
      <c r="B19" s="29">
        <v>46130</v>
      </c>
      <c r="C19" s="23" t="s">
        <v>13</v>
      </c>
      <c r="D19" s="37" t="s">
        <v>1029</v>
      </c>
      <c r="E19" s="23" t="s">
        <v>1160</v>
      </c>
      <c r="F19" s="31">
        <v>7044</v>
      </c>
      <c r="G19" s="31">
        <v>30000</v>
      </c>
      <c r="H19" s="31">
        <f>Cty_Co_Khi_CTM_Phu_Thinh_DN[[#This Row],[ĐƠN GIÁ]]*Cty_Co_Khi_CTM_Phu_Thinh_DN[[#This Row],[SỐ LƯỢNG]]</f>
        <v>211320000</v>
      </c>
      <c r="I19" s="31"/>
      <c r="J19" s="31">
        <f>J18+Cty_Co_Khi_CTM_Phu_Thinh_DN[[#This Row],[THÀNH TIỀN]]-Cty_Co_Khi_CTM_Phu_Thinh_DN[[#This Row],[THANH TOÁN]]</f>
        <v>377834309</v>
      </c>
      <c r="K19" s="24"/>
    </row>
    <row r="20" spans="1:11" x14ac:dyDescent="0.25">
      <c r="A20" s="22">
        <v>8877</v>
      </c>
      <c r="B20" s="29">
        <v>46130</v>
      </c>
      <c r="C20" s="23" t="s">
        <v>13</v>
      </c>
      <c r="D20" s="37" t="s">
        <v>1029</v>
      </c>
      <c r="E20" s="23" t="s">
        <v>1160</v>
      </c>
      <c r="F20" s="31">
        <v>20154</v>
      </c>
      <c r="G20" s="31">
        <v>30000</v>
      </c>
      <c r="H20" s="31">
        <f>Cty_Co_Khi_CTM_Phu_Thinh_DN[[#This Row],[ĐƠN GIÁ]]*Cty_Co_Khi_CTM_Phu_Thinh_DN[[#This Row],[SỐ LƯỢNG]]</f>
        <v>604620000</v>
      </c>
      <c r="I20" s="31"/>
      <c r="J20" s="31">
        <f>J19+Cty_Co_Khi_CTM_Phu_Thinh_DN[[#This Row],[THÀNH TIỀN]]-Cty_Co_Khi_CTM_Phu_Thinh_DN[[#This Row],[THANH TOÁN]]</f>
        <v>982454309</v>
      </c>
      <c r="K20" s="24"/>
    </row>
    <row r="21" spans="1:11" x14ac:dyDescent="0.25">
      <c r="A21" s="22"/>
      <c r="B21" s="29">
        <v>46133</v>
      </c>
      <c r="C21" s="23" t="s">
        <v>21</v>
      </c>
      <c r="D21" s="37" t="s">
        <v>22</v>
      </c>
      <c r="E21" s="23" t="s">
        <v>83</v>
      </c>
      <c r="F21" s="31">
        <v>0</v>
      </c>
      <c r="G21" s="31"/>
      <c r="H21" s="31">
        <f>Cty_Co_Khi_CTM_Phu_Thinh_DN[[#This Row],[ĐƠN GIÁ]]*Cty_Co_Khi_CTM_Phu_Thinh_DN[[#This Row],[SỐ LƯỢNG]]</f>
        <v>0</v>
      </c>
      <c r="I21" s="31">
        <v>982299823</v>
      </c>
      <c r="J21" s="31">
        <f>J20+Cty_Co_Khi_CTM_Phu_Thinh_DN[[#This Row],[THÀNH TIỀN]]-Cty_Co_Khi_CTM_Phu_Thinh_DN[[#This Row],[THANH TOÁN]]</f>
        <v>154486</v>
      </c>
      <c r="K21" s="24"/>
    </row>
    <row r="22" spans="1:11" x14ac:dyDescent="0.25">
      <c r="A22" s="22">
        <v>9086</v>
      </c>
      <c r="B22" s="29">
        <v>46140</v>
      </c>
      <c r="C22" s="23" t="s">
        <v>13</v>
      </c>
      <c r="D22" s="37" t="s">
        <v>1029</v>
      </c>
      <c r="E22" s="23" t="s">
        <v>1868</v>
      </c>
      <c r="F22" s="31">
        <v>6072</v>
      </c>
      <c r="G22" s="31">
        <v>30000</v>
      </c>
      <c r="H22" s="31">
        <f>Cty_Co_Khi_CTM_Phu_Thinh_DN[[#This Row],[ĐƠN GIÁ]]*Cty_Co_Khi_CTM_Phu_Thinh_DN[[#This Row],[SỐ LƯỢNG]]</f>
        <v>182160000</v>
      </c>
      <c r="I22" s="31"/>
      <c r="J22" s="31">
        <f>J21+Cty_Co_Khi_CTM_Phu_Thinh_DN[[#This Row],[THÀNH TIỀN]]-Cty_Co_Khi_CTM_Phu_Thinh_DN[[#This Row],[THANH TOÁN]]</f>
        <v>182314486</v>
      </c>
      <c r="K22" s="24"/>
    </row>
    <row r="23" spans="1:11" x14ac:dyDescent="0.25">
      <c r="A23" s="22"/>
      <c r="B23" s="29">
        <v>46140</v>
      </c>
      <c r="C23" s="23" t="s">
        <v>21</v>
      </c>
      <c r="D23" s="37" t="s">
        <v>22</v>
      </c>
      <c r="E23" s="23" t="s">
        <v>261</v>
      </c>
      <c r="F23" s="31">
        <v>0</v>
      </c>
      <c r="G23" s="31"/>
      <c r="H23" s="31">
        <f>Cty_Co_Khi_CTM_Phu_Thinh_DN[[#This Row],[ĐƠN GIÁ]]*Cty_Co_Khi_CTM_Phu_Thinh_DN[[#This Row],[SỐ LƯỢNG]]</f>
        <v>0</v>
      </c>
      <c r="I23" s="31">
        <v>182161822</v>
      </c>
      <c r="J23" s="31">
        <f>J22+Cty_Co_Khi_CTM_Phu_Thinh_DN[[#This Row],[THÀNH TIỀN]]-Cty_Co_Khi_CTM_Phu_Thinh_DN[[#This Row],[THANH TOÁN]]</f>
        <v>152664</v>
      </c>
      <c r="K23" s="24"/>
    </row>
    <row r="24" spans="1:11" x14ac:dyDescent="0.25">
      <c r="A24" s="22">
        <v>9649</v>
      </c>
      <c r="B24" s="29">
        <v>46169</v>
      </c>
      <c r="C24" s="23" t="s">
        <v>13</v>
      </c>
      <c r="D24" s="37" t="s">
        <v>1029</v>
      </c>
      <c r="E24" s="23" t="s">
        <v>2480</v>
      </c>
      <c r="F24" s="31">
        <v>14194</v>
      </c>
      <c r="G24" s="31">
        <v>31300</v>
      </c>
      <c r="H24" s="31">
        <f>Cty_Co_Khi_CTM_Phu_Thinh_DN[[#This Row],[ĐƠN GIÁ]]*Cty_Co_Khi_CTM_Phu_Thinh_DN[[#This Row],[SỐ LƯỢNG]]</f>
        <v>444272200</v>
      </c>
      <c r="I24" s="31"/>
      <c r="J24" s="31">
        <f>J23+Cty_Co_Khi_CTM_Phu_Thinh_DN[[#This Row],[THÀNH TIỀN]]-Cty_Co_Khi_CTM_Phu_Thinh_DN[[#This Row],[THANH TOÁN]]</f>
        <v>444424864</v>
      </c>
      <c r="K24" s="24"/>
    </row>
    <row r="25" spans="1:11" x14ac:dyDescent="0.25">
      <c r="A25" s="22">
        <v>9649</v>
      </c>
      <c r="B25" s="29">
        <v>46169</v>
      </c>
      <c r="C25" s="23" t="s">
        <v>13</v>
      </c>
      <c r="D25" s="37" t="s">
        <v>2481</v>
      </c>
      <c r="E25" s="23" t="s">
        <v>2482</v>
      </c>
      <c r="F25" s="31">
        <v>1125</v>
      </c>
      <c r="G25" s="31">
        <v>68000</v>
      </c>
      <c r="H25" s="31">
        <f>Cty_Co_Khi_CTM_Phu_Thinh_DN[[#This Row],[ĐƠN GIÁ]]*Cty_Co_Khi_CTM_Phu_Thinh_DN[[#This Row],[SỐ LƯỢNG]]</f>
        <v>76500000</v>
      </c>
      <c r="I25" s="31"/>
      <c r="J25" s="31">
        <f>J24+Cty_Co_Khi_CTM_Phu_Thinh_DN[[#This Row],[THÀNH TIỀN]]-Cty_Co_Khi_CTM_Phu_Thinh_DN[[#This Row],[THANH TOÁN]]</f>
        <v>520924864</v>
      </c>
      <c r="K25" s="24"/>
    </row>
    <row r="26" spans="1:11" x14ac:dyDescent="0.25">
      <c r="A26" s="22">
        <v>9752</v>
      </c>
      <c r="B26" s="29">
        <v>46175</v>
      </c>
      <c r="C26" s="23" t="s">
        <v>13</v>
      </c>
      <c r="D26" s="37" t="s">
        <v>26</v>
      </c>
      <c r="E26" s="23" t="s">
        <v>2550</v>
      </c>
      <c r="F26" s="31">
        <v>5869</v>
      </c>
      <c r="G26" s="31">
        <v>35000</v>
      </c>
      <c r="H26" s="31">
        <f>Cty_Co_Khi_CTM_Phu_Thinh_DN[[#This Row],[ĐƠN GIÁ]]*Cty_Co_Khi_CTM_Phu_Thinh_DN[[#This Row],[SỐ LƯỢNG]]</f>
        <v>205415000</v>
      </c>
      <c r="I26" s="31"/>
      <c r="J26" s="31">
        <f>J25+Cty_Co_Khi_CTM_Phu_Thinh_DN[[#This Row],[THÀNH TIỀN]]-Cty_Co_Khi_CTM_Phu_Thinh_DN[[#This Row],[THANH TOÁN]]</f>
        <v>726339864</v>
      </c>
      <c r="K26" s="24"/>
    </row>
  </sheetData>
  <phoneticPr fontId="9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635D0-8EEA-43F8-A858-9A2383D30352}">
  <sheetPr codeName="Sheet78"/>
  <dimension ref="A5:K30"/>
  <sheetViews>
    <sheetView topLeftCell="A6" zoomScaleNormal="100" workbookViewId="0">
      <selection activeCell="E33" sqref="E33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1313035714</v>
      </c>
    </row>
    <row r="6" spans="1:11" ht="22.5" x14ac:dyDescent="0.25">
      <c r="D6" s="34" t="s">
        <v>1161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Cty_Toan_Viet[[#This Row],[ĐƠN GIÁ]]*Cty_Toan_Viet[[#This Row],[SỐ LƯỢNG]]</f>
        <v>0</v>
      </c>
      <c r="I10" s="31"/>
      <c r="J10" s="31">
        <v>348291695</v>
      </c>
      <c r="K10" s="24">
        <v>348291695</v>
      </c>
    </row>
    <row r="11" spans="1:11" x14ac:dyDescent="0.25">
      <c r="A11" s="22" t="s">
        <v>1165</v>
      </c>
      <c r="B11" s="29">
        <v>46087</v>
      </c>
      <c r="C11" s="23" t="s">
        <v>84</v>
      </c>
      <c r="D11" s="37" t="s">
        <v>277</v>
      </c>
      <c r="E11" s="23" t="s">
        <v>1166</v>
      </c>
      <c r="F11" s="31">
        <v>1954</v>
      </c>
      <c r="G11" s="31">
        <v>-1000</v>
      </c>
      <c r="H11" s="31">
        <f>Cty_Toan_Viet[[#This Row],[ĐƠN GIÁ]]*Cty_Toan_Viet[[#This Row],[SỐ LƯỢNG]]</f>
        <v>-1954000</v>
      </c>
      <c r="I11" s="31"/>
      <c r="J11" s="31">
        <f>J10+Cty_Toan_Viet[[#This Row],[THÀNH TIỀN]]-Cty_Toan_Viet[[#This Row],[THANH TOÁN]]</f>
        <v>346337695</v>
      </c>
      <c r="K11" s="24">
        <v>1000</v>
      </c>
    </row>
    <row r="12" spans="1:11" x14ac:dyDescent="0.25">
      <c r="A12" s="22">
        <v>7942</v>
      </c>
      <c r="B12" s="29">
        <v>46088</v>
      </c>
      <c r="C12" s="23" t="s">
        <v>13</v>
      </c>
      <c r="D12" s="37" t="s">
        <v>135</v>
      </c>
      <c r="E12" s="23" t="s">
        <v>41</v>
      </c>
      <c r="F12" s="31">
        <v>5042</v>
      </c>
      <c r="G12" s="31">
        <v>37000</v>
      </c>
      <c r="H12" s="31">
        <f>Cty_Toan_Viet[[#This Row],[ĐƠN GIÁ]]*Cty_Toan_Viet[[#This Row],[SỐ LƯỢNG]]</f>
        <v>186554000</v>
      </c>
      <c r="I12" s="31"/>
      <c r="J12" s="31">
        <f>J11+Cty_Toan_Viet[[#This Row],[THÀNH TIỀN]]-Cty_Toan_Viet[[#This Row],[THANH TOÁN]]</f>
        <v>532891695</v>
      </c>
      <c r="K12" s="24"/>
    </row>
    <row r="13" spans="1:11" x14ac:dyDescent="0.25">
      <c r="A13" s="25">
        <v>7971</v>
      </c>
      <c r="B13" s="30">
        <v>46091</v>
      </c>
      <c r="C13" s="26" t="s">
        <v>13</v>
      </c>
      <c r="D13" s="38" t="s">
        <v>26</v>
      </c>
      <c r="E13" s="26" t="s">
        <v>149</v>
      </c>
      <c r="F13" s="28">
        <f>1144-16-6</f>
        <v>1122</v>
      </c>
      <c r="G13" s="28">
        <v>34000</v>
      </c>
      <c r="H13" s="28">
        <f>Cty_Toan_Viet[[#This Row],[ĐƠN GIÁ]]*Cty_Toan_Viet[[#This Row],[SỐ LƯỢNG]]</f>
        <v>38148000</v>
      </c>
      <c r="I13" s="28"/>
      <c r="J13" s="28">
        <f>J12+Cty_Toan_Viet[[#This Row],[THÀNH TIỀN]]-Cty_Toan_Viet[[#This Row],[THANH TOÁN]]</f>
        <v>571039695</v>
      </c>
      <c r="K13" s="27"/>
    </row>
    <row r="14" spans="1:11" x14ac:dyDescent="0.25">
      <c r="A14" s="25"/>
      <c r="B14" s="30">
        <v>46098</v>
      </c>
      <c r="C14" s="26" t="s">
        <v>21</v>
      </c>
      <c r="D14" s="38" t="s">
        <v>22</v>
      </c>
      <c r="E14" s="26" t="s">
        <v>83</v>
      </c>
      <c r="F14" s="28">
        <v>0</v>
      </c>
      <c r="G14" s="28">
        <v>0</v>
      </c>
      <c r="H14" s="28">
        <f>Cty_Toan_Viet[[#This Row],[ĐƠN GIÁ]]*Cty_Toan_Viet[[#This Row],[SỐ LƯỢNG]]</f>
        <v>0</v>
      </c>
      <c r="I14" s="28">
        <v>228420423</v>
      </c>
      <c r="J14" s="28">
        <f>J13+Cty_Toan_Viet[[#This Row],[THÀNH TIỀN]]-Cty_Toan_Viet[[#This Row],[THANH TOÁN]]</f>
        <v>342619272</v>
      </c>
      <c r="K14" s="27"/>
    </row>
    <row r="15" spans="1:11" x14ac:dyDescent="0.25">
      <c r="A15" s="25">
        <v>8197</v>
      </c>
      <c r="B15" s="30">
        <v>46100</v>
      </c>
      <c r="C15" s="26" t="s">
        <v>13</v>
      </c>
      <c r="D15" s="38" t="s">
        <v>1162</v>
      </c>
      <c r="E15" s="26" t="s">
        <v>1163</v>
      </c>
      <c r="F15" s="28">
        <v>2618</v>
      </c>
      <c r="G15" s="28">
        <v>34000</v>
      </c>
      <c r="H15" s="28">
        <f>Cty_Toan_Viet[[#This Row],[ĐƠN GIÁ]]*Cty_Toan_Viet[[#This Row],[SỐ LƯỢNG]]</f>
        <v>89012000</v>
      </c>
      <c r="I15" s="28"/>
      <c r="J15" s="28">
        <f>J14+Cty_Toan_Viet[[#This Row],[THÀNH TIỀN]]-Cty_Toan_Viet[[#This Row],[THANH TOÁN]]</f>
        <v>431631272</v>
      </c>
      <c r="K15" s="27"/>
    </row>
    <row r="16" spans="1:11" x14ac:dyDescent="0.25">
      <c r="A16" s="25">
        <v>8202</v>
      </c>
      <c r="B16" s="30">
        <v>46102</v>
      </c>
      <c r="C16" s="26" t="s">
        <v>13</v>
      </c>
      <c r="D16" s="38" t="s">
        <v>43</v>
      </c>
      <c r="E16" s="23" t="s">
        <v>1164</v>
      </c>
      <c r="F16" s="31">
        <v>3317</v>
      </c>
      <c r="G16" s="31">
        <v>57000</v>
      </c>
      <c r="H16" s="31">
        <f>Cty_Toan_Viet[[#This Row],[ĐƠN GIÁ]]*Cty_Toan_Viet[[#This Row],[SỐ LƯỢNG]]</f>
        <v>189069000</v>
      </c>
      <c r="I16" s="31"/>
      <c r="J16" s="31">
        <f>J15+Cty_Toan_Viet[[#This Row],[THÀNH TIỀN]]-Cty_Toan_Viet[[#This Row],[THANH TOÁN]]</f>
        <v>620700272</v>
      </c>
      <c r="K16" s="24"/>
    </row>
    <row r="17" spans="1:11" x14ac:dyDescent="0.25">
      <c r="A17" s="25">
        <v>8249</v>
      </c>
      <c r="B17" s="30">
        <v>46105</v>
      </c>
      <c r="C17" s="26" t="s">
        <v>13</v>
      </c>
      <c r="D17" s="38" t="s">
        <v>17</v>
      </c>
      <c r="E17" s="26" t="s">
        <v>40</v>
      </c>
      <c r="F17" s="28">
        <v>84</v>
      </c>
      <c r="G17" s="28">
        <v>66000</v>
      </c>
      <c r="H17" s="28">
        <f>Cty_Toan_Viet[[#This Row],[ĐƠN GIÁ]]*Cty_Toan_Viet[[#This Row],[SỐ LƯỢNG]]</f>
        <v>5544000</v>
      </c>
      <c r="I17" s="28"/>
      <c r="J17" s="28">
        <f>J16+Cty_Toan_Viet[[#This Row],[THÀNH TIỀN]]-Cty_Toan_Viet[[#This Row],[THANH TOÁN]]</f>
        <v>626244272</v>
      </c>
      <c r="K17" s="27"/>
    </row>
    <row r="18" spans="1:11" x14ac:dyDescent="0.25">
      <c r="A18" s="25">
        <v>8249</v>
      </c>
      <c r="B18" s="30">
        <v>46105</v>
      </c>
      <c r="C18" s="26" t="s">
        <v>13</v>
      </c>
      <c r="D18" s="38" t="s">
        <v>17</v>
      </c>
      <c r="E18" s="26" t="s">
        <v>62</v>
      </c>
      <c r="F18" s="28">
        <v>90</v>
      </c>
      <c r="G18" s="28">
        <v>63000</v>
      </c>
      <c r="H18" s="28">
        <f>Cty_Toan_Viet[[#This Row],[ĐƠN GIÁ]]*Cty_Toan_Viet[[#This Row],[SỐ LƯỢNG]]</f>
        <v>5670000</v>
      </c>
      <c r="I18" s="28"/>
      <c r="J18" s="28">
        <f>J17+Cty_Toan_Viet[[#This Row],[THÀNH TIỀN]]-Cty_Toan_Viet[[#This Row],[THANH TOÁN]]</f>
        <v>631914272</v>
      </c>
      <c r="K18" s="27"/>
    </row>
    <row r="19" spans="1:11" x14ac:dyDescent="0.25">
      <c r="A19" s="25">
        <v>8249</v>
      </c>
      <c r="B19" s="30">
        <v>46105</v>
      </c>
      <c r="C19" s="26" t="s">
        <v>13</v>
      </c>
      <c r="D19" s="38" t="s">
        <v>68</v>
      </c>
      <c r="E19" s="26" t="s">
        <v>227</v>
      </c>
      <c r="F19" s="28">
        <v>88</v>
      </c>
      <c r="G19" s="28">
        <v>42000</v>
      </c>
      <c r="H19" s="28">
        <f>Cty_Toan_Viet[[#This Row],[ĐƠN GIÁ]]*Cty_Toan_Viet[[#This Row],[SỐ LƯỢNG]]</f>
        <v>3696000</v>
      </c>
      <c r="I19" s="28"/>
      <c r="J19" s="28">
        <f>J18+Cty_Toan_Viet[[#This Row],[THÀNH TIỀN]]-Cty_Toan_Viet[[#This Row],[THANH TOÁN]]</f>
        <v>635610272</v>
      </c>
      <c r="K19" s="27"/>
    </row>
    <row r="20" spans="1:11" x14ac:dyDescent="0.25">
      <c r="A20" s="22"/>
      <c r="B20" s="29">
        <v>46107</v>
      </c>
      <c r="C20" s="23" t="s">
        <v>21</v>
      </c>
      <c r="D20" s="37" t="s">
        <v>22</v>
      </c>
      <c r="E20" s="23" t="s">
        <v>83</v>
      </c>
      <c r="F20" s="31">
        <v>0</v>
      </c>
      <c r="G20" s="31">
        <v>0</v>
      </c>
      <c r="H20" s="31">
        <f>Cty_Toan_Viet[[#This Row],[ĐƠN GIÁ]]*Cty_Toan_Viet[[#This Row],[SỐ LƯỢNG]]</f>
        <v>0</v>
      </c>
      <c r="I20" s="31">
        <v>80420423</v>
      </c>
      <c r="J20" s="31">
        <f>J19+Cty_Toan_Viet[[#This Row],[THÀNH TIỀN]]-Cty_Toan_Viet[[#This Row],[THANH TOÁN]]</f>
        <v>555189849</v>
      </c>
      <c r="K20" s="24"/>
    </row>
    <row r="21" spans="1:11" x14ac:dyDescent="0.25">
      <c r="A21" s="22">
        <v>8490</v>
      </c>
      <c r="B21" s="29">
        <v>46114</v>
      </c>
      <c r="C21" s="23" t="s">
        <v>13</v>
      </c>
      <c r="D21" s="37" t="s">
        <v>265</v>
      </c>
      <c r="E21" s="23" t="s">
        <v>149</v>
      </c>
      <c r="F21" s="31">
        <v>3094</v>
      </c>
      <c r="G21" s="31">
        <v>63000</v>
      </c>
      <c r="H21" s="31">
        <f>Cty_Toan_Viet[[#This Row],[ĐƠN GIÁ]]*Cty_Toan_Viet[[#This Row],[SỐ LƯỢNG]]</f>
        <v>194922000</v>
      </c>
      <c r="I21" s="31"/>
      <c r="J21" s="31">
        <f>J20+Cty_Toan_Viet[[#This Row],[THÀNH TIỀN]]-Cty_Toan_Viet[[#This Row],[THANH TOÁN]]</f>
        <v>750111849</v>
      </c>
      <c r="K21" s="24"/>
    </row>
    <row r="22" spans="1:11" x14ac:dyDescent="0.25">
      <c r="A22" s="22">
        <v>8612</v>
      </c>
      <c r="B22" s="29">
        <v>46119</v>
      </c>
      <c r="C22" s="23" t="s">
        <v>13</v>
      </c>
      <c r="D22" s="37" t="s">
        <v>265</v>
      </c>
      <c r="E22" s="23" t="s">
        <v>41</v>
      </c>
      <c r="F22" s="31">
        <v>5110</v>
      </c>
      <c r="G22" s="31">
        <v>65000</v>
      </c>
      <c r="H22" s="31">
        <f>Cty_Toan_Viet[[#This Row],[ĐƠN GIÁ]]*Cty_Toan_Viet[[#This Row],[SỐ LƯỢNG]]</f>
        <v>332150000</v>
      </c>
      <c r="I22" s="31"/>
      <c r="J22" s="31">
        <f>J21+Cty_Toan_Viet[[#This Row],[THÀNH TIỀN]]-Cty_Toan_Viet[[#This Row],[THANH TOÁN]]</f>
        <v>1082261849</v>
      </c>
      <c r="K22" s="24"/>
    </row>
    <row r="23" spans="1:11" x14ac:dyDescent="0.25">
      <c r="A23" s="22">
        <v>8765</v>
      </c>
      <c r="B23" s="29">
        <v>46126</v>
      </c>
      <c r="C23" s="23" t="s">
        <v>13</v>
      </c>
      <c r="D23" s="37" t="s">
        <v>26</v>
      </c>
      <c r="E23" s="23" t="s">
        <v>146</v>
      </c>
      <c r="F23" s="31">
        <v>7146</v>
      </c>
      <c r="G23" s="31">
        <v>34000</v>
      </c>
      <c r="H23" s="31">
        <f>Cty_Toan_Viet[[#This Row],[ĐƠN GIÁ]]*Cty_Toan_Viet[[#This Row],[SỐ LƯỢNG]]</f>
        <v>242964000</v>
      </c>
      <c r="I23" s="31"/>
      <c r="J23" s="31">
        <f>J22+Cty_Toan_Viet[[#This Row],[THÀNH TIỀN]]-Cty_Toan_Viet[[#This Row],[THANH TOÁN]]</f>
        <v>1325225849</v>
      </c>
      <c r="K23" s="24"/>
    </row>
    <row r="24" spans="1:11" x14ac:dyDescent="0.25">
      <c r="A24" s="22"/>
      <c r="B24" s="29">
        <v>46126</v>
      </c>
      <c r="C24" s="23" t="s">
        <v>21</v>
      </c>
      <c r="D24" s="37" t="s">
        <v>22</v>
      </c>
      <c r="E24" s="23" t="s">
        <v>261</v>
      </c>
      <c r="F24" s="31">
        <v>0</v>
      </c>
      <c r="G24" s="31"/>
      <c r="H24" s="31">
        <f>Cty_Toan_Viet[[#This Row],[ĐƠN GIÁ]]*Cty_Toan_Viet[[#This Row],[SỐ LƯỢNG]]</f>
        <v>0</v>
      </c>
      <c r="I24" s="31">
        <v>216206696</v>
      </c>
      <c r="J24" s="31">
        <f>J23+Cty_Toan_Viet[[#This Row],[THÀNH TIỀN]]-Cty_Toan_Viet[[#This Row],[THANH TOÁN]]</f>
        <v>1109019153</v>
      </c>
      <c r="K24" s="24"/>
    </row>
    <row r="25" spans="1:11" x14ac:dyDescent="0.25">
      <c r="A25" s="22">
        <v>8799</v>
      </c>
      <c r="B25" s="29">
        <v>46127</v>
      </c>
      <c r="C25" s="23" t="s">
        <v>13</v>
      </c>
      <c r="D25" s="37" t="s">
        <v>26</v>
      </c>
      <c r="E25" s="23" t="s">
        <v>134</v>
      </c>
      <c r="F25" s="31">
        <v>7120</v>
      </c>
      <c r="G25" s="31">
        <v>34000</v>
      </c>
      <c r="H25" s="31">
        <f>Cty_Toan_Viet[[#This Row],[ĐƠN GIÁ]]*Cty_Toan_Viet[[#This Row],[SỐ LƯỢNG]]</f>
        <v>242080000</v>
      </c>
      <c r="I25" s="31"/>
      <c r="J25" s="31">
        <f>J24+Cty_Toan_Viet[[#This Row],[THÀNH TIỀN]]-Cty_Toan_Viet[[#This Row],[THANH TOÁN]]</f>
        <v>1351099153</v>
      </c>
      <c r="K25" s="24"/>
    </row>
    <row r="26" spans="1:11" x14ac:dyDescent="0.25">
      <c r="A26" s="22">
        <v>8849</v>
      </c>
      <c r="B26" s="29">
        <v>46129</v>
      </c>
      <c r="C26" s="23" t="s">
        <v>13</v>
      </c>
      <c r="D26" s="37" t="s">
        <v>26</v>
      </c>
      <c r="E26" s="23" t="s">
        <v>134</v>
      </c>
      <c r="F26" s="31">
        <v>7793</v>
      </c>
      <c r="G26" s="31">
        <v>34000</v>
      </c>
      <c r="H26" s="31">
        <f>Cty_Toan_Viet[[#This Row],[ĐƠN GIÁ]]*Cty_Toan_Viet[[#This Row],[SỐ LƯỢNG]]</f>
        <v>264962000</v>
      </c>
      <c r="I26" s="31"/>
      <c r="J26" s="31">
        <f>J25+Cty_Toan_Viet[[#This Row],[THÀNH TIỀN]]-Cty_Toan_Viet[[#This Row],[THANH TOÁN]]</f>
        <v>1616061153</v>
      </c>
      <c r="K26" s="24"/>
    </row>
    <row r="27" spans="1:11" x14ac:dyDescent="0.25">
      <c r="A27" s="22"/>
      <c r="B27" s="29">
        <v>46146</v>
      </c>
      <c r="C27" s="23" t="s">
        <v>21</v>
      </c>
      <c r="D27" s="37" t="s">
        <v>22</v>
      </c>
      <c r="E27" s="23" t="s">
        <v>261</v>
      </c>
      <c r="F27" s="31">
        <v>0</v>
      </c>
      <c r="G27" s="31"/>
      <c r="H27" s="31">
        <f>Cty_Toan_Viet[[#This Row],[ĐƠN GIÁ]]*Cty_Toan_Viet[[#This Row],[SỐ LƯỢNG]]</f>
        <v>0</v>
      </c>
      <c r="I27" s="31">
        <v>292993439</v>
      </c>
      <c r="J27" s="31">
        <f>J26+Cty_Toan_Viet[[#This Row],[THÀNH TIỀN]]-Cty_Toan_Viet[[#This Row],[THANH TOÁN]]</f>
        <v>1323067714</v>
      </c>
      <c r="K27" s="24"/>
    </row>
    <row r="28" spans="1:11" x14ac:dyDescent="0.25">
      <c r="A28" s="22">
        <v>9299</v>
      </c>
      <c r="B28" s="29">
        <v>46153</v>
      </c>
      <c r="C28" s="23" t="s">
        <v>13</v>
      </c>
      <c r="D28" s="37" t="s">
        <v>2006</v>
      </c>
      <c r="E28" s="23" t="s">
        <v>134</v>
      </c>
      <c r="F28" s="31">
        <v>1984</v>
      </c>
      <c r="G28" s="31">
        <v>66500</v>
      </c>
      <c r="H28" s="31">
        <f>Cty_Toan_Viet[[#This Row],[ĐƠN GIÁ]]*Cty_Toan_Viet[[#This Row],[SỐ LƯỢNG]]</f>
        <v>131936000</v>
      </c>
      <c r="I28" s="31"/>
      <c r="J28" s="31">
        <f>J27+Cty_Toan_Viet[[#This Row],[THÀNH TIỀN]]-Cty_Toan_Viet[[#This Row],[THANH TOÁN]]</f>
        <v>1455003714</v>
      </c>
      <c r="K28" s="24"/>
    </row>
    <row r="29" spans="1:11" x14ac:dyDescent="0.25">
      <c r="A29" s="22">
        <v>9464</v>
      </c>
      <c r="B29" s="29">
        <v>46160</v>
      </c>
      <c r="C29" s="23" t="s">
        <v>13</v>
      </c>
      <c r="D29" s="37" t="s">
        <v>150</v>
      </c>
      <c r="E29" s="23" t="s">
        <v>73</v>
      </c>
      <c r="F29" s="31">
        <v>1612</v>
      </c>
      <c r="G29" s="31">
        <v>36000</v>
      </c>
      <c r="H29" s="31">
        <f>Cty_Toan_Viet[[#This Row],[ĐƠN GIÁ]]*Cty_Toan_Viet[[#This Row],[SỐ LƯỢNG]]</f>
        <v>58032000</v>
      </c>
      <c r="I29" s="31"/>
      <c r="J29" s="31">
        <f>J28+Cty_Toan_Viet[[#This Row],[THÀNH TIỀN]]-Cty_Toan_Viet[[#This Row],[THANH TOÁN]]</f>
        <v>1513035714</v>
      </c>
      <c r="K29" s="24"/>
    </row>
    <row r="30" spans="1:11" x14ac:dyDescent="0.25">
      <c r="A30" s="22"/>
      <c r="B30" s="29">
        <v>46163</v>
      </c>
      <c r="C30" s="23" t="s">
        <v>21</v>
      </c>
      <c r="D30" s="37" t="s">
        <v>22</v>
      </c>
      <c r="E30" s="23" t="s">
        <v>261</v>
      </c>
      <c r="F30" s="31">
        <v>0</v>
      </c>
      <c r="G30" s="31"/>
      <c r="H30" s="31">
        <f>Cty_Toan_Viet[[#This Row],[ĐƠN GIÁ]]*Cty_Toan_Viet[[#This Row],[SỐ LƯỢNG]]</f>
        <v>0</v>
      </c>
      <c r="I30" s="31">
        <v>200000000</v>
      </c>
      <c r="J30" s="31">
        <f>J29+Cty_Toan_Viet[[#This Row],[THÀNH TIỀN]]-Cty_Toan_Viet[[#This Row],[THANH TOÁN]]</f>
        <v>1313035714</v>
      </c>
      <c r="K30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326C6-44EC-4B93-9C55-54981551AE60}">
  <sheetPr codeName="Sheet82"/>
  <dimension ref="A5:K14"/>
  <sheetViews>
    <sheetView workbookViewId="0">
      <selection activeCell="I12" sqref="I12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0</v>
      </c>
    </row>
    <row r="6" spans="1:11" ht="22.5" x14ac:dyDescent="0.25">
      <c r="D6" s="34" t="s">
        <v>1167</v>
      </c>
      <c r="E6" s="34"/>
      <c r="F6" s="62">
        <v>981885927</v>
      </c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Cty_Thao_Trang[[#This Row],[ĐƠN GIÁ]]*Cty_Thao_Trang[[#This Row],[SỐ LƯỢNG]]</f>
        <v>0</v>
      </c>
      <c r="I10" s="31"/>
      <c r="J10" s="31">
        <v>0</v>
      </c>
      <c r="K10" s="24"/>
    </row>
    <row r="11" spans="1:11" x14ac:dyDescent="0.25">
      <c r="A11" s="22">
        <v>7949</v>
      </c>
      <c r="B11" s="29">
        <v>46090</v>
      </c>
      <c r="C11" s="23" t="s">
        <v>13</v>
      </c>
      <c r="D11" s="37" t="s">
        <v>43</v>
      </c>
      <c r="E11" s="23" t="s">
        <v>1168</v>
      </c>
      <c r="F11" s="31">
        <f>678+1056+620</f>
        <v>2354</v>
      </c>
      <c r="G11" s="31">
        <v>55500</v>
      </c>
      <c r="H11" s="31">
        <f>Cty_Thao_Trang[[#This Row],[ĐƠN GIÁ]]*Cty_Thao_Trang[[#This Row],[SỐ LƯỢNG]]</f>
        <v>130647000</v>
      </c>
      <c r="I11" s="31">
        <v>-1320</v>
      </c>
      <c r="J11" s="31">
        <f>J10+Cty_Thao_Trang[[#This Row],[THÀNH TIỀN]]-Cty_Thao_Trang[[#This Row],[THANH TOÁN]]</f>
        <v>130648320</v>
      </c>
      <c r="K11" s="24"/>
    </row>
    <row r="12" spans="1:11" x14ac:dyDescent="0.25">
      <c r="A12" s="25"/>
      <c r="B12" s="30">
        <v>46091</v>
      </c>
      <c r="C12" s="26" t="s">
        <v>21</v>
      </c>
      <c r="D12" s="38" t="s">
        <v>22</v>
      </c>
      <c r="E12" s="26" t="s">
        <v>261</v>
      </c>
      <c r="F12" s="28">
        <v>0</v>
      </c>
      <c r="G12" s="28">
        <v>0</v>
      </c>
      <c r="H12" s="28">
        <f>Cty_Thao_Trang[[#This Row],[ĐƠN GIÁ]]*Cty_Thao_Trang[[#This Row],[SỐ LƯỢNG]]</f>
        <v>0</v>
      </c>
      <c r="I12" s="28">
        <v>50000000</v>
      </c>
      <c r="J12" s="28">
        <f>J11+Cty_Thao_Trang[[#This Row],[THÀNH TIỀN]]-Cty_Thao_Trang[[#This Row],[THANH TOÁN]]</f>
        <v>80648320</v>
      </c>
      <c r="K12" s="27"/>
    </row>
    <row r="13" spans="1:11" x14ac:dyDescent="0.25">
      <c r="A13" s="25"/>
      <c r="B13" s="30">
        <v>46108</v>
      </c>
      <c r="C13" s="26" t="s">
        <v>21</v>
      </c>
      <c r="D13" s="38" t="s">
        <v>22</v>
      </c>
      <c r="E13" s="26" t="s">
        <v>261</v>
      </c>
      <c r="F13" s="28">
        <v>0</v>
      </c>
      <c r="G13" s="28">
        <v>0</v>
      </c>
      <c r="H13" s="28">
        <f>Cty_Thao_Trang[[#This Row],[ĐƠN GIÁ]]*Cty_Thao_Trang[[#This Row],[SỐ LƯỢNG]]</f>
        <v>0</v>
      </c>
      <c r="I13" s="28">
        <v>50000000</v>
      </c>
      <c r="J13" s="28">
        <f>J12+Cty_Thao_Trang[[#This Row],[THÀNH TIỀN]]-Cty_Thao_Trang[[#This Row],[THANH TOÁN]]</f>
        <v>30648320</v>
      </c>
      <c r="K13" s="27"/>
    </row>
    <row r="14" spans="1:11" x14ac:dyDescent="0.25">
      <c r="A14" s="22"/>
      <c r="B14" s="29">
        <v>46133</v>
      </c>
      <c r="C14" s="23" t="s">
        <v>21</v>
      </c>
      <c r="D14" s="37" t="s">
        <v>22</v>
      </c>
      <c r="E14" s="23" t="s">
        <v>261</v>
      </c>
      <c r="F14" s="31">
        <v>0</v>
      </c>
      <c r="G14" s="31"/>
      <c r="H14" s="31">
        <f>Cty_Thao_Trang[[#This Row],[ĐƠN GIÁ]]*Cty_Thao_Trang[[#This Row],[SỐ LƯỢNG]]</f>
        <v>0</v>
      </c>
      <c r="I14" s="31">
        <v>30648320</v>
      </c>
      <c r="J14" s="31">
        <f>J13+Cty_Thao_Trang[[#This Row],[THÀNH TIỀN]]-Cty_Thao_Trang[[#This Row],[THANH TOÁN]]</f>
        <v>0</v>
      </c>
      <c r="K14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9F16F-3CEA-464B-9958-D6CBDFD1D85B}">
  <sheetPr codeName="Sheet87"/>
  <dimension ref="A5:K23"/>
  <sheetViews>
    <sheetView workbookViewId="0"/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0</v>
      </c>
    </row>
    <row r="6" spans="1:11" ht="22.5" x14ac:dyDescent="0.25">
      <c r="D6" s="34" t="s">
        <v>1169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C_Dung_Cau_Dien[[#This Row],[ĐƠN GIÁ]]*C_Dung_Cau_Dien[[#This Row],[SỐ LƯỢNG]]</f>
        <v>0</v>
      </c>
      <c r="I10" s="31"/>
      <c r="J10" s="31">
        <v>0</v>
      </c>
      <c r="K10" s="24"/>
    </row>
    <row r="11" spans="1:11" x14ac:dyDescent="0.25">
      <c r="A11" s="22">
        <v>7955</v>
      </c>
      <c r="B11" s="29">
        <v>46090</v>
      </c>
      <c r="C11" s="23" t="s">
        <v>13</v>
      </c>
      <c r="D11" s="37" t="s">
        <v>54</v>
      </c>
      <c r="E11" s="23" t="s">
        <v>1170</v>
      </c>
      <c r="F11" s="31">
        <v>826</v>
      </c>
      <c r="G11" s="31">
        <v>38000</v>
      </c>
      <c r="H11" s="31">
        <f>C_Dung_Cau_Dien[[#This Row],[ĐƠN GIÁ]]*C_Dung_Cau_Dien[[#This Row],[SỐ LƯỢNG]]</f>
        <v>31388000</v>
      </c>
      <c r="I11" s="31"/>
      <c r="J11" s="31">
        <f>J10+C_Dung_Cau_Dien[[#This Row],[THÀNH TIỀN]]-C_Dung_Cau_Dien[[#This Row],[THANH TOÁN]]</f>
        <v>31388000</v>
      </c>
      <c r="K11" s="24"/>
    </row>
    <row r="12" spans="1:11" x14ac:dyDescent="0.25">
      <c r="A12" s="22">
        <v>7955</v>
      </c>
      <c r="B12" s="29">
        <v>46090</v>
      </c>
      <c r="C12" s="23" t="s">
        <v>13</v>
      </c>
      <c r="D12" s="37" t="s">
        <v>54</v>
      </c>
      <c r="E12" s="23" t="s">
        <v>1171</v>
      </c>
      <c r="F12" s="31">
        <v>52</v>
      </c>
      <c r="G12" s="31">
        <v>38000</v>
      </c>
      <c r="H12" s="31">
        <f>C_Dung_Cau_Dien[[#This Row],[ĐƠN GIÁ]]*C_Dung_Cau_Dien[[#This Row],[SỐ LƯỢNG]]</f>
        <v>1976000</v>
      </c>
      <c r="I12" s="31"/>
      <c r="J12" s="31">
        <f>J11+C_Dung_Cau_Dien[[#This Row],[THÀNH TIỀN]]-C_Dung_Cau_Dien[[#This Row],[THANH TOÁN]]</f>
        <v>33364000</v>
      </c>
      <c r="K12" s="24"/>
    </row>
    <row r="13" spans="1:11" x14ac:dyDescent="0.25">
      <c r="A13" s="25">
        <v>8431</v>
      </c>
      <c r="B13" s="30">
        <v>46112</v>
      </c>
      <c r="C13" s="26" t="s">
        <v>13</v>
      </c>
      <c r="D13" s="38" t="s">
        <v>170</v>
      </c>
      <c r="E13" s="26" t="s">
        <v>1172</v>
      </c>
      <c r="F13" s="28">
        <v>2114</v>
      </c>
      <c r="G13" s="28">
        <v>63500</v>
      </c>
      <c r="H13" s="28">
        <f>C_Dung_Cau_Dien[[#This Row],[ĐƠN GIÁ]]*C_Dung_Cau_Dien[[#This Row],[SỐ LƯỢNG]]</f>
        <v>134239000</v>
      </c>
      <c r="I13" s="28"/>
      <c r="J13" s="28">
        <f>J12+C_Dung_Cau_Dien[[#This Row],[THÀNH TIỀN]]-C_Dung_Cau_Dien[[#This Row],[THANH TOÁN]]</f>
        <v>167603000</v>
      </c>
      <c r="K13" s="27"/>
    </row>
    <row r="14" spans="1:11" x14ac:dyDescent="0.25">
      <c r="A14" s="25"/>
      <c r="B14" s="30">
        <v>46091</v>
      </c>
      <c r="C14" s="26" t="s">
        <v>21</v>
      </c>
      <c r="D14" s="38" t="s">
        <v>22</v>
      </c>
      <c r="E14" s="26" t="s">
        <v>147</v>
      </c>
      <c r="F14" s="28">
        <v>0</v>
      </c>
      <c r="G14" s="28">
        <v>0</v>
      </c>
      <c r="H14" s="28">
        <f>C_Dung_Cau_Dien[[#This Row],[ĐƠN GIÁ]]*C_Dung_Cau_Dien[[#This Row],[SỐ LƯỢNG]]</f>
        <v>0</v>
      </c>
      <c r="I14" s="28">
        <v>33363561</v>
      </c>
      <c r="J14" s="28">
        <f>J13+C_Dung_Cau_Dien[[#This Row],[THÀNH TIỀN]]-C_Dung_Cau_Dien[[#This Row],[THANH TOÁN]]</f>
        <v>134239439</v>
      </c>
      <c r="K14" s="27"/>
    </row>
    <row r="15" spans="1:11" x14ac:dyDescent="0.25">
      <c r="A15" s="22">
        <v>8642</v>
      </c>
      <c r="B15" s="29">
        <v>46121</v>
      </c>
      <c r="C15" s="23" t="s">
        <v>13</v>
      </c>
      <c r="D15" s="37" t="s">
        <v>170</v>
      </c>
      <c r="E15" s="23" t="s">
        <v>1172</v>
      </c>
      <c r="F15" s="31">
        <v>1618</v>
      </c>
      <c r="G15" s="31">
        <v>64000</v>
      </c>
      <c r="H15" s="31">
        <f>C_Dung_Cau_Dien[[#This Row],[ĐƠN GIÁ]]*C_Dung_Cau_Dien[[#This Row],[SỐ LƯỢNG]]</f>
        <v>103552000</v>
      </c>
      <c r="I15" s="31"/>
      <c r="J15" s="31">
        <f>J14+C_Dung_Cau_Dien[[#This Row],[THÀNH TIỀN]]-C_Dung_Cau_Dien[[#This Row],[THANH TOÁN]]</f>
        <v>237791439</v>
      </c>
      <c r="K15" s="24"/>
    </row>
    <row r="16" spans="1:11" x14ac:dyDescent="0.25">
      <c r="A16" s="22">
        <v>8741</v>
      </c>
      <c r="B16" s="29">
        <v>46125</v>
      </c>
      <c r="C16" s="23" t="s">
        <v>13</v>
      </c>
      <c r="D16" s="37" t="s">
        <v>68</v>
      </c>
      <c r="E16" s="23" t="s">
        <v>1173</v>
      </c>
      <c r="F16" s="31">
        <v>946</v>
      </c>
      <c r="G16" s="31">
        <v>47000</v>
      </c>
      <c r="H16" s="31">
        <f>C_Dung_Cau_Dien[[#This Row],[ĐƠN GIÁ]]*C_Dung_Cau_Dien[[#This Row],[SỐ LƯỢNG]]</f>
        <v>44462000</v>
      </c>
      <c r="I16" s="31"/>
      <c r="J16" s="31">
        <f>J15+C_Dung_Cau_Dien[[#This Row],[THÀNH TIỀN]]-C_Dung_Cau_Dien[[#This Row],[THANH TOÁN]]</f>
        <v>282253439</v>
      </c>
      <c r="K16" s="24"/>
    </row>
    <row r="17" spans="1:11" x14ac:dyDescent="0.25">
      <c r="A17" s="22"/>
      <c r="B17" s="29">
        <v>46120</v>
      </c>
      <c r="C17" s="23" t="s">
        <v>21</v>
      </c>
      <c r="D17" s="37" t="s">
        <v>22</v>
      </c>
      <c r="E17" s="23" t="s">
        <v>147</v>
      </c>
      <c r="F17" s="31">
        <v>0</v>
      </c>
      <c r="G17" s="31"/>
      <c r="H17" s="31">
        <f>C_Dung_Cau_Dien[[#This Row],[ĐƠN GIÁ]]*C_Dung_Cau_Dien[[#This Row],[SỐ LƯỢNG]]</f>
        <v>0</v>
      </c>
      <c r="I17" s="31">
        <v>134239841</v>
      </c>
      <c r="J17" s="31">
        <f>J16+C_Dung_Cau_Dien[[#This Row],[THÀNH TIỀN]]-C_Dung_Cau_Dien[[#This Row],[THANH TOÁN]]</f>
        <v>148013598</v>
      </c>
      <c r="K17" s="24"/>
    </row>
    <row r="18" spans="1:11" x14ac:dyDescent="0.25">
      <c r="A18" s="22"/>
      <c r="B18" s="29">
        <v>46127</v>
      </c>
      <c r="C18" s="23" t="s">
        <v>21</v>
      </c>
      <c r="D18" s="37" t="s">
        <v>22</v>
      </c>
      <c r="E18" s="23" t="s">
        <v>147</v>
      </c>
      <c r="F18" s="31">
        <v>0</v>
      </c>
      <c r="G18" s="31"/>
      <c r="H18" s="31">
        <f>C_Dung_Cau_Dien[[#This Row],[ĐƠN GIÁ]]*C_Dung_Cau_Dien[[#This Row],[SỐ LƯỢNG]]</f>
        <v>0</v>
      </c>
      <c r="I18" s="31">
        <v>103554449</v>
      </c>
      <c r="J18" s="31">
        <f>J17+C_Dung_Cau_Dien[[#This Row],[THÀNH TIỀN]]-C_Dung_Cau_Dien[[#This Row],[THANH TOÁN]]</f>
        <v>44459149</v>
      </c>
      <c r="K18" s="24"/>
    </row>
    <row r="19" spans="1:11" x14ac:dyDescent="0.25">
      <c r="A19" s="22">
        <v>9001</v>
      </c>
      <c r="B19" s="29">
        <v>46136</v>
      </c>
      <c r="C19" s="23" t="s">
        <v>13</v>
      </c>
      <c r="D19" s="37" t="s">
        <v>317</v>
      </c>
      <c r="E19" s="23" t="s">
        <v>1172</v>
      </c>
      <c r="F19" s="31">
        <v>290</v>
      </c>
      <c r="G19" s="31">
        <v>65500</v>
      </c>
      <c r="H19" s="31">
        <f>C_Dung_Cau_Dien[[#This Row],[ĐƠN GIÁ]]*C_Dung_Cau_Dien[[#This Row],[SỐ LƯỢNG]]</f>
        <v>18995000</v>
      </c>
      <c r="I19" s="31"/>
      <c r="J19" s="31">
        <f>J18+C_Dung_Cau_Dien[[#This Row],[THÀNH TIỀN]]-C_Dung_Cau_Dien[[#This Row],[THANH TOÁN]]</f>
        <v>63454149</v>
      </c>
      <c r="K19" s="24"/>
    </row>
    <row r="20" spans="1:11" x14ac:dyDescent="0.25">
      <c r="A20" s="22">
        <v>9096</v>
      </c>
      <c r="B20" s="29">
        <v>46140</v>
      </c>
      <c r="C20" s="23" t="s">
        <v>13</v>
      </c>
      <c r="D20" s="37" t="s">
        <v>26</v>
      </c>
      <c r="E20" s="23" t="s">
        <v>1874</v>
      </c>
      <c r="F20" s="31">
        <v>556</v>
      </c>
      <c r="G20" s="31">
        <v>39000</v>
      </c>
      <c r="H20" s="31">
        <f>C_Dung_Cau_Dien[[#This Row],[ĐƠN GIÁ]]*C_Dung_Cau_Dien[[#This Row],[SỐ LƯỢNG]]</f>
        <v>21684000</v>
      </c>
      <c r="I20" s="31"/>
      <c r="J20" s="31">
        <f>J19+C_Dung_Cau_Dien[[#This Row],[THÀNH TIỀN]]-C_Dung_Cau_Dien[[#This Row],[THANH TOÁN]]</f>
        <v>85138149</v>
      </c>
      <c r="K20" s="24"/>
    </row>
    <row r="21" spans="1:11" x14ac:dyDescent="0.25">
      <c r="A21" s="22">
        <v>9096</v>
      </c>
      <c r="B21" s="29">
        <v>46140</v>
      </c>
      <c r="C21" s="23" t="s">
        <v>13</v>
      </c>
      <c r="D21" s="37" t="s">
        <v>103</v>
      </c>
      <c r="E21" s="23" t="s">
        <v>1875</v>
      </c>
      <c r="F21" s="31">
        <v>626</v>
      </c>
      <c r="G21" s="31">
        <v>42000</v>
      </c>
      <c r="H21" s="31">
        <f>C_Dung_Cau_Dien[[#This Row],[ĐƠN GIÁ]]*C_Dung_Cau_Dien[[#This Row],[SỐ LƯỢNG]]</f>
        <v>26292000</v>
      </c>
      <c r="I21" s="31">
        <v>-2825</v>
      </c>
      <c r="J21" s="31">
        <f>J20+C_Dung_Cau_Dien[[#This Row],[THÀNH TIỀN]]-C_Dung_Cau_Dien[[#This Row],[THANH TOÁN]]</f>
        <v>111432974</v>
      </c>
      <c r="K21" s="24"/>
    </row>
    <row r="22" spans="1:11" x14ac:dyDescent="0.25">
      <c r="A22" s="22"/>
      <c r="B22" s="29">
        <v>46146</v>
      </c>
      <c r="C22" s="23" t="s">
        <v>21</v>
      </c>
      <c r="D22" s="37" t="s">
        <v>22</v>
      </c>
      <c r="E22" s="23" t="s">
        <v>261</v>
      </c>
      <c r="F22" s="31">
        <v>0</v>
      </c>
      <c r="G22" s="31"/>
      <c r="H22" s="31">
        <f>C_Dung_Cau_Dien[[#This Row],[ĐƠN GIÁ]]*C_Dung_Cau_Dien[[#This Row],[SỐ LƯỢNG]]</f>
        <v>0</v>
      </c>
      <c r="I22" s="31">
        <v>66971258</v>
      </c>
      <c r="J22" s="31">
        <f>J21+C_Dung_Cau_Dien[[#This Row],[THÀNH TIỀN]]-C_Dung_Cau_Dien[[#This Row],[THANH TOÁN]]</f>
        <v>44461716</v>
      </c>
      <c r="K22" s="24"/>
    </row>
    <row r="23" spans="1:11" x14ac:dyDescent="0.25">
      <c r="A23" s="22"/>
      <c r="B23" s="29">
        <v>46129</v>
      </c>
      <c r="C23" s="23" t="s">
        <v>21</v>
      </c>
      <c r="D23" s="37" t="s">
        <v>260</v>
      </c>
      <c r="E23" s="23" t="s">
        <v>261</v>
      </c>
      <c r="F23" s="31">
        <v>0</v>
      </c>
      <c r="G23" s="31"/>
      <c r="H23" s="31">
        <f>C_Dung_Cau_Dien[[#This Row],[ĐƠN GIÁ]]*C_Dung_Cau_Dien[[#This Row],[SỐ LƯỢNG]]</f>
        <v>0</v>
      </c>
      <c r="I23" s="31">
        <v>44461716</v>
      </c>
      <c r="J23" s="31">
        <f>J22+C_Dung_Cau_Dien[[#This Row],[THÀNH TIỀN]]-C_Dung_Cau_Dien[[#This Row],[THANH TOÁN]]</f>
        <v>0</v>
      </c>
      <c r="K23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BD4C35-A8D2-4965-8F2E-E44FB31F1D3B}">
  <sheetPr codeName="Sheet88"/>
  <dimension ref="A5:K19"/>
  <sheetViews>
    <sheetView workbookViewId="0">
      <selection activeCell="I17" sqref="I17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0</v>
      </c>
    </row>
    <row r="6" spans="1:11" ht="22.5" x14ac:dyDescent="0.25">
      <c r="D6" s="34" t="s">
        <v>1174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Cty_Cuong_Huong_PX[[#This Row],[ĐƠN GIÁ]]*Cty_Cuong_Huong_PX[[#This Row],[SỐ LƯỢNG]]</f>
        <v>0</v>
      </c>
      <c r="I10" s="31"/>
      <c r="J10" s="31">
        <v>0</v>
      </c>
      <c r="K10" s="24"/>
    </row>
    <row r="11" spans="1:11" x14ac:dyDescent="0.25">
      <c r="A11" s="22">
        <v>7967</v>
      </c>
      <c r="B11" s="29">
        <v>46091</v>
      </c>
      <c r="C11" s="23" t="s">
        <v>13</v>
      </c>
      <c r="D11" s="37" t="s">
        <v>301</v>
      </c>
      <c r="E11" s="23" t="s">
        <v>1175</v>
      </c>
      <c r="F11" s="31">
        <f>840+828+842+828+834+862+812+820+874+872+842</f>
        <v>9254</v>
      </c>
      <c r="G11" s="31">
        <v>26500</v>
      </c>
      <c r="H11" s="31">
        <f>Cty_Cuong_Huong_PX[[#This Row],[ĐƠN GIÁ]]*Cty_Cuong_Huong_PX[[#This Row],[SỐ LƯỢNG]]</f>
        <v>245231000</v>
      </c>
      <c r="I11" s="31"/>
      <c r="J11" s="31">
        <f>J10+Cty_Cuong_Huong_PX[[#This Row],[THÀNH TIỀN]]-Cty_Cuong_Huong_PX[[#This Row],[THANH TOÁN]]</f>
        <v>245231000</v>
      </c>
      <c r="K11" s="24"/>
    </row>
    <row r="12" spans="1:11" x14ac:dyDescent="0.25">
      <c r="A12" s="22">
        <v>7968</v>
      </c>
      <c r="B12" s="29">
        <v>46091</v>
      </c>
      <c r="C12" s="23" t="s">
        <v>13</v>
      </c>
      <c r="D12" s="37" t="s">
        <v>301</v>
      </c>
      <c r="E12" s="23" t="s">
        <v>1175</v>
      </c>
      <c r="F12" s="31">
        <f>830+854+808+826+870+904+830</f>
        <v>5922</v>
      </c>
      <c r="G12" s="31">
        <v>26500</v>
      </c>
      <c r="H12" s="31">
        <f>Cty_Cuong_Huong_PX[[#This Row],[ĐƠN GIÁ]]*Cty_Cuong_Huong_PX[[#This Row],[SỐ LƯỢNG]]</f>
        <v>156933000</v>
      </c>
      <c r="I12" s="31"/>
      <c r="J12" s="31">
        <f>J11+Cty_Cuong_Huong_PX[[#This Row],[THÀNH TIỀN]]-Cty_Cuong_Huong_PX[[#This Row],[THANH TOÁN]]</f>
        <v>402164000</v>
      </c>
      <c r="K12" s="24"/>
    </row>
    <row r="13" spans="1:11" x14ac:dyDescent="0.25">
      <c r="A13" s="25">
        <v>8022</v>
      </c>
      <c r="B13" s="30">
        <v>46093</v>
      </c>
      <c r="C13" s="26" t="s">
        <v>13</v>
      </c>
      <c r="D13" s="38" t="s">
        <v>301</v>
      </c>
      <c r="E13" s="26" t="s">
        <v>942</v>
      </c>
      <c r="F13" s="28">
        <f>760+764+782+706+714+804+716+832+860+836+864+782</f>
        <v>9420</v>
      </c>
      <c r="G13" s="31">
        <v>26500</v>
      </c>
      <c r="H13" s="28">
        <f>Cty_Cuong_Huong_PX[[#This Row],[ĐƠN GIÁ]]*Cty_Cuong_Huong_PX[[#This Row],[SỐ LƯỢNG]]</f>
        <v>249630000</v>
      </c>
      <c r="I13" s="28"/>
      <c r="J13" s="28">
        <f>J12+Cty_Cuong_Huong_PX[[#This Row],[THÀNH TIỀN]]-Cty_Cuong_Huong_PX[[#This Row],[THANH TOÁN]]</f>
        <v>651794000</v>
      </c>
      <c r="K13" s="27"/>
    </row>
    <row r="14" spans="1:11" x14ac:dyDescent="0.25">
      <c r="A14" s="25">
        <v>8025</v>
      </c>
      <c r="B14" s="30">
        <v>46093</v>
      </c>
      <c r="C14" s="26" t="s">
        <v>13</v>
      </c>
      <c r="D14" s="38" t="s">
        <v>301</v>
      </c>
      <c r="E14" s="26" t="s">
        <v>942</v>
      </c>
      <c r="F14" s="28">
        <f>864+882+826+870+818+650+610+874+826+848+798+836</f>
        <v>9702</v>
      </c>
      <c r="G14" s="28">
        <v>26500</v>
      </c>
      <c r="H14" s="28">
        <f>Cty_Cuong_Huong_PX[[#This Row],[ĐƠN GIÁ]]*Cty_Cuong_Huong_PX[[#This Row],[SỐ LƯỢNG]]</f>
        <v>257103000</v>
      </c>
      <c r="I14" s="28"/>
      <c r="J14" s="28">
        <f>J13+Cty_Cuong_Huong_PX[[#This Row],[THÀNH TIỀN]]-Cty_Cuong_Huong_PX[[#This Row],[THANH TOÁN]]</f>
        <v>908897000</v>
      </c>
      <c r="K14" s="27"/>
    </row>
    <row r="15" spans="1:11" x14ac:dyDescent="0.25">
      <c r="A15" s="25"/>
      <c r="B15" s="30">
        <v>46105</v>
      </c>
      <c r="C15" s="26" t="s">
        <v>21</v>
      </c>
      <c r="D15" s="38" t="s">
        <v>22</v>
      </c>
      <c r="E15" s="26" t="s">
        <v>83</v>
      </c>
      <c r="F15" s="28">
        <v>0</v>
      </c>
      <c r="G15" s="28">
        <v>0</v>
      </c>
      <c r="H15" s="28">
        <f>Cty_Cuong_Huong_PX[[#This Row],[ĐƠN GIÁ]]*Cty_Cuong_Huong_PX[[#This Row],[SỐ LƯỢNG]]</f>
        <v>0</v>
      </c>
      <c r="I15" s="28">
        <v>408897708</v>
      </c>
      <c r="J15" s="28">
        <f>J14+Cty_Cuong_Huong_PX[[#This Row],[THÀNH TIỀN]]-Cty_Cuong_Huong_PX[[#This Row],[THANH TOÁN]]</f>
        <v>499999292</v>
      </c>
      <c r="K15" s="27"/>
    </row>
    <row r="16" spans="1:11" x14ac:dyDescent="0.25">
      <c r="A16" s="22">
        <v>8649</v>
      </c>
      <c r="B16" s="29">
        <v>46121</v>
      </c>
      <c r="C16" s="23" t="s">
        <v>13</v>
      </c>
      <c r="D16" s="37" t="s">
        <v>301</v>
      </c>
      <c r="E16" s="23" t="s">
        <v>1176</v>
      </c>
      <c r="F16" s="31">
        <v>8542</v>
      </c>
      <c r="G16" s="31">
        <v>26500</v>
      </c>
      <c r="H16" s="31">
        <f>Cty_Cuong_Huong_PX[[#This Row],[ĐƠN GIÁ]]*Cty_Cuong_Huong_PX[[#This Row],[SỐ LƯỢNG]]</f>
        <v>226363000</v>
      </c>
      <c r="I16" s="31">
        <v>-1488</v>
      </c>
      <c r="J16" s="31">
        <f>J15+Cty_Cuong_Huong_PX[[#This Row],[THÀNH TIỀN]]-Cty_Cuong_Huong_PX[[#This Row],[THANH TOÁN]]</f>
        <v>726363780</v>
      </c>
      <c r="K16" s="24"/>
    </row>
    <row r="17" spans="1:11" x14ac:dyDescent="0.25">
      <c r="A17" s="22"/>
      <c r="B17" s="29">
        <v>46136</v>
      </c>
      <c r="C17" s="23" t="s">
        <v>21</v>
      </c>
      <c r="D17" s="37" t="s">
        <v>22</v>
      </c>
      <c r="E17" s="23" t="s">
        <v>83</v>
      </c>
      <c r="F17" s="31">
        <v>0</v>
      </c>
      <c r="G17" s="31"/>
      <c r="H17" s="31">
        <f>Cty_Cuong_Huong_PX[[#This Row],[ĐƠN GIÁ]]*Cty_Cuong_Huong_PX[[#This Row],[SỐ LƯỢNG]]</f>
        <v>0</v>
      </c>
      <c r="I17" s="31">
        <v>50115780</v>
      </c>
      <c r="J17" s="31">
        <f>J16+Cty_Cuong_Huong_PX[[#This Row],[THÀNH TIỀN]]-Cty_Cuong_Huong_PX[[#This Row],[THANH TOÁN]]</f>
        <v>676248000</v>
      </c>
      <c r="K17" s="24"/>
    </row>
    <row r="18" spans="1:11" x14ac:dyDescent="0.25">
      <c r="A18" s="22"/>
      <c r="B18" s="29">
        <v>46136</v>
      </c>
      <c r="C18" s="23" t="s">
        <v>21</v>
      </c>
      <c r="D18" s="37" t="s">
        <v>22</v>
      </c>
      <c r="E18" s="23" t="s">
        <v>726</v>
      </c>
      <c r="F18" s="31">
        <v>0</v>
      </c>
      <c r="G18" s="31"/>
      <c r="H18" s="31">
        <f>Cty_Cuong_Huong_PX[[#This Row],[ĐƠN GIÁ]]*Cty_Cuong_Huong_PX[[#This Row],[SỐ LƯỢNG]]</f>
        <v>0</v>
      </c>
      <c r="I18" s="31">
        <v>176248000</v>
      </c>
      <c r="J18" s="31">
        <f>J17+Cty_Cuong_Huong_PX[[#This Row],[THÀNH TIỀN]]-Cty_Cuong_Huong_PX[[#This Row],[THANH TOÁN]]</f>
        <v>500000000</v>
      </c>
      <c r="K18" s="24"/>
    </row>
    <row r="19" spans="1:11" x14ac:dyDescent="0.25">
      <c r="A19" s="25"/>
      <c r="B19" s="30">
        <v>46099</v>
      </c>
      <c r="C19" s="26" t="s">
        <v>21</v>
      </c>
      <c r="D19" s="38" t="s">
        <v>24</v>
      </c>
      <c r="E19" s="26"/>
      <c r="F19" s="28">
        <v>0</v>
      </c>
      <c r="G19" s="28"/>
      <c r="H19" s="28">
        <f>Cty_Cuong_Huong_PX[[#This Row],[ĐƠN GIÁ]]*Cty_Cuong_Huong_PX[[#This Row],[SỐ LƯỢNG]]</f>
        <v>0</v>
      </c>
      <c r="I19" s="28">
        <v>500000000</v>
      </c>
      <c r="J19" s="28">
        <f>J18+Cty_Cuong_Huong_PX[[#This Row],[THÀNH TIỀN]]-Cty_Cuong_Huong_PX[[#This Row],[THANH TOÁN]]</f>
        <v>0</v>
      </c>
      <c r="K19" s="27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C6987C-2886-45ED-AFEF-21A91185F3C1}">
  <sheetPr codeName="Sheet89"/>
  <dimension ref="A5:K16"/>
  <sheetViews>
    <sheetView workbookViewId="0">
      <selection activeCell="E26" sqref="E26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31453546</v>
      </c>
    </row>
    <row r="6" spans="1:11" ht="22.5" x14ac:dyDescent="0.25">
      <c r="D6" s="34" t="s">
        <v>1177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Cty_INOX_Viet[[#This Row],[ĐƠN GIÁ]]*Cty_INOX_Viet[[#This Row],[SỐ LƯỢNG]]</f>
        <v>0</v>
      </c>
      <c r="I10" s="31"/>
      <c r="J10" s="31">
        <v>303678392</v>
      </c>
      <c r="K10" s="24"/>
    </row>
    <row r="11" spans="1:11" x14ac:dyDescent="0.25">
      <c r="A11" s="22">
        <v>7972</v>
      </c>
      <c r="B11" s="29">
        <v>46091</v>
      </c>
      <c r="C11" s="23" t="s">
        <v>13</v>
      </c>
      <c r="D11" s="37" t="s">
        <v>14</v>
      </c>
      <c r="E11" s="23" t="s">
        <v>41</v>
      </c>
      <c r="F11" s="31">
        <f>1936-16-6</f>
        <v>1914</v>
      </c>
      <c r="G11" s="31">
        <v>41500</v>
      </c>
      <c r="H11" s="31">
        <f>Cty_INOX_Viet[[#This Row],[ĐƠN GIÁ]]*Cty_INOX_Viet[[#This Row],[SỐ LƯỢNG]]</f>
        <v>79431000</v>
      </c>
      <c r="I11" s="31"/>
      <c r="J11" s="31">
        <f>J10+Cty_INOX_Viet[[#This Row],[THÀNH TIỀN]]-Cty_INOX_Viet[[#This Row],[THANH TOÁN]]</f>
        <v>383109392</v>
      </c>
      <c r="K11" s="24"/>
    </row>
    <row r="12" spans="1:11" x14ac:dyDescent="0.25">
      <c r="A12" s="22">
        <v>8450</v>
      </c>
      <c r="B12" s="29">
        <v>46112</v>
      </c>
      <c r="C12" s="23" t="s">
        <v>13</v>
      </c>
      <c r="D12" s="37" t="s">
        <v>43</v>
      </c>
      <c r="E12" s="23" t="s">
        <v>251</v>
      </c>
      <c r="F12" s="31">
        <v>850</v>
      </c>
      <c r="G12" s="31">
        <v>62000</v>
      </c>
      <c r="H12" s="31">
        <f>Cty_INOX_Viet[[#This Row],[ĐƠN GIÁ]]*Cty_INOX_Viet[[#This Row],[SỐ LƯỢNG]]</f>
        <v>52700000</v>
      </c>
      <c r="I12" s="31"/>
      <c r="J12" s="31">
        <f>J11+Cty_INOX_Viet[[#This Row],[THÀNH TIỀN]]-Cty_INOX_Viet[[#This Row],[THANH TOÁN]]</f>
        <v>435809392</v>
      </c>
      <c r="K12" s="24"/>
    </row>
    <row r="13" spans="1:11" x14ac:dyDescent="0.25">
      <c r="A13" s="25"/>
      <c r="B13" s="30">
        <v>46087</v>
      </c>
      <c r="C13" s="26" t="s">
        <v>21</v>
      </c>
      <c r="D13" s="38" t="s">
        <v>22</v>
      </c>
      <c r="E13" s="26" t="s">
        <v>83</v>
      </c>
      <c r="F13" s="28">
        <v>0</v>
      </c>
      <c r="G13" s="28">
        <v>0</v>
      </c>
      <c r="H13" s="28">
        <f>Cty_INOX_Viet[[#This Row],[ĐƠN GIÁ]]*Cty_INOX_Viet[[#This Row],[SỐ LƯỢNG]]</f>
        <v>0</v>
      </c>
      <c r="I13" s="28">
        <v>61690211</v>
      </c>
      <c r="J13" s="28">
        <f>J12+Cty_INOX_Viet[[#This Row],[THÀNH TIỀN]]-Cty_INOX_Viet[[#This Row],[THANH TOÁN]]</f>
        <v>374119181</v>
      </c>
      <c r="K13" s="27"/>
    </row>
    <row r="14" spans="1:11" x14ac:dyDescent="0.25">
      <c r="A14" s="22"/>
      <c r="B14" s="29">
        <v>46122</v>
      </c>
      <c r="C14" s="23" t="s">
        <v>21</v>
      </c>
      <c r="D14" s="37" t="s">
        <v>22</v>
      </c>
      <c r="E14" s="23" t="s">
        <v>83</v>
      </c>
      <c r="F14" s="31">
        <v>0</v>
      </c>
      <c r="G14" s="31"/>
      <c r="H14" s="31">
        <f>Cty_INOX_Viet[[#This Row],[ĐƠN GIÁ]]*Cty_INOX_Viet[[#This Row],[SỐ LƯỢNG]]</f>
        <v>0</v>
      </c>
      <c r="I14" s="31">
        <v>207000000</v>
      </c>
      <c r="J14" s="31">
        <f>J13+Cty_INOX_Viet[[#This Row],[THÀNH TIỀN]]-Cty_INOX_Viet[[#This Row],[THANH TOÁN]]</f>
        <v>167119181</v>
      </c>
      <c r="K14" s="24"/>
    </row>
    <row r="15" spans="1:11" x14ac:dyDescent="0.25">
      <c r="A15" s="22"/>
      <c r="B15" s="29">
        <v>46136</v>
      </c>
      <c r="C15" s="23" t="s">
        <v>21</v>
      </c>
      <c r="D15" s="37" t="s">
        <v>22</v>
      </c>
      <c r="E15" s="23" t="s">
        <v>261</v>
      </c>
      <c r="F15" s="31">
        <v>0</v>
      </c>
      <c r="G15" s="31"/>
      <c r="H15" s="31">
        <f>Cty_INOX_Viet[[#This Row],[ĐƠN GIÁ]]*Cty_INOX_Viet[[#This Row],[SỐ LƯỢNG]]</f>
        <v>0</v>
      </c>
      <c r="I15" s="31">
        <v>114000000</v>
      </c>
      <c r="J15" s="31">
        <f>J14+Cty_INOX_Viet[[#This Row],[THÀNH TIỀN]]-Cty_INOX_Viet[[#This Row],[THANH TOÁN]]</f>
        <v>53119181</v>
      </c>
      <c r="K15" s="24"/>
    </row>
    <row r="16" spans="1:11" x14ac:dyDescent="0.25">
      <c r="A16" s="22"/>
      <c r="B16" s="29">
        <v>46157</v>
      </c>
      <c r="C16" s="23" t="s">
        <v>21</v>
      </c>
      <c r="D16" s="37" t="s">
        <v>22</v>
      </c>
      <c r="E16" s="23" t="s">
        <v>83</v>
      </c>
      <c r="F16" s="31">
        <v>0</v>
      </c>
      <c r="G16" s="31"/>
      <c r="H16" s="31">
        <f>Cty_INOX_Viet[[#This Row],[ĐƠN GIÁ]]*Cty_INOX_Viet[[#This Row],[SỐ LƯỢNG]]</f>
        <v>0</v>
      </c>
      <c r="I16" s="31">
        <v>21665635</v>
      </c>
      <c r="J16" s="31">
        <f>J15+Cty_INOX_Viet[[#This Row],[THÀNH TIỀN]]-Cty_INOX_Viet[[#This Row],[THANH TOÁN]]</f>
        <v>31453546</v>
      </c>
      <c r="K16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78ED08-3780-4DE0-9FDC-350E3037093D}">
  <sheetPr codeName="Sheet90"/>
  <dimension ref="A5:K18"/>
  <sheetViews>
    <sheetView workbookViewId="0">
      <selection activeCell="J18" sqref="J18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90883000</v>
      </c>
    </row>
    <row r="6" spans="1:11" ht="22.5" x14ac:dyDescent="0.25">
      <c r="D6" s="34" t="s">
        <v>1178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A_Phong_Cty_Viet_Duc[[#This Row],[ĐƠN GIÁ]]*A_Phong_Cty_Viet_Duc[[#This Row],[SỐ LƯỢNG]]</f>
        <v>0</v>
      </c>
      <c r="I10" s="31"/>
      <c r="J10" s="31">
        <v>26290000</v>
      </c>
      <c r="K10" s="24"/>
    </row>
    <row r="11" spans="1:11" x14ac:dyDescent="0.25">
      <c r="A11" s="22">
        <v>7988</v>
      </c>
      <c r="B11" s="29">
        <v>46092</v>
      </c>
      <c r="C11" s="23" t="s">
        <v>13</v>
      </c>
      <c r="D11" s="37" t="s">
        <v>43</v>
      </c>
      <c r="E11" s="23" t="s">
        <v>469</v>
      </c>
      <c r="F11" s="31">
        <v>641</v>
      </c>
      <c r="G11" s="31">
        <v>60000</v>
      </c>
      <c r="H11" s="31">
        <f>A_Phong_Cty_Viet_Duc[[#This Row],[ĐƠN GIÁ]]*A_Phong_Cty_Viet_Duc[[#This Row],[SỐ LƯỢNG]]</f>
        <v>38460000</v>
      </c>
      <c r="I11" s="31"/>
      <c r="J11" s="31">
        <f>J10+A_Phong_Cty_Viet_Duc[[#This Row],[THÀNH TIỀN]]-A_Phong_Cty_Viet_Duc[[#This Row],[THANH TOÁN]]</f>
        <v>64750000</v>
      </c>
      <c r="K11" s="24" t="s">
        <v>128</v>
      </c>
    </row>
    <row r="12" spans="1:11" x14ac:dyDescent="0.25">
      <c r="A12" s="22">
        <v>7988</v>
      </c>
      <c r="B12" s="29">
        <v>46092</v>
      </c>
      <c r="C12" s="23" t="s">
        <v>13</v>
      </c>
      <c r="D12" s="37" t="s">
        <v>26</v>
      </c>
      <c r="E12" s="23" t="s">
        <v>230</v>
      </c>
      <c r="F12" s="31">
        <v>470</v>
      </c>
      <c r="G12" s="31">
        <v>38000</v>
      </c>
      <c r="H12" s="31">
        <f>A_Phong_Cty_Viet_Duc[[#This Row],[ĐƠN GIÁ]]*A_Phong_Cty_Viet_Duc[[#This Row],[SỐ LƯỢNG]]</f>
        <v>17860000</v>
      </c>
      <c r="I12" s="31"/>
      <c r="J12" s="31">
        <f>J11+A_Phong_Cty_Viet_Duc[[#This Row],[THÀNH TIỀN]]-A_Phong_Cty_Viet_Duc[[#This Row],[THANH TOÁN]]</f>
        <v>82610000</v>
      </c>
      <c r="K12" s="24" t="s">
        <v>128</v>
      </c>
    </row>
    <row r="13" spans="1:11" x14ac:dyDescent="0.25">
      <c r="A13" s="25"/>
      <c r="B13" s="30">
        <v>46105</v>
      </c>
      <c r="C13" s="26" t="s">
        <v>21</v>
      </c>
      <c r="D13" s="38" t="s">
        <v>22</v>
      </c>
      <c r="E13" s="26" t="s">
        <v>23</v>
      </c>
      <c r="F13" s="28">
        <v>0</v>
      </c>
      <c r="G13" s="28">
        <v>0</v>
      </c>
      <c r="H13" s="28">
        <f>A_Phong_Cty_Viet_Duc[[#This Row],[ĐƠN GIÁ]]*A_Phong_Cty_Viet_Duc[[#This Row],[SỐ LƯỢNG]]</f>
        <v>0</v>
      </c>
      <c r="I13" s="28">
        <v>26290000</v>
      </c>
      <c r="J13" s="28">
        <f>J12+A_Phong_Cty_Viet_Duc[[#This Row],[THÀNH TIỀN]]-A_Phong_Cty_Viet_Duc[[#This Row],[THANH TOÁN]]</f>
        <v>56320000</v>
      </c>
      <c r="K13" s="27"/>
    </row>
    <row r="14" spans="1:11" x14ac:dyDescent="0.25">
      <c r="A14" s="22">
        <v>9026</v>
      </c>
      <c r="B14" s="29">
        <v>46137</v>
      </c>
      <c r="C14" s="23" t="s">
        <v>13</v>
      </c>
      <c r="D14" s="37" t="s">
        <v>43</v>
      </c>
      <c r="E14" s="23" t="s">
        <v>621</v>
      </c>
      <c r="F14" s="31">
        <v>680</v>
      </c>
      <c r="G14" s="31">
        <v>65000</v>
      </c>
      <c r="H14" s="31">
        <f>A_Phong_Cty_Viet_Duc[[#This Row],[ĐƠN GIÁ]]*A_Phong_Cty_Viet_Duc[[#This Row],[SỐ LƯỢNG]]</f>
        <v>44200000</v>
      </c>
      <c r="I14" s="31"/>
      <c r="J14" s="31">
        <f>J13+A_Phong_Cty_Viet_Duc[[#This Row],[THÀNH TIỀN]]-A_Phong_Cty_Viet_Duc[[#This Row],[THANH TOÁN]]</f>
        <v>100520000</v>
      </c>
      <c r="K14" s="24"/>
    </row>
    <row r="15" spans="1:11" x14ac:dyDescent="0.25">
      <c r="A15" s="22">
        <v>9084</v>
      </c>
      <c r="B15" s="29">
        <v>46140</v>
      </c>
      <c r="C15" s="23" t="s">
        <v>13</v>
      </c>
      <c r="D15" s="37" t="s">
        <v>32</v>
      </c>
      <c r="E15" s="23" t="s">
        <v>230</v>
      </c>
      <c r="F15" s="31">
        <v>622</v>
      </c>
      <c r="G15" s="31">
        <v>45000</v>
      </c>
      <c r="H15" s="31">
        <f>A_Phong_Cty_Viet_Duc[[#This Row],[ĐƠN GIÁ]]*A_Phong_Cty_Viet_Duc[[#This Row],[SỐ LƯỢNG]]</f>
        <v>27990000</v>
      </c>
      <c r="I15" s="31"/>
      <c r="J15" s="31">
        <f>J14+A_Phong_Cty_Viet_Duc[[#This Row],[THÀNH TIỀN]]-A_Phong_Cty_Viet_Duc[[#This Row],[THANH TOÁN]]</f>
        <v>128510000</v>
      </c>
      <c r="K15" s="24"/>
    </row>
    <row r="16" spans="1:11" x14ac:dyDescent="0.25">
      <c r="A16" s="22"/>
      <c r="B16" s="29">
        <v>46141</v>
      </c>
      <c r="C16" s="23" t="s">
        <v>21</v>
      </c>
      <c r="D16" s="37" t="s">
        <v>22</v>
      </c>
      <c r="E16" s="23" t="s">
        <v>2067</v>
      </c>
      <c r="F16" s="31">
        <v>0</v>
      </c>
      <c r="G16" s="31"/>
      <c r="H16" s="31">
        <f>A_Phong_Cty_Viet_Duc[[#This Row],[ĐƠN GIÁ]]*A_Phong_Cty_Viet_Duc[[#This Row],[SỐ LƯỢNG]]</f>
        <v>0</v>
      </c>
      <c r="I16" s="31">
        <v>30000000</v>
      </c>
      <c r="J16" s="31">
        <f>J15+A_Phong_Cty_Viet_Duc[[#This Row],[THÀNH TIỀN]]-A_Phong_Cty_Viet_Duc[[#This Row],[THANH TOÁN]]</f>
        <v>98510000</v>
      </c>
      <c r="K16" s="24"/>
    </row>
    <row r="17" spans="1:11" x14ac:dyDescent="0.25">
      <c r="A17" s="22">
        <v>9267</v>
      </c>
      <c r="B17" s="29">
        <v>46150</v>
      </c>
      <c r="C17" s="23" t="s">
        <v>13</v>
      </c>
      <c r="D17" s="37" t="s">
        <v>143</v>
      </c>
      <c r="E17" s="23" t="s">
        <v>469</v>
      </c>
      <c r="F17" s="31">
        <v>279</v>
      </c>
      <c r="G17" s="31">
        <v>67000</v>
      </c>
      <c r="H17" s="31">
        <f>A_Phong_Cty_Viet_Duc[[#This Row],[ĐƠN GIÁ]]*A_Phong_Cty_Viet_Duc[[#This Row],[SỐ LƯỢNG]]</f>
        <v>18693000</v>
      </c>
      <c r="I17" s="31"/>
      <c r="J17" s="31">
        <f>J16+A_Phong_Cty_Viet_Duc[[#This Row],[THÀNH TIỀN]]-A_Phong_Cty_Viet_Duc[[#This Row],[THANH TOÁN]]</f>
        <v>117203000</v>
      </c>
      <c r="K17" s="24"/>
    </row>
    <row r="18" spans="1:11" x14ac:dyDescent="0.25">
      <c r="A18" s="25"/>
      <c r="B18" s="30">
        <v>46158</v>
      </c>
      <c r="C18" s="26" t="s">
        <v>21</v>
      </c>
      <c r="D18" s="38" t="s">
        <v>24</v>
      </c>
      <c r="E18" s="26"/>
      <c r="F18" s="28">
        <v>0</v>
      </c>
      <c r="G18" s="28"/>
      <c r="H18" s="28">
        <f>A_Phong_Cty_Viet_Duc[[#This Row],[ĐƠN GIÁ]]*A_Phong_Cty_Viet_Duc[[#This Row],[SỐ LƯỢNG]]</f>
        <v>0</v>
      </c>
      <c r="I18" s="28">
        <v>26320000</v>
      </c>
      <c r="J18" s="28">
        <f>J17+A_Phong_Cty_Viet_Duc[[#This Row],[THÀNH TIỀN]]-A_Phong_Cty_Viet_Duc[[#This Row],[THANH TOÁN]]</f>
        <v>90883000</v>
      </c>
      <c r="K18" s="27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6C6A3-5D27-4B75-AA0D-2A45E4F1D455}">
  <sheetPr codeName="Sheet91"/>
  <dimension ref="A5:K42"/>
  <sheetViews>
    <sheetView topLeftCell="A16" workbookViewId="0">
      <selection activeCell="J41" sqref="J41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315814634</v>
      </c>
    </row>
    <row r="6" spans="1:11" ht="22.5" x14ac:dyDescent="0.25">
      <c r="D6" s="34" t="s">
        <v>2164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Cty_Thiet_Bi_Y_Te_Hoang_Gia[[#This Row],[ĐƠN GIÁ]]*Cty_Thiet_Bi_Y_Te_Hoang_Gia[[#This Row],[SỐ LƯỢNG]]</f>
        <v>0</v>
      </c>
      <c r="I10" s="31"/>
      <c r="J10" s="31">
        <v>92501581</v>
      </c>
      <c r="K10" s="24"/>
    </row>
    <row r="11" spans="1:11" x14ac:dyDescent="0.25">
      <c r="A11" s="22">
        <v>7993</v>
      </c>
      <c r="B11" s="29">
        <v>46092</v>
      </c>
      <c r="C11" s="23" t="s">
        <v>13</v>
      </c>
      <c r="D11" s="37" t="s">
        <v>252</v>
      </c>
      <c r="E11" s="23" t="s">
        <v>161</v>
      </c>
      <c r="F11" s="31">
        <v>536</v>
      </c>
      <c r="G11" s="31">
        <v>38500</v>
      </c>
      <c r="H11" s="31">
        <f>Cty_Thiet_Bi_Y_Te_Hoang_Gia[[#This Row],[ĐƠN GIÁ]]*Cty_Thiet_Bi_Y_Te_Hoang_Gia[[#This Row],[SỐ LƯỢNG]]</f>
        <v>20636000</v>
      </c>
      <c r="I11" s="31"/>
      <c r="J11" s="31">
        <f>J10+Cty_Thiet_Bi_Y_Te_Hoang_Gia[[#This Row],[THÀNH TIỀN]]-Cty_Thiet_Bi_Y_Te_Hoang_Gia[[#This Row],[THANH TOÁN]]</f>
        <v>113137581</v>
      </c>
      <c r="K11" s="24"/>
    </row>
    <row r="12" spans="1:11" x14ac:dyDescent="0.25">
      <c r="A12" s="22">
        <v>7993</v>
      </c>
      <c r="B12" s="29">
        <v>46092</v>
      </c>
      <c r="C12" s="23" t="s">
        <v>13</v>
      </c>
      <c r="D12" s="37" t="s">
        <v>252</v>
      </c>
      <c r="E12" s="23" t="s">
        <v>220</v>
      </c>
      <c r="F12" s="31">
        <v>558</v>
      </c>
      <c r="G12" s="31">
        <v>40000</v>
      </c>
      <c r="H12" s="31">
        <f>Cty_Thiet_Bi_Y_Te_Hoang_Gia[[#This Row],[ĐƠN GIÁ]]*Cty_Thiet_Bi_Y_Te_Hoang_Gia[[#This Row],[SỐ LƯỢNG]]</f>
        <v>22320000</v>
      </c>
      <c r="I12" s="31"/>
      <c r="J12" s="31">
        <f>J11+Cty_Thiet_Bi_Y_Te_Hoang_Gia[[#This Row],[THÀNH TIỀN]]-Cty_Thiet_Bi_Y_Te_Hoang_Gia[[#This Row],[THANH TOÁN]]</f>
        <v>135457581</v>
      </c>
      <c r="K12" s="24"/>
    </row>
    <row r="13" spans="1:11" x14ac:dyDescent="0.25">
      <c r="A13" s="22">
        <v>7993</v>
      </c>
      <c r="B13" s="29">
        <v>46092</v>
      </c>
      <c r="C13" s="23" t="s">
        <v>13</v>
      </c>
      <c r="D13" s="38" t="s">
        <v>270</v>
      </c>
      <c r="E13" s="26" t="s">
        <v>163</v>
      </c>
      <c r="F13" s="28">
        <v>542</v>
      </c>
      <c r="G13" s="28">
        <v>61500</v>
      </c>
      <c r="H13" s="28">
        <f>Cty_Thiet_Bi_Y_Te_Hoang_Gia[[#This Row],[ĐƠN GIÁ]]*Cty_Thiet_Bi_Y_Te_Hoang_Gia[[#This Row],[SỐ LƯỢNG]]</f>
        <v>33333000</v>
      </c>
      <c r="I13" s="28"/>
      <c r="J13" s="28">
        <f>J12+Cty_Thiet_Bi_Y_Te_Hoang_Gia[[#This Row],[THÀNH TIỀN]]-Cty_Thiet_Bi_Y_Te_Hoang_Gia[[#This Row],[THANH TOÁN]]</f>
        <v>168790581</v>
      </c>
      <c r="K13" s="27"/>
    </row>
    <row r="14" spans="1:11" x14ac:dyDescent="0.25">
      <c r="A14" s="25"/>
      <c r="B14" s="30">
        <v>46092</v>
      </c>
      <c r="C14" s="26" t="s">
        <v>21</v>
      </c>
      <c r="D14" s="38" t="s">
        <v>22</v>
      </c>
      <c r="E14" s="26" t="s">
        <v>83</v>
      </c>
      <c r="F14" s="28">
        <v>0</v>
      </c>
      <c r="G14" s="28">
        <v>0</v>
      </c>
      <c r="H14" s="28">
        <f>Cty_Thiet_Bi_Y_Te_Hoang_Gia[[#This Row],[ĐƠN GIÁ]]*Cty_Thiet_Bi_Y_Te_Hoang_Gia[[#This Row],[SỐ LƯỢNG]]</f>
        <v>0</v>
      </c>
      <c r="I14" s="28">
        <v>92502208</v>
      </c>
      <c r="J14" s="28">
        <f>J13+Cty_Thiet_Bi_Y_Te_Hoang_Gia[[#This Row],[THÀNH TIỀN]]-Cty_Thiet_Bi_Y_Te_Hoang_Gia[[#This Row],[THANH TOÁN]]</f>
        <v>76288373</v>
      </c>
      <c r="K14" s="27"/>
    </row>
    <row r="15" spans="1:11" x14ac:dyDescent="0.25">
      <c r="A15" s="25">
        <v>8051</v>
      </c>
      <c r="B15" s="30">
        <v>46093</v>
      </c>
      <c r="C15" s="26" t="s">
        <v>13</v>
      </c>
      <c r="D15" s="38" t="s">
        <v>270</v>
      </c>
      <c r="E15" s="26" t="s">
        <v>41</v>
      </c>
      <c r="F15" s="28">
        <v>544</v>
      </c>
      <c r="G15" s="28">
        <v>63000</v>
      </c>
      <c r="H15" s="28">
        <f>Cty_Thiet_Bi_Y_Te_Hoang_Gia[[#This Row],[ĐƠN GIÁ]]*Cty_Thiet_Bi_Y_Te_Hoang_Gia[[#This Row],[SỐ LƯỢNG]]</f>
        <v>34272000</v>
      </c>
      <c r="I15" s="28"/>
      <c r="J15" s="28">
        <f>J14+Cty_Thiet_Bi_Y_Te_Hoang_Gia[[#This Row],[THÀNH TIỀN]]-Cty_Thiet_Bi_Y_Te_Hoang_Gia[[#This Row],[THANH TOÁN]]</f>
        <v>110560373</v>
      </c>
      <c r="K15" s="27"/>
    </row>
    <row r="16" spans="1:11" x14ac:dyDescent="0.25">
      <c r="A16" s="25">
        <v>8051</v>
      </c>
      <c r="B16" s="30">
        <v>46093</v>
      </c>
      <c r="C16" s="26" t="s">
        <v>13</v>
      </c>
      <c r="D16" s="38" t="s">
        <v>50</v>
      </c>
      <c r="E16" s="26" t="s">
        <v>1179</v>
      </c>
      <c r="F16" s="28">
        <v>34</v>
      </c>
      <c r="G16" s="28">
        <v>59000</v>
      </c>
      <c r="H16" s="28">
        <f>Cty_Thiet_Bi_Y_Te_Hoang_Gia[[#This Row],[ĐƠN GIÁ]]*Cty_Thiet_Bi_Y_Te_Hoang_Gia[[#This Row],[SỐ LƯỢNG]]</f>
        <v>2006000</v>
      </c>
      <c r="I16" s="28"/>
      <c r="J16" s="28">
        <f>J15+Cty_Thiet_Bi_Y_Te_Hoang_Gia[[#This Row],[THÀNH TIỀN]]-Cty_Thiet_Bi_Y_Te_Hoang_Gia[[#This Row],[THANH TOÁN]]</f>
        <v>112566373</v>
      </c>
      <c r="K16" s="27"/>
    </row>
    <row r="17" spans="1:11" x14ac:dyDescent="0.25">
      <c r="A17" s="25">
        <v>8051</v>
      </c>
      <c r="B17" s="30">
        <v>46093</v>
      </c>
      <c r="C17" s="26" t="s">
        <v>13</v>
      </c>
      <c r="D17" s="38" t="s">
        <v>103</v>
      </c>
      <c r="E17" s="26" t="s">
        <v>1180</v>
      </c>
      <c r="F17" s="28">
        <v>290</v>
      </c>
      <c r="G17" s="28">
        <v>38000</v>
      </c>
      <c r="H17" s="28">
        <f>Cty_Thiet_Bi_Y_Te_Hoang_Gia[[#This Row],[ĐƠN GIÁ]]*Cty_Thiet_Bi_Y_Te_Hoang_Gia[[#This Row],[SỐ LƯỢNG]]</f>
        <v>11020000</v>
      </c>
      <c r="I17" s="28"/>
      <c r="J17" s="28">
        <f>J16+Cty_Thiet_Bi_Y_Te_Hoang_Gia[[#This Row],[THÀNH TIỀN]]-Cty_Thiet_Bi_Y_Te_Hoang_Gia[[#This Row],[THANH TOÁN]]</f>
        <v>123586373</v>
      </c>
      <c r="K17" s="27"/>
    </row>
    <row r="18" spans="1:11" x14ac:dyDescent="0.25">
      <c r="A18" s="25">
        <v>8381</v>
      </c>
      <c r="B18" s="30">
        <v>46108</v>
      </c>
      <c r="C18" s="26" t="s">
        <v>13</v>
      </c>
      <c r="D18" s="38" t="s">
        <v>17</v>
      </c>
      <c r="E18" s="26" t="s">
        <v>146</v>
      </c>
      <c r="F18" s="28">
        <v>854</v>
      </c>
      <c r="G18" s="28">
        <v>63000</v>
      </c>
      <c r="H18" s="28">
        <f>Cty_Thiet_Bi_Y_Te_Hoang_Gia[[#This Row],[ĐƠN GIÁ]]*Cty_Thiet_Bi_Y_Te_Hoang_Gia[[#This Row],[SỐ LƯỢNG]]</f>
        <v>53802000</v>
      </c>
      <c r="I18" s="28"/>
      <c r="J18" s="28">
        <f>J17+Cty_Thiet_Bi_Y_Te_Hoang_Gia[[#This Row],[THÀNH TIỀN]]-Cty_Thiet_Bi_Y_Te_Hoang_Gia[[#This Row],[THANH TOÁN]]</f>
        <v>177388373</v>
      </c>
      <c r="K18" s="27"/>
    </row>
    <row r="19" spans="1:11" x14ac:dyDescent="0.25">
      <c r="A19" s="22">
        <v>8485</v>
      </c>
      <c r="B19" s="29">
        <v>46113</v>
      </c>
      <c r="C19" s="23" t="s">
        <v>13</v>
      </c>
      <c r="D19" s="37" t="s">
        <v>252</v>
      </c>
      <c r="E19" s="23" t="s">
        <v>62</v>
      </c>
      <c r="F19" s="31">
        <v>910</v>
      </c>
      <c r="G19" s="31">
        <v>40000</v>
      </c>
      <c r="H19" s="31">
        <f>Cty_Thiet_Bi_Y_Te_Hoang_Gia[[#This Row],[ĐƠN GIÁ]]*Cty_Thiet_Bi_Y_Te_Hoang_Gia[[#This Row],[SỐ LƯỢNG]]</f>
        <v>36400000</v>
      </c>
      <c r="I19" s="31"/>
      <c r="J19" s="31">
        <f>J18+Cty_Thiet_Bi_Y_Te_Hoang_Gia[[#This Row],[THÀNH TIỀN]]-Cty_Thiet_Bi_Y_Te_Hoang_Gia[[#This Row],[THANH TOÁN]]</f>
        <v>213788373</v>
      </c>
      <c r="K19" s="24"/>
    </row>
    <row r="20" spans="1:11" x14ac:dyDescent="0.25">
      <c r="A20" s="22">
        <v>8485</v>
      </c>
      <c r="B20" s="29">
        <v>46113</v>
      </c>
      <c r="C20" s="23" t="s">
        <v>13</v>
      </c>
      <c r="D20" s="37" t="s">
        <v>32</v>
      </c>
      <c r="E20" s="23" t="s">
        <v>40</v>
      </c>
      <c r="F20" s="31">
        <v>846</v>
      </c>
      <c r="G20" s="31">
        <v>43000</v>
      </c>
      <c r="H20" s="31">
        <f>Cty_Thiet_Bi_Y_Te_Hoang_Gia[[#This Row],[ĐƠN GIÁ]]*Cty_Thiet_Bi_Y_Te_Hoang_Gia[[#This Row],[SỐ LƯỢNG]]</f>
        <v>36378000</v>
      </c>
      <c r="I20" s="31"/>
      <c r="J20" s="31">
        <f>J19+Cty_Thiet_Bi_Y_Te_Hoang_Gia[[#This Row],[THÀNH TIỀN]]-Cty_Thiet_Bi_Y_Te_Hoang_Gia[[#This Row],[THANH TOÁN]]</f>
        <v>250166373</v>
      </c>
      <c r="K20" s="24"/>
    </row>
    <row r="21" spans="1:11" x14ac:dyDescent="0.25">
      <c r="A21" s="22">
        <v>8485</v>
      </c>
      <c r="B21" s="29">
        <v>46113</v>
      </c>
      <c r="C21" s="23" t="s">
        <v>13</v>
      </c>
      <c r="D21" s="37" t="s">
        <v>135</v>
      </c>
      <c r="E21" s="23" t="s">
        <v>1181</v>
      </c>
      <c r="F21" s="31">
        <v>438</v>
      </c>
      <c r="G21" s="31">
        <v>37500</v>
      </c>
      <c r="H21" s="31">
        <f>Cty_Thiet_Bi_Y_Te_Hoang_Gia[[#This Row],[ĐƠN GIÁ]]*Cty_Thiet_Bi_Y_Te_Hoang_Gia[[#This Row],[SỐ LƯỢNG]]</f>
        <v>16425000</v>
      </c>
      <c r="I21" s="31"/>
      <c r="J21" s="31">
        <f>J20+Cty_Thiet_Bi_Y_Te_Hoang_Gia[[#This Row],[THÀNH TIỀN]]-Cty_Thiet_Bi_Y_Te_Hoang_Gia[[#This Row],[THANH TOÁN]]</f>
        <v>266591373</v>
      </c>
      <c r="K21" s="24"/>
    </row>
    <row r="22" spans="1:11" x14ac:dyDescent="0.25">
      <c r="A22" s="22"/>
      <c r="B22" s="29">
        <v>46114</v>
      </c>
      <c r="C22" s="23" t="s">
        <v>21</v>
      </c>
      <c r="D22" s="37" t="s">
        <v>22</v>
      </c>
      <c r="E22" s="23" t="s">
        <v>83</v>
      </c>
      <c r="F22" s="31">
        <v>0</v>
      </c>
      <c r="G22" s="31"/>
      <c r="H22" s="31">
        <f>Cty_Thiet_Bi_Y_Te_Hoang_Gia[[#This Row],[ĐƠN GIÁ]]*Cty_Thiet_Bi_Y_Te_Hoang_Gia[[#This Row],[SỐ LƯỢNG]]</f>
        <v>0</v>
      </c>
      <c r="I22" s="31">
        <v>123587174</v>
      </c>
      <c r="J22" s="31">
        <f>J21+Cty_Thiet_Bi_Y_Te_Hoang_Gia[[#This Row],[THÀNH TIỀN]]-Cty_Thiet_Bi_Y_Te_Hoang_Gia[[#This Row],[THANH TOÁN]]</f>
        <v>143004199</v>
      </c>
      <c r="K22" s="24"/>
    </row>
    <row r="23" spans="1:11" x14ac:dyDescent="0.25">
      <c r="A23" s="22"/>
      <c r="B23" s="29">
        <v>46128</v>
      </c>
      <c r="C23" s="23" t="s">
        <v>21</v>
      </c>
      <c r="D23" s="37" t="s">
        <v>22</v>
      </c>
      <c r="E23" s="23" t="s">
        <v>83</v>
      </c>
      <c r="F23" s="31">
        <v>0</v>
      </c>
      <c r="G23" s="31"/>
      <c r="H23" s="31">
        <f>Cty_Thiet_Bi_Y_Te_Hoang_Gia[[#This Row],[ĐƠN GIÁ]]*Cty_Thiet_Bi_Y_Te_Hoang_Gia[[#This Row],[SỐ LƯỢNG]]</f>
        <v>0</v>
      </c>
      <c r="I23" s="31">
        <v>53802256</v>
      </c>
      <c r="J23" s="31">
        <f>J22+Cty_Thiet_Bi_Y_Te_Hoang_Gia[[#This Row],[THÀNH TIỀN]]-Cty_Thiet_Bi_Y_Te_Hoang_Gia[[#This Row],[THANH TOÁN]]</f>
        <v>89201943</v>
      </c>
      <c r="K23" s="24"/>
    </row>
    <row r="24" spans="1:11" x14ac:dyDescent="0.25">
      <c r="A24" s="22">
        <v>8969</v>
      </c>
      <c r="B24" s="29">
        <v>46135</v>
      </c>
      <c r="C24" s="23" t="s">
        <v>13</v>
      </c>
      <c r="D24" s="37" t="s">
        <v>26</v>
      </c>
      <c r="E24" s="23" t="s">
        <v>40</v>
      </c>
      <c r="F24" s="31">
        <v>1094</v>
      </c>
      <c r="G24" s="31">
        <v>36000</v>
      </c>
      <c r="H24" s="31">
        <f>Cty_Thiet_Bi_Y_Te_Hoang_Gia[[#This Row],[ĐƠN GIÁ]]*Cty_Thiet_Bi_Y_Te_Hoang_Gia[[#This Row],[SỐ LƯỢNG]]</f>
        <v>39384000</v>
      </c>
      <c r="I24" s="31"/>
      <c r="J24" s="31">
        <f>J23+Cty_Thiet_Bi_Y_Te_Hoang_Gia[[#This Row],[THÀNH TIỀN]]-Cty_Thiet_Bi_Y_Te_Hoang_Gia[[#This Row],[THANH TOÁN]]</f>
        <v>128585943</v>
      </c>
      <c r="K24" s="24"/>
    </row>
    <row r="25" spans="1:11" x14ac:dyDescent="0.25">
      <c r="A25" s="22">
        <v>8969</v>
      </c>
      <c r="B25" s="29">
        <v>46135</v>
      </c>
      <c r="C25" s="23" t="s">
        <v>13</v>
      </c>
      <c r="D25" s="37" t="s">
        <v>265</v>
      </c>
      <c r="E25" s="23" t="s">
        <v>41</v>
      </c>
      <c r="F25" s="31">
        <v>480</v>
      </c>
      <c r="G25" s="31">
        <v>66000</v>
      </c>
      <c r="H25" s="31">
        <f>Cty_Thiet_Bi_Y_Te_Hoang_Gia[[#This Row],[ĐƠN GIÁ]]*Cty_Thiet_Bi_Y_Te_Hoang_Gia[[#This Row],[SỐ LƯỢNG]]</f>
        <v>31680000</v>
      </c>
      <c r="I25" s="31"/>
      <c r="J25" s="31">
        <f>J24+Cty_Thiet_Bi_Y_Te_Hoang_Gia[[#This Row],[THÀNH TIỀN]]-Cty_Thiet_Bi_Y_Te_Hoang_Gia[[#This Row],[THANH TOÁN]]</f>
        <v>160265943</v>
      </c>
      <c r="K25" s="24"/>
    </row>
    <row r="26" spans="1:11" x14ac:dyDescent="0.25">
      <c r="A26" s="22">
        <v>8969</v>
      </c>
      <c r="B26" s="29">
        <v>46135</v>
      </c>
      <c r="C26" s="23" t="s">
        <v>13</v>
      </c>
      <c r="D26" s="37" t="s">
        <v>50</v>
      </c>
      <c r="E26" s="23" t="s">
        <v>1800</v>
      </c>
      <c r="F26" s="31">
        <v>290</v>
      </c>
      <c r="G26" s="31">
        <v>61000</v>
      </c>
      <c r="H26" s="31">
        <f>Cty_Thiet_Bi_Y_Te_Hoang_Gia[[#This Row],[ĐƠN GIÁ]]*Cty_Thiet_Bi_Y_Te_Hoang_Gia[[#This Row],[SỐ LƯỢNG]]</f>
        <v>17690000</v>
      </c>
      <c r="I26" s="31"/>
      <c r="J26" s="31">
        <f>J25+Cty_Thiet_Bi_Y_Te_Hoang_Gia[[#This Row],[THÀNH TIỀN]]-Cty_Thiet_Bi_Y_Te_Hoang_Gia[[#This Row],[THANH TOÁN]]</f>
        <v>177955943</v>
      </c>
      <c r="K26" s="24"/>
    </row>
    <row r="27" spans="1:11" x14ac:dyDescent="0.25">
      <c r="A27" s="25"/>
      <c r="B27" s="30">
        <v>46140</v>
      </c>
      <c r="C27" s="26" t="s">
        <v>21</v>
      </c>
      <c r="D27" s="38" t="s">
        <v>22</v>
      </c>
      <c r="E27" s="26" t="s">
        <v>261</v>
      </c>
      <c r="F27" s="28">
        <v>0</v>
      </c>
      <c r="G27" s="28"/>
      <c r="H27" s="28">
        <f>Cty_Thiet_Bi_Y_Te_Hoang_Gia[[#This Row],[ĐƠN GIÁ]]*Cty_Thiet_Bi_Y_Te_Hoang_Gia[[#This Row],[SỐ LƯỢNG]]</f>
        <v>0</v>
      </c>
      <c r="I27" s="28">
        <v>177957309</v>
      </c>
      <c r="J27" s="28">
        <f>J26+Cty_Thiet_Bi_Y_Te_Hoang_Gia[[#This Row],[THÀNH TIỀN]]-Cty_Thiet_Bi_Y_Te_Hoang_Gia[[#This Row],[THANH TOÁN]]</f>
        <v>-1366</v>
      </c>
      <c r="K27" s="27"/>
    </row>
    <row r="28" spans="1:11" x14ac:dyDescent="0.25">
      <c r="A28" s="22">
        <v>9233</v>
      </c>
      <c r="B28" s="29">
        <v>46149</v>
      </c>
      <c r="C28" s="23" t="s">
        <v>426</v>
      </c>
      <c r="D28" s="37" t="s">
        <v>26</v>
      </c>
      <c r="E28" s="23" t="s">
        <v>40</v>
      </c>
      <c r="F28" s="31">
        <v>1094</v>
      </c>
      <c r="G28" s="31">
        <v>-36000</v>
      </c>
      <c r="H28" s="31">
        <f>Cty_Thiet_Bi_Y_Te_Hoang_Gia[[#This Row],[ĐƠN GIÁ]]*Cty_Thiet_Bi_Y_Te_Hoang_Gia[[#This Row],[SỐ LƯỢNG]]</f>
        <v>-39384000</v>
      </c>
      <c r="I28" s="31"/>
      <c r="J28" s="31">
        <f>J27+Cty_Thiet_Bi_Y_Te_Hoang_Gia[[#This Row],[THÀNH TIỀN]]-Cty_Thiet_Bi_Y_Te_Hoang_Gia[[#This Row],[THANH TOÁN]]</f>
        <v>-39385366</v>
      </c>
      <c r="K28" s="24"/>
    </row>
    <row r="29" spans="1:11" x14ac:dyDescent="0.25">
      <c r="A29" s="22">
        <v>9242</v>
      </c>
      <c r="B29" s="29">
        <v>46149</v>
      </c>
      <c r="C29" s="23" t="s">
        <v>13</v>
      </c>
      <c r="D29" s="37" t="s">
        <v>26</v>
      </c>
      <c r="E29" s="23" t="s">
        <v>40</v>
      </c>
      <c r="F29" s="31">
        <v>650</v>
      </c>
      <c r="G29" s="31">
        <v>36000</v>
      </c>
      <c r="H29" s="31">
        <f>Cty_Thiet_Bi_Y_Te_Hoang_Gia[[#This Row],[ĐƠN GIÁ]]*Cty_Thiet_Bi_Y_Te_Hoang_Gia[[#This Row],[SỐ LƯỢNG]]</f>
        <v>23400000</v>
      </c>
      <c r="I29" s="31"/>
      <c r="J29" s="31">
        <f>J28+Cty_Thiet_Bi_Y_Te_Hoang_Gia[[#This Row],[THÀNH TIỀN]]-Cty_Thiet_Bi_Y_Te_Hoang_Gia[[#This Row],[THANH TOÁN]]</f>
        <v>-15985366</v>
      </c>
      <c r="K29" s="24"/>
    </row>
    <row r="30" spans="1:11" x14ac:dyDescent="0.25">
      <c r="A30" s="22">
        <v>9242</v>
      </c>
      <c r="B30" s="29">
        <v>46149</v>
      </c>
      <c r="C30" s="23" t="s">
        <v>13</v>
      </c>
      <c r="D30" s="37" t="s">
        <v>265</v>
      </c>
      <c r="E30" s="23" t="s">
        <v>146</v>
      </c>
      <c r="F30" s="31">
        <v>624</v>
      </c>
      <c r="G30" s="31">
        <v>67500</v>
      </c>
      <c r="H30" s="31">
        <f>Cty_Thiet_Bi_Y_Te_Hoang_Gia[[#This Row],[ĐƠN GIÁ]]*Cty_Thiet_Bi_Y_Te_Hoang_Gia[[#This Row],[SỐ LƯỢNG]]</f>
        <v>42120000</v>
      </c>
      <c r="I30" s="31"/>
      <c r="J30" s="31">
        <f>J29+Cty_Thiet_Bi_Y_Te_Hoang_Gia[[#This Row],[THÀNH TIỀN]]-Cty_Thiet_Bi_Y_Te_Hoang_Gia[[#This Row],[THANH TOÁN]]</f>
        <v>26134634</v>
      </c>
      <c r="K30" s="24"/>
    </row>
    <row r="31" spans="1:11" x14ac:dyDescent="0.25">
      <c r="A31" s="22">
        <v>9270</v>
      </c>
      <c r="B31" s="29">
        <v>46150</v>
      </c>
      <c r="C31" s="23" t="s">
        <v>13</v>
      </c>
      <c r="D31" s="37" t="s">
        <v>265</v>
      </c>
      <c r="E31" s="23" t="s">
        <v>136</v>
      </c>
      <c r="F31" s="31">
        <v>500</v>
      </c>
      <c r="G31" s="31">
        <v>68500</v>
      </c>
      <c r="H31" s="31">
        <f>Cty_Thiet_Bi_Y_Te_Hoang_Gia[[#This Row],[ĐƠN GIÁ]]*Cty_Thiet_Bi_Y_Te_Hoang_Gia[[#This Row],[SỐ LƯỢNG]]</f>
        <v>34250000</v>
      </c>
      <c r="I31" s="31"/>
      <c r="J31" s="31">
        <f>J30+Cty_Thiet_Bi_Y_Te_Hoang_Gia[[#This Row],[THÀNH TIỀN]]-Cty_Thiet_Bi_Y_Te_Hoang_Gia[[#This Row],[THANH TOÁN]]</f>
        <v>60384634</v>
      </c>
      <c r="K31" s="24"/>
    </row>
    <row r="32" spans="1:11" x14ac:dyDescent="0.25">
      <c r="A32" s="22">
        <v>9287</v>
      </c>
      <c r="B32" s="29">
        <v>46151</v>
      </c>
      <c r="C32" s="23" t="s">
        <v>13</v>
      </c>
      <c r="D32" s="37" t="s">
        <v>17</v>
      </c>
      <c r="E32" s="23" t="s">
        <v>40</v>
      </c>
      <c r="F32" s="31">
        <v>624</v>
      </c>
      <c r="G32" s="31">
        <v>69000</v>
      </c>
      <c r="H32" s="31">
        <f>Cty_Thiet_Bi_Y_Te_Hoang_Gia[[#This Row],[ĐƠN GIÁ]]*Cty_Thiet_Bi_Y_Te_Hoang_Gia[[#This Row],[SỐ LƯỢNG]]</f>
        <v>43056000</v>
      </c>
      <c r="I32" s="31"/>
      <c r="J32" s="31">
        <f>J31+Cty_Thiet_Bi_Y_Te_Hoang_Gia[[#This Row],[THÀNH TIỀN]]-Cty_Thiet_Bi_Y_Te_Hoang_Gia[[#This Row],[THANH TOÁN]]</f>
        <v>103440634</v>
      </c>
      <c r="K32" s="24"/>
    </row>
    <row r="33" spans="1:11" x14ac:dyDescent="0.25">
      <c r="A33" s="25">
        <v>9387</v>
      </c>
      <c r="B33" s="30">
        <v>46156</v>
      </c>
      <c r="C33" s="26" t="s">
        <v>13</v>
      </c>
      <c r="D33" s="38" t="s">
        <v>265</v>
      </c>
      <c r="E33" s="26" t="s">
        <v>62</v>
      </c>
      <c r="F33" s="28">
        <v>616</v>
      </c>
      <c r="G33" s="28">
        <v>69500</v>
      </c>
      <c r="H33" s="28">
        <f>Cty_Thiet_Bi_Y_Te_Hoang_Gia[[#This Row],[ĐƠN GIÁ]]*Cty_Thiet_Bi_Y_Te_Hoang_Gia[[#This Row],[SỐ LƯỢNG]]</f>
        <v>42812000</v>
      </c>
      <c r="I33" s="28"/>
      <c r="J33" s="28">
        <f>J32+Cty_Thiet_Bi_Y_Te_Hoang_Gia[[#This Row],[THÀNH TIỀN]]-Cty_Thiet_Bi_Y_Te_Hoang_Gia[[#This Row],[THANH TOÁN]]</f>
        <v>146252634</v>
      </c>
      <c r="K33" s="27"/>
    </row>
    <row r="34" spans="1:11" x14ac:dyDescent="0.25">
      <c r="A34" s="22">
        <v>9450</v>
      </c>
      <c r="B34" s="29">
        <v>46160</v>
      </c>
      <c r="C34" s="23" t="s">
        <v>13</v>
      </c>
      <c r="D34" s="37" t="s">
        <v>103</v>
      </c>
      <c r="E34" s="23" t="s">
        <v>2193</v>
      </c>
      <c r="F34" s="31">
        <v>292</v>
      </c>
      <c r="G34" s="31">
        <v>38000</v>
      </c>
      <c r="H34" s="31">
        <f>Cty_Thiet_Bi_Y_Te_Hoang_Gia[[#This Row],[ĐƠN GIÁ]]*Cty_Thiet_Bi_Y_Te_Hoang_Gia[[#This Row],[SỐ LƯỢNG]]</f>
        <v>11096000</v>
      </c>
      <c r="I34" s="31"/>
      <c r="J34" s="31">
        <f>J33+Cty_Thiet_Bi_Y_Te_Hoang_Gia[[#This Row],[THÀNH TIỀN]]-Cty_Thiet_Bi_Y_Te_Hoang_Gia[[#This Row],[THANH TOÁN]]</f>
        <v>157348634</v>
      </c>
      <c r="K34" s="24"/>
    </row>
    <row r="35" spans="1:11" x14ac:dyDescent="0.25">
      <c r="A35" s="22">
        <v>9450</v>
      </c>
      <c r="B35" s="29">
        <v>46160</v>
      </c>
      <c r="C35" s="23" t="s">
        <v>13</v>
      </c>
      <c r="D35" s="37" t="s">
        <v>26</v>
      </c>
      <c r="E35" s="23" t="s">
        <v>40</v>
      </c>
      <c r="F35" s="31">
        <v>424</v>
      </c>
      <c r="G35" s="31">
        <v>36000</v>
      </c>
      <c r="H35" s="31">
        <f>Cty_Thiet_Bi_Y_Te_Hoang_Gia[[#This Row],[ĐƠN GIÁ]]*Cty_Thiet_Bi_Y_Te_Hoang_Gia[[#This Row],[SỐ LƯỢNG]]</f>
        <v>15264000</v>
      </c>
      <c r="I35" s="31"/>
      <c r="J35" s="31">
        <f>J34+Cty_Thiet_Bi_Y_Te_Hoang_Gia[[#This Row],[THÀNH TIỀN]]-Cty_Thiet_Bi_Y_Te_Hoang_Gia[[#This Row],[THANH TOÁN]]</f>
        <v>172612634</v>
      </c>
      <c r="K35" s="24"/>
    </row>
    <row r="36" spans="1:11" x14ac:dyDescent="0.25">
      <c r="A36" s="22">
        <v>9537</v>
      </c>
      <c r="B36" s="29">
        <v>46163</v>
      </c>
      <c r="C36" s="23" t="s">
        <v>13</v>
      </c>
      <c r="D36" s="37" t="s">
        <v>26</v>
      </c>
      <c r="E36" s="23" t="s">
        <v>40</v>
      </c>
      <c r="F36" s="31">
        <v>706</v>
      </c>
      <c r="G36" s="31">
        <v>36000</v>
      </c>
      <c r="H36" s="31">
        <f>Cty_Thiet_Bi_Y_Te_Hoang_Gia[[#This Row],[ĐƠN GIÁ]]*Cty_Thiet_Bi_Y_Te_Hoang_Gia[[#This Row],[SỐ LƯỢNG]]</f>
        <v>25416000</v>
      </c>
      <c r="I36" s="31"/>
      <c r="J36" s="31">
        <f>J35+Cty_Thiet_Bi_Y_Te_Hoang_Gia[[#This Row],[THÀNH TIỀN]]-Cty_Thiet_Bi_Y_Te_Hoang_Gia[[#This Row],[THANH TOÁN]]</f>
        <v>198028634</v>
      </c>
      <c r="K36" s="24"/>
    </row>
    <row r="37" spans="1:11" x14ac:dyDescent="0.25">
      <c r="A37" s="22">
        <v>9537</v>
      </c>
      <c r="B37" s="29">
        <v>46163</v>
      </c>
      <c r="C37" s="23" t="s">
        <v>13</v>
      </c>
      <c r="D37" s="37" t="s">
        <v>169</v>
      </c>
      <c r="E37" s="23" t="s">
        <v>62</v>
      </c>
      <c r="F37" s="31">
        <v>514</v>
      </c>
      <c r="G37" s="31">
        <v>40000</v>
      </c>
      <c r="H37" s="31">
        <f>Cty_Thiet_Bi_Y_Te_Hoang_Gia[[#This Row],[ĐƠN GIÁ]]*Cty_Thiet_Bi_Y_Te_Hoang_Gia[[#This Row],[SỐ LƯỢNG]]</f>
        <v>20560000</v>
      </c>
      <c r="I37" s="31"/>
      <c r="J37" s="31">
        <f>J36+Cty_Thiet_Bi_Y_Te_Hoang_Gia[[#This Row],[THÀNH TIỀN]]-Cty_Thiet_Bi_Y_Te_Hoang_Gia[[#This Row],[THANH TOÁN]]</f>
        <v>218588634</v>
      </c>
      <c r="K37" s="24"/>
    </row>
    <row r="38" spans="1:11" x14ac:dyDescent="0.25">
      <c r="A38" s="22">
        <v>9712</v>
      </c>
      <c r="B38" s="29">
        <v>46172</v>
      </c>
      <c r="C38" s="23" t="s">
        <v>13</v>
      </c>
      <c r="D38" s="37" t="s">
        <v>17</v>
      </c>
      <c r="E38" s="23" t="s">
        <v>40</v>
      </c>
      <c r="F38" s="31">
        <v>575</v>
      </c>
      <c r="G38" s="31">
        <v>69000</v>
      </c>
      <c r="H38" s="31">
        <f>Cty_Thiet_Bi_Y_Te_Hoang_Gia[[#This Row],[ĐƠN GIÁ]]*Cty_Thiet_Bi_Y_Te_Hoang_Gia[[#This Row],[SỐ LƯỢNG]]</f>
        <v>39675000</v>
      </c>
      <c r="I38" s="31"/>
      <c r="J38" s="31">
        <f>J37+Cty_Thiet_Bi_Y_Te_Hoang_Gia[[#This Row],[THÀNH TIỀN]]-Cty_Thiet_Bi_Y_Te_Hoang_Gia[[#This Row],[THANH TOÁN]]</f>
        <v>258263634</v>
      </c>
      <c r="K38" s="24"/>
    </row>
    <row r="39" spans="1:11" x14ac:dyDescent="0.25">
      <c r="A39" s="22">
        <v>9712</v>
      </c>
      <c r="B39" s="29">
        <v>46172</v>
      </c>
      <c r="C39" s="23" t="s">
        <v>13</v>
      </c>
      <c r="D39" s="37" t="s">
        <v>265</v>
      </c>
      <c r="E39" s="23" t="s">
        <v>62</v>
      </c>
      <c r="F39" s="31">
        <v>532</v>
      </c>
      <c r="G39" s="31">
        <v>69500</v>
      </c>
      <c r="H39" s="31">
        <f>Cty_Thiet_Bi_Y_Te_Hoang_Gia[[#This Row],[ĐƠN GIÁ]]*Cty_Thiet_Bi_Y_Te_Hoang_Gia[[#This Row],[SỐ LƯỢNG]]</f>
        <v>36974000</v>
      </c>
      <c r="I39" s="31"/>
      <c r="J39" s="31">
        <f>J38+Cty_Thiet_Bi_Y_Te_Hoang_Gia[[#This Row],[THÀNH TIỀN]]-Cty_Thiet_Bi_Y_Te_Hoang_Gia[[#This Row],[THANH TOÁN]]</f>
        <v>295237634</v>
      </c>
      <c r="K39" s="24"/>
    </row>
    <row r="40" spans="1:11" x14ac:dyDescent="0.25">
      <c r="A40" s="22">
        <v>9712</v>
      </c>
      <c r="B40" s="29">
        <v>46172</v>
      </c>
      <c r="C40" s="23" t="s">
        <v>13</v>
      </c>
      <c r="D40" s="37" t="s">
        <v>26</v>
      </c>
      <c r="E40" s="23" t="s">
        <v>40</v>
      </c>
      <c r="F40" s="31">
        <v>700</v>
      </c>
      <c r="G40" s="31">
        <v>36000</v>
      </c>
      <c r="H40" s="31">
        <f>Cty_Thiet_Bi_Y_Te_Hoang_Gia[[#This Row],[ĐƠN GIÁ]]*Cty_Thiet_Bi_Y_Te_Hoang_Gia[[#This Row],[SỐ LƯỢNG]]</f>
        <v>25200000</v>
      </c>
      <c r="I40" s="31"/>
      <c r="J40" s="31">
        <f>J39+Cty_Thiet_Bi_Y_Te_Hoang_Gia[[#This Row],[THÀNH TIỀN]]-Cty_Thiet_Bi_Y_Te_Hoang_Gia[[#This Row],[THANH TOÁN]]</f>
        <v>320437634</v>
      </c>
      <c r="K40" s="24"/>
    </row>
    <row r="41" spans="1:11" x14ac:dyDescent="0.25">
      <c r="A41" s="22">
        <v>9729</v>
      </c>
      <c r="B41" s="29">
        <v>46174</v>
      </c>
      <c r="C41" s="23" t="s">
        <v>13</v>
      </c>
      <c r="D41" s="37" t="s">
        <v>17</v>
      </c>
      <c r="E41" s="23" t="s">
        <v>40</v>
      </c>
      <c r="F41" s="31">
        <v>508</v>
      </c>
      <c r="G41" s="31">
        <v>69000</v>
      </c>
      <c r="H41" s="31">
        <f>Cty_Thiet_Bi_Y_Te_Hoang_Gia[[#This Row],[ĐƠN GIÁ]]*Cty_Thiet_Bi_Y_Te_Hoang_Gia[[#This Row],[SỐ LƯỢNG]]</f>
        <v>35052000</v>
      </c>
      <c r="I41" s="31"/>
      <c r="J41" s="31">
        <f>J40+Cty_Thiet_Bi_Y_Te_Hoang_Gia[[#This Row],[THÀNH TIỀN]]-Cty_Thiet_Bi_Y_Te_Hoang_Gia[[#This Row],[THANH TOÁN]]</f>
        <v>355489634</v>
      </c>
      <c r="K41" s="24"/>
    </row>
    <row r="42" spans="1:11" x14ac:dyDescent="0.25">
      <c r="A42" s="22">
        <v>9729</v>
      </c>
      <c r="B42" s="29">
        <v>46174</v>
      </c>
      <c r="C42" s="23" t="s">
        <v>426</v>
      </c>
      <c r="D42" s="37" t="s">
        <v>17</v>
      </c>
      <c r="E42" s="23" t="s">
        <v>40</v>
      </c>
      <c r="F42" s="31">
        <v>575</v>
      </c>
      <c r="G42" s="31">
        <v>-69000</v>
      </c>
      <c r="H42" s="31">
        <f>Cty_Thiet_Bi_Y_Te_Hoang_Gia[[#This Row],[ĐƠN GIÁ]]*Cty_Thiet_Bi_Y_Te_Hoang_Gia[[#This Row],[SỐ LƯỢNG]]</f>
        <v>-39675000</v>
      </c>
      <c r="I42" s="31"/>
      <c r="J42" s="31">
        <f>J41+Cty_Thiet_Bi_Y_Te_Hoang_Gia[[#This Row],[THÀNH TIỀN]]-Cty_Thiet_Bi_Y_Te_Hoang_Gia[[#This Row],[THANH TOÁN]]</f>
        <v>315814634</v>
      </c>
      <c r="K42" s="24"/>
    </row>
  </sheetData>
  <phoneticPr fontId="9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3E7938-7E1E-485E-BD08-EDCC6F34EF35}">
  <sheetPr codeName="Sheet92"/>
  <dimension ref="A5:K42"/>
  <sheetViews>
    <sheetView topLeftCell="A10" workbookViewId="0">
      <selection activeCell="I31" sqref="I31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1488063800</v>
      </c>
    </row>
    <row r="6" spans="1:11" ht="22.5" x14ac:dyDescent="0.25">
      <c r="D6" s="34" t="s">
        <v>1182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A_Duc_Cty_Hoa_Phat[[#This Row],[ĐƠN GIÁ]]*A_Duc_Cty_Hoa_Phat[[#This Row],[SỐ LƯỢNG]]</f>
        <v>0</v>
      </c>
      <c r="I10" s="31"/>
      <c r="J10" s="31">
        <v>696193300</v>
      </c>
      <c r="K10" s="24"/>
    </row>
    <row r="11" spans="1:11" x14ac:dyDescent="0.25">
      <c r="A11" s="22"/>
      <c r="B11" s="29">
        <v>46087</v>
      </c>
      <c r="C11" s="23" t="s">
        <v>21</v>
      </c>
      <c r="D11" s="37" t="s">
        <v>22</v>
      </c>
      <c r="E11" s="23" t="s">
        <v>147</v>
      </c>
      <c r="F11" s="31">
        <v>0</v>
      </c>
      <c r="G11" s="31">
        <v>0</v>
      </c>
      <c r="H11" s="31">
        <f>A_Duc_Cty_Hoa_Phat[[#This Row],[ĐƠN GIÁ]]*A_Duc_Cty_Hoa_Phat[[#This Row],[SỐ LƯỢNG]]</f>
        <v>0</v>
      </c>
      <c r="I11" s="31">
        <v>100000000</v>
      </c>
      <c r="J11" s="31">
        <f>J10+A_Duc_Cty_Hoa_Phat[[#This Row],[THÀNH TIỀN]]-A_Duc_Cty_Hoa_Phat[[#This Row],[THANH TOÁN]]</f>
        <v>596193300</v>
      </c>
      <c r="K11" s="24"/>
    </row>
    <row r="12" spans="1:11" x14ac:dyDescent="0.25">
      <c r="A12" s="22">
        <v>7994</v>
      </c>
      <c r="B12" s="29">
        <v>46092</v>
      </c>
      <c r="C12" s="23" t="s">
        <v>13</v>
      </c>
      <c r="D12" s="37" t="s">
        <v>135</v>
      </c>
      <c r="E12" s="23" t="s">
        <v>283</v>
      </c>
      <c r="F12" s="31">
        <v>5844</v>
      </c>
      <c r="G12" s="31">
        <v>37000</v>
      </c>
      <c r="H12" s="31">
        <f>A_Duc_Cty_Hoa_Phat[[#This Row],[ĐƠN GIÁ]]*A_Duc_Cty_Hoa_Phat[[#This Row],[SỐ LƯỢNG]]</f>
        <v>216228000</v>
      </c>
      <c r="I12" s="31"/>
      <c r="J12" s="31">
        <f>J11+A_Duc_Cty_Hoa_Phat[[#This Row],[THÀNH TIỀN]]-A_Duc_Cty_Hoa_Phat[[#This Row],[THANH TOÁN]]</f>
        <v>812421300</v>
      </c>
      <c r="K12" s="24"/>
    </row>
    <row r="13" spans="1:11" x14ac:dyDescent="0.25">
      <c r="A13" s="25">
        <v>4110</v>
      </c>
      <c r="B13" s="30">
        <v>46092</v>
      </c>
      <c r="C13" s="26" t="s">
        <v>166</v>
      </c>
      <c r="D13" s="38" t="s">
        <v>43</v>
      </c>
      <c r="E13" s="26" t="s">
        <v>1183</v>
      </c>
      <c r="F13" s="28">
        <v>2034</v>
      </c>
      <c r="G13" s="28">
        <v>-54500</v>
      </c>
      <c r="H13" s="28">
        <f>A_Duc_Cty_Hoa_Phat[[#This Row],[ĐƠN GIÁ]]*A_Duc_Cty_Hoa_Phat[[#This Row],[SỐ LƯỢNG]]</f>
        <v>-110853000</v>
      </c>
      <c r="I13" s="28"/>
      <c r="J13" s="28">
        <f>J12+A_Duc_Cty_Hoa_Phat[[#This Row],[THÀNH TIỀN]]-A_Duc_Cty_Hoa_Phat[[#This Row],[THANH TOÁN]]</f>
        <v>701568300</v>
      </c>
      <c r="K13" s="27"/>
    </row>
    <row r="14" spans="1:11" x14ac:dyDescent="0.25">
      <c r="A14" s="25"/>
      <c r="B14" s="30">
        <v>46094</v>
      </c>
      <c r="C14" s="26" t="s">
        <v>21</v>
      </c>
      <c r="D14" s="38" t="s">
        <v>22</v>
      </c>
      <c r="E14" s="26" t="s">
        <v>147</v>
      </c>
      <c r="F14" s="28">
        <v>0</v>
      </c>
      <c r="G14" s="28">
        <v>0</v>
      </c>
      <c r="H14" s="28">
        <f>A_Duc_Cty_Hoa_Phat[[#This Row],[ĐƠN GIÁ]]*A_Duc_Cty_Hoa_Phat[[#This Row],[SỐ LƯỢNG]]</f>
        <v>0</v>
      </c>
      <c r="I14" s="28">
        <v>120000000</v>
      </c>
      <c r="J14" s="28">
        <f>J13+A_Duc_Cty_Hoa_Phat[[#This Row],[THÀNH TIỀN]]-A_Duc_Cty_Hoa_Phat[[#This Row],[THANH TOÁN]]</f>
        <v>581568300</v>
      </c>
      <c r="K14" s="27"/>
    </row>
    <row r="15" spans="1:11" x14ac:dyDescent="0.25">
      <c r="A15" s="25">
        <v>8098</v>
      </c>
      <c r="B15" s="30">
        <v>46095</v>
      </c>
      <c r="C15" s="26" t="s">
        <v>13</v>
      </c>
      <c r="D15" s="38" t="s">
        <v>43</v>
      </c>
      <c r="E15" s="26" t="s">
        <v>256</v>
      </c>
      <c r="F15" s="28">
        <v>845</v>
      </c>
      <c r="G15" s="28">
        <v>56500</v>
      </c>
      <c r="H15" s="28">
        <f>A_Duc_Cty_Hoa_Phat[[#This Row],[ĐƠN GIÁ]]*A_Duc_Cty_Hoa_Phat[[#This Row],[SỐ LƯỢNG]]</f>
        <v>47742500</v>
      </c>
      <c r="I15" s="28"/>
      <c r="J15" s="28">
        <f>J14+A_Duc_Cty_Hoa_Phat[[#This Row],[THÀNH TIỀN]]-A_Duc_Cty_Hoa_Phat[[#This Row],[THANH TOÁN]]</f>
        <v>629310800</v>
      </c>
      <c r="K15" s="27"/>
    </row>
    <row r="16" spans="1:11" x14ac:dyDescent="0.25">
      <c r="A16" s="25"/>
      <c r="B16" s="30">
        <v>46101</v>
      </c>
      <c r="C16" s="26" t="s">
        <v>21</v>
      </c>
      <c r="D16" s="38" t="s">
        <v>22</v>
      </c>
      <c r="E16" s="26" t="s">
        <v>147</v>
      </c>
      <c r="F16" s="28">
        <v>0</v>
      </c>
      <c r="G16" s="28">
        <v>0</v>
      </c>
      <c r="H16" s="28">
        <f>A_Duc_Cty_Hoa_Phat[[#This Row],[ĐƠN GIÁ]]*A_Duc_Cty_Hoa_Phat[[#This Row],[SỐ LƯỢNG]]</f>
        <v>0</v>
      </c>
      <c r="I16" s="28">
        <v>120000000</v>
      </c>
      <c r="J16" s="28">
        <f>J15+A_Duc_Cty_Hoa_Phat[[#This Row],[THÀNH TIỀN]]-A_Duc_Cty_Hoa_Phat[[#This Row],[THANH TOÁN]]</f>
        <v>509310800</v>
      </c>
      <c r="K16" s="27"/>
    </row>
    <row r="17" spans="1:11" x14ac:dyDescent="0.25">
      <c r="A17" s="25"/>
      <c r="B17" s="30">
        <v>46108</v>
      </c>
      <c r="C17" s="26" t="s">
        <v>21</v>
      </c>
      <c r="D17" s="38" t="s">
        <v>22</v>
      </c>
      <c r="E17" s="26" t="s">
        <v>147</v>
      </c>
      <c r="F17" s="28">
        <v>0</v>
      </c>
      <c r="G17" s="28">
        <v>0</v>
      </c>
      <c r="H17" s="28">
        <f>A_Duc_Cty_Hoa_Phat[[#This Row],[ĐƠN GIÁ]]*A_Duc_Cty_Hoa_Phat[[#This Row],[SỐ LƯỢNG]]</f>
        <v>0</v>
      </c>
      <c r="I17" s="28">
        <v>100000000</v>
      </c>
      <c r="J17" s="28">
        <f>J16+A_Duc_Cty_Hoa_Phat[[#This Row],[THÀNH TIỀN]]-A_Duc_Cty_Hoa_Phat[[#This Row],[THANH TOÁN]]</f>
        <v>409310800</v>
      </c>
      <c r="K17" s="27"/>
    </row>
    <row r="18" spans="1:11" x14ac:dyDescent="0.25">
      <c r="A18" s="22"/>
      <c r="B18" s="29">
        <v>46115</v>
      </c>
      <c r="C18" s="23" t="s">
        <v>21</v>
      </c>
      <c r="D18" s="37" t="s">
        <v>22</v>
      </c>
      <c r="E18" s="23" t="s">
        <v>147</v>
      </c>
      <c r="F18" s="31">
        <v>0</v>
      </c>
      <c r="G18" s="31"/>
      <c r="H18" s="31">
        <f>A_Duc_Cty_Hoa_Phat[[#This Row],[ĐƠN GIÁ]]*A_Duc_Cty_Hoa_Phat[[#This Row],[SỐ LƯỢNG]]</f>
        <v>0</v>
      </c>
      <c r="I18" s="31">
        <v>100000000</v>
      </c>
      <c r="J18" s="31">
        <f>J17+A_Duc_Cty_Hoa_Phat[[#This Row],[THÀNH TIỀN]]-A_Duc_Cty_Hoa_Phat[[#This Row],[THANH TOÁN]]</f>
        <v>309310800</v>
      </c>
      <c r="K18" s="24"/>
    </row>
    <row r="19" spans="1:11" x14ac:dyDescent="0.25">
      <c r="A19" s="22">
        <v>8637</v>
      </c>
      <c r="B19" s="29">
        <v>46120</v>
      </c>
      <c r="C19" s="23" t="s">
        <v>13</v>
      </c>
      <c r="D19" s="37" t="s">
        <v>43</v>
      </c>
      <c r="E19" s="23" t="s">
        <v>254</v>
      </c>
      <c r="F19" s="31">
        <v>5230</v>
      </c>
      <c r="G19" s="31">
        <v>60000</v>
      </c>
      <c r="H19" s="31">
        <f>A_Duc_Cty_Hoa_Phat[[#This Row],[ĐƠN GIÁ]]*A_Duc_Cty_Hoa_Phat[[#This Row],[SỐ LƯỢNG]]</f>
        <v>313800000</v>
      </c>
      <c r="I19" s="31"/>
      <c r="J19" s="31">
        <f>J18+A_Duc_Cty_Hoa_Phat[[#This Row],[THÀNH TIỀN]]-A_Duc_Cty_Hoa_Phat[[#This Row],[THANH TOÁN]]</f>
        <v>623110800</v>
      </c>
      <c r="K19" s="24"/>
    </row>
    <row r="20" spans="1:11" x14ac:dyDescent="0.25">
      <c r="A20" s="22">
        <v>8715</v>
      </c>
      <c r="B20" s="29">
        <v>46123</v>
      </c>
      <c r="C20" s="23" t="s">
        <v>13</v>
      </c>
      <c r="D20" s="37" t="s">
        <v>135</v>
      </c>
      <c r="E20" s="23" t="s">
        <v>41</v>
      </c>
      <c r="F20" s="31">
        <v>1002</v>
      </c>
      <c r="G20" s="31">
        <v>37000</v>
      </c>
      <c r="H20" s="31">
        <f>A_Duc_Cty_Hoa_Phat[[#This Row],[ĐƠN GIÁ]]*A_Duc_Cty_Hoa_Phat[[#This Row],[SỐ LƯỢNG]]</f>
        <v>37074000</v>
      </c>
      <c r="I20" s="31"/>
      <c r="J20" s="31">
        <f>J19+A_Duc_Cty_Hoa_Phat[[#This Row],[THÀNH TIỀN]]-A_Duc_Cty_Hoa_Phat[[#This Row],[THANH TOÁN]]</f>
        <v>660184800</v>
      </c>
      <c r="K20" s="24"/>
    </row>
    <row r="21" spans="1:11" x14ac:dyDescent="0.25">
      <c r="A21" s="22">
        <v>8715</v>
      </c>
      <c r="B21" s="29">
        <v>46123</v>
      </c>
      <c r="C21" s="23" t="s">
        <v>13</v>
      </c>
      <c r="D21" s="37" t="s">
        <v>43</v>
      </c>
      <c r="E21" s="23" t="s">
        <v>146</v>
      </c>
      <c r="F21" s="31">
        <v>1052</v>
      </c>
      <c r="G21" s="31">
        <v>60500</v>
      </c>
      <c r="H21" s="31">
        <f>A_Duc_Cty_Hoa_Phat[[#This Row],[ĐƠN GIÁ]]*A_Duc_Cty_Hoa_Phat[[#This Row],[SỐ LƯỢNG]]</f>
        <v>63646000</v>
      </c>
      <c r="I21" s="31"/>
      <c r="J21" s="31">
        <f>J20+A_Duc_Cty_Hoa_Phat[[#This Row],[THÀNH TIỀN]]-A_Duc_Cty_Hoa_Phat[[#This Row],[THANH TOÁN]]</f>
        <v>723830800</v>
      </c>
      <c r="K21" s="24"/>
    </row>
    <row r="22" spans="1:11" x14ac:dyDescent="0.25">
      <c r="A22" s="22"/>
      <c r="B22" s="29">
        <v>46125</v>
      </c>
      <c r="C22" s="23" t="s">
        <v>21</v>
      </c>
      <c r="D22" s="37" t="s">
        <v>22</v>
      </c>
      <c r="E22" s="23" t="s">
        <v>147</v>
      </c>
      <c r="F22" s="31">
        <v>0</v>
      </c>
      <c r="G22" s="31"/>
      <c r="H22" s="31">
        <f>A_Duc_Cty_Hoa_Phat[[#This Row],[ĐƠN GIÁ]]*A_Duc_Cty_Hoa_Phat[[#This Row],[SỐ LƯỢNG]]</f>
        <v>0</v>
      </c>
      <c r="I22" s="31">
        <v>100000000</v>
      </c>
      <c r="J22" s="31">
        <f>J21+A_Duc_Cty_Hoa_Phat[[#This Row],[THÀNH TIỀN]]-A_Duc_Cty_Hoa_Phat[[#This Row],[THANH TOÁN]]</f>
        <v>623830800</v>
      </c>
      <c r="K22" s="24"/>
    </row>
    <row r="23" spans="1:11" x14ac:dyDescent="0.25">
      <c r="A23" s="22">
        <v>8766</v>
      </c>
      <c r="B23" s="29">
        <v>46126</v>
      </c>
      <c r="C23" s="23" t="s">
        <v>13</v>
      </c>
      <c r="D23" s="37" t="s">
        <v>43</v>
      </c>
      <c r="E23" s="23" t="s">
        <v>41</v>
      </c>
      <c r="F23" s="31">
        <v>1154</v>
      </c>
      <c r="G23" s="31">
        <v>62500</v>
      </c>
      <c r="H23" s="31">
        <f>A_Duc_Cty_Hoa_Phat[[#This Row],[ĐƠN GIÁ]]*A_Duc_Cty_Hoa_Phat[[#This Row],[SỐ LƯỢNG]]</f>
        <v>72125000</v>
      </c>
      <c r="I23" s="31"/>
      <c r="J23" s="31">
        <f>J22+A_Duc_Cty_Hoa_Phat[[#This Row],[THÀNH TIỀN]]-A_Duc_Cty_Hoa_Phat[[#This Row],[THANH TOÁN]]</f>
        <v>695955800</v>
      </c>
      <c r="K23" s="24"/>
    </row>
    <row r="24" spans="1:11" x14ac:dyDescent="0.25">
      <c r="A24" s="22"/>
      <c r="B24" s="29">
        <v>46136</v>
      </c>
      <c r="C24" s="23" t="s">
        <v>21</v>
      </c>
      <c r="D24" s="37" t="s">
        <v>22</v>
      </c>
      <c r="E24" s="23" t="s">
        <v>147</v>
      </c>
      <c r="F24" s="31">
        <v>0</v>
      </c>
      <c r="G24" s="31"/>
      <c r="H24" s="31">
        <f>A_Duc_Cty_Hoa_Phat[[#This Row],[ĐƠN GIÁ]]*A_Duc_Cty_Hoa_Phat[[#This Row],[SỐ LƯỢNG]]</f>
        <v>0</v>
      </c>
      <c r="I24" s="31">
        <v>100000000</v>
      </c>
      <c r="J24" s="31">
        <f>J23+A_Duc_Cty_Hoa_Phat[[#This Row],[THÀNH TIỀN]]-A_Duc_Cty_Hoa_Phat[[#This Row],[THANH TOÁN]]</f>
        <v>595955800</v>
      </c>
      <c r="K24" s="24"/>
    </row>
    <row r="25" spans="1:11" x14ac:dyDescent="0.25">
      <c r="A25" s="22">
        <v>9044</v>
      </c>
      <c r="B25" s="29">
        <v>46139</v>
      </c>
      <c r="C25" s="23" t="s">
        <v>13</v>
      </c>
      <c r="D25" s="37" t="s">
        <v>26</v>
      </c>
      <c r="E25" s="23" t="s">
        <v>146</v>
      </c>
      <c r="F25" s="31">
        <v>1154</v>
      </c>
      <c r="G25" s="31">
        <v>35000</v>
      </c>
      <c r="H25" s="31">
        <f>A_Duc_Cty_Hoa_Phat[[#This Row],[ĐƠN GIÁ]]*A_Duc_Cty_Hoa_Phat[[#This Row],[SỐ LƯỢNG]]</f>
        <v>40390000</v>
      </c>
      <c r="I25" s="31"/>
      <c r="J25" s="31">
        <f>J24+A_Duc_Cty_Hoa_Phat[[#This Row],[THÀNH TIỀN]]-A_Duc_Cty_Hoa_Phat[[#This Row],[THANH TOÁN]]</f>
        <v>636345800</v>
      </c>
      <c r="K25" s="24"/>
    </row>
    <row r="26" spans="1:11" x14ac:dyDescent="0.25">
      <c r="A26" s="22">
        <v>9076</v>
      </c>
      <c r="B26" s="29">
        <v>46140</v>
      </c>
      <c r="C26" s="23" t="s">
        <v>13</v>
      </c>
      <c r="D26" s="37" t="s">
        <v>32</v>
      </c>
      <c r="E26" s="23" t="s">
        <v>40</v>
      </c>
      <c r="F26" s="31">
        <v>548</v>
      </c>
      <c r="G26" s="31">
        <v>43500</v>
      </c>
      <c r="H26" s="31">
        <f>A_Duc_Cty_Hoa_Phat[[#This Row],[ĐƠN GIÁ]]*A_Duc_Cty_Hoa_Phat[[#This Row],[SỐ LƯỢNG]]</f>
        <v>23838000</v>
      </c>
      <c r="I26" s="31"/>
      <c r="J26" s="31">
        <f>J25+A_Duc_Cty_Hoa_Phat[[#This Row],[THÀNH TIỀN]]-A_Duc_Cty_Hoa_Phat[[#This Row],[THANH TOÁN]]</f>
        <v>660183800</v>
      </c>
      <c r="K26" s="24"/>
    </row>
    <row r="27" spans="1:11" x14ac:dyDescent="0.25">
      <c r="A27" s="22"/>
      <c r="B27" s="29">
        <v>46141</v>
      </c>
      <c r="C27" s="23" t="s">
        <v>21</v>
      </c>
      <c r="D27" s="37" t="s">
        <v>22</v>
      </c>
      <c r="E27" s="23" t="s">
        <v>147</v>
      </c>
      <c r="F27" s="31">
        <v>0</v>
      </c>
      <c r="G27" s="31"/>
      <c r="H27" s="31">
        <f>A_Duc_Cty_Hoa_Phat[[#This Row],[ĐƠN GIÁ]]*A_Duc_Cty_Hoa_Phat[[#This Row],[SỐ LƯỢNG]]</f>
        <v>0</v>
      </c>
      <c r="I27" s="31">
        <v>80000000</v>
      </c>
      <c r="J27" s="31">
        <f>J26+A_Duc_Cty_Hoa_Phat[[#This Row],[THÀNH TIỀN]]-A_Duc_Cty_Hoa_Phat[[#This Row],[THANH TOÁN]]</f>
        <v>580183800</v>
      </c>
      <c r="K27" s="24"/>
    </row>
    <row r="28" spans="1:11" x14ac:dyDescent="0.25">
      <c r="A28" s="22">
        <v>9239</v>
      </c>
      <c r="B28" s="29">
        <v>46149</v>
      </c>
      <c r="C28" s="23" t="s">
        <v>13</v>
      </c>
      <c r="D28" s="37" t="s">
        <v>43</v>
      </c>
      <c r="E28" s="23" t="s">
        <v>41</v>
      </c>
      <c r="F28" s="31">
        <v>5325</v>
      </c>
      <c r="G28" s="31">
        <v>65000</v>
      </c>
      <c r="H28" s="31">
        <f>A_Duc_Cty_Hoa_Phat[[#This Row],[ĐƠN GIÁ]]*A_Duc_Cty_Hoa_Phat[[#This Row],[SỐ LƯỢNG]]</f>
        <v>346125000</v>
      </c>
      <c r="I28" s="31"/>
      <c r="J28" s="31">
        <f>J27+A_Duc_Cty_Hoa_Phat[[#This Row],[THÀNH TIỀN]]-A_Duc_Cty_Hoa_Phat[[#This Row],[THANH TOÁN]]</f>
        <v>926308800</v>
      </c>
      <c r="K28" s="24"/>
    </row>
    <row r="29" spans="1:11" x14ac:dyDescent="0.25">
      <c r="A29" s="22"/>
      <c r="B29" s="29">
        <v>46150</v>
      </c>
      <c r="C29" s="23" t="s">
        <v>21</v>
      </c>
      <c r="D29" s="37" t="s">
        <v>22</v>
      </c>
      <c r="E29" s="23" t="s">
        <v>147</v>
      </c>
      <c r="F29" s="31">
        <v>0</v>
      </c>
      <c r="G29" s="31"/>
      <c r="H29" s="31">
        <f>A_Duc_Cty_Hoa_Phat[[#This Row],[ĐƠN GIÁ]]*A_Duc_Cty_Hoa_Phat[[#This Row],[SỐ LƯỢNG]]</f>
        <v>0</v>
      </c>
      <c r="I29" s="31">
        <v>100000000</v>
      </c>
      <c r="J29" s="31">
        <f>J28+A_Duc_Cty_Hoa_Phat[[#This Row],[THÀNH TIỀN]]-A_Duc_Cty_Hoa_Phat[[#This Row],[THANH TOÁN]]</f>
        <v>826308800</v>
      </c>
      <c r="K29" s="24"/>
    </row>
    <row r="30" spans="1:11" x14ac:dyDescent="0.25">
      <c r="A30" s="22">
        <v>9292</v>
      </c>
      <c r="B30" s="29">
        <v>46151</v>
      </c>
      <c r="C30" s="23" t="s">
        <v>13</v>
      </c>
      <c r="D30" s="37" t="s">
        <v>43</v>
      </c>
      <c r="E30" s="23" t="s">
        <v>148</v>
      </c>
      <c r="F30" s="31">
        <v>5077</v>
      </c>
      <c r="G30" s="31">
        <v>63500</v>
      </c>
      <c r="H30" s="31">
        <f>A_Duc_Cty_Hoa_Phat[[#This Row],[ĐƠN GIÁ]]*A_Duc_Cty_Hoa_Phat[[#This Row],[SỐ LƯỢNG]]</f>
        <v>322389500</v>
      </c>
      <c r="I30" s="31"/>
      <c r="J30" s="31">
        <f>J29+A_Duc_Cty_Hoa_Phat[[#This Row],[THÀNH TIỀN]]-A_Duc_Cty_Hoa_Phat[[#This Row],[THANH TOÁN]]</f>
        <v>1148698300</v>
      </c>
      <c r="K30" s="24"/>
    </row>
    <row r="31" spans="1:11" x14ac:dyDescent="0.25">
      <c r="A31" s="22">
        <v>9317</v>
      </c>
      <c r="B31" s="29">
        <v>46153</v>
      </c>
      <c r="C31" s="23" t="s">
        <v>13</v>
      </c>
      <c r="D31" s="37" t="s">
        <v>26</v>
      </c>
      <c r="E31" s="23" t="s">
        <v>148</v>
      </c>
      <c r="F31" s="31">
        <v>3670</v>
      </c>
      <c r="G31" s="31">
        <v>35000</v>
      </c>
      <c r="H31" s="31">
        <f>A_Duc_Cty_Hoa_Phat[[#This Row],[ĐƠN GIÁ]]*A_Duc_Cty_Hoa_Phat[[#This Row],[SỐ LƯỢNG]]</f>
        <v>128450000</v>
      </c>
      <c r="I31" s="31"/>
      <c r="J31" s="31">
        <f>J30+A_Duc_Cty_Hoa_Phat[[#This Row],[THÀNH TIỀN]]-A_Duc_Cty_Hoa_Phat[[#This Row],[THANH TOÁN]]</f>
        <v>1277148300</v>
      </c>
      <c r="K31" s="24"/>
    </row>
    <row r="32" spans="1:11" x14ac:dyDescent="0.25">
      <c r="A32" s="22">
        <v>9317</v>
      </c>
      <c r="B32" s="29">
        <v>46153</v>
      </c>
      <c r="C32" s="23" t="s">
        <v>13</v>
      </c>
      <c r="D32" s="37" t="s">
        <v>26</v>
      </c>
      <c r="E32" s="23" t="s">
        <v>146</v>
      </c>
      <c r="F32" s="31">
        <v>1028</v>
      </c>
      <c r="G32" s="31">
        <v>35000</v>
      </c>
      <c r="H32" s="31">
        <f>A_Duc_Cty_Hoa_Phat[[#This Row],[ĐƠN GIÁ]]*A_Duc_Cty_Hoa_Phat[[#This Row],[SỐ LƯỢNG]]</f>
        <v>35980000</v>
      </c>
      <c r="I32" s="31"/>
      <c r="J32" s="31">
        <f>J31+A_Duc_Cty_Hoa_Phat[[#This Row],[THÀNH TIỀN]]-A_Duc_Cty_Hoa_Phat[[#This Row],[THANH TOÁN]]</f>
        <v>1313128300</v>
      </c>
      <c r="K32" s="24"/>
    </row>
    <row r="33" spans="1:11" x14ac:dyDescent="0.25">
      <c r="A33" s="22">
        <v>9340</v>
      </c>
      <c r="B33" s="29">
        <v>46154</v>
      </c>
      <c r="C33" s="23" t="s">
        <v>13</v>
      </c>
      <c r="D33" s="37" t="s">
        <v>17</v>
      </c>
      <c r="E33" s="23" t="s">
        <v>136</v>
      </c>
      <c r="F33" s="31">
        <v>734</v>
      </c>
      <c r="G33" s="31">
        <v>65500</v>
      </c>
      <c r="H33" s="31">
        <f>A_Duc_Cty_Hoa_Phat[[#This Row],[ĐƠN GIÁ]]*A_Duc_Cty_Hoa_Phat[[#This Row],[SỐ LƯỢNG]]</f>
        <v>48077000</v>
      </c>
      <c r="I33" s="31"/>
      <c r="J33" s="31">
        <f>J32+A_Duc_Cty_Hoa_Phat[[#This Row],[THÀNH TIỀN]]-A_Duc_Cty_Hoa_Phat[[#This Row],[THANH TOÁN]]</f>
        <v>1361205300</v>
      </c>
      <c r="K33" s="24"/>
    </row>
    <row r="34" spans="1:11" x14ac:dyDescent="0.25">
      <c r="A34" s="22">
        <v>9340</v>
      </c>
      <c r="B34" s="29">
        <v>46154</v>
      </c>
      <c r="C34" s="23" t="s">
        <v>13</v>
      </c>
      <c r="D34" s="37" t="s">
        <v>26</v>
      </c>
      <c r="E34" s="23" t="s">
        <v>41</v>
      </c>
      <c r="F34" s="31">
        <v>1120</v>
      </c>
      <c r="G34" s="31">
        <v>35000</v>
      </c>
      <c r="H34" s="31">
        <f>A_Duc_Cty_Hoa_Phat[[#This Row],[ĐƠN GIÁ]]*A_Duc_Cty_Hoa_Phat[[#This Row],[SỐ LƯỢNG]]</f>
        <v>39200000</v>
      </c>
      <c r="I34" s="31"/>
      <c r="J34" s="31">
        <f>J33+A_Duc_Cty_Hoa_Phat[[#This Row],[THÀNH TIỀN]]-A_Duc_Cty_Hoa_Phat[[#This Row],[THANH TOÁN]]</f>
        <v>1400405300</v>
      </c>
      <c r="K34" s="24"/>
    </row>
    <row r="35" spans="1:11" x14ac:dyDescent="0.25">
      <c r="A35" s="22">
        <v>9340</v>
      </c>
      <c r="B35" s="29">
        <v>46154</v>
      </c>
      <c r="C35" s="23" t="s">
        <v>166</v>
      </c>
      <c r="D35" s="37" t="s">
        <v>26</v>
      </c>
      <c r="E35" s="23" t="s">
        <v>148</v>
      </c>
      <c r="F35" s="31">
        <v>2461</v>
      </c>
      <c r="G35" s="31">
        <v>-35000</v>
      </c>
      <c r="H35" s="31">
        <f>A_Duc_Cty_Hoa_Phat[[#This Row],[ĐƠN GIÁ]]*A_Duc_Cty_Hoa_Phat[[#This Row],[SỐ LƯỢNG]]</f>
        <v>-86135000</v>
      </c>
      <c r="I35" s="31"/>
      <c r="J35" s="31">
        <f>J34+A_Duc_Cty_Hoa_Phat[[#This Row],[THÀNH TIỀN]]-A_Duc_Cty_Hoa_Phat[[#This Row],[THANH TOÁN]]</f>
        <v>1314270300</v>
      </c>
      <c r="K35" s="24"/>
    </row>
    <row r="36" spans="1:11" x14ac:dyDescent="0.25">
      <c r="A36" s="22">
        <v>9365</v>
      </c>
      <c r="B36" s="29">
        <v>46155</v>
      </c>
      <c r="C36" s="23" t="s">
        <v>13</v>
      </c>
      <c r="D36" s="37" t="s">
        <v>17</v>
      </c>
      <c r="E36" s="23" t="s">
        <v>2094</v>
      </c>
      <c r="F36" s="31">
        <v>84</v>
      </c>
      <c r="G36" s="31">
        <v>71000</v>
      </c>
      <c r="H36" s="31">
        <f>A_Duc_Cty_Hoa_Phat[[#This Row],[ĐƠN GIÁ]]*A_Duc_Cty_Hoa_Phat[[#This Row],[SỐ LƯỢNG]]</f>
        <v>5964000</v>
      </c>
      <c r="I36" s="31"/>
      <c r="J36" s="31">
        <f>J35+A_Duc_Cty_Hoa_Phat[[#This Row],[THÀNH TIỀN]]-A_Duc_Cty_Hoa_Phat[[#This Row],[THANH TOÁN]]</f>
        <v>1320234300</v>
      </c>
      <c r="K36" s="24"/>
    </row>
    <row r="37" spans="1:11" x14ac:dyDescent="0.25">
      <c r="A37" s="22"/>
      <c r="B37" s="29">
        <v>46157</v>
      </c>
      <c r="C37" s="23" t="s">
        <v>21</v>
      </c>
      <c r="D37" s="37" t="s">
        <v>22</v>
      </c>
      <c r="E37" s="23" t="s">
        <v>147</v>
      </c>
      <c r="F37" s="31">
        <v>0</v>
      </c>
      <c r="G37" s="31"/>
      <c r="H37" s="31">
        <f>A_Duc_Cty_Hoa_Phat[[#This Row],[ĐƠN GIÁ]]*A_Duc_Cty_Hoa_Phat[[#This Row],[SỐ LƯỢNG]]</f>
        <v>0</v>
      </c>
      <c r="I37" s="31">
        <v>200000000</v>
      </c>
      <c r="J37" s="31">
        <f>J36+A_Duc_Cty_Hoa_Phat[[#This Row],[THÀNH TIỀN]]-A_Duc_Cty_Hoa_Phat[[#This Row],[THANH TOÁN]]</f>
        <v>1120234300</v>
      </c>
      <c r="K37" s="24"/>
    </row>
    <row r="38" spans="1:11" x14ac:dyDescent="0.25">
      <c r="A38" s="22">
        <v>9393</v>
      </c>
      <c r="B38" s="29">
        <v>46157</v>
      </c>
      <c r="C38" s="23" t="s">
        <v>13</v>
      </c>
      <c r="D38" s="37" t="s">
        <v>43</v>
      </c>
      <c r="E38" s="23" t="s">
        <v>148</v>
      </c>
      <c r="F38" s="31">
        <v>5311</v>
      </c>
      <c r="G38" s="31">
        <v>63500</v>
      </c>
      <c r="H38" s="31">
        <f>A_Duc_Cty_Hoa_Phat[[#This Row],[ĐƠN GIÁ]]*A_Duc_Cty_Hoa_Phat[[#This Row],[SỐ LƯỢNG]]</f>
        <v>337248500</v>
      </c>
      <c r="I38" s="31"/>
      <c r="J38" s="31">
        <f>J37+A_Duc_Cty_Hoa_Phat[[#This Row],[THÀNH TIỀN]]-A_Duc_Cty_Hoa_Phat[[#This Row],[THANH TOÁN]]</f>
        <v>1457482800</v>
      </c>
      <c r="K38" s="24"/>
    </row>
    <row r="39" spans="1:11" x14ac:dyDescent="0.25">
      <c r="A39" s="22">
        <v>9408</v>
      </c>
      <c r="B39" s="29">
        <v>46157</v>
      </c>
      <c r="C39" s="23" t="s">
        <v>13</v>
      </c>
      <c r="D39" s="37" t="s">
        <v>43</v>
      </c>
      <c r="E39" s="23" t="s">
        <v>148</v>
      </c>
      <c r="F39" s="31">
        <v>5206</v>
      </c>
      <c r="G39" s="31">
        <v>63500</v>
      </c>
      <c r="H39" s="31">
        <f>A_Duc_Cty_Hoa_Phat[[#This Row],[ĐƠN GIÁ]]*A_Duc_Cty_Hoa_Phat[[#This Row],[SỐ LƯỢNG]]</f>
        <v>330581000</v>
      </c>
      <c r="I39" s="31"/>
      <c r="J39" s="31">
        <f>J38+A_Duc_Cty_Hoa_Phat[[#This Row],[THÀNH TIỀN]]-A_Duc_Cty_Hoa_Phat[[#This Row],[THANH TOÁN]]</f>
        <v>1788063800</v>
      </c>
      <c r="K39" s="24"/>
    </row>
    <row r="40" spans="1:11" x14ac:dyDescent="0.25">
      <c r="A40" s="22"/>
      <c r="B40" s="29">
        <v>46164</v>
      </c>
      <c r="C40" s="23" t="s">
        <v>21</v>
      </c>
      <c r="D40" s="37" t="s">
        <v>22</v>
      </c>
      <c r="E40" s="23" t="s">
        <v>147</v>
      </c>
      <c r="F40" s="31">
        <v>0</v>
      </c>
      <c r="G40" s="31"/>
      <c r="H40" s="31">
        <f>A_Duc_Cty_Hoa_Phat[[#This Row],[ĐƠN GIÁ]]*A_Duc_Cty_Hoa_Phat[[#This Row],[SỐ LƯỢNG]]</f>
        <v>0</v>
      </c>
      <c r="I40" s="31">
        <v>150000000</v>
      </c>
      <c r="J40" s="31">
        <f>J39+A_Duc_Cty_Hoa_Phat[[#This Row],[THÀNH TIỀN]]-A_Duc_Cty_Hoa_Phat[[#This Row],[THANH TOÁN]]</f>
        <v>1638063800</v>
      </c>
      <c r="K40" s="24"/>
    </row>
    <row r="41" spans="1:11" x14ac:dyDescent="0.25">
      <c r="A41" s="22"/>
      <c r="B41" s="29">
        <v>46171</v>
      </c>
      <c r="C41" s="23" t="s">
        <v>21</v>
      </c>
      <c r="D41" s="37" t="s">
        <v>22</v>
      </c>
      <c r="E41" s="23" t="s">
        <v>147</v>
      </c>
      <c r="F41" s="31">
        <v>0</v>
      </c>
      <c r="G41" s="31"/>
      <c r="H41" s="31">
        <f>A_Duc_Cty_Hoa_Phat[[#This Row],[ĐƠN GIÁ]]*A_Duc_Cty_Hoa_Phat[[#This Row],[SỐ LƯỢNG]]</f>
        <v>0</v>
      </c>
      <c r="I41" s="31">
        <v>150000000</v>
      </c>
      <c r="J41" s="31">
        <f>J40+A_Duc_Cty_Hoa_Phat[[#This Row],[THÀNH TIỀN]]-A_Duc_Cty_Hoa_Phat[[#This Row],[THANH TOÁN]]</f>
        <v>1488063800</v>
      </c>
      <c r="K41" s="24"/>
    </row>
    <row r="42" spans="1:11" x14ac:dyDescent="0.25">
      <c r="A42" s="22"/>
      <c r="B42" s="29">
        <v>46178</v>
      </c>
      <c r="C42" s="23" t="s">
        <v>21</v>
      </c>
      <c r="D42" s="37" t="s">
        <v>22</v>
      </c>
      <c r="E42" s="23" t="s">
        <v>147</v>
      </c>
      <c r="F42" s="31">
        <v>0</v>
      </c>
      <c r="G42" s="31"/>
      <c r="H42" s="31">
        <f>A_Duc_Cty_Hoa_Phat[[#This Row],[ĐƠN GIÁ]]*A_Duc_Cty_Hoa_Phat[[#This Row],[SỐ LƯỢNG]]</f>
        <v>0</v>
      </c>
      <c r="I42" s="31">
        <v>200000000</v>
      </c>
      <c r="J42" s="31">
        <f>J41+A_Duc_Cty_Hoa_Phat[[#This Row],[THÀNH TIỀN]]-A_Duc_Cty_Hoa_Phat[[#This Row],[THANH TOÁN]]</f>
        <v>1288063800</v>
      </c>
      <c r="K42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1F652E-8591-42B9-82A3-21E092A5058C}">
  <sheetPr codeName="Sheet93"/>
  <dimension ref="A5:K40"/>
  <sheetViews>
    <sheetView topLeftCell="A11" workbookViewId="0">
      <selection activeCell="A12" sqref="A12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674247000</v>
      </c>
    </row>
    <row r="6" spans="1:11" ht="22.5" x14ac:dyDescent="0.25">
      <c r="D6" s="34" t="s">
        <v>1184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>
        <v>1</v>
      </c>
      <c r="G10" s="31">
        <v>77847000</v>
      </c>
      <c r="H10" s="31">
        <f>Cty_Dong_Duong[[#This Row],[ĐƠN GIÁ]]*Cty_Dong_Duong[[#This Row],[SỐ LƯỢNG]]</f>
        <v>77847000</v>
      </c>
      <c r="I10" s="31"/>
      <c r="J10" s="31">
        <f ca="1">N(INDIRECT("R[-1]C", FALSE)) + Cty_Dong_Duong[[#This Row],[THÀNH TIỀN]] - Cty_Dong_Duong[[#This Row],[THANH TOÁN]]</f>
        <v>77847000</v>
      </c>
      <c r="K10" s="24"/>
    </row>
    <row r="11" spans="1:11" x14ac:dyDescent="0.25">
      <c r="A11" s="22"/>
      <c r="B11" s="29">
        <v>46087</v>
      </c>
      <c r="C11" s="23" t="s">
        <v>21</v>
      </c>
      <c r="D11" s="37" t="s">
        <v>22</v>
      </c>
      <c r="E11" s="23" t="s">
        <v>261</v>
      </c>
      <c r="F11" s="31">
        <v>0</v>
      </c>
      <c r="G11" s="31">
        <v>0</v>
      </c>
      <c r="H11" s="31">
        <f>Cty_Dong_Duong[[#This Row],[ĐƠN GIÁ]]*Cty_Dong_Duong[[#This Row],[SỐ LƯỢNG]]</f>
        <v>0</v>
      </c>
      <c r="I11" s="31">
        <v>77847000</v>
      </c>
      <c r="J11" s="31">
        <f ca="1">N(INDIRECT("R[-1]C", FALSE)) + Cty_Dong_Duong[[#This Row],[THÀNH TIỀN]] - Cty_Dong_Duong[[#This Row],[THANH TOÁN]]</f>
        <v>0</v>
      </c>
      <c r="K11" s="24"/>
    </row>
    <row r="12" spans="1:11" x14ac:dyDescent="0.25">
      <c r="A12" s="22">
        <v>7996</v>
      </c>
      <c r="B12" s="29">
        <v>46092</v>
      </c>
      <c r="C12" s="23" t="s">
        <v>13</v>
      </c>
      <c r="D12" s="37" t="s">
        <v>43</v>
      </c>
      <c r="E12" s="23" t="s">
        <v>44</v>
      </c>
      <c r="F12" s="31">
        <v>1168</v>
      </c>
      <c r="G12" s="31">
        <v>58000</v>
      </c>
      <c r="H12" s="31">
        <f>Cty_Dong_Duong[[#This Row],[ĐƠN GIÁ]]*Cty_Dong_Duong[[#This Row],[SỐ LƯỢNG]]</f>
        <v>67744000</v>
      </c>
      <c r="I12" s="31"/>
      <c r="J12" s="31">
        <f ca="1">N(INDIRECT("R[-1]C", FALSE)) + Cty_Dong_Duong[[#This Row],[THÀNH TIỀN]] - Cty_Dong_Duong[[#This Row],[THANH TOÁN]]</f>
        <v>67744000</v>
      </c>
      <c r="K12" s="24"/>
    </row>
    <row r="13" spans="1:11" x14ac:dyDescent="0.25">
      <c r="A13" s="25">
        <v>8109</v>
      </c>
      <c r="B13" s="30">
        <v>46097</v>
      </c>
      <c r="C13" s="26" t="s">
        <v>13</v>
      </c>
      <c r="D13" s="38" t="s">
        <v>14</v>
      </c>
      <c r="E13" s="26" t="s">
        <v>62</v>
      </c>
      <c r="F13" s="28">
        <v>2042</v>
      </c>
      <c r="G13" s="28">
        <v>42500</v>
      </c>
      <c r="H13" s="28">
        <f>Cty_Dong_Duong[[#This Row],[ĐƠN GIÁ]]*Cty_Dong_Duong[[#This Row],[SỐ LƯỢNG]]</f>
        <v>86785000</v>
      </c>
      <c r="I13" s="28"/>
      <c r="J13" s="28">
        <f ca="1">N(INDIRECT("R[-1]C", FALSE)) + Cty_Dong_Duong[[#This Row],[THÀNH TIỀN]] - Cty_Dong_Duong[[#This Row],[THANH TOÁN]]</f>
        <v>154529000</v>
      </c>
      <c r="K13" s="27"/>
    </row>
    <row r="14" spans="1:11" x14ac:dyDescent="0.25">
      <c r="A14" s="25">
        <v>8357</v>
      </c>
      <c r="B14" s="30">
        <v>46107</v>
      </c>
      <c r="C14" s="26" t="s">
        <v>49</v>
      </c>
      <c r="D14" s="38" t="s">
        <v>1185</v>
      </c>
      <c r="E14" s="26" t="s">
        <v>1186</v>
      </c>
      <c r="F14" s="28">
        <v>158</v>
      </c>
      <c r="G14" s="28"/>
      <c r="H14" s="28">
        <f>Cty_Dong_Duong[[#This Row],[ĐƠN GIÁ]]*Cty_Dong_Duong[[#This Row],[SỐ LƯỢNG]]</f>
        <v>0</v>
      </c>
      <c r="I14" s="28"/>
      <c r="J14" s="28">
        <f ca="1">N(INDIRECT("R[-1]C", FALSE)) + Cty_Dong_Duong[[#This Row],[THÀNH TIỀN]] - Cty_Dong_Duong[[#This Row],[THANH TOÁN]]</f>
        <v>154529000</v>
      </c>
      <c r="K14" s="27"/>
    </row>
    <row r="15" spans="1:11" x14ac:dyDescent="0.25">
      <c r="A15" s="22">
        <v>6305</v>
      </c>
      <c r="B15" s="29">
        <v>46109</v>
      </c>
      <c r="C15" s="23" t="s">
        <v>84</v>
      </c>
      <c r="D15" s="37" t="s">
        <v>77</v>
      </c>
      <c r="E15" s="23" t="s">
        <v>1187</v>
      </c>
      <c r="F15" s="31">
        <v>136</v>
      </c>
      <c r="G15" s="31">
        <v>-3000</v>
      </c>
      <c r="H15" s="31">
        <f>Cty_Dong_Duong[[#This Row],[ĐƠN GIÁ]]*Cty_Dong_Duong[[#This Row],[SỐ LƯỢNG]]</f>
        <v>-408000</v>
      </c>
      <c r="I15" s="31"/>
      <c r="J15" s="31">
        <f ca="1">N(INDIRECT("R[-1]C", FALSE)) + Cty_Dong_Duong[[#This Row],[THÀNH TIỀN]] - Cty_Dong_Duong[[#This Row],[THANH TOÁN]]</f>
        <v>154121000</v>
      </c>
      <c r="K15" s="24"/>
    </row>
    <row r="16" spans="1:11" x14ac:dyDescent="0.25">
      <c r="A16" s="22">
        <v>8571</v>
      </c>
      <c r="B16" s="29">
        <v>46118</v>
      </c>
      <c r="C16" s="23" t="s">
        <v>13</v>
      </c>
      <c r="D16" s="37" t="s">
        <v>26</v>
      </c>
      <c r="E16" s="23" t="s">
        <v>162</v>
      </c>
      <c r="F16" s="31">
        <v>2396</v>
      </c>
      <c r="G16" s="31">
        <v>35000</v>
      </c>
      <c r="H16" s="31">
        <f>Cty_Dong_Duong[[#This Row],[ĐƠN GIÁ]]*Cty_Dong_Duong[[#This Row],[SỐ LƯỢNG]]</f>
        <v>83860000</v>
      </c>
      <c r="I16" s="31"/>
      <c r="J16" s="31">
        <f ca="1">N(INDIRECT("R[-1]C", FALSE)) + Cty_Dong_Duong[[#This Row],[THÀNH TIỀN]] - Cty_Dong_Duong[[#This Row],[THANH TOÁN]]</f>
        <v>237981000</v>
      </c>
      <c r="K16" s="24"/>
    </row>
    <row r="17" spans="1:11" x14ac:dyDescent="0.25">
      <c r="A17" s="22">
        <v>8571</v>
      </c>
      <c r="B17" s="29">
        <v>46118</v>
      </c>
      <c r="C17" s="23" t="s">
        <v>13</v>
      </c>
      <c r="D17" s="37" t="s">
        <v>26</v>
      </c>
      <c r="E17" s="23" t="s">
        <v>1188</v>
      </c>
      <c r="F17" s="31">
        <v>2320</v>
      </c>
      <c r="G17" s="31">
        <v>35000</v>
      </c>
      <c r="H17" s="31">
        <f>Cty_Dong_Duong[[#This Row],[ĐƠN GIÁ]]*Cty_Dong_Duong[[#This Row],[SỐ LƯỢNG]]</f>
        <v>81200000</v>
      </c>
      <c r="I17" s="31"/>
      <c r="J17" s="31">
        <f ca="1">N(INDIRECT("R[-1]C", FALSE)) + Cty_Dong_Duong[[#This Row],[THÀNH TIỀN]] - Cty_Dong_Duong[[#This Row],[THANH TOÁN]]</f>
        <v>319181000</v>
      </c>
      <c r="K17" s="24"/>
    </row>
    <row r="18" spans="1:11" x14ac:dyDescent="0.25">
      <c r="A18" s="22">
        <v>8659</v>
      </c>
      <c r="B18" s="29">
        <v>46121</v>
      </c>
      <c r="C18" s="23" t="s">
        <v>13</v>
      </c>
      <c r="D18" s="37" t="s">
        <v>26</v>
      </c>
      <c r="E18" s="23" t="s">
        <v>915</v>
      </c>
      <c r="F18" s="31">
        <v>1224</v>
      </c>
      <c r="G18" s="31">
        <v>35000</v>
      </c>
      <c r="H18" s="31">
        <f>Cty_Dong_Duong[[#This Row],[ĐƠN GIÁ]]*Cty_Dong_Duong[[#This Row],[SỐ LƯỢNG]]</f>
        <v>42840000</v>
      </c>
      <c r="I18" s="31"/>
      <c r="J18" s="31">
        <f ca="1">N(INDIRECT("R[-1]C", FALSE)) + Cty_Dong_Duong[[#This Row],[THÀNH TIỀN]] - Cty_Dong_Duong[[#This Row],[THANH TOÁN]]</f>
        <v>362021000</v>
      </c>
      <c r="K18" s="24"/>
    </row>
    <row r="19" spans="1:11" x14ac:dyDescent="0.25">
      <c r="A19" s="22">
        <v>8750</v>
      </c>
      <c r="B19" s="29">
        <v>46125</v>
      </c>
      <c r="C19" s="23" t="s">
        <v>13</v>
      </c>
      <c r="D19" s="37" t="s">
        <v>26</v>
      </c>
      <c r="E19" s="23" t="s">
        <v>62</v>
      </c>
      <c r="F19" s="31">
        <v>564</v>
      </c>
      <c r="G19" s="31">
        <v>35000</v>
      </c>
      <c r="H19" s="31">
        <f>Cty_Dong_Duong[[#This Row],[ĐƠN GIÁ]]*Cty_Dong_Duong[[#This Row],[SỐ LƯỢNG]]</f>
        <v>19740000</v>
      </c>
      <c r="I19" s="31"/>
      <c r="J19" s="31">
        <f ca="1">N(INDIRECT("R[-1]C", FALSE)) + Cty_Dong_Duong[[#This Row],[THÀNH TIỀN]] - Cty_Dong_Duong[[#This Row],[THANH TOÁN]]</f>
        <v>381761000</v>
      </c>
      <c r="K19" s="24"/>
    </row>
    <row r="20" spans="1:11" x14ac:dyDescent="0.25">
      <c r="A20" s="22">
        <v>8750</v>
      </c>
      <c r="B20" s="29">
        <v>46125</v>
      </c>
      <c r="C20" s="23" t="s">
        <v>13</v>
      </c>
      <c r="D20" s="37" t="s">
        <v>14</v>
      </c>
      <c r="E20" s="23" t="s">
        <v>136</v>
      </c>
      <c r="F20" s="31">
        <v>1278</v>
      </c>
      <c r="G20" s="31">
        <v>41500</v>
      </c>
      <c r="H20" s="31">
        <f>Cty_Dong_Duong[[#This Row],[ĐƠN GIÁ]]*Cty_Dong_Duong[[#This Row],[SỐ LƯỢNG]]</f>
        <v>53037000</v>
      </c>
      <c r="I20" s="31"/>
      <c r="J20" s="31">
        <f ca="1">N(INDIRECT("R[-1]C", FALSE)) + Cty_Dong_Duong[[#This Row],[THÀNH TIỀN]] - Cty_Dong_Duong[[#This Row],[THANH TOÁN]]</f>
        <v>434798000</v>
      </c>
      <c r="K20" s="24"/>
    </row>
    <row r="21" spans="1:11" x14ac:dyDescent="0.25">
      <c r="A21" s="22">
        <v>8750</v>
      </c>
      <c r="B21" s="29">
        <v>46125</v>
      </c>
      <c r="C21" s="23" t="s">
        <v>13</v>
      </c>
      <c r="D21" s="37" t="s">
        <v>14</v>
      </c>
      <c r="E21" s="23" t="s">
        <v>62</v>
      </c>
      <c r="F21" s="31">
        <v>1180</v>
      </c>
      <c r="G21" s="31">
        <v>43000</v>
      </c>
      <c r="H21" s="31">
        <f>Cty_Dong_Duong[[#This Row],[ĐƠN GIÁ]]*Cty_Dong_Duong[[#This Row],[SỐ LƯỢNG]]</f>
        <v>50740000</v>
      </c>
      <c r="I21" s="31"/>
      <c r="J21" s="31">
        <f ca="1">N(INDIRECT("R[-1]C", FALSE)) + Cty_Dong_Duong[[#This Row],[THÀNH TIỀN]] - Cty_Dong_Duong[[#This Row],[THANH TOÁN]]</f>
        <v>485538000</v>
      </c>
      <c r="K21" s="24"/>
    </row>
    <row r="22" spans="1:11" x14ac:dyDescent="0.25">
      <c r="A22" s="22">
        <v>8750</v>
      </c>
      <c r="B22" s="29">
        <v>46125</v>
      </c>
      <c r="C22" s="23" t="s">
        <v>13</v>
      </c>
      <c r="D22" s="37" t="s">
        <v>14</v>
      </c>
      <c r="E22" s="23" t="s">
        <v>41</v>
      </c>
      <c r="F22" s="31">
        <v>882</v>
      </c>
      <c r="G22" s="31">
        <v>41500</v>
      </c>
      <c r="H22" s="31">
        <f>Cty_Dong_Duong[[#This Row],[ĐƠN GIÁ]]*Cty_Dong_Duong[[#This Row],[SỐ LƯỢNG]]</f>
        <v>36603000</v>
      </c>
      <c r="I22" s="31"/>
      <c r="J22" s="31">
        <f ca="1">N(INDIRECT("R[-1]C", FALSE)) + Cty_Dong_Duong[[#This Row],[THÀNH TIỀN]] - Cty_Dong_Duong[[#This Row],[THANH TOÁN]]</f>
        <v>522141000</v>
      </c>
      <c r="K22" s="24"/>
    </row>
    <row r="23" spans="1:11" x14ac:dyDescent="0.25">
      <c r="A23" s="22">
        <v>8789</v>
      </c>
      <c r="B23" s="29">
        <v>46128</v>
      </c>
      <c r="C23" s="23" t="s">
        <v>13</v>
      </c>
      <c r="D23" s="37" t="s">
        <v>14</v>
      </c>
      <c r="E23" s="23" t="s">
        <v>78</v>
      </c>
      <c r="F23" s="31">
        <v>699</v>
      </c>
      <c r="G23" s="31">
        <v>45000</v>
      </c>
      <c r="H23" s="31">
        <f>Cty_Dong_Duong[[#This Row],[ĐƠN GIÁ]]*Cty_Dong_Duong[[#This Row],[SỐ LƯỢNG]]</f>
        <v>31455000</v>
      </c>
      <c r="I23" s="31"/>
      <c r="J23" s="31">
        <f ca="1">N(INDIRECT("R[-1]C", FALSE)) + Cty_Dong_Duong[[#This Row],[THÀNH TIỀN]] - Cty_Dong_Duong[[#This Row],[THANH TOÁN]]</f>
        <v>553596000</v>
      </c>
      <c r="K23" s="24"/>
    </row>
    <row r="24" spans="1:11" x14ac:dyDescent="0.25">
      <c r="A24" s="22">
        <v>8811</v>
      </c>
      <c r="B24" s="29">
        <v>46128</v>
      </c>
      <c r="C24" s="23" t="s">
        <v>13</v>
      </c>
      <c r="D24" s="37" t="s">
        <v>26</v>
      </c>
      <c r="E24" s="23" t="s">
        <v>1189</v>
      </c>
      <c r="F24" s="31">
        <v>1586</v>
      </c>
      <c r="G24" s="31">
        <v>35000</v>
      </c>
      <c r="H24" s="31">
        <f>Cty_Dong_Duong[[#This Row],[ĐƠN GIÁ]]*Cty_Dong_Duong[[#This Row],[SỐ LƯỢNG]]</f>
        <v>55510000</v>
      </c>
      <c r="I24" s="31"/>
      <c r="J24" s="31">
        <f ca="1">N(INDIRECT("R[-1]C", FALSE)) + Cty_Dong_Duong[[#This Row],[THÀNH TIỀN]] - Cty_Dong_Duong[[#This Row],[THANH TOÁN]]</f>
        <v>609106000</v>
      </c>
      <c r="K24" s="24"/>
    </row>
    <row r="25" spans="1:11" x14ac:dyDescent="0.25">
      <c r="A25" s="22"/>
      <c r="B25" s="29">
        <v>46136</v>
      </c>
      <c r="C25" s="23" t="s">
        <v>21</v>
      </c>
      <c r="D25" s="37" t="s">
        <v>22</v>
      </c>
      <c r="E25" s="23" t="s">
        <v>83</v>
      </c>
      <c r="F25" s="31">
        <v>0</v>
      </c>
      <c r="G25" s="31"/>
      <c r="H25" s="31">
        <f>Cty_Dong_Duong[[#This Row],[ĐƠN GIÁ]]*Cty_Dong_Duong[[#This Row],[SỐ LƯỢNG]]</f>
        <v>0</v>
      </c>
      <c r="I25" s="31">
        <v>100000000</v>
      </c>
      <c r="J25" s="31">
        <f ca="1">N(INDIRECT("R[-1]C", FALSE)) + Cty_Dong_Duong[[#This Row],[THÀNH TIỀN]] - Cty_Dong_Duong[[#This Row],[THANH TOÁN]]</f>
        <v>509106000</v>
      </c>
      <c r="K25" s="24"/>
    </row>
    <row r="26" spans="1:11" x14ac:dyDescent="0.25">
      <c r="A26" s="22">
        <v>9034</v>
      </c>
      <c r="B26" s="29">
        <v>46137</v>
      </c>
      <c r="C26" s="23" t="s">
        <v>13</v>
      </c>
      <c r="D26" s="37" t="s">
        <v>17</v>
      </c>
      <c r="E26" s="23" t="s">
        <v>230</v>
      </c>
      <c r="F26" s="31">
        <v>355</v>
      </c>
      <c r="G26" s="31">
        <v>69500</v>
      </c>
      <c r="H26" s="31">
        <f>Cty_Dong_Duong[[#This Row],[ĐƠN GIÁ]]*Cty_Dong_Duong[[#This Row],[SỐ LƯỢNG]]</f>
        <v>24672500</v>
      </c>
      <c r="I26" s="31"/>
      <c r="J26" s="31">
        <f ca="1">N(INDIRECT("R[-1]C", FALSE)) + Cty_Dong_Duong[[#This Row],[THÀNH TIỀN]] - Cty_Dong_Duong[[#This Row],[THANH TOÁN]]</f>
        <v>533778500</v>
      </c>
      <c r="K26" s="24"/>
    </row>
    <row r="27" spans="1:11" x14ac:dyDescent="0.25">
      <c r="A27" s="22">
        <v>9034</v>
      </c>
      <c r="B27" s="29">
        <v>46137</v>
      </c>
      <c r="C27" s="23" t="s">
        <v>13</v>
      </c>
      <c r="D27" s="37" t="s">
        <v>14</v>
      </c>
      <c r="E27" s="23" t="s">
        <v>78</v>
      </c>
      <c r="F27" s="31">
        <v>606</v>
      </c>
      <c r="G27" s="31">
        <v>45000</v>
      </c>
      <c r="H27" s="31">
        <f>Cty_Dong_Duong[[#This Row],[ĐƠN GIÁ]]*Cty_Dong_Duong[[#This Row],[SỐ LƯỢNG]]</f>
        <v>27270000</v>
      </c>
      <c r="I27" s="31"/>
      <c r="J27" s="31">
        <f ca="1">N(INDIRECT("R[-1]C", FALSE)) + Cty_Dong_Duong[[#This Row],[THÀNH TIỀN]] - Cty_Dong_Duong[[#This Row],[THANH TOÁN]]</f>
        <v>561048500</v>
      </c>
      <c r="K27" s="24"/>
    </row>
    <row r="28" spans="1:11" x14ac:dyDescent="0.25">
      <c r="A28" s="22">
        <v>9034</v>
      </c>
      <c r="B28" s="29">
        <v>46137</v>
      </c>
      <c r="C28" s="23" t="s">
        <v>13</v>
      </c>
      <c r="D28" s="37" t="s">
        <v>26</v>
      </c>
      <c r="E28" s="23" t="s">
        <v>148</v>
      </c>
      <c r="F28" s="31">
        <v>1498</v>
      </c>
      <c r="G28" s="31">
        <v>35000</v>
      </c>
      <c r="H28" s="31">
        <f>Cty_Dong_Duong[[#This Row],[ĐƠN GIÁ]]*Cty_Dong_Duong[[#This Row],[SỐ LƯỢNG]]</f>
        <v>52430000</v>
      </c>
      <c r="I28" s="31"/>
      <c r="J28" s="31">
        <f ca="1">N(INDIRECT("R[-1]C", FALSE)) + Cty_Dong_Duong[[#This Row],[THÀNH TIỀN]] - Cty_Dong_Duong[[#This Row],[THANH TOÁN]]</f>
        <v>613478500</v>
      </c>
      <c r="K28" s="24"/>
    </row>
    <row r="29" spans="1:11" x14ac:dyDescent="0.25">
      <c r="A29" s="22">
        <v>9078</v>
      </c>
      <c r="B29" s="29">
        <v>46140</v>
      </c>
      <c r="C29" s="23" t="s">
        <v>13</v>
      </c>
      <c r="D29" s="37" t="s">
        <v>109</v>
      </c>
      <c r="E29" s="23" t="s">
        <v>1046</v>
      </c>
      <c r="F29" s="31">
        <v>1432</v>
      </c>
      <c r="G29" s="31">
        <v>60500</v>
      </c>
      <c r="H29" s="31">
        <f>Cty_Dong_Duong[[#This Row],[ĐƠN GIÁ]]*Cty_Dong_Duong[[#This Row],[SỐ LƯỢNG]]</f>
        <v>86636000</v>
      </c>
      <c r="I29" s="31"/>
      <c r="J29" s="31">
        <f ca="1">N(INDIRECT("R[-1]C", FALSE)) + Cty_Dong_Duong[[#This Row],[THÀNH TIỀN]] - Cty_Dong_Duong[[#This Row],[THANH TOÁN]]</f>
        <v>700114500</v>
      </c>
      <c r="K29" s="24"/>
    </row>
    <row r="30" spans="1:11" x14ac:dyDescent="0.25">
      <c r="A30" s="22">
        <v>9078</v>
      </c>
      <c r="B30" s="29">
        <v>46140</v>
      </c>
      <c r="C30" s="23" t="s">
        <v>13</v>
      </c>
      <c r="D30" s="37" t="s">
        <v>14</v>
      </c>
      <c r="E30" s="23" t="s">
        <v>41</v>
      </c>
      <c r="F30" s="31">
        <v>1028</v>
      </c>
      <c r="G30" s="31">
        <v>42000</v>
      </c>
      <c r="H30" s="31">
        <f>Cty_Dong_Duong[[#This Row],[ĐƠN GIÁ]]*Cty_Dong_Duong[[#This Row],[SỐ LƯỢNG]]</f>
        <v>43176000</v>
      </c>
      <c r="I30" s="31"/>
      <c r="J30" s="31">
        <f ca="1">N(INDIRECT("R[-1]C", FALSE)) + Cty_Dong_Duong[[#This Row],[THÀNH TIỀN]] - Cty_Dong_Duong[[#This Row],[THANH TOÁN]]</f>
        <v>743290500</v>
      </c>
      <c r="K30" s="24"/>
    </row>
    <row r="31" spans="1:11" x14ac:dyDescent="0.25">
      <c r="A31" s="22">
        <v>9195</v>
      </c>
      <c r="B31" s="29">
        <v>46148</v>
      </c>
      <c r="C31" s="23" t="s">
        <v>13</v>
      </c>
      <c r="D31" s="37" t="s">
        <v>17</v>
      </c>
      <c r="E31" s="23" t="s">
        <v>230</v>
      </c>
      <c r="F31" s="31">
        <v>138</v>
      </c>
      <c r="G31" s="31">
        <v>71000</v>
      </c>
      <c r="H31" s="31">
        <f>Cty_Dong_Duong[[#This Row],[ĐƠN GIÁ]]*Cty_Dong_Duong[[#This Row],[SỐ LƯỢNG]]</f>
        <v>9798000</v>
      </c>
      <c r="I31" s="31"/>
      <c r="J31" s="31">
        <f ca="1">N(INDIRECT("R[-1]C", FALSE)) + Cty_Dong_Duong[[#This Row],[THÀNH TIỀN]] - Cty_Dong_Duong[[#This Row],[THANH TOÁN]]</f>
        <v>753088500</v>
      </c>
      <c r="K31" s="24"/>
    </row>
    <row r="32" spans="1:11" x14ac:dyDescent="0.25">
      <c r="A32" s="22">
        <v>9195</v>
      </c>
      <c r="B32" s="29">
        <v>46148</v>
      </c>
      <c r="C32" s="23" t="s">
        <v>49</v>
      </c>
      <c r="D32" s="37" t="s">
        <v>703</v>
      </c>
      <c r="E32" s="23" t="s">
        <v>1950</v>
      </c>
      <c r="F32" s="31">
        <v>82</v>
      </c>
      <c r="G32" s="31"/>
      <c r="H32" s="31">
        <f>Cty_Dong_Duong[[#This Row],[ĐƠN GIÁ]]*Cty_Dong_Duong[[#This Row],[SỐ LƯỢNG]]</f>
        <v>0</v>
      </c>
      <c r="I32" s="31"/>
      <c r="J32" s="31">
        <f ca="1">N(INDIRECT("R[-1]C", FALSE)) + Cty_Dong_Duong[[#This Row],[THÀNH TIỀN]] - Cty_Dong_Duong[[#This Row],[THANH TOÁN]]</f>
        <v>753088500</v>
      </c>
      <c r="K32" s="24"/>
    </row>
    <row r="33" spans="1:11" x14ac:dyDescent="0.25">
      <c r="A33" s="22">
        <v>6578</v>
      </c>
      <c r="B33" s="29">
        <v>46148</v>
      </c>
      <c r="C33" s="23" t="s">
        <v>426</v>
      </c>
      <c r="D33" s="37" t="s">
        <v>26</v>
      </c>
      <c r="E33" s="23" t="s">
        <v>230</v>
      </c>
      <c r="F33" s="31">
        <v>111</v>
      </c>
      <c r="G33" s="31">
        <v>-69500</v>
      </c>
      <c r="H33" s="31">
        <f>Cty_Dong_Duong[[#This Row],[ĐƠN GIÁ]]*Cty_Dong_Duong[[#This Row],[SỐ LƯỢNG]]</f>
        <v>-7714500</v>
      </c>
      <c r="I33" s="31"/>
      <c r="J33" s="31">
        <f ca="1">N(INDIRECT("R[-1]C", FALSE)) + Cty_Dong_Duong[[#This Row],[THÀNH TIỀN]] - Cty_Dong_Duong[[#This Row],[THANH TOÁN]]</f>
        <v>745374000</v>
      </c>
      <c r="K33" s="24"/>
    </row>
    <row r="34" spans="1:11" x14ac:dyDescent="0.25">
      <c r="A34" s="22">
        <v>6613</v>
      </c>
      <c r="B34" s="29">
        <v>46153</v>
      </c>
      <c r="C34" s="23" t="s">
        <v>84</v>
      </c>
      <c r="D34" s="37" t="s">
        <v>703</v>
      </c>
      <c r="E34" s="23" t="s">
        <v>1950</v>
      </c>
      <c r="F34" s="31">
        <v>82</v>
      </c>
      <c r="G34" s="31">
        <v>-3000</v>
      </c>
      <c r="H34" s="31">
        <f>Cty_Dong_Duong[[#This Row],[ĐƠN GIÁ]]*Cty_Dong_Duong[[#This Row],[SỐ LƯỢNG]]</f>
        <v>-246000</v>
      </c>
      <c r="I34" s="31"/>
      <c r="J34" s="31">
        <f ca="1">N(INDIRECT("R[-1]C", FALSE)) + Cty_Dong_Duong[[#This Row],[THÀNH TIỀN]] - Cty_Dong_Duong[[#This Row],[THANH TOÁN]]</f>
        <v>745128000</v>
      </c>
      <c r="K34" s="24"/>
    </row>
    <row r="35" spans="1:11" x14ac:dyDescent="0.25">
      <c r="A35" s="25">
        <v>9362</v>
      </c>
      <c r="B35" s="30">
        <v>46155</v>
      </c>
      <c r="C35" s="26" t="s">
        <v>13</v>
      </c>
      <c r="D35" s="38" t="s">
        <v>26</v>
      </c>
      <c r="E35" s="26" t="s">
        <v>2091</v>
      </c>
      <c r="F35" s="28">
        <v>2743</v>
      </c>
      <c r="G35" s="28">
        <v>35000</v>
      </c>
      <c r="H35" s="28">
        <f>Cty_Dong_Duong[[#This Row],[ĐƠN GIÁ]]*Cty_Dong_Duong[[#This Row],[SỐ LƯỢNG]]</f>
        <v>96005000</v>
      </c>
      <c r="I35" s="28"/>
      <c r="J35" s="28">
        <f ca="1">N(INDIRECT("R[-1]C", FALSE)) + Cty_Dong_Duong[[#This Row],[THÀNH TIỀN]] - Cty_Dong_Duong[[#This Row],[THANH TOÁN]]</f>
        <v>841133000</v>
      </c>
      <c r="K35" s="27"/>
    </row>
    <row r="36" spans="1:11" x14ac:dyDescent="0.25">
      <c r="A36" s="22">
        <v>9461</v>
      </c>
      <c r="B36" s="29">
        <v>46160</v>
      </c>
      <c r="C36" s="23" t="s">
        <v>13</v>
      </c>
      <c r="D36" s="37" t="s">
        <v>17</v>
      </c>
      <c r="E36" s="23" t="s">
        <v>230</v>
      </c>
      <c r="F36" s="31">
        <v>342</v>
      </c>
      <c r="G36" s="31">
        <v>71000</v>
      </c>
      <c r="H36" s="31">
        <f>Cty_Dong_Duong[[#This Row],[ĐƠN GIÁ]]*Cty_Dong_Duong[[#This Row],[SỐ LƯỢNG]]</f>
        <v>24282000</v>
      </c>
      <c r="I36" s="31"/>
      <c r="J36" s="31">
        <f ca="1">N(INDIRECT("R[-1]C", FALSE)) + Cty_Dong_Duong[[#This Row],[THÀNH TIỀN]] - Cty_Dong_Duong[[#This Row],[THANH TOÁN]]</f>
        <v>865415000</v>
      </c>
      <c r="K36" s="24"/>
    </row>
    <row r="37" spans="1:11" x14ac:dyDescent="0.25">
      <c r="A37" s="22"/>
      <c r="B37" s="29">
        <v>46164</v>
      </c>
      <c r="C37" s="23" t="s">
        <v>21</v>
      </c>
      <c r="D37" s="37" t="s">
        <v>22</v>
      </c>
      <c r="E37" s="23" t="s">
        <v>261</v>
      </c>
      <c r="F37" s="31">
        <v>0</v>
      </c>
      <c r="G37" s="31"/>
      <c r="H37" s="31">
        <f>Cty_Dong_Duong[[#This Row],[ĐƠN GIÁ]]*Cty_Dong_Duong[[#This Row],[SỐ LƯỢNG]]</f>
        <v>0</v>
      </c>
      <c r="I37" s="31">
        <v>100000000</v>
      </c>
      <c r="J37" s="31">
        <f ca="1">N(INDIRECT("R[-1]C", FALSE)) + Cty_Dong_Duong[[#This Row],[THÀNH TIỀN]] - Cty_Dong_Duong[[#This Row],[THANH TOÁN]]</f>
        <v>765415000</v>
      </c>
      <c r="K37" s="24"/>
    </row>
    <row r="38" spans="1:11" x14ac:dyDescent="0.25">
      <c r="A38" s="22"/>
      <c r="B38" s="29">
        <v>46150</v>
      </c>
      <c r="C38" s="23" t="s">
        <v>21</v>
      </c>
      <c r="D38" s="37" t="s">
        <v>22</v>
      </c>
      <c r="E38" s="23" t="s">
        <v>83</v>
      </c>
      <c r="F38" s="31">
        <v>0</v>
      </c>
      <c r="G38" s="31"/>
      <c r="H38" s="31">
        <f>Cty_Dong_Duong[[#This Row],[ĐƠN GIÁ]]*Cty_Dong_Duong[[#This Row],[SỐ LƯỢNG]]</f>
        <v>0</v>
      </c>
      <c r="I38" s="31">
        <v>100000000</v>
      </c>
      <c r="J38" s="31">
        <f ca="1">N(INDIRECT("R[-1]C", FALSE)) + Cty_Dong_Duong[[#This Row],[THÀNH TIỀN]] - Cty_Dong_Duong[[#This Row],[THANH TOÁN]]</f>
        <v>665415000</v>
      </c>
      <c r="K38" s="24"/>
    </row>
    <row r="39" spans="1:11" x14ac:dyDescent="0.25">
      <c r="A39" s="22">
        <v>9763</v>
      </c>
      <c r="B39" s="29">
        <v>46176</v>
      </c>
      <c r="C39" s="23" t="s">
        <v>13</v>
      </c>
      <c r="D39" s="37" t="s">
        <v>14</v>
      </c>
      <c r="E39" s="23" t="s">
        <v>40</v>
      </c>
      <c r="F39" s="31">
        <v>198</v>
      </c>
      <c r="G39" s="31">
        <v>47000</v>
      </c>
      <c r="H39" s="31">
        <f>Cty_Dong_Duong[[#This Row],[ĐƠN GIÁ]]*Cty_Dong_Duong[[#This Row],[SỐ LƯỢNG]]</f>
        <v>9306000</v>
      </c>
      <c r="I39" s="31"/>
      <c r="J39" s="31">
        <f ca="1">N(INDIRECT("R[-1]C", FALSE)) + Cty_Dong_Duong[[#This Row],[THÀNH TIỀN]] - Cty_Dong_Duong[[#This Row],[THANH TOÁN]]</f>
        <v>674721000</v>
      </c>
      <c r="K39" s="24"/>
    </row>
    <row r="40" spans="1:11" x14ac:dyDescent="0.25">
      <c r="A40" s="22">
        <v>7572</v>
      </c>
      <c r="B40" s="29">
        <v>46059</v>
      </c>
      <c r="C40" s="23" t="s">
        <v>49</v>
      </c>
      <c r="D40" s="37" t="s">
        <v>703</v>
      </c>
      <c r="E40" s="23" t="s">
        <v>2562</v>
      </c>
      <c r="F40" s="31">
        <v>62</v>
      </c>
      <c r="G40" s="31"/>
      <c r="H40" s="31">
        <f>Cty_Dong_Duong[[#This Row],[ĐƠN GIÁ]]*Cty_Dong_Duong[[#This Row],[SỐ LƯỢNG]]</f>
        <v>0</v>
      </c>
      <c r="I40" s="31"/>
      <c r="J40" s="31">
        <f ca="1">N(INDIRECT("R[-1]C", FALSE)) + Cty_Dong_Duong[[#This Row],[THÀNH TIỀN]] - Cty_Dong_Duong[[#This Row],[THANH TOÁN]]</f>
        <v>674721000</v>
      </c>
      <c r="K40" s="24"/>
    </row>
  </sheetData>
  <phoneticPr fontId="9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945627-0CAE-4E88-A1E7-EECAC35DC624}">
  <sheetPr codeName="Sheet94"/>
  <dimension ref="A5:K34"/>
  <sheetViews>
    <sheetView topLeftCell="A8" workbookViewId="0">
      <selection activeCell="A24" sqref="A24:K24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628679556</v>
      </c>
    </row>
    <row r="6" spans="1:11" ht="22.5" x14ac:dyDescent="0.25">
      <c r="D6" s="34" t="s">
        <v>1190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Cty_TH_Viet_Nam[[#This Row],[ĐƠN GIÁ]]*Cty_TH_Viet_Nam[[#This Row],[SỐ LƯỢNG]]</f>
        <v>0</v>
      </c>
      <c r="I10" s="31"/>
      <c r="J10" s="31">
        <v>122733545</v>
      </c>
      <c r="K10" s="24"/>
    </row>
    <row r="11" spans="1:11" x14ac:dyDescent="0.25">
      <c r="A11" s="22"/>
      <c r="B11" s="29">
        <v>46085</v>
      </c>
      <c r="C11" s="23" t="s">
        <v>21</v>
      </c>
      <c r="D11" s="37" t="s">
        <v>22</v>
      </c>
      <c r="E11" s="23" t="s">
        <v>147</v>
      </c>
      <c r="F11" s="31">
        <v>0</v>
      </c>
      <c r="G11" s="31">
        <v>0</v>
      </c>
      <c r="H11" s="31">
        <f>Cty_TH_Viet_Nam[[#This Row],[ĐƠN GIÁ]]*Cty_TH_Viet_Nam[[#This Row],[SỐ LƯỢNG]]</f>
        <v>0</v>
      </c>
      <c r="I11" s="31">
        <v>122733006</v>
      </c>
      <c r="J11" s="31">
        <f>J10+Cty_TH_Viet_Nam[[#This Row],[THÀNH TIỀN]]-Cty_TH_Viet_Nam[[#This Row],[THANH TOÁN]]</f>
        <v>539</v>
      </c>
      <c r="K11" s="24"/>
    </row>
    <row r="12" spans="1:11" x14ac:dyDescent="0.25">
      <c r="A12" s="22">
        <v>8016</v>
      </c>
      <c r="B12" s="29">
        <v>46092</v>
      </c>
      <c r="C12" s="23" t="s">
        <v>13</v>
      </c>
      <c r="D12" s="37" t="s">
        <v>1191</v>
      </c>
      <c r="E12" s="23" t="s">
        <v>1192</v>
      </c>
      <c r="F12" s="31">
        <v>338</v>
      </c>
      <c r="G12" s="31">
        <v>37500</v>
      </c>
      <c r="H12" s="31">
        <f>Cty_TH_Viet_Nam[[#This Row],[ĐƠN GIÁ]]*Cty_TH_Viet_Nam[[#This Row],[SỐ LƯỢNG]]</f>
        <v>12675000</v>
      </c>
      <c r="I12" s="31"/>
      <c r="J12" s="31">
        <f>J11+Cty_TH_Viet_Nam[[#This Row],[THÀNH TIỀN]]-Cty_TH_Viet_Nam[[#This Row],[THANH TOÁN]]</f>
        <v>12675539</v>
      </c>
      <c r="K12" s="24"/>
    </row>
    <row r="13" spans="1:11" x14ac:dyDescent="0.25">
      <c r="A13" s="22">
        <v>8128</v>
      </c>
      <c r="B13" s="29">
        <v>46097</v>
      </c>
      <c r="C13" s="23" t="s">
        <v>13</v>
      </c>
      <c r="D13" s="37" t="s">
        <v>50</v>
      </c>
      <c r="E13" s="23" t="s">
        <v>1193</v>
      </c>
      <c r="F13" s="31">
        <v>558</v>
      </c>
      <c r="G13" s="31">
        <v>59000</v>
      </c>
      <c r="H13" s="31">
        <f>Cty_TH_Viet_Nam[[#This Row],[ĐƠN GIÁ]]*Cty_TH_Viet_Nam[[#This Row],[SỐ LƯỢNG]]</f>
        <v>32922000</v>
      </c>
      <c r="I13" s="31"/>
      <c r="J13" s="31">
        <f>J12+Cty_TH_Viet_Nam[[#This Row],[THÀNH TIỀN]]-Cty_TH_Viet_Nam[[#This Row],[THANH TOÁN]]</f>
        <v>45597539</v>
      </c>
      <c r="K13" s="24"/>
    </row>
    <row r="14" spans="1:11" x14ac:dyDescent="0.25">
      <c r="A14" s="22">
        <v>8128</v>
      </c>
      <c r="B14" s="29">
        <v>46097</v>
      </c>
      <c r="C14" s="23" t="s">
        <v>13</v>
      </c>
      <c r="D14" s="38" t="s">
        <v>50</v>
      </c>
      <c r="E14" s="26" t="s">
        <v>1194</v>
      </c>
      <c r="F14" s="28">
        <v>214</v>
      </c>
      <c r="G14" s="28">
        <v>59000</v>
      </c>
      <c r="H14" s="28">
        <f>Cty_TH_Viet_Nam[[#This Row],[ĐƠN GIÁ]]*Cty_TH_Viet_Nam[[#This Row],[SỐ LƯỢNG]]</f>
        <v>12626000</v>
      </c>
      <c r="I14" s="28"/>
      <c r="J14" s="28">
        <f>J13+Cty_TH_Viet_Nam[[#This Row],[THÀNH TIỀN]]-Cty_TH_Viet_Nam[[#This Row],[THANH TOÁN]]</f>
        <v>58223539</v>
      </c>
      <c r="K14" s="27"/>
    </row>
    <row r="15" spans="1:11" x14ac:dyDescent="0.25">
      <c r="A15" s="22">
        <v>8128</v>
      </c>
      <c r="B15" s="29">
        <v>46097</v>
      </c>
      <c r="C15" s="23" t="s">
        <v>13</v>
      </c>
      <c r="D15" s="38" t="s">
        <v>1191</v>
      </c>
      <c r="E15" s="26" t="s">
        <v>117</v>
      </c>
      <c r="F15" s="28">
        <v>345</v>
      </c>
      <c r="G15" s="28">
        <v>38500</v>
      </c>
      <c r="H15" s="28">
        <f>Cty_TH_Viet_Nam[[#This Row],[ĐƠN GIÁ]]*Cty_TH_Viet_Nam[[#This Row],[SỐ LƯỢNG]]</f>
        <v>13282500</v>
      </c>
      <c r="I15" s="28"/>
      <c r="J15" s="28">
        <f>J14+Cty_TH_Viet_Nam[[#This Row],[THÀNH TIỀN]]-Cty_TH_Viet_Nam[[#This Row],[THANH TOÁN]]</f>
        <v>71506039</v>
      </c>
      <c r="K15" s="27"/>
    </row>
    <row r="16" spans="1:11" x14ac:dyDescent="0.25">
      <c r="A16" s="22">
        <v>8128</v>
      </c>
      <c r="B16" s="29">
        <v>46097</v>
      </c>
      <c r="C16" s="23" t="s">
        <v>13</v>
      </c>
      <c r="D16" s="38" t="s">
        <v>1191</v>
      </c>
      <c r="E16" s="23" t="s">
        <v>53</v>
      </c>
      <c r="F16" s="31">
        <v>443</v>
      </c>
      <c r="G16" s="31">
        <v>38000</v>
      </c>
      <c r="H16" s="31">
        <f>Cty_TH_Viet_Nam[[#This Row],[ĐƠN GIÁ]]*Cty_TH_Viet_Nam[[#This Row],[SỐ LƯỢNG]]</f>
        <v>16834000</v>
      </c>
      <c r="I16" s="31"/>
      <c r="J16" s="31">
        <f>J15+Cty_TH_Viet_Nam[[#This Row],[THÀNH TIỀN]]-Cty_TH_Viet_Nam[[#This Row],[THANH TOÁN]]</f>
        <v>88340039</v>
      </c>
      <c r="K16" s="24"/>
    </row>
    <row r="17" spans="1:11" x14ac:dyDescent="0.25">
      <c r="A17" s="22">
        <v>8128</v>
      </c>
      <c r="B17" s="29">
        <v>46097</v>
      </c>
      <c r="C17" s="23" t="s">
        <v>13</v>
      </c>
      <c r="D17" s="38" t="s">
        <v>1191</v>
      </c>
      <c r="E17" s="23" t="s">
        <v>1195</v>
      </c>
      <c r="F17" s="31">
        <v>974</v>
      </c>
      <c r="G17" s="31">
        <v>38000</v>
      </c>
      <c r="H17" s="31">
        <f>Cty_TH_Viet_Nam[[#This Row],[ĐƠN GIÁ]]*Cty_TH_Viet_Nam[[#This Row],[SỐ LƯỢNG]]</f>
        <v>37012000</v>
      </c>
      <c r="I17" s="31"/>
      <c r="J17" s="31">
        <f>J16+Cty_TH_Viet_Nam[[#This Row],[THÀNH TIỀN]]-Cty_TH_Viet_Nam[[#This Row],[THANH TOÁN]]</f>
        <v>125352039</v>
      </c>
      <c r="K17" s="24"/>
    </row>
    <row r="18" spans="1:11" x14ac:dyDescent="0.25">
      <c r="A18" s="25">
        <v>8128</v>
      </c>
      <c r="B18" s="30">
        <v>46097</v>
      </c>
      <c r="C18" s="26" t="s">
        <v>13</v>
      </c>
      <c r="D18" s="38" t="s">
        <v>1191</v>
      </c>
      <c r="E18" s="26" t="s">
        <v>1196</v>
      </c>
      <c r="F18" s="28">
        <v>493</v>
      </c>
      <c r="G18" s="28">
        <v>38500</v>
      </c>
      <c r="H18" s="28">
        <f>Cty_TH_Viet_Nam[[#This Row],[ĐƠN GIÁ]]*Cty_TH_Viet_Nam[[#This Row],[SỐ LƯỢNG]]</f>
        <v>18980500</v>
      </c>
      <c r="I18" s="28"/>
      <c r="J18" s="28">
        <f>J17+Cty_TH_Viet_Nam[[#This Row],[THÀNH TIỀN]]-Cty_TH_Viet_Nam[[#This Row],[THANH TOÁN]]</f>
        <v>144332539</v>
      </c>
      <c r="K18" s="27"/>
    </row>
    <row r="19" spans="1:11" x14ac:dyDescent="0.25">
      <c r="A19" s="22">
        <v>8518</v>
      </c>
      <c r="B19" s="29">
        <v>46114</v>
      </c>
      <c r="C19" s="23" t="s">
        <v>13</v>
      </c>
      <c r="D19" s="37" t="s">
        <v>50</v>
      </c>
      <c r="E19" s="23" t="s">
        <v>1197</v>
      </c>
      <c r="F19" s="31">
        <v>266</v>
      </c>
      <c r="G19" s="31">
        <v>58500</v>
      </c>
      <c r="H19" s="31">
        <f>Cty_TH_Viet_Nam[[#This Row],[ĐƠN GIÁ]]*Cty_TH_Viet_Nam[[#This Row],[SỐ LƯỢNG]]</f>
        <v>15561000</v>
      </c>
      <c r="I19" s="31"/>
      <c r="J19" s="31">
        <f>J18+Cty_TH_Viet_Nam[[#This Row],[THÀNH TIỀN]]-Cty_TH_Viet_Nam[[#This Row],[THANH TOÁN]]</f>
        <v>159893539</v>
      </c>
      <c r="K19" s="24"/>
    </row>
    <row r="20" spans="1:11" x14ac:dyDescent="0.25">
      <c r="A20" s="22">
        <v>8910</v>
      </c>
      <c r="B20" s="29">
        <v>46132</v>
      </c>
      <c r="C20" s="23" t="s">
        <v>13</v>
      </c>
      <c r="D20" s="37" t="s">
        <v>50</v>
      </c>
      <c r="E20" s="23" t="s">
        <v>1753</v>
      </c>
      <c r="F20" s="31">
        <v>1650</v>
      </c>
      <c r="G20" s="31">
        <v>60000</v>
      </c>
      <c r="H20" s="31">
        <f>Cty_TH_Viet_Nam[[#This Row],[ĐƠN GIÁ]]*Cty_TH_Viet_Nam[[#This Row],[SỐ LƯỢNG]]</f>
        <v>99000000</v>
      </c>
      <c r="I20" s="31"/>
      <c r="J20" s="31">
        <f>J19+Cty_TH_Viet_Nam[[#This Row],[THÀNH TIỀN]]-Cty_TH_Viet_Nam[[#This Row],[THANH TOÁN]]</f>
        <v>258893539</v>
      </c>
      <c r="K20" s="24"/>
    </row>
    <row r="21" spans="1:11" x14ac:dyDescent="0.25">
      <c r="A21" s="22">
        <v>8949</v>
      </c>
      <c r="B21" s="29">
        <v>46135</v>
      </c>
      <c r="C21" s="23" t="s">
        <v>13</v>
      </c>
      <c r="D21" s="37" t="s">
        <v>50</v>
      </c>
      <c r="E21" s="23" t="s">
        <v>1753</v>
      </c>
      <c r="F21" s="31">
        <v>3528</v>
      </c>
      <c r="G21" s="31">
        <v>60000</v>
      </c>
      <c r="H21" s="31">
        <f>Cty_TH_Viet_Nam[[#This Row],[ĐƠN GIÁ]]*Cty_TH_Viet_Nam[[#This Row],[SỐ LƯỢNG]]</f>
        <v>211680000</v>
      </c>
      <c r="I21" s="31"/>
      <c r="J21" s="31">
        <f>J20+Cty_TH_Viet_Nam[[#This Row],[THÀNH TIỀN]]-Cty_TH_Viet_Nam[[#This Row],[THANH TOÁN]]</f>
        <v>470573539</v>
      </c>
      <c r="K21" s="24"/>
    </row>
    <row r="22" spans="1:11" x14ac:dyDescent="0.25">
      <c r="A22" s="22">
        <v>8973</v>
      </c>
      <c r="B22" s="29">
        <v>46135</v>
      </c>
      <c r="C22" s="23" t="s">
        <v>13</v>
      </c>
      <c r="D22" s="37" t="s">
        <v>50</v>
      </c>
      <c r="E22" s="23" t="s">
        <v>1802</v>
      </c>
      <c r="F22" s="31">
        <v>468</v>
      </c>
      <c r="G22" s="31">
        <v>62500</v>
      </c>
      <c r="H22" s="31">
        <f>Cty_TH_Viet_Nam[[#This Row],[ĐƠN GIÁ]]*Cty_TH_Viet_Nam[[#This Row],[SỐ LƯỢNG]]</f>
        <v>29250000</v>
      </c>
      <c r="I22" s="31"/>
      <c r="J22" s="31">
        <f>J21+Cty_TH_Viet_Nam[[#This Row],[THÀNH TIỀN]]-Cty_TH_Viet_Nam[[#This Row],[THANH TOÁN]]</f>
        <v>499823539</v>
      </c>
      <c r="K22" s="24"/>
    </row>
    <row r="23" spans="1:11" x14ac:dyDescent="0.25">
      <c r="A23" s="22">
        <v>8973</v>
      </c>
      <c r="B23" s="29">
        <v>46135</v>
      </c>
      <c r="C23" s="23" t="s">
        <v>13</v>
      </c>
      <c r="D23" s="37" t="s">
        <v>103</v>
      </c>
      <c r="E23" s="23" t="s">
        <v>221</v>
      </c>
      <c r="F23" s="31">
        <v>246</v>
      </c>
      <c r="G23" s="31">
        <v>38000</v>
      </c>
      <c r="H23" s="31">
        <f>Cty_TH_Viet_Nam[[#This Row],[ĐƠN GIÁ]]*Cty_TH_Viet_Nam[[#This Row],[SỐ LƯỢNG]]</f>
        <v>9348000</v>
      </c>
      <c r="I23" s="31"/>
      <c r="J23" s="31">
        <f>J22+Cty_TH_Viet_Nam[[#This Row],[THÀNH TIỀN]]-Cty_TH_Viet_Nam[[#This Row],[THANH TOÁN]]</f>
        <v>509171539</v>
      </c>
      <c r="K23" s="24"/>
    </row>
    <row r="24" spans="1:11" x14ac:dyDescent="0.25">
      <c r="A24" s="22"/>
      <c r="B24" s="29">
        <v>46141</v>
      </c>
      <c r="C24" s="23" t="s">
        <v>21</v>
      </c>
      <c r="D24" s="37" t="s">
        <v>22</v>
      </c>
      <c r="E24" s="23" t="s">
        <v>147</v>
      </c>
      <c r="F24" s="31">
        <v>0</v>
      </c>
      <c r="G24" s="31"/>
      <c r="H24" s="31">
        <f>Cty_TH_Viet_Nam[[#This Row],[ĐƠN GIÁ]]*Cty_TH_Viet_Nam[[#This Row],[SỐ LƯỢNG]]</f>
        <v>0</v>
      </c>
      <c r="I24" s="31">
        <v>144330983</v>
      </c>
      <c r="J24" s="31">
        <f>J23+Cty_TH_Viet_Nam[[#This Row],[THÀNH TIỀN]]-Cty_TH_Viet_Nam[[#This Row],[THANH TOÁN]]</f>
        <v>364840556</v>
      </c>
      <c r="K24" s="24"/>
    </row>
    <row r="25" spans="1:11" x14ac:dyDescent="0.25">
      <c r="A25" s="22">
        <v>9176</v>
      </c>
      <c r="B25" s="29">
        <v>46147</v>
      </c>
      <c r="C25" s="23" t="s">
        <v>13</v>
      </c>
      <c r="D25" s="37" t="s">
        <v>50</v>
      </c>
      <c r="E25" s="23" t="s">
        <v>1753</v>
      </c>
      <c r="F25" s="31">
        <v>1767</v>
      </c>
      <c r="G25" s="31">
        <v>61000</v>
      </c>
      <c r="H25" s="31">
        <f>Cty_TH_Viet_Nam[[#This Row],[ĐƠN GIÁ]]*Cty_TH_Viet_Nam[[#This Row],[SỐ LƯỢNG]]</f>
        <v>107787000</v>
      </c>
      <c r="I25" s="31"/>
      <c r="J25" s="31">
        <f>J24+Cty_TH_Viet_Nam[[#This Row],[THÀNH TIỀN]]-Cty_TH_Viet_Nam[[#This Row],[THANH TOÁN]]</f>
        <v>472627556</v>
      </c>
      <c r="K25" s="24"/>
    </row>
    <row r="26" spans="1:11" x14ac:dyDescent="0.25">
      <c r="A26" s="22">
        <v>9244</v>
      </c>
      <c r="B26" s="29">
        <v>46149</v>
      </c>
      <c r="C26" s="23" t="s">
        <v>13</v>
      </c>
      <c r="D26" s="37" t="s">
        <v>103</v>
      </c>
      <c r="E26" s="23" t="s">
        <v>1975</v>
      </c>
      <c r="F26" s="31">
        <v>3102</v>
      </c>
      <c r="G26" s="31">
        <v>37000</v>
      </c>
      <c r="H26" s="31">
        <f>Cty_TH_Viet_Nam[[#This Row],[ĐƠN GIÁ]]*Cty_TH_Viet_Nam[[#This Row],[SỐ LƯỢNG]]</f>
        <v>114774000</v>
      </c>
      <c r="I26" s="31"/>
      <c r="J26" s="31">
        <f>J25+Cty_TH_Viet_Nam[[#This Row],[THÀNH TIỀN]]-Cty_TH_Viet_Nam[[#This Row],[THANH TOÁN]]</f>
        <v>587401556</v>
      </c>
      <c r="K26" s="24"/>
    </row>
    <row r="27" spans="1:11" x14ac:dyDescent="0.25">
      <c r="A27" s="22">
        <v>9252</v>
      </c>
      <c r="B27" s="29">
        <v>46150</v>
      </c>
      <c r="C27" s="23" t="s">
        <v>13</v>
      </c>
      <c r="D27" s="37" t="s">
        <v>50</v>
      </c>
      <c r="E27" s="23" t="s">
        <v>1127</v>
      </c>
      <c r="F27" s="31">
        <v>282</v>
      </c>
      <c r="G27" s="31">
        <v>56500</v>
      </c>
      <c r="H27" s="31">
        <f>Cty_TH_Viet_Nam[[#This Row],[ĐƠN GIÁ]]*Cty_TH_Viet_Nam[[#This Row],[SỐ LƯỢNG]]</f>
        <v>15933000</v>
      </c>
      <c r="I27" s="31"/>
      <c r="J27" s="31">
        <f>J26+Cty_TH_Viet_Nam[[#This Row],[THÀNH TIỀN]]-Cty_TH_Viet_Nam[[#This Row],[THANH TOÁN]]</f>
        <v>603334556</v>
      </c>
      <c r="K27" s="24"/>
    </row>
    <row r="28" spans="1:11" x14ac:dyDescent="0.25">
      <c r="A28" s="22"/>
      <c r="B28" s="29">
        <v>46157</v>
      </c>
      <c r="C28" s="23" t="s">
        <v>21</v>
      </c>
      <c r="D28" s="37" t="s">
        <v>22</v>
      </c>
      <c r="E28" s="23" t="s">
        <v>147</v>
      </c>
      <c r="F28" s="31">
        <v>0</v>
      </c>
      <c r="G28" s="31"/>
      <c r="H28" s="31">
        <f>Cty_TH_Viet_Nam[[#This Row],[ĐƠN GIÁ]]*Cty_TH_Viet_Nam[[#This Row],[SỐ LƯỢNG]]</f>
        <v>0</v>
      </c>
      <c r="I28" s="31">
        <v>15561000</v>
      </c>
      <c r="J28" s="31">
        <f>J27+Cty_TH_Viet_Nam[[#This Row],[THÀNH TIỀN]]-Cty_TH_Viet_Nam[[#This Row],[THANH TOÁN]]</f>
        <v>587773556</v>
      </c>
      <c r="K28" s="24"/>
    </row>
    <row r="29" spans="1:11" x14ac:dyDescent="0.25">
      <c r="A29" s="22">
        <v>9419</v>
      </c>
      <c r="B29" s="29">
        <v>46157</v>
      </c>
      <c r="C29" s="23" t="s">
        <v>13</v>
      </c>
      <c r="D29" s="37" t="s">
        <v>103</v>
      </c>
      <c r="E29" s="23" t="s">
        <v>343</v>
      </c>
      <c r="F29" s="31">
        <v>30</v>
      </c>
      <c r="G29" s="31">
        <v>38000</v>
      </c>
      <c r="H29" s="31">
        <f>Cty_TH_Viet_Nam[[#This Row],[ĐƠN GIÁ]]*Cty_TH_Viet_Nam[[#This Row],[SỐ LƯỢNG]]</f>
        <v>1140000</v>
      </c>
      <c r="I29" s="31"/>
      <c r="J29" s="31">
        <f>J28+Cty_TH_Viet_Nam[[#This Row],[THÀNH TIỀN]]-Cty_TH_Viet_Nam[[#This Row],[THANH TOÁN]]</f>
        <v>588913556</v>
      </c>
      <c r="K29" s="24"/>
    </row>
    <row r="30" spans="1:11" x14ac:dyDescent="0.25">
      <c r="A30" s="22">
        <v>9419</v>
      </c>
      <c r="B30" s="29">
        <v>46157</v>
      </c>
      <c r="C30" s="23" t="s">
        <v>13</v>
      </c>
      <c r="D30" s="37" t="s">
        <v>103</v>
      </c>
      <c r="E30" s="23" t="s">
        <v>53</v>
      </c>
      <c r="F30" s="31">
        <v>182</v>
      </c>
      <c r="G30" s="31">
        <v>38000</v>
      </c>
      <c r="H30" s="31">
        <f>Cty_TH_Viet_Nam[[#This Row],[ĐƠN GIÁ]]*Cty_TH_Viet_Nam[[#This Row],[SỐ LƯỢNG]]</f>
        <v>6916000</v>
      </c>
      <c r="I30" s="31"/>
      <c r="J30" s="31">
        <f>J29+Cty_TH_Viet_Nam[[#This Row],[THÀNH TIỀN]]-Cty_TH_Viet_Nam[[#This Row],[THANH TOÁN]]</f>
        <v>595829556</v>
      </c>
      <c r="K30" s="24"/>
    </row>
    <row r="31" spans="1:11" x14ac:dyDescent="0.25">
      <c r="A31" s="22">
        <v>9419</v>
      </c>
      <c r="B31" s="29">
        <v>46157</v>
      </c>
      <c r="C31" s="23" t="s">
        <v>13</v>
      </c>
      <c r="D31" s="37" t="s">
        <v>43</v>
      </c>
      <c r="E31" s="23" t="s">
        <v>62</v>
      </c>
      <c r="F31" s="31">
        <v>60</v>
      </c>
      <c r="G31" s="31">
        <v>65000</v>
      </c>
      <c r="H31" s="31">
        <f>Cty_TH_Viet_Nam[[#This Row],[ĐƠN GIÁ]]*Cty_TH_Viet_Nam[[#This Row],[SỐ LƯỢNG]]</f>
        <v>3900000</v>
      </c>
      <c r="I31" s="31"/>
      <c r="J31" s="31">
        <f>J30+Cty_TH_Viet_Nam[[#This Row],[THÀNH TIỀN]]-Cty_TH_Viet_Nam[[#This Row],[THANH TOÁN]]</f>
        <v>599729556</v>
      </c>
      <c r="K31" s="24"/>
    </row>
    <row r="32" spans="1:11" x14ac:dyDescent="0.25">
      <c r="A32" s="22">
        <v>9491</v>
      </c>
      <c r="B32" s="29">
        <v>46161</v>
      </c>
      <c r="C32" s="23" t="s">
        <v>13</v>
      </c>
      <c r="D32" s="37" t="s">
        <v>50</v>
      </c>
      <c r="E32" s="23" t="s">
        <v>2224</v>
      </c>
      <c r="F32" s="31">
        <v>164</v>
      </c>
      <c r="G32" s="31">
        <v>60000</v>
      </c>
      <c r="H32" s="31">
        <f>Cty_TH_Viet_Nam[[#This Row],[ĐƠN GIÁ]]*Cty_TH_Viet_Nam[[#This Row],[SỐ LƯỢNG]]</f>
        <v>9840000</v>
      </c>
      <c r="I32" s="31"/>
      <c r="J32" s="31">
        <f>J31+Cty_TH_Viet_Nam[[#This Row],[THÀNH TIỀN]]-Cty_TH_Viet_Nam[[#This Row],[THANH TOÁN]]</f>
        <v>609569556</v>
      </c>
      <c r="K32" s="24"/>
    </row>
    <row r="33" spans="1:11" x14ac:dyDescent="0.25">
      <c r="A33" s="22">
        <v>9491</v>
      </c>
      <c r="B33" s="29">
        <v>46161</v>
      </c>
      <c r="C33" s="23" t="s">
        <v>13</v>
      </c>
      <c r="D33" s="37" t="s">
        <v>50</v>
      </c>
      <c r="E33" s="23" t="s">
        <v>2225</v>
      </c>
      <c r="F33" s="31">
        <v>294</v>
      </c>
      <c r="G33" s="31">
        <v>65000</v>
      </c>
      <c r="H33" s="31">
        <f>Cty_TH_Viet_Nam[[#This Row],[ĐƠN GIÁ]]*Cty_TH_Viet_Nam[[#This Row],[SỐ LƯỢNG]]</f>
        <v>19110000</v>
      </c>
      <c r="I33" s="31"/>
      <c r="J33" s="31">
        <f>J32+Cty_TH_Viet_Nam[[#This Row],[THÀNH TIỀN]]-Cty_TH_Viet_Nam[[#This Row],[THANH TOÁN]]</f>
        <v>628679556</v>
      </c>
      <c r="K33" s="24"/>
    </row>
    <row r="34" spans="1:11" x14ac:dyDescent="0.25">
      <c r="A34" s="22"/>
      <c r="B34" s="29">
        <v>46178</v>
      </c>
      <c r="C34" s="23" t="s">
        <v>21</v>
      </c>
      <c r="D34" s="37" t="s">
        <v>22</v>
      </c>
      <c r="E34" s="23" t="s">
        <v>147</v>
      </c>
      <c r="F34" s="31">
        <v>0</v>
      </c>
      <c r="G34" s="31"/>
      <c r="H34" s="31">
        <f>Cty_TH_Viet_Nam[[#This Row],[ĐƠN GIÁ]]*Cty_TH_Viet_Nam[[#This Row],[SỐ LƯỢNG]]</f>
        <v>0</v>
      </c>
      <c r="I34" s="31">
        <v>211678019</v>
      </c>
      <c r="J34" s="31">
        <f>J33+Cty_TH_Viet_Nam[[#This Row],[THÀNH TIỀN]]-Cty_TH_Viet_Nam[[#This Row],[THANH TOÁN]]</f>
        <v>417001537</v>
      </c>
      <c r="K34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1C851-DE24-4CAD-811E-C3D6F7FB32E9}">
  <sheetPr codeName="Sheet95"/>
  <dimension ref="A5:K26"/>
  <sheetViews>
    <sheetView workbookViewId="0">
      <selection activeCell="K23" sqref="A23:K23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143475000</v>
      </c>
    </row>
    <row r="6" spans="1:11" ht="22.5" x14ac:dyDescent="0.25">
      <c r="D6" s="34" t="s">
        <v>1198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E_An_Thai_Nguyen[[#This Row],[ĐƠN GIÁ]]*E_An_Thai_Nguyen[[#This Row],[SỐ LƯỢNG]]</f>
        <v>0</v>
      </c>
      <c r="I10" s="31"/>
      <c r="J10" s="31">
        <v>0</v>
      </c>
      <c r="K10" s="24"/>
    </row>
    <row r="11" spans="1:11" x14ac:dyDescent="0.25">
      <c r="A11" s="22">
        <v>8026</v>
      </c>
      <c r="B11" s="29">
        <v>46093</v>
      </c>
      <c r="C11" s="23" t="s">
        <v>13</v>
      </c>
      <c r="D11" s="37" t="s">
        <v>26</v>
      </c>
      <c r="E11" s="23" t="s">
        <v>1199</v>
      </c>
      <c r="F11" s="31">
        <f>114+82+76+104+94+102+96+100+76+82+86+96+84+96+94+86+98+106+78+124+108+98+106+88+128+74+96+92+96+98+140</f>
        <v>2998</v>
      </c>
      <c r="G11" s="31">
        <v>36000</v>
      </c>
      <c r="H11" s="31">
        <f>E_An_Thai_Nguyen[[#This Row],[ĐƠN GIÁ]]*E_An_Thai_Nguyen[[#This Row],[SỐ LƯỢNG]]</f>
        <v>107928000</v>
      </c>
      <c r="I11" s="31"/>
      <c r="J11" s="31">
        <f>J10+E_An_Thai_Nguyen[[#This Row],[THÀNH TIỀN]]-E_An_Thai_Nguyen[[#This Row],[THANH TOÁN]]</f>
        <v>107928000</v>
      </c>
      <c r="K11" s="24"/>
    </row>
    <row r="12" spans="1:11" x14ac:dyDescent="0.25">
      <c r="A12" s="22">
        <v>8026</v>
      </c>
      <c r="B12" s="29">
        <v>46093</v>
      </c>
      <c r="C12" s="23" t="s">
        <v>13</v>
      </c>
      <c r="D12" s="37" t="s">
        <v>1200</v>
      </c>
      <c r="E12" s="23" t="s">
        <v>1201</v>
      </c>
      <c r="F12" s="31">
        <f>228+210+218+208+216</f>
        <v>1080</v>
      </c>
      <c r="G12" s="31">
        <v>40000</v>
      </c>
      <c r="H12" s="31">
        <f>E_An_Thai_Nguyen[[#This Row],[ĐƠN GIÁ]]*E_An_Thai_Nguyen[[#This Row],[SỐ LƯỢNG]]</f>
        <v>43200000</v>
      </c>
      <c r="I12" s="31"/>
      <c r="J12" s="31">
        <f>J11+E_An_Thai_Nguyen[[#This Row],[THÀNH TIỀN]]-E_An_Thai_Nguyen[[#This Row],[THANH TOÁN]]</f>
        <v>151128000</v>
      </c>
      <c r="K12" s="24"/>
    </row>
    <row r="13" spans="1:11" x14ac:dyDescent="0.25">
      <c r="A13" s="22">
        <v>8026</v>
      </c>
      <c r="B13" s="29">
        <v>46093</v>
      </c>
      <c r="C13" s="23" t="s">
        <v>13</v>
      </c>
      <c r="D13" s="38" t="s">
        <v>103</v>
      </c>
      <c r="E13" s="26" t="s">
        <v>218</v>
      </c>
      <c r="F13" s="28">
        <v>74</v>
      </c>
      <c r="G13" s="28">
        <v>37500</v>
      </c>
      <c r="H13" s="28">
        <f>E_An_Thai_Nguyen[[#This Row],[ĐƠN GIÁ]]*E_An_Thai_Nguyen[[#This Row],[SỐ LƯỢNG]]</f>
        <v>2775000</v>
      </c>
      <c r="I13" s="28"/>
      <c r="J13" s="28">
        <f>J12+E_An_Thai_Nguyen[[#This Row],[THÀNH TIỀN]]-E_An_Thai_Nguyen[[#This Row],[THANH TOÁN]]</f>
        <v>153903000</v>
      </c>
      <c r="K13" s="27"/>
    </row>
    <row r="14" spans="1:11" x14ac:dyDescent="0.25">
      <c r="A14" s="25">
        <v>8208</v>
      </c>
      <c r="B14" s="30">
        <v>46102</v>
      </c>
      <c r="C14" s="26" t="s">
        <v>13</v>
      </c>
      <c r="D14" s="38" t="s">
        <v>1200</v>
      </c>
      <c r="E14" s="26" t="s">
        <v>176</v>
      </c>
      <c r="F14" s="28">
        <f>300+338</f>
        <v>638</v>
      </c>
      <c r="G14" s="28">
        <v>40000</v>
      </c>
      <c r="H14" s="28">
        <f>E_An_Thai_Nguyen[[#This Row],[ĐƠN GIÁ]]*E_An_Thai_Nguyen[[#This Row],[SỐ LƯỢNG]]</f>
        <v>25520000</v>
      </c>
      <c r="I14" s="28"/>
      <c r="J14" s="28">
        <f>J13+E_An_Thai_Nguyen[[#This Row],[THÀNH TIỀN]]-E_An_Thai_Nguyen[[#This Row],[THANH TOÁN]]</f>
        <v>179423000</v>
      </c>
      <c r="K14" s="27"/>
    </row>
    <row r="15" spans="1:11" x14ac:dyDescent="0.25">
      <c r="A15" s="25"/>
      <c r="B15" s="30">
        <v>46102</v>
      </c>
      <c r="C15" s="26" t="s">
        <v>21</v>
      </c>
      <c r="D15" s="38" t="s">
        <v>260</v>
      </c>
      <c r="E15" s="26" t="s">
        <v>261</v>
      </c>
      <c r="F15" s="28">
        <v>0</v>
      </c>
      <c r="G15" s="28">
        <v>0</v>
      </c>
      <c r="H15" s="28">
        <f>E_An_Thai_Nguyen[[#This Row],[ĐƠN GIÁ]]*E_An_Thai_Nguyen[[#This Row],[SỐ LƯỢNG]]</f>
        <v>0</v>
      </c>
      <c r="I15" s="28">
        <v>50000000</v>
      </c>
      <c r="J15" s="28">
        <f>J14+E_An_Thai_Nguyen[[#This Row],[THÀNH TIỀN]]-E_An_Thai_Nguyen[[#This Row],[THANH TOÁN]]</f>
        <v>129423000</v>
      </c>
      <c r="K15" s="27"/>
    </row>
    <row r="16" spans="1:11" x14ac:dyDescent="0.25">
      <c r="A16" s="25">
        <v>8342</v>
      </c>
      <c r="B16" s="30">
        <v>46107</v>
      </c>
      <c r="C16" s="26" t="s">
        <v>13</v>
      </c>
      <c r="D16" s="38" t="s">
        <v>26</v>
      </c>
      <c r="E16" s="23" t="s">
        <v>1202</v>
      </c>
      <c r="F16" s="31">
        <v>770</v>
      </c>
      <c r="G16" s="31">
        <v>36000</v>
      </c>
      <c r="H16" s="31">
        <f>E_An_Thai_Nguyen[[#This Row],[ĐƠN GIÁ]]*E_An_Thai_Nguyen[[#This Row],[SỐ LƯỢNG]]</f>
        <v>27720000</v>
      </c>
      <c r="I16" s="31"/>
      <c r="J16" s="31">
        <f>J15+E_An_Thai_Nguyen[[#This Row],[THÀNH TIỀN]]-E_An_Thai_Nguyen[[#This Row],[THANH TOÁN]]</f>
        <v>157143000</v>
      </c>
      <c r="K16" s="24"/>
    </row>
    <row r="17" spans="1:11" x14ac:dyDescent="0.25">
      <c r="A17" s="25">
        <v>8342</v>
      </c>
      <c r="B17" s="30">
        <v>46107</v>
      </c>
      <c r="C17" s="26" t="s">
        <v>13</v>
      </c>
      <c r="D17" s="38" t="s">
        <v>26</v>
      </c>
      <c r="E17" s="26" t="s">
        <v>40</v>
      </c>
      <c r="F17" s="28">
        <v>260</v>
      </c>
      <c r="G17" s="28">
        <v>35000</v>
      </c>
      <c r="H17" s="28">
        <f>E_An_Thai_Nguyen[[#This Row],[ĐƠN GIÁ]]*E_An_Thai_Nguyen[[#This Row],[SỐ LƯỢNG]]</f>
        <v>9100000</v>
      </c>
      <c r="I17" s="28"/>
      <c r="J17" s="28">
        <f>J16+E_An_Thai_Nguyen[[#This Row],[THÀNH TIỀN]]-E_An_Thai_Nguyen[[#This Row],[THANH TOÁN]]</f>
        <v>166243000</v>
      </c>
      <c r="K17" s="27"/>
    </row>
    <row r="18" spans="1:11" x14ac:dyDescent="0.25">
      <c r="A18" s="25">
        <v>8342</v>
      </c>
      <c r="B18" s="30">
        <v>46107</v>
      </c>
      <c r="C18" s="26" t="s">
        <v>13</v>
      </c>
      <c r="D18" s="38" t="s">
        <v>252</v>
      </c>
      <c r="E18" s="26" t="s">
        <v>1203</v>
      </c>
      <c r="F18" s="28">
        <v>1260</v>
      </c>
      <c r="G18" s="28">
        <v>40000</v>
      </c>
      <c r="H18" s="28">
        <f>E_An_Thai_Nguyen[[#This Row],[ĐƠN GIÁ]]*E_An_Thai_Nguyen[[#This Row],[SỐ LƯỢNG]]</f>
        <v>50400000</v>
      </c>
      <c r="I18" s="28"/>
      <c r="J18" s="28">
        <f>J17+E_An_Thai_Nguyen[[#This Row],[THÀNH TIỀN]]-E_An_Thai_Nguyen[[#This Row],[THANH TOÁN]]</f>
        <v>216643000</v>
      </c>
      <c r="K18" s="27"/>
    </row>
    <row r="19" spans="1:11" x14ac:dyDescent="0.25">
      <c r="A19" s="25"/>
      <c r="B19" s="30">
        <v>46112</v>
      </c>
      <c r="C19" s="26" t="s">
        <v>21</v>
      </c>
      <c r="D19" s="38" t="s">
        <v>260</v>
      </c>
      <c r="E19" s="26" t="s">
        <v>261</v>
      </c>
      <c r="F19" s="28">
        <v>0</v>
      </c>
      <c r="G19" s="28">
        <v>0</v>
      </c>
      <c r="H19" s="28">
        <f>E_An_Thai_Nguyen[[#This Row],[ĐƠN GIÁ]]*E_An_Thai_Nguyen[[#This Row],[SỐ LƯỢNG]]</f>
        <v>0</v>
      </c>
      <c r="I19" s="28">
        <v>50000000</v>
      </c>
      <c r="J19" s="28">
        <f>J18+E_An_Thai_Nguyen[[#This Row],[THÀNH TIỀN]]-E_An_Thai_Nguyen[[#This Row],[THANH TOÁN]]</f>
        <v>166643000</v>
      </c>
      <c r="K19" s="27"/>
    </row>
    <row r="20" spans="1:11" x14ac:dyDescent="0.25">
      <c r="A20" s="22"/>
      <c r="B20" s="29">
        <v>46127</v>
      </c>
      <c r="C20" s="23" t="s">
        <v>21</v>
      </c>
      <c r="D20" s="37" t="s">
        <v>22</v>
      </c>
      <c r="E20" s="23" t="s">
        <v>147</v>
      </c>
      <c r="F20" s="31">
        <v>0</v>
      </c>
      <c r="G20" s="31"/>
      <c r="H20" s="31">
        <f>E_An_Thai_Nguyen[[#This Row],[ĐƠN GIÁ]]*E_An_Thai_Nguyen[[#This Row],[SỐ LƯỢNG]]</f>
        <v>0</v>
      </c>
      <c r="I20" s="31">
        <v>43000000</v>
      </c>
      <c r="J20" s="31">
        <f>J19+E_An_Thai_Nguyen[[#This Row],[THÀNH TIỀN]]-E_An_Thai_Nguyen[[#This Row],[THANH TOÁN]]</f>
        <v>123643000</v>
      </c>
      <c r="K20" s="24"/>
    </row>
    <row r="21" spans="1:11" x14ac:dyDescent="0.25">
      <c r="A21" s="22">
        <v>9036</v>
      </c>
      <c r="B21" s="29">
        <v>46137</v>
      </c>
      <c r="C21" s="23" t="s">
        <v>13</v>
      </c>
      <c r="D21" s="37" t="s">
        <v>32</v>
      </c>
      <c r="E21" s="23" t="s">
        <v>230</v>
      </c>
      <c r="F21" s="31">
        <v>704</v>
      </c>
      <c r="G21" s="31">
        <v>44000</v>
      </c>
      <c r="H21" s="31">
        <f>E_An_Thai_Nguyen[[#This Row],[ĐƠN GIÁ]]*E_An_Thai_Nguyen[[#This Row],[SỐ LƯỢNG]]</f>
        <v>30976000</v>
      </c>
      <c r="I21" s="31"/>
      <c r="J21" s="31">
        <f>J20+E_An_Thai_Nguyen[[#This Row],[THÀNH TIỀN]]-E_An_Thai_Nguyen[[#This Row],[THANH TOÁN]]</f>
        <v>154619000</v>
      </c>
      <c r="K21" s="24"/>
    </row>
    <row r="22" spans="1:11" x14ac:dyDescent="0.25">
      <c r="A22" s="22"/>
      <c r="B22" s="29">
        <v>46140</v>
      </c>
      <c r="C22" s="23" t="s">
        <v>21</v>
      </c>
      <c r="D22" s="37" t="s">
        <v>260</v>
      </c>
      <c r="E22" s="23" t="s">
        <v>261</v>
      </c>
      <c r="F22" s="31">
        <v>0</v>
      </c>
      <c r="G22" s="31"/>
      <c r="H22" s="31">
        <f>E_An_Thai_Nguyen[[#This Row],[ĐƠN GIÁ]]*E_An_Thai_Nguyen[[#This Row],[SỐ LƯỢNG]]</f>
        <v>0</v>
      </c>
      <c r="I22" s="31">
        <v>50000000</v>
      </c>
      <c r="J22" s="31">
        <f>J21+E_An_Thai_Nguyen[[#This Row],[THÀNH TIỀN]]-E_An_Thai_Nguyen[[#This Row],[THANH TOÁN]]</f>
        <v>104619000</v>
      </c>
      <c r="K22" s="24"/>
    </row>
    <row r="23" spans="1:11" x14ac:dyDescent="0.25">
      <c r="A23" s="22">
        <v>9108</v>
      </c>
      <c r="B23" s="29">
        <v>46141</v>
      </c>
      <c r="C23" s="23" t="s">
        <v>13</v>
      </c>
      <c r="D23" s="37" t="s">
        <v>32</v>
      </c>
      <c r="E23" s="23" t="s">
        <v>230</v>
      </c>
      <c r="F23" s="31">
        <v>784</v>
      </c>
      <c r="G23" s="31">
        <v>44000</v>
      </c>
      <c r="H23" s="31">
        <f>E_An_Thai_Nguyen[[#This Row],[ĐƠN GIÁ]]*E_An_Thai_Nguyen[[#This Row],[SỐ LƯỢNG]]</f>
        <v>34496000</v>
      </c>
      <c r="I23" s="31"/>
      <c r="J23" s="31">
        <f>J22+E_An_Thai_Nguyen[[#This Row],[THÀNH TIỀN]]-E_An_Thai_Nguyen[[#This Row],[THANH TOÁN]]</f>
        <v>139115000</v>
      </c>
      <c r="K23" s="24"/>
    </row>
    <row r="24" spans="1:11" x14ac:dyDescent="0.25">
      <c r="A24" s="22">
        <v>9359</v>
      </c>
      <c r="B24" s="29">
        <v>46155</v>
      </c>
      <c r="C24" s="23" t="s">
        <v>13</v>
      </c>
      <c r="D24" s="37" t="s">
        <v>32</v>
      </c>
      <c r="E24" s="23" t="s">
        <v>230</v>
      </c>
      <c r="F24" s="31">
        <v>646</v>
      </c>
      <c r="G24" s="31">
        <v>45000</v>
      </c>
      <c r="H24" s="31">
        <f>E_An_Thai_Nguyen[[#This Row],[ĐƠN GIÁ]]*E_An_Thai_Nguyen[[#This Row],[SỐ LƯỢNG]]</f>
        <v>29070000</v>
      </c>
      <c r="I24" s="31"/>
      <c r="J24" s="31">
        <f>J23+E_An_Thai_Nguyen[[#This Row],[THÀNH TIỀN]]-E_An_Thai_Nguyen[[#This Row],[THANH TOÁN]]</f>
        <v>168185000</v>
      </c>
      <c r="K24" s="24"/>
    </row>
    <row r="25" spans="1:11" x14ac:dyDescent="0.25">
      <c r="A25" s="22">
        <v>9427</v>
      </c>
      <c r="B25" s="29">
        <v>46158</v>
      </c>
      <c r="C25" s="23" t="s">
        <v>13</v>
      </c>
      <c r="D25" s="37" t="s">
        <v>32</v>
      </c>
      <c r="E25" s="23" t="s">
        <v>230</v>
      </c>
      <c r="F25" s="31">
        <v>562</v>
      </c>
      <c r="G25" s="31">
        <v>45000</v>
      </c>
      <c r="H25" s="31">
        <f>E_An_Thai_Nguyen[[#This Row],[ĐƠN GIÁ]]*E_An_Thai_Nguyen[[#This Row],[SỐ LƯỢNG]]</f>
        <v>25290000</v>
      </c>
      <c r="I25" s="31"/>
      <c r="J25" s="31">
        <f>J24+E_An_Thai_Nguyen[[#This Row],[THÀNH TIỀN]]-E_An_Thai_Nguyen[[#This Row],[THANH TOÁN]]</f>
        <v>193475000</v>
      </c>
      <c r="K25" s="24"/>
    </row>
    <row r="26" spans="1:11" x14ac:dyDescent="0.25">
      <c r="A26" s="22"/>
      <c r="B26" s="29">
        <v>46164</v>
      </c>
      <c r="C26" s="23" t="s">
        <v>21</v>
      </c>
      <c r="D26" s="37" t="s">
        <v>22</v>
      </c>
      <c r="E26" s="23" t="s">
        <v>147</v>
      </c>
      <c r="F26" s="31">
        <v>0</v>
      </c>
      <c r="G26" s="31"/>
      <c r="H26" s="31">
        <f>E_An_Thai_Nguyen[[#This Row],[ĐƠN GIÁ]]*E_An_Thai_Nguyen[[#This Row],[SỐ LƯỢNG]]</f>
        <v>0</v>
      </c>
      <c r="I26" s="31">
        <v>50000000</v>
      </c>
      <c r="J26" s="31">
        <f>J25+E_An_Thai_Nguyen[[#This Row],[THÀNH TIỀN]]-E_An_Thai_Nguyen[[#This Row],[THANH TOÁN]]</f>
        <v>143475000</v>
      </c>
      <c r="K26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1A3A6-35EC-4DF6-8BAE-E92829E6E1F4}">
  <sheetPr codeName="Sheet96"/>
  <dimension ref="A5:K23"/>
  <sheetViews>
    <sheetView topLeftCell="A4" workbookViewId="0">
      <selection activeCell="J22" sqref="J22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4994111</v>
      </c>
    </row>
    <row r="6" spans="1:11" ht="22.5" x14ac:dyDescent="0.25">
      <c r="D6" s="34" t="s">
        <v>1204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E_Nguyen_Cty_Huy_Hoang[[#This Row],[ĐƠN GIÁ]]*E_Nguyen_Cty_Huy_Hoang[[#This Row],[SỐ LƯỢNG]]</f>
        <v>0</v>
      </c>
      <c r="I10" s="31"/>
      <c r="J10" s="31">
        <v>100000000</v>
      </c>
      <c r="K10" s="24"/>
    </row>
    <row r="11" spans="1:11" x14ac:dyDescent="0.25">
      <c r="A11" s="22"/>
      <c r="B11" s="29">
        <v>46090</v>
      </c>
      <c r="C11" s="23" t="s">
        <v>2214</v>
      </c>
      <c r="D11" s="37"/>
      <c r="E11" s="23"/>
      <c r="F11" s="31">
        <v>0</v>
      </c>
      <c r="G11" s="31"/>
      <c r="H11" s="31">
        <f>E_Nguyen_Cty_Huy_Hoang[[#This Row],[ĐƠN GIÁ]]*E_Nguyen_Cty_Huy_Hoang[[#This Row],[SỐ LƯỢNG]]</f>
        <v>0</v>
      </c>
      <c r="I11" s="31">
        <v>-1482857689</v>
      </c>
      <c r="J11" s="31">
        <f>J10+E_Nguyen_Cty_Huy_Hoang[[#This Row],[THÀNH TIỀN]]-E_Nguyen_Cty_Huy_Hoang[[#This Row],[THANH TOÁN]]</f>
        <v>1582857689</v>
      </c>
      <c r="K11" s="24"/>
    </row>
    <row r="12" spans="1:11" x14ac:dyDescent="0.25">
      <c r="A12" s="22">
        <v>8031</v>
      </c>
      <c r="B12" s="29">
        <v>46093</v>
      </c>
      <c r="C12" s="23" t="s">
        <v>13</v>
      </c>
      <c r="D12" s="37" t="s">
        <v>43</v>
      </c>
      <c r="E12" s="23" t="s">
        <v>139</v>
      </c>
      <c r="F12" s="31">
        <v>934</v>
      </c>
      <c r="G12" s="31">
        <v>55000</v>
      </c>
      <c r="H12" s="31">
        <f>E_Nguyen_Cty_Huy_Hoang[[#This Row],[ĐƠN GIÁ]]*E_Nguyen_Cty_Huy_Hoang[[#This Row],[SỐ LƯỢNG]]</f>
        <v>51370000</v>
      </c>
      <c r="I12" s="31"/>
      <c r="J12" s="31">
        <f>J11+E_Nguyen_Cty_Huy_Hoang[[#This Row],[THÀNH TIỀN]]-E_Nguyen_Cty_Huy_Hoang[[#This Row],[THANH TOÁN]]</f>
        <v>1634227689</v>
      </c>
      <c r="K12" s="24"/>
    </row>
    <row r="13" spans="1:11" x14ac:dyDescent="0.25">
      <c r="A13" s="25">
        <v>8050</v>
      </c>
      <c r="B13" s="30">
        <v>46093</v>
      </c>
      <c r="C13" s="26" t="s">
        <v>13</v>
      </c>
      <c r="D13" s="38" t="s">
        <v>1029</v>
      </c>
      <c r="E13" s="26" t="s">
        <v>1205</v>
      </c>
      <c r="F13" s="28">
        <v>17931</v>
      </c>
      <c r="G13" s="28">
        <v>26000</v>
      </c>
      <c r="H13" s="28">
        <f>E_Nguyen_Cty_Huy_Hoang[[#This Row],[ĐƠN GIÁ]]*E_Nguyen_Cty_Huy_Hoang[[#This Row],[SỐ LƯỢNG]]</f>
        <v>466206000</v>
      </c>
      <c r="I13" s="28"/>
      <c r="J13" s="28">
        <f>J12+E_Nguyen_Cty_Huy_Hoang[[#This Row],[THÀNH TIỀN]]-E_Nguyen_Cty_Huy_Hoang[[#This Row],[THANH TOÁN]]</f>
        <v>2100433689</v>
      </c>
      <c r="K13" s="27"/>
    </row>
    <row r="14" spans="1:11" x14ac:dyDescent="0.25">
      <c r="A14" s="25">
        <v>1442</v>
      </c>
      <c r="B14" s="30">
        <v>46095</v>
      </c>
      <c r="C14" s="26" t="s">
        <v>692</v>
      </c>
      <c r="D14" s="38" t="s">
        <v>1207</v>
      </c>
      <c r="E14" s="26" t="s">
        <v>1208</v>
      </c>
      <c r="F14" s="28">
        <v>6202</v>
      </c>
      <c r="G14" s="28">
        <v>-21500</v>
      </c>
      <c r="H14" s="28">
        <f>E_Nguyen_Cty_Huy_Hoang[[#This Row],[ĐƠN GIÁ]]*E_Nguyen_Cty_Huy_Hoang[[#This Row],[SỐ LƯỢNG]]</f>
        <v>-133343000</v>
      </c>
      <c r="I14" s="28"/>
      <c r="J14" s="28">
        <f>J13+E_Nguyen_Cty_Huy_Hoang[[#This Row],[THÀNH TIỀN]]-E_Nguyen_Cty_Huy_Hoang[[#This Row],[THANH TOÁN]]</f>
        <v>1967090689</v>
      </c>
      <c r="K14" s="27"/>
    </row>
    <row r="15" spans="1:11" x14ac:dyDescent="0.25">
      <c r="A15" s="25">
        <v>1567</v>
      </c>
      <c r="B15" s="30">
        <v>46097</v>
      </c>
      <c r="C15" s="26" t="s">
        <v>692</v>
      </c>
      <c r="D15" s="38" t="s">
        <v>77</v>
      </c>
      <c r="E15" s="26" t="s">
        <v>1209</v>
      </c>
      <c r="F15" s="28">
        <v>5600</v>
      </c>
      <c r="G15" s="28">
        <v>-21500</v>
      </c>
      <c r="H15" s="28">
        <f>E_Nguyen_Cty_Huy_Hoang[[#This Row],[ĐƠN GIÁ]]*E_Nguyen_Cty_Huy_Hoang[[#This Row],[SỐ LƯỢNG]]</f>
        <v>-120400000</v>
      </c>
      <c r="I15" s="28"/>
      <c r="J15" s="28">
        <f>J14+E_Nguyen_Cty_Huy_Hoang[[#This Row],[THÀNH TIỀN]]-E_Nguyen_Cty_Huy_Hoang[[#This Row],[THANH TOÁN]]</f>
        <v>1846690689</v>
      </c>
      <c r="K15" s="27"/>
    </row>
    <row r="16" spans="1:11" x14ac:dyDescent="0.25">
      <c r="A16" s="25">
        <v>1705</v>
      </c>
      <c r="B16" s="30">
        <v>46098</v>
      </c>
      <c r="C16" s="26" t="s">
        <v>692</v>
      </c>
      <c r="D16" s="38" t="s">
        <v>77</v>
      </c>
      <c r="E16" s="26" t="s">
        <v>1209</v>
      </c>
      <c r="F16" s="28">
        <v>5535</v>
      </c>
      <c r="G16" s="28">
        <v>-21500</v>
      </c>
      <c r="H16" s="28">
        <f>E_Nguyen_Cty_Huy_Hoang[[#This Row],[ĐƠN GIÁ]]*E_Nguyen_Cty_Huy_Hoang[[#This Row],[SỐ LƯỢNG]]</f>
        <v>-119002500</v>
      </c>
      <c r="I16" s="28"/>
      <c r="J16" s="28">
        <f>J15+E_Nguyen_Cty_Huy_Hoang[[#This Row],[THÀNH TIỀN]]-E_Nguyen_Cty_Huy_Hoang[[#This Row],[THANH TOÁN]]</f>
        <v>1727688189</v>
      </c>
      <c r="K16" s="27"/>
    </row>
    <row r="17" spans="1:11" x14ac:dyDescent="0.25">
      <c r="A17" s="25">
        <v>23941</v>
      </c>
      <c r="B17" s="30">
        <v>46100</v>
      </c>
      <c r="C17" s="26" t="s">
        <v>692</v>
      </c>
      <c r="D17" s="38" t="s">
        <v>77</v>
      </c>
      <c r="E17" s="26" t="s">
        <v>1210</v>
      </c>
      <c r="F17" s="28">
        <f>5365+4752+5510+5025</f>
        <v>20652</v>
      </c>
      <c r="G17" s="28">
        <v>-21500</v>
      </c>
      <c r="H17" s="28">
        <f>E_Nguyen_Cty_Huy_Hoang[[#This Row],[ĐƠN GIÁ]]*E_Nguyen_Cty_Huy_Hoang[[#This Row],[SỐ LƯỢNG]]</f>
        <v>-444018000</v>
      </c>
      <c r="I17" s="28"/>
      <c r="J17" s="28">
        <f>J16+E_Nguyen_Cty_Huy_Hoang[[#This Row],[THÀNH TIỀN]]-E_Nguyen_Cty_Huy_Hoang[[#This Row],[THANH TOÁN]]</f>
        <v>1283670189</v>
      </c>
      <c r="K17" s="27"/>
    </row>
    <row r="18" spans="1:11" x14ac:dyDescent="0.25">
      <c r="A18" s="25">
        <v>1635</v>
      </c>
      <c r="B18" s="30">
        <v>46100</v>
      </c>
      <c r="C18" s="26" t="s">
        <v>692</v>
      </c>
      <c r="D18" s="38" t="s">
        <v>77</v>
      </c>
      <c r="E18" s="26"/>
      <c r="F18" s="117">
        <f>5478+5612+6650-39.5</f>
        <v>17700.5</v>
      </c>
      <c r="G18" s="28">
        <v>-21500</v>
      </c>
      <c r="H18" s="28">
        <f>E_Nguyen_Cty_Huy_Hoang[[#This Row],[ĐƠN GIÁ]]*E_Nguyen_Cty_Huy_Hoang[[#This Row],[SỐ LƯỢNG]]</f>
        <v>-380560750</v>
      </c>
      <c r="I18" s="28"/>
      <c r="J18" s="28">
        <f>J17+E_Nguyen_Cty_Huy_Hoang[[#This Row],[THÀNH TIỀN]]-E_Nguyen_Cty_Huy_Hoang[[#This Row],[THANH TOÁN]]</f>
        <v>903109439</v>
      </c>
      <c r="K18" s="27"/>
    </row>
    <row r="19" spans="1:11" x14ac:dyDescent="0.25">
      <c r="A19" s="22">
        <v>8300</v>
      </c>
      <c r="B19" s="29">
        <v>46102</v>
      </c>
      <c r="C19" s="23" t="s">
        <v>13</v>
      </c>
      <c r="D19" s="37" t="s">
        <v>195</v>
      </c>
      <c r="E19" s="23" t="s">
        <v>1206</v>
      </c>
      <c r="F19" s="31">
        <v>988</v>
      </c>
      <c r="G19" s="31">
        <v>26000</v>
      </c>
      <c r="H19" s="31">
        <f>E_Nguyen_Cty_Huy_Hoang[[#This Row],[ĐƠN GIÁ]]*E_Nguyen_Cty_Huy_Hoang[[#This Row],[SỐ LƯỢNG]]</f>
        <v>25688000</v>
      </c>
      <c r="I19" s="31"/>
      <c r="J19" s="31">
        <f>J18+E_Nguyen_Cty_Huy_Hoang[[#This Row],[THÀNH TIỀN]]-E_Nguyen_Cty_Huy_Hoang[[#This Row],[THANH TOÁN]]</f>
        <v>928797439</v>
      </c>
      <c r="K19" s="24"/>
    </row>
    <row r="20" spans="1:11" x14ac:dyDescent="0.25">
      <c r="A20" s="25"/>
      <c r="B20" s="30">
        <v>46126</v>
      </c>
      <c r="C20" s="26" t="s">
        <v>21</v>
      </c>
      <c r="D20" s="38" t="s">
        <v>22</v>
      </c>
      <c r="E20" s="26" t="s">
        <v>147</v>
      </c>
      <c r="F20" s="28">
        <v>0</v>
      </c>
      <c r="G20" s="28"/>
      <c r="H20" s="28">
        <f>E_Nguyen_Cty_Huy_Hoang[[#This Row],[ĐƠN GIÁ]]*E_Nguyen_Cty_Huy_Hoang[[#This Row],[SỐ LƯỢNG]]</f>
        <v>0</v>
      </c>
      <c r="I20" s="28">
        <v>517568828</v>
      </c>
      <c r="J20" s="28">
        <f>J19+E_Nguyen_Cty_Huy_Hoang[[#This Row],[THÀNH TIỀN]]-E_Nguyen_Cty_Huy_Hoang[[#This Row],[THANH TOÁN]]</f>
        <v>411228611</v>
      </c>
      <c r="K20" s="27"/>
    </row>
    <row r="21" spans="1:11" x14ac:dyDescent="0.25">
      <c r="A21" s="25"/>
      <c r="B21" s="30">
        <v>46093</v>
      </c>
      <c r="C21" s="26" t="s">
        <v>692</v>
      </c>
      <c r="D21" s="38" t="s">
        <v>1029</v>
      </c>
      <c r="E21" s="26" t="s">
        <v>1205</v>
      </c>
      <c r="F21" s="28">
        <v>17931</v>
      </c>
      <c r="G21" s="28">
        <v>-21500</v>
      </c>
      <c r="H21" s="28">
        <f>E_Nguyen_Cty_Huy_Hoang[[#This Row],[ĐƠN GIÁ]]*E_Nguyen_Cty_Huy_Hoang[[#This Row],[SỐ LƯỢNG]]</f>
        <v>-385516500</v>
      </c>
      <c r="I21" s="28"/>
      <c r="J21" s="28">
        <f>J20+E_Nguyen_Cty_Huy_Hoang[[#This Row],[THÀNH TIỀN]]-E_Nguyen_Cty_Huy_Hoang[[#This Row],[THANH TOÁN]]</f>
        <v>25712111</v>
      </c>
      <c r="K21" s="27"/>
    </row>
    <row r="22" spans="1:11" x14ac:dyDescent="0.25">
      <c r="A22" s="22"/>
      <c r="B22" s="29">
        <v>46141</v>
      </c>
      <c r="C22" s="23" t="s">
        <v>21</v>
      </c>
      <c r="D22" s="37" t="s">
        <v>22</v>
      </c>
      <c r="E22" s="23" t="s">
        <v>147</v>
      </c>
      <c r="F22" s="31">
        <v>0</v>
      </c>
      <c r="G22" s="31"/>
      <c r="H22" s="31">
        <f>E_Nguyen_Cty_Huy_Hoang[[#This Row],[ĐƠN GIÁ]]*E_Nguyen_Cty_Huy_Hoang[[#This Row],[SỐ LƯỢNG]]</f>
        <v>0</v>
      </c>
      <c r="I22" s="31">
        <v>25688000</v>
      </c>
      <c r="J22" s="31">
        <f>J21+E_Nguyen_Cty_Huy_Hoang[[#This Row],[THÀNH TIỀN]]-E_Nguyen_Cty_Huy_Hoang[[#This Row],[THANH TOÁN]]</f>
        <v>24111</v>
      </c>
      <c r="K22" s="24"/>
    </row>
    <row r="23" spans="1:11" x14ac:dyDescent="0.25">
      <c r="A23" s="22">
        <v>9494</v>
      </c>
      <c r="B23" s="29">
        <v>46161</v>
      </c>
      <c r="C23" s="23" t="s">
        <v>13</v>
      </c>
      <c r="D23" s="37" t="s">
        <v>17</v>
      </c>
      <c r="E23" s="23" t="s">
        <v>230</v>
      </c>
      <c r="F23" s="31">
        <v>70</v>
      </c>
      <c r="G23" s="31">
        <v>71000</v>
      </c>
      <c r="H23" s="31">
        <f>E_Nguyen_Cty_Huy_Hoang[[#This Row],[ĐƠN GIÁ]]*E_Nguyen_Cty_Huy_Hoang[[#This Row],[SỐ LƯỢNG]]</f>
        <v>4970000</v>
      </c>
      <c r="I23" s="31"/>
      <c r="J23" s="31">
        <f>J22+E_Nguyen_Cty_Huy_Hoang[[#This Row],[THÀNH TIỀN]]-E_Nguyen_Cty_Huy_Hoang[[#This Row],[THANH TOÁN]]</f>
        <v>4994111</v>
      </c>
      <c r="K23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95A81-14D3-42BC-85C9-6408BBB26C0D}">
  <sheetPr codeName="Sheet97"/>
  <dimension ref="A5:K36"/>
  <sheetViews>
    <sheetView topLeftCell="A13" workbookViewId="0">
      <selection activeCell="J30" sqref="J30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37391734</v>
      </c>
    </row>
    <row r="6" spans="1:11" ht="22.5" x14ac:dyDescent="0.25">
      <c r="D6" s="34" t="s">
        <v>1211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Cty_Hung_Phat_ND[[#This Row],[ĐƠN GIÁ]]*Cty_Hung_Phat_ND[[#This Row],[SỐ LƯỢNG]]</f>
        <v>0</v>
      </c>
      <c r="I10" s="31"/>
      <c r="J10" s="31">
        <v>0</v>
      </c>
      <c r="K10" s="24"/>
    </row>
    <row r="11" spans="1:11" x14ac:dyDescent="0.25">
      <c r="A11" s="22">
        <v>8034</v>
      </c>
      <c r="B11" s="29">
        <v>46093</v>
      </c>
      <c r="C11" s="23" t="s">
        <v>13</v>
      </c>
      <c r="D11" s="37" t="s">
        <v>43</v>
      </c>
      <c r="E11" s="23" t="s">
        <v>331</v>
      </c>
      <c r="F11" s="31">
        <v>402</v>
      </c>
      <c r="G11" s="31">
        <v>58000</v>
      </c>
      <c r="H11" s="31">
        <f>Cty_Hung_Phat_ND[[#This Row],[ĐƠN GIÁ]]*Cty_Hung_Phat_ND[[#This Row],[SỐ LƯỢNG]]</f>
        <v>23316000</v>
      </c>
      <c r="I11" s="31"/>
      <c r="J11" s="31">
        <f>J10+Cty_Hung_Phat_ND[[#This Row],[THÀNH TIỀN]]-Cty_Hung_Phat_ND[[#This Row],[THANH TOÁN]]</f>
        <v>23316000</v>
      </c>
      <c r="K11" s="24"/>
    </row>
    <row r="12" spans="1:11" x14ac:dyDescent="0.25">
      <c r="A12" s="22">
        <v>7859</v>
      </c>
      <c r="B12" s="29">
        <v>46086</v>
      </c>
      <c r="C12" s="23" t="s">
        <v>13</v>
      </c>
      <c r="D12" s="37" t="s">
        <v>17</v>
      </c>
      <c r="E12" s="23" t="s">
        <v>267</v>
      </c>
      <c r="F12" s="31">
        <v>672</v>
      </c>
      <c r="G12" s="31">
        <v>58500</v>
      </c>
      <c r="H12" s="31">
        <f>Cty_Hung_Phat_ND[[#This Row],[ĐƠN GIÁ]]*Cty_Hung_Phat_ND[[#This Row],[SỐ LƯỢNG]]</f>
        <v>39312000</v>
      </c>
      <c r="I12" s="31"/>
      <c r="J12" s="31">
        <f>J11+Cty_Hung_Phat_ND[[#This Row],[THÀNH TIỀN]]-Cty_Hung_Phat_ND[[#This Row],[THANH TOÁN]]</f>
        <v>62628000</v>
      </c>
      <c r="K12" s="24"/>
    </row>
    <row r="13" spans="1:11" x14ac:dyDescent="0.25">
      <c r="A13" s="22">
        <v>7859</v>
      </c>
      <c r="B13" s="29">
        <v>46086</v>
      </c>
      <c r="C13" s="23" t="s">
        <v>13</v>
      </c>
      <c r="D13" s="37" t="s">
        <v>43</v>
      </c>
      <c r="E13" s="23" t="s">
        <v>441</v>
      </c>
      <c r="F13" s="31">
        <v>585</v>
      </c>
      <c r="G13" s="31">
        <v>56000</v>
      </c>
      <c r="H13" s="31">
        <f>Cty_Hung_Phat_ND[[#This Row],[ĐƠN GIÁ]]*Cty_Hung_Phat_ND[[#This Row],[SỐ LƯỢNG]]</f>
        <v>32760000</v>
      </c>
      <c r="I13" s="31"/>
      <c r="J13" s="31">
        <f>J12+Cty_Hung_Phat_ND[[#This Row],[THÀNH TIỀN]]-Cty_Hung_Phat_ND[[#This Row],[THANH TOÁN]]</f>
        <v>95388000</v>
      </c>
      <c r="K13" s="24"/>
    </row>
    <row r="14" spans="1:11" x14ac:dyDescent="0.25">
      <c r="A14" s="25">
        <v>8379</v>
      </c>
      <c r="B14" s="30">
        <v>46108</v>
      </c>
      <c r="C14" s="26" t="s">
        <v>13</v>
      </c>
      <c r="D14" s="38" t="s">
        <v>109</v>
      </c>
      <c r="E14" s="26" t="s">
        <v>151</v>
      </c>
      <c r="F14" s="28">
        <v>179.5</v>
      </c>
      <c r="G14" s="28">
        <v>58000</v>
      </c>
      <c r="H14" s="28">
        <f>Cty_Hung_Phat_ND[[#This Row],[ĐƠN GIÁ]]*Cty_Hung_Phat_ND[[#This Row],[SỐ LƯỢNG]]</f>
        <v>10411000</v>
      </c>
      <c r="I14" s="28"/>
      <c r="J14" s="28">
        <f>J13+Cty_Hung_Phat_ND[[#This Row],[THÀNH TIỀN]]-Cty_Hung_Phat_ND[[#This Row],[THANH TOÁN]]</f>
        <v>105799000</v>
      </c>
      <c r="K14" s="27"/>
    </row>
    <row r="15" spans="1:11" x14ac:dyDescent="0.25">
      <c r="A15" s="25">
        <v>8379</v>
      </c>
      <c r="B15" s="30">
        <v>46108</v>
      </c>
      <c r="C15" s="26" t="s">
        <v>13</v>
      </c>
      <c r="D15" s="38" t="s">
        <v>14</v>
      </c>
      <c r="E15" s="26" t="s">
        <v>62</v>
      </c>
      <c r="F15" s="28">
        <v>239</v>
      </c>
      <c r="G15" s="28">
        <v>43000</v>
      </c>
      <c r="H15" s="28">
        <f>Cty_Hung_Phat_ND[[#This Row],[ĐƠN GIÁ]]*Cty_Hung_Phat_ND[[#This Row],[SỐ LƯỢNG]]</f>
        <v>10277000</v>
      </c>
      <c r="I15" s="28"/>
      <c r="J15" s="28">
        <f>J14+Cty_Hung_Phat_ND[[#This Row],[THÀNH TIỀN]]-Cty_Hung_Phat_ND[[#This Row],[THANH TOÁN]]</f>
        <v>116076000</v>
      </c>
      <c r="K15" s="27"/>
    </row>
    <row r="16" spans="1:11" x14ac:dyDescent="0.25">
      <c r="A16" s="25"/>
      <c r="B16" s="30">
        <v>46090</v>
      </c>
      <c r="C16" s="26" t="s">
        <v>21</v>
      </c>
      <c r="D16" s="38" t="s">
        <v>22</v>
      </c>
      <c r="E16" s="26" t="s">
        <v>261</v>
      </c>
      <c r="F16" s="28">
        <v>0</v>
      </c>
      <c r="G16" s="28">
        <v>0</v>
      </c>
      <c r="H16" s="28">
        <f>Cty_Hung_Phat_ND[[#This Row],[ĐƠN GIÁ]]*Cty_Hung_Phat_ND[[#This Row],[SỐ LƯỢNG]]</f>
        <v>0</v>
      </c>
      <c r="I16" s="28">
        <v>72071506</v>
      </c>
      <c r="J16" s="28">
        <f>J15+Cty_Hung_Phat_ND[[#This Row],[THÀNH TIỀN]]-Cty_Hung_Phat_ND[[#This Row],[THANH TOÁN]]</f>
        <v>44004494</v>
      </c>
      <c r="K16" s="27"/>
    </row>
    <row r="17" spans="1:11" x14ac:dyDescent="0.25">
      <c r="A17" s="25"/>
      <c r="B17" s="30">
        <v>46101</v>
      </c>
      <c r="C17" s="26" t="s">
        <v>21</v>
      </c>
      <c r="D17" s="38" t="s">
        <v>22</v>
      </c>
      <c r="E17" s="26" t="s">
        <v>261</v>
      </c>
      <c r="F17" s="28">
        <v>0</v>
      </c>
      <c r="G17" s="28">
        <v>0</v>
      </c>
      <c r="H17" s="28">
        <f>Cty_Hung_Phat_ND[[#This Row],[ĐƠN GIÁ]]*Cty_Hung_Phat_ND[[#This Row],[SỐ LƯỢNG]]</f>
        <v>0</v>
      </c>
      <c r="I17" s="28">
        <v>23315879</v>
      </c>
      <c r="J17" s="28">
        <f>J16+Cty_Hung_Phat_ND[[#This Row],[THÀNH TIỀN]]-Cty_Hung_Phat_ND[[#This Row],[THANH TOÁN]]</f>
        <v>20688615</v>
      </c>
      <c r="K17" s="27"/>
    </row>
    <row r="18" spans="1:11" x14ac:dyDescent="0.25">
      <c r="A18" s="22">
        <v>8512</v>
      </c>
      <c r="B18" s="29">
        <v>46114</v>
      </c>
      <c r="C18" s="23" t="s">
        <v>13</v>
      </c>
      <c r="D18" s="37" t="s">
        <v>68</v>
      </c>
      <c r="E18" s="23" t="s">
        <v>1172</v>
      </c>
      <c r="F18" s="31">
        <v>88</v>
      </c>
      <c r="G18" s="31">
        <v>42000</v>
      </c>
      <c r="H18" s="31">
        <f>Cty_Hung_Phat_ND[[#This Row],[ĐƠN GIÁ]]*Cty_Hung_Phat_ND[[#This Row],[SỐ LƯỢNG]]</f>
        <v>3696000</v>
      </c>
      <c r="I18" s="31"/>
      <c r="J18" s="31">
        <f>J17+Cty_Hung_Phat_ND[[#This Row],[THÀNH TIỀN]]-Cty_Hung_Phat_ND[[#This Row],[THANH TOÁN]]</f>
        <v>24384615</v>
      </c>
      <c r="K18" s="24"/>
    </row>
    <row r="19" spans="1:11" x14ac:dyDescent="0.25">
      <c r="A19" s="22">
        <v>8512</v>
      </c>
      <c r="B19" s="29">
        <v>46114</v>
      </c>
      <c r="C19" s="23" t="s">
        <v>13</v>
      </c>
      <c r="D19" s="37" t="s">
        <v>103</v>
      </c>
      <c r="E19" s="23" t="s">
        <v>1212</v>
      </c>
      <c r="F19" s="31">
        <v>146</v>
      </c>
      <c r="G19" s="31">
        <v>37500</v>
      </c>
      <c r="H19" s="31">
        <f>Cty_Hung_Phat_ND[[#This Row],[ĐƠN GIÁ]]*Cty_Hung_Phat_ND[[#This Row],[SỐ LƯỢNG]]</f>
        <v>5475000</v>
      </c>
      <c r="I19" s="31"/>
      <c r="J19" s="31">
        <f>J18+Cty_Hung_Phat_ND[[#This Row],[THÀNH TIỀN]]-Cty_Hung_Phat_ND[[#This Row],[THANH TOÁN]]</f>
        <v>29859615</v>
      </c>
      <c r="K19" s="24"/>
    </row>
    <row r="20" spans="1:11" x14ac:dyDescent="0.25">
      <c r="A20" s="22">
        <v>8635</v>
      </c>
      <c r="B20" s="29">
        <v>46120</v>
      </c>
      <c r="C20" s="23" t="s">
        <v>13</v>
      </c>
      <c r="D20" s="37" t="s">
        <v>50</v>
      </c>
      <c r="E20" s="23" t="s">
        <v>1213</v>
      </c>
      <c r="F20" s="31">
        <v>474</v>
      </c>
      <c r="G20" s="31">
        <v>61000</v>
      </c>
      <c r="H20" s="31">
        <f>Cty_Hung_Phat_ND[[#This Row],[ĐƠN GIÁ]]*Cty_Hung_Phat_ND[[#This Row],[SỐ LƯỢNG]]</f>
        <v>28914000</v>
      </c>
      <c r="I20" s="31"/>
      <c r="J20" s="31">
        <f>J19+Cty_Hung_Phat_ND[[#This Row],[THÀNH TIỀN]]-Cty_Hung_Phat_ND[[#This Row],[THANH TOÁN]]</f>
        <v>58773615</v>
      </c>
      <c r="K20" s="24"/>
    </row>
    <row r="21" spans="1:11" x14ac:dyDescent="0.25">
      <c r="A21" s="22">
        <v>8778</v>
      </c>
      <c r="B21" s="29">
        <v>46126</v>
      </c>
      <c r="C21" s="23" t="s">
        <v>13</v>
      </c>
      <c r="D21" s="37" t="s">
        <v>68</v>
      </c>
      <c r="E21" s="23" t="s">
        <v>1214</v>
      </c>
      <c r="F21" s="31">
        <v>767</v>
      </c>
      <c r="G21" s="31">
        <v>43000</v>
      </c>
      <c r="H21" s="31">
        <f>Cty_Hung_Phat_ND[[#This Row],[ĐƠN GIÁ]]*Cty_Hung_Phat_ND[[#This Row],[SỐ LƯỢNG]]</f>
        <v>32981000</v>
      </c>
      <c r="I21" s="31"/>
      <c r="J21" s="31">
        <f>J20+Cty_Hung_Phat_ND[[#This Row],[THÀNH TIỀN]]-Cty_Hung_Phat_ND[[#This Row],[THANH TOÁN]]</f>
        <v>91754615</v>
      </c>
      <c r="K21" s="24"/>
    </row>
    <row r="22" spans="1:11" x14ac:dyDescent="0.25">
      <c r="A22" s="22">
        <v>8778</v>
      </c>
      <c r="B22" s="29">
        <v>46126</v>
      </c>
      <c r="C22" s="23" t="s">
        <v>13</v>
      </c>
      <c r="D22" s="37" t="s">
        <v>26</v>
      </c>
      <c r="E22" s="23" t="s">
        <v>62</v>
      </c>
      <c r="F22" s="31">
        <v>156</v>
      </c>
      <c r="G22" s="31">
        <v>35000</v>
      </c>
      <c r="H22" s="31">
        <f>Cty_Hung_Phat_ND[[#This Row],[ĐƠN GIÁ]]*Cty_Hung_Phat_ND[[#This Row],[SỐ LƯỢNG]]</f>
        <v>5460000</v>
      </c>
      <c r="I22" s="31"/>
      <c r="J22" s="31">
        <f>J21+Cty_Hung_Phat_ND[[#This Row],[THÀNH TIỀN]]-Cty_Hung_Phat_ND[[#This Row],[THANH TOÁN]]</f>
        <v>97214615</v>
      </c>
      <c r="K22" s="24"/>
    </row>
    <row r="23" spans="1:11" x14ac:dyDescent="0.25">
      <c r="A23" s="22">
        <v>8778</v>
      </c>
      <c r="B23" s="29">
        <v>46126</v>
      </c>
      <c r="C23" s="23" t="s">
        <v>13</v>
      </c>
      <c r="D23" s="37" t="s">
        <v>17</v>
      </c>
      <c r="E23" s="23" t="s">
        <v>230</v>
      </c>
      <c r="F23" s="31">
        <v>1821.5</v>
      </c>
      <c r="G23" s="31">
        <v>69000</v>
      </c>
      <c r="H23" s="31">
        <f>Cty_Hung_Phat_ND[[#This Row],[ĐƠN GIÁ]]*Cty_Hung_Phat_ND[[#This Row],[SỐ LƯỢNG]]</f>
        <v>125683500</v>
      </c>
      <c r="I23" s="31"/>
      <c r="J23" s="31">
        <f>J22+Cty_Hung_Phat_ND[[#This Row],[THÀNH TIỀN]]-Cty_Hung_Phat_ND[[#This Row],[THANH TOÁN]]</f>
        <v>222898115</v>
      </c>
      <c r="K23" s="24"/>
    </row>
    <row r="24" spans="1:11" x14ac:dyDescent="0.25">
      <c r="A24" s="22">
        <v>8928</v>
      </c>
      <c r="B24" s="29">
        <v>46133</v>
      </c>
      <c r="C24" s="23" t="s">
        <v>13</v>
      </c>
      <c r="D24" s="37" t="s">
        <v>43</v>
      </c>
      <c r="E24" s="23" t="s">
        <v>887</v>
      </c>
      <c r="F24" s="31">
        <v>434</v>
      </c>
      <c r="G24" s="31">
        <v>61000</v>
      </c>
      <c r="H24" s="31">
        <f>Cty_Hung_Phat_ND[[#This Row],[ĐƠN GIÁ]]*Cty_Hung_Phat_ND[[#This Row],[SỐ LƯỢNG]]</f>
        <v>26474000</v>
      </c>
      <c r="I24" s="31"/>
      <c r="J24" s="31">
        <f>J23+Cty_Hung_Phat_ND[[#This Row],[THÀNH TIỀN]]-Cty_Hung_Phat_ND[[#This Row],[THANH TOÁN]]</f>
        <v>249372115</v>
      </c>
      <c r="K24" s="24"/>
    </row>
    <row r="25" spans="1:11" x14ac:dyDescent="0.25">
      <c r="A25" s="22">
        <v>9029</v>
      </c>
      <c r="B25" s="29">
        <v>46137</v>
      </c>
      <c r="C25" s="23" t="s">
        <v>13</v>
      </c>
      <c r="D25" s="37" t="s">
        <v>103</v>
      </c>
      <c r="E25" s="23" t="s">
        <v>1447</v>
      </c>
      <c r="F25" s="31">
        <v>366</v>
      </c>
      <c r="G25" s="31">
        <v>38000</v>
      </c>
      <c r="H25" s="31">
        <f>Cty_Hung_Phat_ND[[#This Row],[ĐƠN GIÁ]]*Cty_Hung_Phat_ND[[#This Row],[SỐ LƯỢNG]]</f>
        <v>13908000</v>
      </c>
      <c r="I25" s="31"/>
      <c r="J25" s="31">
        <f>J24+Cty_Hung_Phat_ND[[#This Row],[THÀNH TIỀN]]-Cty_Hung_Phat_ND[[#This Row],[THANH TOÁN]]</f>
        <v>263280115</v>
      </c>
      <c r="K25" s="24"/>
    </row>
    <row r="26" spans="1:11" x14ac:dyDescent="0.25">
      <c r="A26" s="22">
        <v>9029</v>
      </c>
      <c r="B26" s="29">
        <v>46137</v>
      </c>
      <c r="C26" s="23" t="s">
        <v>13</v>
      </c>
      <c r="D26" s="37" t="s">
        <v>68</v>
      </c>
      <c r="E26" s="23" t="s">
        <v>1840</v>
      </c>
      <c r="F26" s="31">
        <v>106</v>
      </c>
      <c r="G26" s="31">
        <v>42000</v>
      </c>
      <c r="H26" s="31">
        <f>Cty_Hung_Phat_ND[[#This Row],[ĐƠN GIÁ]]*Cty_Hung_Phat_ND[[#This Row],[SỐ LƯỢNG]]</f>
        <v>4452000</v>
      </c>
      <c r="I26" s="31"/>
      <c r="J26" s="31">
        <f>J25+Cty_Hung_Phat_ND[[#This Row],[THÀNH TIỀN]]-Cty_Hung_Phat_ND[[#This Row],[THANH TOÁN]]</f>
        <v>267732115</v>
      </c>
      <c r="K26" s="24"/>
    </row>
    <row r="27" spans="1:11" x14ac:dyDescent="0.25">
      <c r="A27" s="22"/>
      <c r="B27" s="29">
        <v>46115</v>
      </c>
      <c r="C27" s="23" t="s">
        <v>21</v>
      </c>
      <c r="D27" s="37" t="s">
        <v>22</v>
      </c>
      <c r="E27" s="23" t="s">
        <v>261</v>
      </c>
      <c r="F27" s="31">
        <v>0</v>
      </c>
      <c r="G27" s="31"/>
      <c r="H27" s="31">
        <f>Cty_Hung_Phat_ND[[#This Row],[ĐƠN GIÁ]]*Cty_Hung_Phat_ND[[#This Row],[SỐ LƯỢNG]]</f>
        <v>0</v>
      </c>
      <c r="I27" s="31">
        <v>20687971</v>
      </c>
      <c r="J27" s="31">
        <f>J26+Cty_Hung_Phat_ND[[#This Row],[THÀNH TIỀN]]-Cty_Hung_Phat_ND[[#This Row],[THANH TOÁN]]</f>
        <v>247044144</v>
      </c>
      <c r="K27" s="24"/>
    </row>
    <row r="28" spans="1:11" x14ac:dyDescent="0.25">
      <c r="A28" s="22"/>
      <c r="B28" s="29">
        <v>46125</v>
      </c>
      <c r="C28" s="23" t="s">
        <v>21</v>
      </c>
      <c r="D28" s="37" t="s">
        <v>22</v>
      </c>
      <c r="E28" s="23" t="s">
        <v>261</v>
      </c>
      <c r="F28" s="31">
        <v>0</v>
      </c>
      <c r="G28" s="31"/>
      <c r="H28" s="31">
        <f>Cty_Hung_Phat_ND[[#This Row],[ĐƠN GIÁ]]*Cty_Hung_Phat_ND[[#This Row],[SỐ LƯỢNG]]</f>
        <v>0</v>
      </c>
      <c r="I28" s="31">
        <v>38084905</v>
      </c>
      <c r="J28" s="31">
        <f>J27+Cty_Hung_Phat_ND[[#This Row],[THÀNH TIỀN]]-Cty_Hung_Phat_ND[[#This Row],[THANH TOÁN]]</f>
        <v>208959239</v>
      </c>
      <c r="K28" s="24"/>
    </row>
    <row r="29" spans="1:11" x14ac:dyDescent="0.25">
      <c r="A29" s="22"/>
      <c r="B29" s="29">
        <v>46134</v>
      </c>
      <c r="C29" s="23" t="s">
        <v>21</v>
      </c>
      <c r="D29" s="37" t="s">
        <v>22</v>
      </c>
      <c r="E29" s="23" t="s">
        <v>261</v>
      </c>
      <c r="F29" s="31">
        <v>0</v>
      </c>
      <c r="G29" s="31"/>
      <c r="H29" s="31">
        <f>Cty_Hung_Phat_ND[[#This Row],[ĐƠN GIÁ]]*Cty_Hung_Phat_ND[[#This Row],[SỐ LƯỢNG]]</f>
        <v>0</v>
      </c>
      <c r="I29" s="31">
        <v>150000000</v>
      </c>
      <c r="J29" s="31">
        <f>J28+Cty_Hung_Phat_ND[[#This Row],[THÀNH TIỀN]]-Cty_Hung_Phat_ND[[#This Row],[THANH TOÁN]]</f>
        <v>58959239</v>
      </c>
      <c r="K29" s="24"/>
    </row>
    <row r="30" spans="1:11" x14ac:dyDescent="0.25">
      <c r="A30" s="22">
        <v>9116</v>
      </c>
      <c r="B30" s="29">
        <v>46141</v>
      </c>
      <c r="C30" s="23" t="s">
        <v>13</v>
      </c>
      <c r="D30" s="37" t="s">
        <v>68</v>
      </c>
      <c r="E30" s="23" t="s">
        <v>185</v>
      </c>
      <c r="F30" s="31">
        <v>146</v>
      </c>
      <c r="G30" s="31">
        <v>42000</v>
      </c>
      <c r="H30" s="31">
        <f>Cty_Hung_Phat_ND[[#This Row],[ĐƠN GIÁ]]*Cty_Hung_Phat_ND[[#This Row],[SỐ LƯỢNG]]</f>
        <v>6132000</v>
      </c>
      <c r="I30" s="31"/>
      <c r="J30" s="31">
        <f>J29+Cty_Hung_Phat_ND[[#This Row],[THÀNH TIỀN]]-Cty_Hung_Phat_ND[[#This Row],[THANH TOÁN]]</f>
        <v>65091239</v>
      </c>
      <c r="K30" s="24"/>
    </row>
    <row r="31" spans="1:11" x14ac:dyDescent="0.25">
      <c r="A31" s="22">
        <v>9116</v>
      </c>
      <c r="B31" s="29">
        <v>46141</v>
      </c>
      <c r="C31" s="23" t="s">
        <v>13</v>
      </c>
      <c r="D31" s="37" t="s">
        <v>43</v>
      </c>
      <c r="E31" s="23" t="s">
        <v>1890</v>
      </c>
      <c r="F31" s="31">
        <v>1665</v>
      </c>
      <c r="G31" s="31">
        <v>62000</v>
      </c>
      <c r="H31" s="31">
        <f>Cty_Hung_Phat_ND[[#This Row],[ĐƠN GIÁ]]*Cty_Hung_Phat_ND[[#This Row],[SỐ LƯỢNG]]</f>
        <v>103230000</v>
      </c>
      <c r="I31" s="31"/>
      <c r="J31" s="31">
        <f>J30+Cty_Hung_Phat_ND[[#This Row],[THÀNH TIỀN]]-Cty_Hung_Phat_ND[[#This Row],[THANH TOÁN]]</f>
        <v>168321239</v>
      </c>
      <c r="K31" s="24"/>
    </row>
    <row r="32" spans="1:11" x14ac:dyDescent="0.25">
      <c r="A32" s="22"/>
      <c r="B32" s="29">
        <v>46142</v>
      </c>
      <c r="C32" s="23" t="s">
        <v>21</v>
      </c>
      <c r="D32" s="37" t="s">
        <v>22</v>
      </c>
      <c r="E32" s="23" t="s">
        <v>261</v>
      </c>
      <c r="F32" s="31">
        <v>0</v>
      </c>
      <c r="G32" s="31"/>
      <c r="H32" s="31">
        <f>Cty_Hung_Phat_ND[[#This Row],[ĐƠN GIÁ]]*Cty_Hung_Phat_ND[[#This Row],[SỐ LƯỢNG]]</f>
        <v>0</v>
      </c>
      <c r="I32" s="31">
        <v>32250000</v>
      </c>
      <c r="J32" s="31">
        <f>J31+Cty_Hung_Phat_ND[[#This Row],[THÀNH TIỀN]]-Cty_Hung_Phat_ND[[#This Row],[THANH TOÁN]]</f>
        <v>136071239</v>
      </c>
      <c r="K32" s="24"/>
    </row>
    <row r="33" spans="1:11" x14ac:dyDescent="0.25">
      <c r="A33" s="22"/>
      <c r="B33" s="29">
        <v>46150</v>
      </c>
      <c r="C33" s="23" t="s">
        <v>21</v>
      </c>
      <c r="D33" s="37" t="s">
        <v>22</v>
      </c>
      <c r="E33" s="23" t="s">
        <v>261</v>
      </c>
      <c r="F33" s="31">
        <v>0</v>
      </c>
      <c r="G33" s="31"/>
      <c r="H33" s="31">
        <f>Cty_Hung_Phat_ND[[#This Row],[ĐƠN GIÁ]]*Cty_Hung_Phat_ND[[#This Row],[SỐ LƯỢNG]]</f>
        <v>0</v>
      </c>
      <c r="I33" s="31">
        <v>77282505</v>
      </c>
      <c r="J33" s="31">
        <f>J32+Cty_Hung_Phat_ND[[#This Row],[THÀNH TIỀN]]-Cty_Hung_Phat_ND[[#This Row],[THANH TOÁN]]</f>
        <v>58788734</v>
      </c>
      <c r="K33" s="24"/>
    </row>
    <row r="34" spans="1:11" x14ac:dyDescent="0.25">
      <c r="A34" s="22">
        <v>9553</v>
      </c>
      <c r="B34" s="29">
        <v>46164</v>
      </c>
      <c r="C34" s="23" t="s">
        <v>13</v>
      </c>
      <c r="D34" s="37" t="s">
        <v>27</v>
      </c>
      <c r="E34" s="23" t="s">
        <v>2281</v>
      </c>
      <c r="F34" s="31">
        <v>294</v>
      </c>
      <c r="G34" s="31">
        <v>61500</v>
      </c>
      <c r="H34" s="31">
        <f>Cty_Hung_Phat_ND[[#This Row],[ĐƠN GIÁ]]*Cty_Hung_Phat_ND[[#This Row],[SỐ LƯỢNG]]</f>
        <v>18081000</v>
      </c>
      <c r="I34" s="31"/>
      <c r="J34" s="31">
        <f>J33+Cty_Hung_Phat_ND[[#This Row],[THÀNH TIỀN]]-Cty_Hung_Phat_ND[[#This Row],[THANH TOÁN]]</f>
        <v>76869734</v>
      </c>
      <c r="K34" s="24"/>
    </row>
    <row r="35" spans="1:11" x14ac:dyDescent="0.25">
      <c r="A35" s="22">
        <v>9553</v>
      </c>
      <c r="B35" s="29">
        <v>46164</v>
      </c>
      <c r="C35" s="23" t="s">
        <v>13</v>
      </c>
      <c r="D35" s="37" t="s">
        <v>17</v>
      </c>
      <c r="E35" s="23" t="s">
        <v>230</v>
      </c>
      <c r="F35" s="31">
        <v>272</v>
      </c>
      <c r="G35" s="31">
        <v>71000</v>
      </c>
      <c r="H35" s="31">
        <f>Cty_Hung_Phat_ND[[#This Row],[ĐƠN GIÁ]]*Cty_Hung_Phat_ND[[#This Row],[SỐ LƯỢNG]]</f>
        <v>19312000</v>
      </c>
      <c r="I35" s="31"/>
      <c r="J35" s="31">
        <f>J34+Cty_Hung_Phat_ND[[#This Row],[THÀNH TIỀN]]-Cty_Hung_Phat_ND[[#This Row],[THANH TOÁN]]</f>
        <v>96181734</v>
      </c>
      <c r="K35" s="24"/>
    </row>
    <row r="36" spans="1:11" x14ac:dyDescent="0.25">
      <c r="A36" s="22"/>
      <c r="B36" s="29">
        <v>46168</v>
      </c>
      <c r="C36" s="23" t="s">
        <v>21</v>
      </c>
      <c r="D36" s="37" t="s">
        <v>22</v>
      </c>
      <c r="E36" s="23" t="s">
        <v>261</v>
      </c>
      <c r="F36" s="31">
        <v>0</v>
      </c>
      <c r="G36" s="31"/>
      <c r="H36" s="31">
        <f>Cty_Hung_Phat_ND[[#This Row],[ĐƠN GIÁ]]*Cty_Hung_Phat_ND[[#This Row],[SỐ LƯỢNG]]</f>
        <v>0</v>
      </c>
      <c r="I36" s="31">
        <v>58790000</v>
      </c>
      <c r="J36" s="31">
        <f>J35+Cty_Hung_Phat_ND[[#This Row],[THÀNH TIỀN]]-Cty_Hung_Phat_ND[[#This Row],[THANH TOÁN]]</f>
        <v>37391734</v>
      </c>
      <c r="K36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DCD686-D1BC-4755-A9DC-7EDF9BAA0098}">
  <sheetPr codeName="Sheet98"/>
  <dimension ref="A5:K15"/>
  <sheetViews>
    <sheetView topLeftCell="A4" workbookViewId="0">
      <selection activeCell="J21" sqref="J21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-302693315</v>
      </c>
    </row>
    <row r="6" spans="1:11" ht="22.5" x14ac:dyDescent="0.25">
      <c r="D6" s="34" t="s">
        <v>1215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Co_Cuc_Rua[[#This Row],[ĐƠN GIÁ]]*Co_Cuc_Rua[[#This Row],[SỐ LƯỢNG]]</f>
        <v>0</v>
      </c>
      <c r="I10" s="31"/>
      <c r="J10" s="31">
        <v>0</v>
      </c>
      <c r="K10" s="24"/>
    </row>
    <row r="11" spans="1:11" ht="47.25" x14ac:dyDescent="0.25">
      <c r="A11" s="69">
        <v>8047</v>
      </c>
      <c r="B11" s="70">
        <v>46093</v>
      </c>
      <c r="C11" s="53" t="s">
        <v>13</v>
      </c>
      <c r="D11" s="46" t="s">
        <v>854</v>
      </c>
      <c r="E11" s="43" t="s">
        <v>1216</v>
      </c>
      <c r="F11" s="44">
        <v>620</v>
      </c>
      <c r="G11" s="44">
        <v>40000</v>
      </c>
      <c r="H11" s="44">
        <f>Co_Cuc_Rua[[#This Row],[ĐƠN GIÁ]]*Co_Cuc_Rua[[#This Row],[SỐ LƯỢNG]]</f>
        <v>24800000</v>
      </c>
      <c r="I11" s="44"/>
      <c r="J11" s="44">
        <f>J10+Co_Cuc_Rua[[#This Row],[THÀNH TIỀN]]-Co_Cuc_Rua[[#This Row],[THANH TOÁN]]</f>
        <v>24800000</v>
      </c>
      <c r="K11" s="54"/>
    </row>
    <row r="12" spans="1:11" x14ac:dyDescent="0.25">
      <c r="A12" s="69">
        <v>8781</v>
      </c>
      <c r="B12" s="70">
        <v>46126</v>
      </c>
      <c r="C12" s="53" t="s">
        <v>13</v>
      </c>
      <c r="D12" s="46" t="s">
        <v>317</v>
      </c>
      <c r="E12" s="43" t="s">
        <v>1217</v>
      </c>
      <c r="F12" s="44">
        <v>516</v>
      </c>
      <c r="G12" s="44">
        <v>63000</v>
      </c>
      <c r="H12" s="44">
        <f>Co_Cuc_Rua[[#This Row],[ĐƠN GIÁ]]*Co_Cuc_Rua[[#This Row],[SỐ LƯỢNG]]</f>
        <v>32508000</v>
      </c>
      <c r="I12" s="44"/>
      <c r="J12" s="44">
        <f>J11+Co_Cuc_Rua[[#This Row],[THÀNH TIỀN]]-Co_Cuc_Rua[[#This Row],[THANH TOÁN]]</f>
        <v>57308000</v>
      </c>
      <c r="K12" s="54"/>
    </row>
    <row r="13" spans="1:11" x14ac:dyDescent="0.25">
      <c r="A13" s="69">
        <v>8781</v>
      </c>
      <c r="B13" s="70">
        <v>46126</v>
      </c>
      <c r="C13" s="53" t="s">
        <v>13</v>
      </c>
      <c r="D13" s="46" t="s">
        <v>317</v>
      </c>
      <c r="E13" s="43" t="s">
        <v>78</v>
      </c>
      <c r="F13" s="44">
        <v>214</v>
      </c>
      <c r="G13" s="44">
        <v>63000</v>
      </c>
      <c r="H13" s="44">
        <f>Co_Cuc_Rua[[#This Row],[ĐƠN GIÁ]]*Co_Cuc_Rua[[#This Row],[SỐ LƯỢNG]]</f>
        <v>13482000</v>
      </c>
      <c r="I13" s="44"/>
      <c r="J13" s="44">
        <f>J12+Co_Cuc_Rua[[#This Row],[THÀNH TIỀN]]-Co_Cuc_Rua[[#This Row],[THANH TOÁN]]</f>
        <v>70790000</v>
      </c>
      <c r="K13" s="54"/>
    </row>
    <row r="14" spans="1:11" x14ac:dyDescent="0.25">
      <c r="A14" s="69"/>
      <c r="B14" s="70">
        <v>46138</v>
      </c>
      <c r="C14" s="53" t="s">
        <v>21</v>
      </c>
      <c r="D14" s="46" t="s">
        <v>22</v>
      </c>
      <c r="E14" s="43" t="s">
        <v>147</v>
      </c>
      <c r="F14" s="44">
        <v>0</v>
      </c>
      <c r="G14" s="44"/>
      <c r="H14" s="44">
        <f>Co_Cuc_Rua[[#This Row],[ĐƠN GIÁ]]*Co_Cuc_Rua[[#This Row],[SỐ LƯỢNG]]</f>
        <v>0</v>
      </c>
      <c r="I14" s="44">
        <v>45990865</v>
      </c>
      <c r="J14" s="44">
        <f>J13+Co_Cuc_Rua[[#This Row],[THÀNH TIỀN]]-Co_Cuc_Rua[[#This Row],[THANH TOÁN]]</f>
        <v>24799135</v>
      </c>
      <c r="K14" s="54"/>
    </row>
    <row r="15" spans="1:11" x14ac:dyDescent="0.25">
      <c r="A15" s="69"/>
      <c r="B15" s="70">
        <v>46115</v>
      </c>
      <c r="C15" s="53" t="s">
        <v>21</v>
      </c>
      <c r="D15" s="46" t="s">
        <v>22</v>
      </c>
      <c r="E15" s="43" t="s">
        <v>83</v>
      </c>
      <c r="F15" s="44">
        <v>0</v>
      </c>
      <c r="G15" s="44"/>
      <c r="H15" s="44">
        <f>Co_Cuc_Rua[[#This Row],[ĐƠN GIÁ]]*Co_Cuc_Rua[[#This Row],[SỐ LƯỢNG]]</f>
        <v>0</v>
      </c>
      <c r="I15" s="44">
        <v>24799950</v>
      </c>
      <c r="J15" s="44">
        <f>J14+Co_Cuc_Rua[[#This Row],[THÀNH TIỀN]]-Co_Cuc_Rua[[#This Row],[THANH TOÁN]]</f>
        <v>-815</v>
      </c>
      <c r="K15" s="5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B0A49-8C0F-480A-8737-81D911F25655}">
  <sheetPr codeName="Sheet99"/>
  <dimension ref="A5:K23"/>
  <sheetViews>
    <sheetView workbookViewId="0">
      <selection activeCell="I19" sqref="I19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7" width="18.5703125" style="1" bestFit="1" customWidth="1"/>
    <col min="8" max="8" width="23.285156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0</v>
      </c>
    </row>
    <row r="6" spans="1:11" ht="22.5" x14ac:dyDescent="0.25">
      <c r="D6" s="34" t="s">
        <v>1218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Cty_Nguyen_Hung_HT[[#This Row],[ĐƠN GIÁ]]*Cty_Nguyen_Hung_HT[[#This Row],[SỐ LƯỢNG]]</f>
        <v>0</v>
      </c>
      <c r="I10" s="31"/>
      <c r="J10" s="31">
        <v>0</v>
      </c>
      <c r="K10" s="24"/>
    </row>
    <row r="11" spans="1:11" x14ac:dyDescent="0.25">
      <c r="A11" s="22">
        <v>8048</v>
      </c>
      <c r="B11" s="29">
        <v>46093</v>
      </c>
      <c r="C11" s="23" t="s">
        <v>13</v>
      </c>
      <c r="D11" s="37" t="s">
        <v>17</v>
      </c>
      <c r="E11" s="23" t="s">
        <v>834</v>
      </c>
      <c r="F11" s="31">
        <f>581+588-16+642+597</f>
        <v>2392</v>
      </c>
      <c r="G11" s="31">
        <v>64500</v>
      </c>
      <c r="H11" s="31">
        <f>Cty_Nguyen_Hung_HT[[#This Row],[ĐƠN GIÁ]]*Cty_Nguyen_Hung_HT[[#This Row],[SỐ LƯỢNG]]</f>
        <v>154284000</v>
      </c>
      <c r="I11" s="31"/>
      <c r="J11" s="31">
        <f>J10+Cty_Nguyen_Hung_HT[[#This Row],[THÀNH TIỀN]]-Cty_Nguyen_Hung_HT[[#This Row],[THANH TOÁN]]</f>
        <v>154284000</v>
      </c>
      <c r="K11" s="24"/>
    </row>
    <row r="12" spans="1:11" x14ac:dyDescent="0.25">
      <c r="A12" s="22">
        <v>8048</v>
      </c>
      <c r="B12" s="29">
        <v>46093</v>
      </c>
      <c r="C12" s="23" t="s">
        <v>13</v>
      </c>
      <c r="D12" s="37" t="s">
        <v>17</v>
      </c>
      <c r="E12" s="23" t="s">
        <v>1219</v>
      </c>
      <c r="F12" s="31">
        <f>536+690+715+774</f>
        <v>2715</v>
      </c>
      <c r="G12" s="31">
        <v>62000</v>
      </c>
      <c r="H12" s="31">
        <f>Cty_Nguyen_Hung_HT[[#This Row],[ĐƠN GIÁ]]*Cty_Nguyen_Hung_HT[[#This Row],[SỐ LƯỢNG]]</f>
        <v>168330000</v>
      </c>
      <c r="I12" s="31"/>
      <c r="J12" s="31">
        <f>J11+Cty_Nguyen_Hung_HT[[#This Row],[THÀNH TIỀN]]-Cty_Nguyen_Hung_HT[[#This Row],[THANH TOÁN]]</f>
        <v>322614000</v>
      </c>
      <c r="K12" s="24"/>
    </row>
    <row r="13" spans="1:11" x14ac:dyDescent="0.25">
      <c r="A13" s="22">
        <v>8048</v>
      </c>
      <c r="B13" s="29">
        <v>46093</v>
      </c>
      <c r="C13" s="23" t="s">
        <v>13</v>
      </c>
      <c r="D13" s="37" t="s">
        <v>17</v>
      </c>
      <c r="E13" s="23" t="s">
        <v>1188</v>
      </c>
      <c r="F13" s="31">
        <f>522+667</f>
        <v>1189</v>
      </c>
      <c r="G13" s="31">
        <v>62000</v>
      </c>
      <c r="H13" s="31">
        <f>Cty_Nguyen_Hung_HT[[#This Row],[ĐƠN GIÁ]]*Cty_Nguyen_Hung_HT[[#This Row],[SỐ LƯỢNG]]</f>
        <v>73718000</v>
      </c>
      <c r="I13" s="31"/>
      <c r="J13" s="31">
        <f>J12+Cty_Nguyen_Hung_HT[[#This Row],[THÀNH TIỀN]]-Cty_Nguyen_Hung_HT[[#This Row],[THANH TOÁN]]</f>
        <v>396332000</v>
      </c>
      <c r="K13" s="24"/>
    </row>
    <row r="14" spans="1:11" x14ac:dyDescent="0.25">
      <c r="A14" s="22">
        <v>8048</v>
      </c>
      <c r="B14" s="29">
        <v>46093</v>
      </c>
      <c r="C14" s="23" t="s">
        <v>13</v>
      </c>
      <c r="D14" s="38" t="s">
        <v>17</v>
      </c>
      <c r="E14" s="26" t="s">
        <v>689</v>
      </c>
      <c r="F14" s="28">
        <f>722+520</f>
        <v>1242</v>
      </c>
      <c r="G14" s="28">
        <v>63000</v>
      </c>
      <c r="H14" s="28">
        <f>Cty_Nguyen_Hung_HT[[#This Row],[ĐƠN GIÁ]]*Cty_Nguyen_Hung_HT[[#This Row],[SỐ LƯỢNG]]</f>
        <v>78246000</v>
      </c>
      <c r="I14" s="28"/>
      <c r="J14" s="28">
        <f>J13+Cty_Nguyen_Hung_HT[[#This Row],[THÀNH TIỀN]]-Cty_Nguyen_Hung_HT[[#This Row],[THANH TOÁN]]</f>
        <v>474578000</v>
      </c>
      <c r="K14" s="27"/>
    </row>
    <row r="15" spans="1:11" x14ac:dyDescent="0.25">
      <c r="A15" s="25">
        <v>8049</v>
      </c>
      <c r="B15" s="30">
        <v>46093</v>
      </c>
      <c r="C15" s="26" t="s">
        <v>13</v>
      </c>
      <c r="D15" s="38" t="s">
        <v>14</v>
      </c>
      <c r="E15" s="26" t="s">
        <v>163</v>
      </c>
      <c r="F15" s="28">
        <f>286-12</f>
        <v>274</v>
      </c>
      <c r="G15" s="28">
        <v>42000</v>
      </c>
      <c r="H15" s="28">
        <f>Cty_Nguyen_Hung_HT[[#This Row],[ĐƠN GIÁ]]*Cty_Nguyen_Hung_HT[[#This Row],[SỐ LƯỢNG]]</f>
        <v>11508000</v>
      </c>
      <c r="I15" s="28"/>
      <c r="J15" s="28">
        <f>J14+Cty_Nguyen_Hung_HT[[#This Row],[THÀNH TIỀN]]-Cty_Nguyen_Hung_HT[[#This Row],[THANH TOÁN]]</f>
        <v>486086000</v>
      </c>
      <c r="K15" s="27"/>
    </row>
    <row r="16" spans="1:11" x14ac:dyDescent="0.25">
      <c r="A16" s="25">
        <v>8049</v>
      </c>
      <c r="B16" s="30">
        <v>46093</v>
      </c>
      <c r="C16" s="26" t="s">
        <v>13</v>
      </c>
      <c r="D16" s="38" t="s">
        <v>14</v>
      </c>
      <c r="E16" s="23" t="s">
        <v>1188</v>
      </c>
      <c r="F16" s="31">
        <f>506+496</f>
        <v>1002</v>
      </c>
      <c r="G16" s="31">
        <v>42000</v>
      </c>
      <c r="H16" s="31">
        <f>Cty_Nguyen_Hung_HT[[#This Row],[ĐƠN GIÁ]]*Cty_Nguyen_Hung_HT[[#This Row],[SỐ LƯỢNG]]</f>
        <v>42084000</v>
      </c>
      <c r="I16" s="31"/>
      <c r="J16" s="31">
        <f>J15+Cty_Nguyen_Hung_HT[[#This Row],[THÀNH TIỀN]]-Cty_Nguyen_Hung_HT[[#This Row],[THANH TOÁN]]</f>
        <v>528170000</v>
      </c>
      <c r="K16" s="24"/>
    </row>
    <row r="17" spans="1:11" x14ac:dyDescent="0.25">
      <c r="A17" s="25">
        <v>8049</v>
      </c>
      <c r="B17" s="30">
        <v>46093</v>
      </c>
      <c r="C17" s="26" t="s">
        <v>13</v>
      </c>
      <c r="D17" s="38" t="s">
        <v>50</v>
      </c>
      <c r="E17" s="26" t="s">
        <v>1220</v>
      </c>
      <c r="F17" s="28">
        <v>168</v>
      </c>
      <c r="G17" s="28">
        <v>58500</v>
      </c>
      <c r="H17" s="28">
        <f>Cty_Nguyen_Hung_HT[[#This Row],[ĐƠN GIÁ]]*Cty_Nguyen_Hung_HT[[#This Row],[SỐ LƯỢNG]]</f>
        <v>9828000</v>
      </c>
      <c r="I17" s="28"/>
      <c r="J17" s="28">
        <f>J16+Cty_Nguyen_Hung_HT[[#This Row],[THÀNH TIỀN]]-Cty_Nguyen_Hung_HT[[#This Row],[THANH TOÁN]]</f>
        <v>537998000</v>
      </c>
      <c r="K17" s="27"/>
    </row>
    <row r="18" spans="1:11" x14ac:dyDescent="0.25">
      <c r="A18" s="25">
        <v>8049</v>
      </c>
      <c r="B18" s="30">
        <v>46093</v>
      </c>
      <c r="C18" s="26" t="s">
        <v>13</v>
      </c>
      <c r="D18" s="38" t="s">
        <v>50</v>
      </c>
      <c r="E18" s="26" t="s">
        <v>1221</v>
      </c>
      <c r="F18" s="28">
        <v>232</v>
      </c>
      <c r="G18" s="28">
        <v>58500</v>
      </c>
      <c r="H18" s="28">
        <f>Cty_Nguyen_Hung_HT[[#This Row],[ĐƠN GIÁ]]*Cty_Nguyen_Hung_HT[[#This Row],[SỐ LƯỢNG]]</f>
        <v>13572000</v>
      </c>
      <c r="I18" s="28">
        <v>3600</v>
      </c>
      <c r="J18" s="28">
        <f>J17+Cty_Nguyen_Hung_HT[[#This Row],[THÀNH TIỀN]]-Cty_Nguyen_Hung_HT[[#This Row],[THANH TOÁN]]</f>
        <v>551566400</v>
      </c>
      <c r="K18" s="27"/>
    </row>
    <row r="19" spans="1:11" x14ac:dyDescent="0.25">
      <c r="A19" s="25"/>
      <c r="B19" s="30">
        <v>46112</v>
      </c>
      <c r="C19" s="26" t="s">
        <v>21</v>
      </c>
      <c r="D19" s="38" t="s">
        <v>22</v>
      </c>
      <c r="E19" s="26" t="s">
        <v>83</v>
      </c>
      <c r="F19" s="28">
        <v>0</v>
      </c>
      <c r="G19" s="28">
        <v>0</v>
      </c>
      <c r="H19" s="28">
        <f>Cty_Nguyen_Hung_HT[[#This Row],[ĐƠN GIÁ]]*Cty_Nguyen_Hung_HT[[#This Row],[SỐ LƯỢNG]]</f>
        <v>0</v>
      </c>
      <c r="I19" s="28">
        <v>300000000</v>
      </c>
      <c r="J19" s="28">
        <f>J18+Cty_Nguyen_Hung_HT[[#This Row],[THÀNH TIỀN]]-Cty_Nguyen_Hung_HT[[#This Row],[THANH TOÁN]]</f>
        <v>251566400</v>
      </c>
      <c r="K19" s="27"/>
    </row>
    <row r="20" spans="1:11" x14ac:dyDescent="0.25">
      <c r="A20" s="22"/>
      <c r="B20" s="29">
        <v>46122</v>
      </c>
      <c r="C20" s="23" t="s">
        <v>21</v>
      </c>
      <c r="D20" s="37" t="s">
        <v>22</v>
      </c>
      <c r="E20" s="23" t="s">
        <v>83</v>
      </c>
      <c r="F20" s="31">
        <v>0</v>
      </c>
      <c r="G20" s="31"/>
      <c r="H20" s="31">
        <f>Cty_Nguyen_Hung_HT[[#This Row],[ĐƠN GIÁ]]*Cty_Nguyen_Hung_HT[[#This Row],[SỐ LƯỢNG]]</f>
        <v>0</v>
      </c>
      <c r="I20" s="31">
        <v>251566400</v>
      </c>
      <c r="J20" s="31">
        <f>J19+Cty_Nguyen_Hung_HT[[#This Row],[THÀNH TIỀN]]-Cty_Nguyen_Hung_HT[[#This Row],[THANH TOÁN]]</f>
        <v>0</v>
      </c>
      <c r="K20" s="24"/>
    </row>
    <row r="23" spans="1:11" x14ac:dyDescent="0.25">
      <c r="H23" s="3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ECC05-0486-4C49-BAAA-E623FB8F3BED}">
  <sheetPr codeName="Sheet100"/>
  <dimension ref="A5:K32"/>
  <sheetViews>
    <sheetView topLeftCell="A4" workbookViewId="0">
      <selection activeCell="F33" sqref="F33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1052706500</v>
      </c>
    </row>
    <row r="6" spans="1:11" ht="22.5" x14ac:dyDescent="0.25">
      <c r="D6" s="34" t="s">
        <v>1222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Cty_Thanh_Phat[[#This Row],[ĐƠN GIÁ]]*Cty_Thanh_Phat[[#This Row],[SỐ LƯỢNG]]</f>
        <v>0</v>
      </c>
      <c r="I10" s="31"/>
      <c r="J10" s="31">
        <v>0</v>
      </c>
      <c r="K10" s="24"/>
    </row>
    <row r="11" spans="1:11" x14ac:dyDescent="0.25">
      <c r="A11" s="22">
        <v>8057</v>
      </c>
      <c r="B11" s="29">
        <v>46094</v>
      </c>
      <c r="C11" s="23" t="s">
        <v>13</v>
      </c>
      <c r="D11" s="37" t="s">
        <v>701</v>
      </c>
      <c r="E11" s="23" t="s">
        <v>78</v>
      </c>
      <c r="F11" s="31">
        <v>2456</v>
      </c>
      <c r="G11" s="31">
        <v>44000</v>
      </c>
      <c r="H11" s="31">
        <f>Cty_Thanh_Phat[[#This Row],[ĐƠN GIÁ]]*Cty_Thanh_Phat[[#This Row],[SỐ LƯỢNG]]</f>
        <v>108064000</v>
      </c>
      <c r="I11" s="31"/>
      <c r="J11" s="31">
        <f>J10+Cty_Thanh_Phat[[#This Row],[THÀNH TIỀN]]-Cty_Thanh_Phat[[#This Row],[THANH TOÁN]]</f>
        <v>108064000</v>
      </c>
      <c r="K11" s="24"/>
    </row>
    <row r="12" spans="1:11" x14ac:dyDescent="0.25">
      <c r="A12" s="22">
        <v>8057</v>
      </c>
      <c r="B12" s="29">
        <v>46094</v>
      </c>
      <c r="C12" s="23" t="s">
        <v>13</v>
      </c>
      <c r="D12" s="37" t="s">
        <v>17</v>
      </c>
      <c r="E12" s="23" t="s">
        <v>134</v>
      </c>
      <c r="F12" s="31">
        <v>472</v>
      </c>
      <c r="G12" s="31">
        <v>58000</v>
      </c>
      <c r="H12" s="31">
        <f>Cty_Thanh_Phat[[#This Row],[ĐƠN GIÁ]]*Cty_Thanh_Phat[[#This Row],[SỐ LƯỢNG]]</f>
        <v>27376000</v>
      </c>
      <c r="I12" s="31"/>
      <c r="J12" s="31">
        <f>J11+Cty_Thanh_Phat[[#This Row],[THÀNH TIỀN]]-Cty_Thanh_Phat[[#This Row],[THANH TOÁN]]</f>
        <v>135440000</v>
      </c>
      <c r="K12" s="24"/>
    </row>
    <row r="13" spans="1:11" x14ac:dyDescent="0.25">
      <c r="A13" s="25">
        <v>8091</v>
      </c>
      <c r="B13" s="30">
        <v>46095</v>
      </c>
      <c r="C13" s="26" t="s">
        <v>13</v>
      </c>
      <c r="D13" s="38" t="s">
        <v>43</v>
      </c>
      <c r="E13" s="26" t="s">
        <v>136</v>
      </c>
      <c r="F13" s="28">
        <v>5557</v>
      </c>
      <c r="G13" s="28">
        <v>59500</v>
      </c>
      <c r="H13" s="28">
        <f>Cty_Thanh_Phat[[#This Row],[ĐƠN GIÁ]]*Cty_Thanh_Phat[[#This Row],[SỐ LƯỢNG]]</f>
        <v>330641500</v>
      </c>
      <c r="I13" s="28"/>
      <c r="J13" s="28">
        <f>J12+Cty_Thanh_Phat[[#This Row],[THÀNH TIỀN]]-Cty_Thanh_Phat[[#This Row],[THANH TOÁN]]</f>
        <v>466081500</v>
      </c>
      <c r="K13" s="27"/>
    </row>
    <row r="14" spans="1:11" x14ac:dyDescent="0.25">
      <c r="A14" s="25">
        <v>8131</v>
      </c>
      <c r="B14" s="30">
        <v>46097</v>
      </c>
      <c r="C14" s="26" t="s">
        <v>13</v>
      </c>
      <c r="D14" s="38" t="s">
        <v>265</v>
      </c>
      <c r="E14" s="26" t="s">
        <v>41</v>
      </c>
      <c r="F14" s="28">
        <v>398</v>
      </c>
      <c r="G14" s="28">
        <v>63000</v>
      </c>
      <c r="H14" s="28">
        <f>Cty_Thanh_Phat[[#This Row],[ĐƠN GIÁ]]*Cty_Thanh_Phat[[#This Row],[SỐ LƯỢNG]]</f>
        <v>25074000</v>
      </c>
      <c r="I14" s="28"/>
      <c r="J14" s="28">
        <f>J13+Cty_Thanh_Phat[[#This Row],[THÀNH TIỀN]]-Cty_Thanh_Phat[[#This Row],[THANH TOÁN]]</f>
        <v>491155500</v>
      </c>
      <c r="K14" s="27"/>
    </row>
    <row r="15" spans="1:11" x14ac:dyDescent="0.25">
      <c r="A15" s="25">
        <v>8131</v>
      </c>
      <c r="B15" s="30">
        <v>46097</v>
      </c>
      <c r="C15" s="26" t="s">
        <v>13</v>
      </c>
      <c r="D15" s="38" t="s">
        <v>17</v>
      </c>
      <c r="E15" s="26" t="s">
        <v>134</v>
      </c>
      <c r="F15" s="28">
        <v>1086</v>
      </c>
      <c r="G15" s="28">
        <v>58000</v>
      </c>
      <c r="H15" s="28">
        <f>Cty_Thanh_Phat[[#This Row],[ĐƠN GIÁ]]*Cty_Thanh_Phat[[#This Row],[SỐ LƯỢNG]]</f>
        <v>62988000</v>
      </c>
      <c r="I15" s="28"/>
      <c r="J15" s="28">
        <f>J14+Cty_Thanh_Phat[[#This Row],[THÀNH TIỀN]]-Cty_Thanh_Phat[[#This Row],[THANH TOÁN]]</f>
        <v>554143500</v>
      </c>
      <c r="K15" s="27"/>
    </row>
    <row r="16" spans="1:11" x14ac:dyDescent="0.25">
      <c r="A16" s="25">
        <v>8163</v>
      </c>
      <c r="B16" s="30">
        <v>46098</v>
      </c>
      <c r="C16" s="26" t="s">
        <v>13</v>
      </c>
      <c r="D16" s="38" t="s">
        <v>252</v>
      </c>
      <c r="E16" s="26" t="s">
        <v>41</v>
      </c>
      <c r="F16" s="28">
        <v>1036</v>
      </c>
      <c r="G16" s="28">
        <v>38000</v>
      </c>
      <c r="H16" s="28">
        <f>Cty_Thanh_Phat[[#This Row],[ĐƠN GIÁ]]*Cty_Thanh_Phat[[#This Row],[SỐ LƯỢNG]]</f>
        <v>39368000</v>
      </c>
      <c r="I16" s="28"/>
      <c r="J16" s="28">
        <f>J15+Cty_Thanh_Phat[[#This Row],[THÀNH TIỀN]]-Cty_Thanh_Phat[[#This Row],[THANH TOÁN]]</f>
        <v>593511500</v>
      </c>
      <c r="K16" s="27"/>
    </row>
    <row r="17" spans="1:11" x14ac:dyDescent="0.25">
      <c r="A17" s="22">
        <v>8466</v>
      </c>
      <c r="B17" s="29">
        <v>46113</v>
      </c>
      <c r="C17" s="23" t="s">
        <v>13</v>
      </c>
      <c r="D17" s="37" t="s">
        <v>26</v>
      </c>
      <c r="E17" s="23" t="s">
        <v>62</v>
      </c>
      <c r="F17" s="31">
        <v>4382</v>
      </c>
      <c r="G17" s="31">
        <v>34000</v>
      </c>
      <c r="H17" s="31">
        <f>Cty_Thanh_Phat[[#This Row],[ĐƠN GIÁ]]*Cty_Thanh_Phat[[#This Row],[SỐ LƯỢNG]]</f>
        <v>148988000</v>
      </c>
      <c r="I17" s="31"/>
      <c r="J17" s="31">
        <f>J16+Cty_Thanh_Phat[[#This Row],[THÀNH TIỀN]]-Cty_Thanh_Phat[[#This Row],[THANH TOÁN]]</f>
        <v>742499500</v>
      </c>
      <c r="K17" s="24"/>
    </row>
    <row r="18" spans="1:11" x14ac:dyDescent="0.25">
      <c r="A18" s="22">
        <v>8719</v>
      </c>
      <c r="B18" s="29">
        <v>46123</v>
      </c>
      <c r="C18" s="23" t="s">
        <v>13</v>
      </c>
      <c r="D18" s="37" t="s">
        <v>701</v>
      </c>
      <c r="E18" s="23" t="s">
        <v>40</v>
      </c>
      <c r="F18" s="31">
        <v>2493</v>
      </c>
      <c r="G18" s="31">
        <v>47000</v>
      </c>
      <c r="H18" s="31">
        <f>Cty_Thanh_Phat[[#This Row],[ĐƠN GIÁ]]*Cty_Thanh_Phat[[#This Row],[SỐ LƯỢNG]]</f>
        <v>117171000</v>
      </c>
      <c r="I18" s="31"/>
      <c r="J18" s="31">
        <f>J17+Cty_Thanh_Phat[[#This Row],[THÀNH TIỀN]]-Cty_Thanh_Phat[[#This Row],[THANH TOÁN]]</f>
        <v>859670500</v>
      </c>
      <c r="K18" s="24"/>
    </row>
    <row r="19" spans="1:11" x14ac:dyDescent="0.25">
      <c r="A19" s="22">
        <v>8760</v>
      </c>
      <c r="B19" s="29">
        <v>46126</v>
      </c>
      <c r="C19" s="23" t="s">
        <v>49</v>
      </c>
      <c r="D19" s="37" t="s">
        <v>26</v>
      </c>
      <c r="E19" s="23" t="s">
        <v>78</v>
      </c>
      <c r="F19" s="31">
        <v>6260</v>
      </c>
      <c r="G19" s="31"/>
      <c r="H19" s="31">
        <f>Cty_Thanh_Phat[[#This Row],[ĐƠN GIÁ]]*Cty_Thanh_Phat[[#This Row],[SỐ LƯỢNG]]</f>
        <v>0</v>
      </c>
      <c r="I19" s="31"/>
      <c r="J19" s="31">
        <f>J18+Cty_Thanh_Phat[[#This Row],[THÀNH TIỀN]]-Cty_Thanh_Phat[[#This Row],[THANH TOÁN]]</f>
        <v>859670500</v>
      </c>
      <c r="K19" s="24"/>
    </row>
    <row r="20" spans="1:11" x14ac:dyDescent="0.25">
      <c r="A20" s="22">
        <v>8878</v>
      </c>
      <c r="B20" s="29">
        <v>46130</v>
      </c>
      <c r="C20" s="23" t="s">
        <v>13</v>
      </c>
      <c r="D20" s="37" t="s">
        <v>252</v>
      </c>
      <c r="E20" s="23" t="s">
        <v>41</v>
      </c>
      <c r="F20" s="31">
        <v>578</v>
      </c>
      <c r="G20" s="31">
        <v>37500</v>
      </c>
      <c r="H20" s="31">
        <f>Cty_Thanh_Phat[[#This Row],[ĐƠN GIÁ]]*Cty_Thanh_Phat[[#This Row],[SỐ LƯỢNG]]</f>
        <v>21675000</v>
      </c>
      <c r="I20" s="31"/>
      <c r="J20" s="31">
        <f>J19+Cty_Thanh_Phat[[#This Row],[THÀNH TIỀN]]-Cty_Thanh_Phat[[#This Row],[THANH TOÁN]]</f>
        <v>881345500</v>
      </c>
      <c r="K20" s="24"/>
    </row>
    <row r="21" spans="1:11" x14ac:dyDescent="0.25">
      <c r="A21" s="22">
        <v>8878</v>
      </c>
      <c r="B21" s="29">
        <v>46130</v>
      </c>
      <c r="C21" s="23" t="s">
        <v>13</v>
      </c>
      <c r="D21" s="37" t="s">
        <v>17</v>
      </c>
      <c r="E21" s="23" t="s">
        <v>41</v>
      </c>
      <c r="F21" s="31">
        <v>154</v>
      </c>
      <c r="G21" s="31">
        <v>65000</v>
      </c>
      <c r="H21" s="31">
        <f>Cty_Thanh_Phat[[#This Row],[ĐƠN GIÁ]]*Cty_Thanh_Phat[[#This Row],[SỐ LƯỢNG]]</f>
        <v>10010000</v>
      </c>
      <c r="I21" s="31"/>
      <c r="J21" s="31">
        <f>J20+Cty_Thanh_Phat[[#This Row],[THÀNH TIỀN]]-Cty_Thanh_Phat[[#This Row],[THANH TOÁN]]</f>
        <v>891355500</v>
      </c>
      <c r="K21" s="24"/>
    </row>
    <row r="22" spans="1:11" x14ac:dyDescent="0.25">
      <c r="A22" s="22">
        <v>8878</v>
      </c>
      <c r="B22" s="29">
        <v>46130</v>
      </c>
      <c r="C22" s="23" t="s">
        <v>13</v>
      </c>
      <c r="D22" s="37" t="s">
        <v>26</v>
      </c>
      <c r="E22" s="23" t="s">
        <v>1223</v>
      </c>
      <c r="F22" s="31">
        <v>1450</v>
      </c>
      <c r="G22" s="31">
        <v>35000</v>
      </c>
      <c r="H22" s="31">
        <f>Cty_Thanh_Phat[[#This Row],[ĐƠN GIÁ]]*Cty_Thanh_Phat[[#This Row],[SỐ LƯỢNG]]</f>
        <v>50750000</v>
      </c>
      <c r="I22" s="31"/>
      <c r="J22" s="31">
        <f>J21+Cty_Thanh_Phat[[#This Row],[THÀNH TIỀN]]-Cty_Thanh_Phat[[#This Row],[THANH TOÁN]]</f>
        <v>942105500</v>
      </c>
      <c r="K22" s="24"/>
    </row>
    <row r="23" spans="1:11" x14ac:dyDescent="0.25">
      <c r="A23" s="22"/>
      <c r="B23" s="29">
        <v>46126</v>
      </c>
      <c r="C23" s="23" t="s">
        <v>21</v>
      </c>
      <c r="D23" s="37" t="s">
        <v>22</v>
      </c>
      <c r="E23" s="23" t="s">
        <v>147</v>
      </c>
      <c r="F23" s="31">
        <v>0</v>
      </c>
      <c r="G23" s="31"/>
      <c r="H23" s="31">
        <f>Cty_Thanh_Phat[[#This Row],[ĐƠN GIÁ]]*Cty_Thanh_Phat[[#This Row],[SỐ LƯỢNG]]</f>
        <v>0</v>
      </c>
      <c r="I23" s="31">
        <v>390000000</v>
      </c>
      <c r="J23" s="31">
        <f>J22+Cty_Thanh_Phat[[#This Row],[THÀNH TIỀN]]-Cty_Thanh_Phat[[#This Row],[THANH TOÁN]]</f>
        <v>552105500</v>
      </c>
      <c r="K23" s="24"/>
    </row>
    <row r="24" spans="1:11" x14ac:dyDescent="0.25">
      <c r="A24" s="22"/>
      <c r="B24" s="29">
        <v>46141</v>
      </c>
      <c r="C24" s="23" t="s">
        <v>21</v>
      </c>
      <c r="D24" s="37" t="s">
        <v>22</v>
      </c>
      <c r="E24" s="23" t="s">
        <v>261</v>
      </c>
      <c r="F24" s="31">
        <v>0</v>
      </c>
      <c r="G24" s="31"/>
      <c r="H24" s="31">
        <f>Cty_Thanh_Phat[[#This Row],[ĐƠN GIÁ]]*Cty_Thanh_Phat[[#This Row],[SỐ LƯỢNG]]</f>
        <v>0</v>
      </c>
      <c r="I24" s="31">
        <v>145000000</v>
      </c>
      <c r="J24" s="31">
        <f>J23+Cty_Thanh_Phat[[#This Row],[THÀNH TIỀN]]-Cty_Thanh_Phat[[#This Row],[THANH TOÁN]]</f>
        <v>407105500</v>
      </c>
      <c r="K24" s="24"/>
    </row>
    <row r="25" spans="1:11" x14ac:dyDescent="0.25">
      <c r="A25" s="22">
        <v>9194</v>
      </c>
      <c r="B25" s="29">
        <v>46148</v>
      </c>
      <c r="C25" s="23" t="s">
        <v>13</v>
      </c>
      <c r="D25" s="37" t="s">
        <v>17</v>
      </c>
      <c r="E25" s="23" t="s">
        <v>78</v>
      </c>
      <c r="F25" s="31">
        <v>6834</v>
      </c>
      <c r="G25" s="31">
        <v>67000</v>
      </c>
      <c r="H25" s="31">
        <f>Cty_Thanh_Phat[[#This Row],[ĐƠN GIÁ]]*Cty_Thanh_Phat[[#This Row],[SỐ LƯỢNG]]</f>
        <v>457878000</v>
      </c>
      <c r="I25" s="31"/>
      <c r="J25" s="31">
        <f>J24+Cty_Thanh_Phat[[#This Row],[THÀNH TIỀN]]-Cty_Thanh_Phat[[#This Row],[THANH TOÁN]]</f>
        <v>864983500</v>
      </c>
      <c r="K25" s="24"/>
    </row>
    <row r="26" spans="1:11" x14ac:dyDescent="0.25">
      <c r="A26" s="22">
        <v>9217</v>
      </c>
      <c r="B26" s="29">
        <v>46148</v>
      </c>
      <c r="C26" s="23" t="s">
        <v>13</v>
      </c>
      <c r="D26" s="37" t="s">
        <v>252</v>
      </c>
      <c r="E26" s="23" t="s">
        <v>62</v>
      </c>
      <c r="F26" s="31">
        <v>1540</v>
      </c>
      <c r="G26" s="31">
        <v>39500</v>
      </c>
      <c r="H26" s="31">
        <f>Cty_Thanh_Phat[[#This Row],[ĐƠN GIÁ]]*Cty_Thanh_Phat[[#This Row],[SỐ LƯỢNG]]</f>
        <v>60830000</v>
      </c>
      <c r="I26" s="31"/>
      <c r="J26" s="31">
        <f>J25+Cty_Thanh_Phat[[#This Row],[THÀNH TIỀN]]-Cty_Thanh_Phat[[#This Row],[THANH TOÁN]]</f>
        <v>925813500</v>
      </c>
      <c r="K26" s="24"/>
    </row>
    <row r="27" spans="1:11" x14ac:dyDescent="0.25">
      <c r="A27" s="22">
        <v>9217</v>
      </c>
      <c r="B27" s="29">
        <v>46148</v>
      </c>
      <c r="C27" s="23" t="s">
        <v>13</v>
      </c>
      <c r="D27" s="37" t="s">
        <v>14</v>
      </c>
      <c r="E27" s="23" t="s">
        <v>78</v>
      </c>
      <c r="F27" s="31">
        <v>1106</v>
      </c>
      <c r="G27" s="31">
        <v>45000</v>
      </c>
      <c r="H27" s="31">
        <f>Cty_Thanh_Phat[[#This Row],[ĐƠN GIÁ]]*Cty_Thanh_Phat[[#This Row],[SỐ LƯỢNG]]</f>
        <v>49770000</v>
      </c>
      <c r="I27" s="31"/>
      <c r="J27" s="31">
        <f>J26+Cty_Thanh_Phat[[#This Row],[THÀNH TIỀN]]-Cty_Thanh_Phat[[#This Row],[THANH TOÁN]]</f>
        <v>975583500</v>
      </c>
      <c r="K27" s="24"/>
    </row>
    <row r="28" spans="1:11" x14ac:dyDescent="0.25">
      <c r="A28" s="22">
        <v>9283</v>
      </c>
      <c r="B28" s="29">
        <v>46151</v>
      </c>
      <c r="C28" s="23" t="s">
        <v>13</v>
      </c>
      <c r="D28" s="37" t="s">
        <v>252</v>
      </c>
      <c r="E28" s="23" t="s">
        <v>136</v>
      </c>
      <c r="F28" s="31">
        <v>318</v>
      </c>
      <c r="G28" s="31">
        <v>38000</v>
      </c>
      <c r="H28" s="31">
        <f>Cty_Thanh_Phat[[#This Row],[ĐƠN GIÁ]]*Cty_Thanh_Phat[[#This Row],[SỐ LƯỢNG]]</f>
        <v>12084000</v>
      </c>
      <c r="I28" s="31"/>
      <c r="J28" s="31">
        <f>J27+Cty_Thanh_Phat[[#This Row],[THÀNH TIỀN]]-Cty_Thanh_Phat[[#This Row],[THANH TOÁN]]</f>
        <v>987667500</v>
      </c>
      <c r="K28" s="24"/>
    </row>
    <row r="29" spans="1:11" x14ac:dyDescent="0.25">
      <c r="A29" s="22">
        <v>9283</v>
      </c>
      <c r="B29" s="29">
        <v>46151</v>
      </c>
      <c r="C29" s="23" t="s">
        <v>13</v>
      </c>
      <c r="D29" s="37" t="s">
        <v>252</v>
      </c>
      <c r="E29" s="23" t="s">
        <v>62</v>
      </c>
      <c r="F29" s="31">
        <v>318</v>
      </c>
      <c r="G29" s="31">
        <v>39500</v>
      </c>
      <c r="H29" s="31">
        <f>Cty_Thanh_Phat[[#This Row],[ĐƠN GIÁ]]*Cty_Thanh_Phat[[#This Row],[SỐ LƯỢNG]]</f>
        <v>12561000</v>
      </c>
      <c r="I29" s="31"/>
      <c r="J29" s="31">
        <f>J28+Cty_Thanh_Phat[[#This Row],[THÀNH TIỀN]]-Cty_Thanh_Phat[[#This Row],[THANH TOÁN]]</f>
        <v>1000228500</v>
      </c>
      <c r="K29" s="24"/>
    </row>
    <row r="30" spans="1:11" x14ac:dyDescent="0.25">
      <c r="A30" s="22">
        <v>9283</v>
      </c>
      <c r="B30" s="29">
        <v>46151</v>
      </c>
      <c r="C30" s="23" t="s">
        <v>13</v>
      </c>
      <c r="D30" s="37" t="s">
        <v>252</v>
      </c>
      <c r="E30" s="23" t="s">
        <v>41</v>
      </c>
      <c r="F30" s="31">
        <v>336</v>
      </c>
      <c r="G30" s="31">
        <v>38000</v>
      </c>
      <c r="H30" s="31">
        <f>Cty_Thanh_Phat[[#This Row],[ĐƠN GIÁ]]*Cty_Thanh_Phat[[#This Row],[SỐ LƯỢNG]]</f>
        <v>12768000</v>
      </c>
      <c r="I30" s="31"/>
      <c r="J30" s="31">
        <f>J29+Cty_Thanh_Phat[[#This Row],[THÀNH TIỀN]]-Cty_Thanh_Phat[[#This Row],[THANH TOÁN]]</f>
        <v>1012996500</v>
      </c>
      <c r="K30" s="24"/>
    </row>
    <row r="31" spans="1:11" x14ac:dyDescent="0.25">
      <c r="A31" s="22"/>
      <c r="B31" s="29">
        <v>46154</v>
      </c>
      <c r="C31" s="23" t="s">
        <v>21</v>
      </c>
      <c r="D31" s="37" t="s">
        <v>22</v>
      </c>
      <c r="E31" s="23" t="s">
        <v>261</v>
      </c>
      <c r="F31" s="31">
        <v>0</v>
      </c>
      <c r="G31" s="31"/>
      <c r="H31" s="31">
        <f>Cty_Thanh_Phat[[#This Row],[ĐƠN GIÁ]]*Cty_Thanh_Phat[[#This Row],[SỐ LƯỢNG]]</f>
        <v>0</v>
      </c>
      <c r="I31" s="31">
        <v>170000000</v>
      </c>
      <c r="J31" s="31">
        <f>J30+Cty_Thanh_Phat[[#This Row],[THÀNH TIỀN]]-Cty_Thanh_Phat[[#This Row],[THANH TOÁN]]</f>
        <v>842996500</v>
      </c>
      <c r="K31" s="24"/>
    </row>
    <row r="32" spans="1:11" x14ac:dyDescent="0.25">
      <c r="A32" s="22">
        <v>9448</v>
      </c>
      <c r="B32" s="29">
        <v>46160</v>
      </c>
      <c r="C32" s="23" t="s">
        <v>13</v>
      </c>
      <c r="D32" s="37" t="s">
        <v>17</v>
      </c>
      <c r="E32" s="23" t="s">
        <v>78</v>
      </c>
      <c r="F32" s="31">
        <v>3082</v>
      </c>
      <c r="G32" s="31">
        <v>67000</v>
      </c>
      <c r="H32" s="31">
        <f>Cty_Thanh_Phat[[#This Row],[ĐƠN GIÁ]]*Cty_Thanh_Phat[[#This Row],[SỐ LƯỢNG]]</f>
        <v>206494000</v>
      </c>
      <c r="I32" s="31"/>
      <c r="J32" s="31">
        <f>J31+Cty_Thanh_Phat[[#This Row],[THÀNH TIỀN]]-Cty_Thanh_Phat[[#This Row],[THANH TOÁN]]</f>
        <v>1049490500</v>
      </c>
      <c r="K32" s="24">
        <v>3130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B20F9-F79D-4969-94A1-DC36212F20D4}">
  <sheetPr codeName="Sheet101"/>
  <dimension ref="A5:K52"/>
  <sheetViews>
    <sheetView topLeftCell="A19" workbookViewId="0">
      <selection activeCell="G42" sqref="G42:G43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1458889978</v>
      </c>
    </row>
    <row r="6" spans="1:11" ht="22.5" x14ac:dyDescent="0.25">
      <c r="D6" s="34" t="s">
        <v>1224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E_My_Rua[[#This Row],[ĐƠN GIÁ]]*E_My_Rua[[#This Row],[SỐ LƯỢNG]]</f>
        <v>0</v>
      </c>
      <c r="I10" s="31"/>
      <c r="J10" s="31">
        <v>1149843478</v>
      </c>
      <c r="K10" s="24"/>
    </row>
    <row r="11" spans="1:11" x14ac:dyDescent="0.25">
      <c r="A11" s="22"/>
      <c r="B11" s="29">
        <v>46086</v>
      </c>
      <c r="C11" s="23" t="s">
        <v>21</v>
      </c>
      <c r="D11" s="37" t="s">
        <v>22</v>
      </c>
      <c r="E11" s="23" t="s">
        <v>83</v>
      </c>
      <c r="F11" s="31">
        <v>0</v>
      </c>
      <c r="G11" s="31">
        <v>0</v>
      </c>
      <c r="H11" s="31">
        <f>E_My_Rua[[#This Row],[ĐƠN GIÁ]]*E_My_Rua[[#This Row],[SỐ LƯỢNG]]</f>
        <v>0</v>
      </c>
      <c r="I11" s="31">
        <v>100000000</v>
      </c>
      <c r="J11" s="31">
        <f>J10+E_My_Rua[[#This Row],[THÀNH TIỀN]]-E_My_Rua[[#This Row],[THANH TOÁN]]</f>
        <v>1049843478</v>
      </c>
      <c r="K11" s="24"/>
    </row>
    <row r="12" spans="1:11" x14ac:dyDescent="0.25">
      <c r="A12" s="22"/>
      <c r="B12" s="29">
        <v>46092</v>
      </c>
      <c r="C12" s="23" t="s">
        <v>21</v>
      </c>
      <c r="D12" s="37" t="s">
        <v>22</v>
      </c>
      <c r="E12" s="23" t="s">
        <v>83</v>
      </c>
      <c r="F12" s="31">
        <v>0</v>
      </c>
      <c r="G12" s="31">
        <v>0</v>
      </c>
      <c r="H12" s="31">
        <f>E_My_Rua[[#This Row],[ĐƠN GIÁ]]*E_My_Rua[[#This Row],[SỐ LƯỢNG]]</f>
        <v>0</v>
      </c>
      <c r="I12" s="31">
        <v>150000000</v>
      </c>
      <c r="J12" s="31">
        <f>J11+E_My_Rua[[#This Row],[THÀNH TIỀN]]-E_My_Rua[[#This Row],[THANH TOÁN]]</f>
        <v>899843478</v>
      </c>
      <c r="K12" s="24"/>
    </row>
    <row r="13" spans="1:11" x14ac:dyDescent="0.25">
      <c r="A13" s="22">
        <v>8063</v>
      </c>
      <c r="B13" s="29">
        <v>46094</v>
      </c>
      <c r="C13" s="23" t="s">
        <v>13</v>
      </c>
      <c r="D13" s="38" t="s">
        <v>43</v>
      </c>
      <c r="E13" s="26" t="s">
        <v>1225</v>
      </c>
      <c r="F13" s="28">
        <v>140</v>
      </c>
      <c r="G13" s="28">
        <v>59000</v>
      </c>
      <c r="H13" s="28">
        <f>E_My_Rua[[#This Row],[ĐƠN GIÁ]]*E_My_Rua[[#This Row],[SỐ LƯỢNG]]</f>
        <v>8260000</v>
      </c>
      <c r="I13" s="28"/>
      <c r="J13" s="28">
        <f>J12+E_My_Rua[[#This Row],[THÀNH TIỀN]]-E_My_Rua[[#This Row],[THANH TOÁN]]</f>
        <v>908103478</v>
      </c>
      <c r="K13" s="27"/>
    </row>
    <row r="14" spans="1:11" x14ac:dyDescent="0.25">
      <c r="A14" s="25">
        <v>8063</v>
      </c>
      <c r="B14" s="30">
        <v>46094</v>
      </c>
      <c r="C14" s="26" t="s">
        <v>13</v>
      </c>
      <c r="D14" s="38" t="s">
        <v>43</v>
      </c>
      <c r="E14" s="26" t="s">
        <v>1226</v>
      </c>
      <c r="F14" s="28">
        <v>2819</v>
      </c>
      <c r="G14" s="28">
        <v>58000</v>
      </c>
      <c r="H14" s="28">
        <f>E_My_Rua[[#This Row],[ĐƠN GIÁ]]*E_My_Rua[[#This Row],[SỐ LƯỢNG]]</f>
        <v>163502000</v>
      </c>
      <c r="I14" s="28"/>
      <c r="J14" s="28">
        <f>J13+E_My_Rua[[#This Row],[THÀNH TIỀN]]-E_My_Rua[[#This Row],[THANH TOÁN]]</f>
        <v>1071605478</v>
      </c>
      <c r="K14" s="27"/>
    </row>
    <row r="15" spans="1:11" x14ac:dyDescent="0.25">
      <c r="A15" s="25">
        <v>8063</v>
      </c>
      <c r="B15" s="30">
        <v>46094</v>
      </c>
      <c r="C15" s="26" t="s">
        <v>13</v>
      </c>
      <c r="D15" s="38" t="s">
        <v>43</v>
      </c>
      <c r="E15" s="26" t="s">
        <v>1188</v>
      </c>
      <c r="F15" s="28">
        <f>1832+1545</f>
        <v>3377</v>
      </c>
      <c r="G15" s="28">
        <v>60000</v>
      </c>
      <c r="H15" s="28">
        <f>E_My_Rua[[#This Row],[ĐƠN GIÁ]]*E_My_Rua[[#This Row],[SỐ LƯỢNG]]</f>
        <v>202620000</v>
      </c>
      <c r="I15" s="28"/>
      <c r="J15" s="28">
        <f>J14+E_My_Rua[[#This Row],[THÀNH TIỀN]]-E_My_Rua[[#This Row],[THANH TOÁN]]</f>
        <v>1274225478</v>
      </c>
      <c r="K15" s="27"/>
    </row>
    <row r="16" spans="1:11" x14ac:dyDescent="0.25">
      <c r="A16" s="25">
        <v>8072</v>
      </c>
      <c r="B16" s="30">
        <v>46094</v>
      </c>
      <c r="C16" s="26" t="s">
        <v>13</v>
      </c>
      <c r="D16" s="38" t="s">
        <v>43</v>
      </c>
      <c r="E16" s="26" t="s">
        <v>62</v>
      </c>
      <c r="F16" s="28">
        <v>696</v>
      </c>
      <c r="G16" s="28">
        <v>59000</v>
      </c>
      <c r="H16" s="28">
        <f>E_My_Rua[[#This Row],[ĐƠN GIÁ]]*E_My_Rua[[#This Row],[SỐ LƯỢNG]]</f>
        <v>41064000</v>
      </c>
      <c r="I16" s="28"/>
      <c r="J16" s="28">
        <f>J15+E_My_Rua[[#This Row],[THÀNH TIỀN]]-E_My_Rua[[#This Row],[THANH TOÁN]]</f>
        <v>1315289478</v>
      </c>
      <c r="K16" s="27"/>
    </row>
    <row r="17" spans="1:11" x14ac:dyDescent="0.25">
      <c r="A17" s="25">
        <v>8063</v>
      </c>
      <c r="B17" s="30">
        <v>46094</v>
      </c>
      <c r="C17" s="26" t="s">
        <v>426</v>
      </c>
      <c r="D17" s="38" t="s">
        <v>43</v>
      </c>
      <c r="E17" s="26" t="s">
        <v>1188</v>
      </c>
      <c r="F17" s="28">
        <f>1832+1545</f>
        <v>3377</v>
      </c>
      <c r="G17" s="28">
        <v>-60000</v>
      </c>
      <c r="H17" s="28">
        <f>E_My_Rua[[#This Row],[ĐƠN GIÁ]]*E_My_Rua[[#This Row],[SỐ LƯỢNG]]</f>
        <v>-202620000</v>
      </c>
      <c r="I17" s="28"/>
      <c r="J17" s="28">
        <f>J16+E_My_Rua[[#This Row],[THÀNH TIỀN]]-E_My_Rua[[#This Row],[THANH TOÁN]]</f>
        <v>1112669478</v>
      </c>
      <c r="K17" s="27"/>
    </row>
    <row r="18" spans="1:11" x14ac:dyDescent="0.25">
      <c r="A18" s="25">
        <v>8262</v>
      </c>
      <c r="B18" s="30">
        <v>46100</v>
      </c>
      <c r="C18" s="26" t="s">
        <v>13</v>
      </c>
      <c r="D18" s="38" t="s">
        <v>43</v>
      </c>
      <c r="E18" s="26" t="s">
        <v>1225</v>
      </c>
      <c r="F18" s="28">
        <v>2320</v>
      </c>
      <c r="G18" s="28">
        <v>59000</v>
      </c>
      <c r="H18" s="28">
        <f>E_My_Rua[[#This Row],[ĐƠN GIÁ]]*E_My_Rua[[#This Row],[SỐ LƯỢNG]]</f>
        <v>136880000</v>
      </c>
      <c r="I18" s="28"/>
      <c r="J18" s="28">
        <f>J17+E_My_Rua[[#This Row],[THÀNH TIỀN]]-E_My_Rua[[#This Row],[THANH TOÁN]]</f>
        <v>1249549478</v>
      </c>
      <c r="K18" s="27"/>
    </row>
    <row r="19" spans="1:11" x14ac:dyDescent="0.25">
      <c r="A19" s="22"/>
      <c r="B19" s="29">
        <v>46101</v>
      </c>
      <c r="C19" s="23" t="s">
        <v>21</v>
      </c>
      <c r="D19" s="37" t="s">
        <v>24</v>
      </c>
      <c r="E19" s="23"/>
      <c r="F19" s="31">
        <v>0</v>
      </c>
      <c r="G19" s="31"/>
      <c r="H19" s="31">
        <f>E_My_Rua[[#This Row],[ĐƠN GIÁ]]*E_My_Rua[[#This Row],[SỐ LƯỢNG]]</f>
        <v>0</v>
      </c>
      <c r="I19" s="31">
        <v>180000000</v>
      </c>
      <c r="J19" s="31">
        <f>J18+E_My_Rua[[#This Row],[THÀNH TIỀN]]-E_My_Rua[[#This Row],[THANH TOÁN]]</f>
        <v>1069549478</v>
      </c>
      <c r="K19" s="24"/>
    </row>
    <row r="20" spans="1:11" x14ac:dyDescent="0.25">
      <c r="A20" s="22"/>
      <c r="B20" s="29">
        <v>46109</v>
      </c>
      <c r="C20" s="23" t="s">
        <v>21</v>
      </c>
      <c r="D20" s="37" t="s">
        <v>22</v>
      </c>
      <c r="E20" s="23" t="s">
        <v>2580</v>
      </c>
      <c r="F20" s="31">
        <v>0</v>
      </c>
      <c r="G20" s="31">
        <v>0</v>
      </c>
      <c r="H20" s="31">
        <f>E_My_Rua[[#This Row],[ĐƠN GIÁ]]*E_My_Rua[[#This Row],[SỐ LƯỢNG]]</f>
        <v>0</v>
      </c>
      <c r="I20" s="31">
        <v>100000000</v>
      </c>
      <c r="J20" s="31">
        <f>J19+E_My_Rua[[#This Row],[THÀNH TIỀN]]-E_My_Rua[[#This Row],[THANH TOÁN]]</f>
        <v>969549478</v>
      </c>
      <c r="K20" s="24"/>
    </row>
    <row r="21" spans="1:11" x14ac:dyDescent="0.25">
      <c r="A21" s="22"/>
      <c r="B21" s="29">
        <v>46118</v>
      </c>
      <c r="C21" s="23" t="s">
        <v>21</v>
      </c>
      <c r="D21" s="37" t="s">
        <v>24</v>
      </c>
      <c r="E21" s="23"/>
      <c r="F21" s="31">
        <v>0</v>
      </c>
      <c r="G21" s="31"/>
      <c r="H21" s="31">
        <f>E_My_Rua[[#This Row],[ĐƠN GIÁ]]*E_My_Rua[[#This Row],[SỐ LƯỢNG]]</f>
        <v>0</v>
      </c>
      <c r="I21" s="31">
        <v>120000000</v>
      </c>
      <c r="J21" s="31">
        <f>J20+E_My_Rua[[#This Row],[THÀNH TIỀN]]-E_My_Rua[[#This Row],[THANH TOÁN]]</f>
        <v>849549478</v>
      </c>
      <c r="K21" s="24"/>
    </row>
    <row r="22" spans="1:11" x14ac:dyDescent="0.25">
      <c r="A22" s="22">
        <v>8694</v>
      </c>
      <c r="B22" s="29">
        <v>46123</v>
      </c>
      <c r="C22" s="23" t="s">
        <v>13</v>
      </c>
      <c r="D22" s="37" t="s">
        <v>45</v>
      </c>
      <c r="E22" s="23" t="s">
        <v>215</v>
      </c>
      <c r="F22" s="31">
        <v>1964</v>
      </c>
      <c r="G22" s="31">
        <v>34000</v>
      </c>
      <c r="H22" s="31">
        <f>E_My_Rua[[#This Row],[ĐƠN GIÁ]]*E_My_Rua[[#This Row],[SỐ LƯỢNG]]</f>
        <v>66776000</v>
      </c>
      <c r="I22" s="31"/>
      <c r="J22" s="31">
        <f>J21+E_My_Rua[[#This Row],[THÀNH TIỀN]]-E_My_Rua[[#This Row],[THANH TOÁN]]</f>
        <v>916325478</v>
      </c>
      <c r="K22" s="24"/>
    </row>
    <row r="23" spans="1:11" x14ac:dyDescent="0.25">
      <c r="A23" s="22">
        <v>8694</v>
      </c>
      <c r="B23" s="29">
        <v>46123</v>
      </c>
      <c r="C23" s="23" t="s">
        <v>13</v>
      </c>
      <c r="D23" s="37" t="s">
        <v>1227</v>
      </c>
      <c r="E23" s="23" t="s">
        <v>215</v>
      </c>
      <c r="F23" s="31">
        <v>1186</v>
      </c>
      <c r="G23" s="31">
        <v>34000</v>
      </c>
      <c r="H23" s="31">
        <f>E_My_Rua[[#This Row],[ĐƠN GIÁ]]*E_My_Rua[[#This Row],[SỐ LƯỢNG]]</f>
        <v>40324000</v>
      </c>
      <c r="I23" s="31"/>
      <c r="J23" s="31">
        <f>J22+E_My_Rua[[#This Row],[THÀNH TIỀN]]-E_My_Rua[[#This Row],[THANH TOÁN]]</f>
        <v>956649478</v>
      </c>
      <c r="K23" s="24"/>
    </row>
    <row r="24" spans="1:11" x14ac:dyDescent="0.25">
      <c r="A24" s="22">
        <v>8694</v>
      </c>
      <c r="B24" s="29">
        <v>46123</v>
      </c>
      <c r="C24" s="23" t="s">
        <v>13</v>
      </c>
      <c r="D24" s="37" t="s">
        <v>1227</v>
      </c>
      <c r="E24" s="23" t="s">
        <v>1228</v>
      </c>
      <c r="F24" s="31">
        <v>1186</v>
      </c>
      <c r="G24" s="31">
        <v>3500</v>
      </c>
      <c r="H24" s="31">
        <f>E_My_Rua[[#This Row],[ĐƠN GIÁ]]*E_My_Rua[[#This Row],[SỐ LƯỢNG]]</f>
        <v>4151000</v>
      </c>
      <c r="I24" s="31"/>
      <c r="J24" s="31">
        <f>J23+E_My_Rua[[#This Row],[THÀNH TIỀN]]-E_My_Rua[[#This Row],[THANH TOÁN]]</f>
        <v>960800478</v>
      </c>
      <c r="K24" s="24"/>
    </row>
    <row r="25" spans="1:11" x14ac:dyDescent="0.25">
      <c r="A25" s="22"/>
      <c r="B25" s="29">
        <v>46128</v>
      </c>
      <c r="C25" s="23" t="s">
        <v>21</v>
      </c>
      <c r="D25" s="37" t="s">
        <v>24</v>
      </c>
      <c r="E25" s="23"/>
      <c r="F25" s="31">
        <v>0</v>
      </c>
      <c r="G25" s="31"/>
      <c r="H25" s="31">
        <f>E_My_Rua[[#This Row],[ĐƠN GIÁ]]*E_My_Rua[[#This Row],[SỐ LƯỢNG]]</f>
        <v>0</v>
      </c>
      <c r="I25" s="31">
        <v>200000000</v>
      </c>
      <c r="J25" s="31">
        <f>J24+E_My_Rua[[#This Row],[THÀNH TIỀN]]-E_My_Rua[[#This Row],[THANH TOÁN]]</f>
        <v>760800478</v>
      </c>
      <c r="K25" s="24"/>
    </row>
    <row r="26" spans="1:11" x14ac:dyDescent="0.25">
      <c r="A26" s="22">
        <v>8861</v>
      </c>
      <c r="B26" s="29">
        <v>46129</v>
      </c>
      <c r="C26" s="23" t="s">
        <v>13</v>
      </c>
      <c r="D26" s="37" t="s">
        <v>50</v>
      </c>
      <c r="E26" s="23" t="s">
        <v>185</v>
      </c>
      <c r="F26" s="31">
        <v>1196</v>
      </c>
      <c r="G26" s="31">
        <v>59500</v>
      </c>
      <c r="H26" s="31">
        <f>E_My_Rua[[#This Row],[ĐƠN GIÁ]]*E_My_Rua[[#This Row],[SỐ LƯỢNG]]</f>
        <v>71162000</v>
      </c>
      <c r="I26" s="31"/>
      <c r="J26" s="31">
        <f>J25+E_My_Rua[[#This Row],[THÀNH TIỀN]]-E_My_Rua[[#This Row],[THANH TOÁN]]</f>
        <v>831962478</v>
      </c>
      <c r="K26" s="24"/>
    </row>
    <row r="27" spans="1:11" x14ac:dyDescent="0.25">
      <c r="A27" s="22"/>
      <c r="B27" s="29">
        <v>46132</v>
      </c>
      <c r="C27" s="23" t="s">
        <v>21</v>
      </c>
      <c r="D27" s="37" t="s">
        <v>22</v>
      </c>
      <c r="E27" s="23" t="s">
        <v>727</v>
      </c>
      <c r="F27" s="31">
        <v>0</v>
      </c>
      <c r="G27" s="31"/>
      <c r="H27" s="31">
        <f>E_My_Rua[[#This Row],[ĐƠN GIÁ]]*E_My_Rua[[#This Row],[SỐ LƯỢNG]]</f>
        <v>0</v>
      </c>
      <c r="I27" s="31">
        <v>41634000</v>
      </c>
      <c r="J27" s="31">
        <f>J26+E_My_Rua[[#This Row],[THÀNH TIỀN]]-E_My_Rua[[#This Row],[THANH TOÁN]]</f>
        <v>790328478</v>
      </c>
      <c r="K27" s="24"/>
    </row>
    <row r="28" spans="1:11" x14ac:dyDescent="0.25">
      <c r="A28" s="22">
        <v>8968</v>
      </c>
      <c r="B28" s="29">
        <v>46135</v>
      </c>
      <c r="C28" s="23" t="s">
        <v>13</v>
      </c>
      <c r="D28" s="37" t="s">
        <v>77</v>
      </c>
      <c r="E28" s="23" t="s">
        <v>807</v>
      </c>
      <c r="F28" s="31">
        <v>3312</v>
      </c>
      <c r="G28" s="31">
        <v>30000</v>
      </c>
      <c r="H28" s="31">
        <f>E_My_Rua[[#This Row],[ĐƠN GIÁ]]*E_My_Rua[[#This Row],[SỐ LƯỢNG]]</f>
        <v>99360000</v>
      </c>
      <c r="I28" s="31"/>
      <c r="J28" s="31">
        <f>J27+E_My_Rua[[#This Row],[THÀNH TIỀN]]-E_My_Rua[[#This Row],[THANH TOÁN]]</f>
        <v>889688478</v>
      </c>
      <c r="K28" s="24"/>
    </row>
    <row r="29" spans="1:11" x14ac:dyDescent="0.25">
      <c r="A29" s="22">
        <v>8968</v>
      </c>
      <c r="B29" s="29">
        <v>46135</v>
      </c>
      <c r="C29" s="23" t="s">
        <v>13</v>
      </c>
      <c r="D29" s="37" t="s">
        <v>77</v>
      </c>
      <c r="E29" s="23" t="s">
        <v>803</v>
      </c>
      <c r="F29" s="31">
        <v>162</v>
      </c>
      <c r="G29" s="31">
        <v>32000</v>
      </c>
      <c r="H29" s="31">
        <f>E_My_Rua[[#This Row],[ĐƠN GIÁ]]*E_My_Rua[[#This Row],[SỐ LƯỢNG]]</f>
        <v>5184000</v>
      </c>
      <c r="I29" s="31"/>
      <c r="J29" s="31">
        <f>J28+E_My_Rua[[#This Row],[THÀNH TIỀN]]-E_My_Rua[[#This Row],[THANH TOÁN]]</f>
        <v>894872478</v>
      </c>
      <c r="K29" s="24"/>
    </row>
    <row r="30" spans="1:11" x14ac:dyDescent="0.25">
      <c r="A30" s="22">
        <v>8968</v>
      </c>
      <c r="B30" s="29">
        <v>46135</v>
      </c>
      <c r="C30" s="23" t="s">
        <v>13</v>
      </c>
      <c r="D30" s="37" t="s">
        <v>77</v>
      </c>
      <c r="E30" s="23" t="s">
        <v>1799</v>
      </c>
      <c r="F30" s="31">
        <v>112</v>
      </c>
      <c r="G30" s="31">
        <v>32000</v>
      </c>
      <c r="H30" s="31">
        <f>E_My_Rua[[#This Row],[ĐƠN GIÁ]]*E_My_Rua[[#This Row],[SỐ LƯỢNG]]</f>
        <v>3584000</v>
      </c>
      <c r="I30" s="31"/>
      <c r="J30" s="31">
        <f>J29+E_My_Rua[[#This Row],[THÀNH TIỀN]]-E_My_Rua[[#This Row],[THANH TOÁN]]</f>
        <v>898456478</v>
      </c>
      <c r="K30" s="24"/>
    </row>
    <row r="31" spans="1:11" x14ac:dyDescent="0.25">
      <c r="A31" s="22"/>
      <c r="B31" s="29">
        <v>46136</v>
      </c>
      <c r="C31" s="23" t="s">
        <v>21</v>
      </c>
      <c r="D31" s="37" t="s">
        <v>22</v>
      </c>
      <c r="E31" s="23" t="s">
        <v>83</v>
      </c>
      <c r="F31" s="31">
        <v>0</v>
      </c>
      <c r="G31" s="31"/>
      <c r="H31" s="31">
        <f>E_My_Rua[[#This Row],[ĐƠN GIÁ]]*E_My_Rua[[#This Row],[SỐ LƯỢNG]]</f>
        <v>0</v>
      </c>
      <c r="I31" s="31">
        <v>100000000</v>
      </c>
      <c r="J31" s="31">
        <f>J30+E_My_Rua[[#This Row],[THÀNH TIỀN]]-E_My_Rua[[#This Row],[THANH TOÁN]]</f>
        <v>798456478</v>
      </c>
      <c r="K31" s="24"/>
    </row>
    <row r="32" spans="1:11" x14ac:dyDescent="0.25">
      <c r="A32" s="22">
        <v>9060</v>
      </c>
      <c r="B32" s="29">
        <v>46139</v>
      </c>
      <c r="C32" s="23" t="s">
        <v>13</v>
      </c>
      <c r="D32" s="37" t="s">
        <v>17</v>
      </c>
      <c r="E32" s="23" t="s">
        <v>40</v>
      </c>
      <c r="F32" s="31">
        <v>684</v>
      </c>
      <c r="G32" s="31">
        <v>65000</v>
      </c>
      <c r="H32" s="31">
        <f>E_My_Rua[[#This Row],[ĐƠN GIÁ]]*E_My_Rua[[#This Row],[SỐ LƯỢNG]]</f>
        <v>44460000</v>
      </c>
      <c r="I32" s="31"/>
      <c r="J32" s="31">
        <f>J31+E_My_Rua[[#This Row],[THÀNH TIỀN]]-E_My_Rua[[#This Row],[THANH TOÁN]]</f>
        <v>842916478</v>
      </c>
      <c r="K32" s="24"/>
    </row>
    <row r="33" spans="1:11" x14ac:dyDescent="0.25">
      <c r="A33" s="22">
        <v>9060</v>
      </c>
      <c r="B33" s="29">
        <v>46139</v>
      </c>
      <c r="C33" s="23" t="s">
        <v>13</v>
      </c>
      <c r="D33" s="37" t="s">
        <v>32</v>
      </c>
      <c r="E33" s="23" t="s">
        <v>78</v>
      </c>
      <c r="F33" s="31">
        <v>489</v>
      </c>
      <c r="G33" s="31">
        <v>41000</v>
      </c>
      <c r="H33" s="31">
        <f>E_My_Rua[[#This Row],[ĐƠN GIÁ]]*E_My_Rua[[#This Row],[SỐ LƯỢNG]]</f>
        <v>20049000</v>
      </c>
      <c r="I33" s="31"/>
      <c r="J33" s="31">
        <f>J32+E_My_Rua[[#This Row],[THÀNH TIỀN]]-E_My_Rua[[#This Row],[THANH TOÁN]]</f>
        <v>862965478</v>
      </c>
      <c r="K33" s="24"/>
    </row>
    <row r="34" spans="1:11" x14ac:dyDescent="0.25">
      <c r="A34" s="22"/>
      <c r="B34" s="29">
        <v>46141</v>
      </c>
      <c r="C34" s="23" t="s">
        <v>21</v>
      </c>
      <c r="D34" s="37" t="s">
        <v>22</v>
      </c>
      <c r="E34" s="23" t="s">
        <v>83</v>
      </c>
      <c r="F34" s="31">
        <v>0</v>
      </c>
      <c r="G34" s="31"/>
      <c r="H34" s="31">
        <f>E_My_Rua[[#This Row],[ĐƠN GIÁ]]*E_My_Rua[[#This Row],[SỐ LƯỢNG]]</f>
        <v>0</v>
      </c>
      <c r="I34" s="31">
        <v>100000000</v>
      </c>
      <c r="J34" s="31">
        <f>J33+E_My_Rua[[#This Row],[THÀNH TIỀN]]-E_My_Rua[[#This Row],[THANH TOÁN]]</f>
        <v>762965478</v>
      </c>
      <c r="K34" s="24"/>
    </row>
    <row r="35" spans="1:11" x14ac:dyDescent="0.25">
      <c r="A35" s="22">
        <v>9188</v>
      </c>
      <c r="B35" s="29">
        <v>46147</v>
      </c>
      <c r="C35" s="23" t="s">
        <v>13</v>
      </c>
      <c r="D35" s="37" t="s">
        <v>43</v>
      </c>
      <c r="E35" s="23" t="s">
        <v>40</v>
      </c>
      <c r="F35" s="31">
        <v>210</v>
      </c>
      <c r="G35" s="31">
        <v>63000</v>
      </c>
      <c r="H35" s="31">
        <f>E_My_Rua[[#This Row],[ĐƠN GIÁ]]*E_My_Rua[[#This Row],[SỐ LƯỢNG]]</f>
        <v>13230000</v>
      </c>
      <c r="I35" s="31"/>
      <c r="J35" s="31">
        <f>J34+E_My_Rua[[#This Row],[THÀNH TIỀN]]-E_My_Rua[[#This Row],[THANH TOÁN]]</f>
        <v>776195478</v>
      </c>
      <c r="K35" s="24"/>
    </row>
    <row r="36" spans="1:11" x14ac:dyDescent="0.25">
      <c r="A36" s="22">
        <v>9319</v>
      </c>
      <c r="B36" s="29">
        <v>46153</v>
      </c>
      <c r="C36" s="23" t="s">
        <v>13</v>
      </c>
      <c r="D36" s="37" t="s">
        <v>32</v>
      </c>
      <c r="E36" s="23" t="s">
        <v>78</v>
      </c>
      <c r="F36" s="31">
        <v>502</v>
      </c>
      <c r="G36" s="31">
        <v>41000</v>
      </c>
      <c r="H36" s="31">
        <f>E_My_Rua[[#This Row],[ĐƠN GIÁ]]*E_My_Rua[[#This Row],[SỐ LƯỢNG]]</f>
        <v>20582000</v>
      </c>
      <c r="I36" s="31"/>
      <c r="J36" s="31">
        <f>J35+E_My_Rua[[#This Row],[THÀNH TIỀN]]-E_My_Rua[[#This Row],[THANH TOÁN]]</f>
        <v>796777478</v>
      </c>
      <c r="K36" s="24"/>
    </row>
    <row r="37" spans="1:11" x14ac:dyDescent="0.25">
      <c r="A37" s="22">
        <v>9319</v>
      </c>
      <c r="B37" s="29">
        <v>46153</v>
      </c>
      <c r="C37" s="23" t="s">
        <v>13</v>
      </c>
      <c r="D37" s="37" t="s">
        <v>43</v>
      </c>
      <c r="E37" s="23" t="s">
        <v>40</v>
      </c>
      <c r="F37" s="31">
        <v>839</v>
      </c>
      <c r="G37" s="31">
        <v>65000</v>
      </c>
      <c r="H37" s="31">
        <f>E_My_Rua[[#This Row],[ĐƠN GIÁ]]*E_My_Rua[[#This Row],[SỐ LƯỢNG]]</f>
        <v>54535000</v>
      </c>
      <c r="I37" s="31"/>
      <c r="J37" s="31">
        <f>J36+E_My_Rua[[#This Row],[THÀNH TIỀN]]-E_My_Rua[[#This Row],[THANH TOÁN]]</f>
        <v>851312478</v>
      </c>
      <c r="K37" s="24"/>
    </row>
    <row r="38" spans="1:11" x14ac:dyDescent="0.25">
      <c r="A38" s="22">
        <v>9319</v>
      </c>
      <c r="B38" s="29">
        <v>46153</v>
      </c>
      <c r="C38" s="23" t="s">
        <v>13</v>
      </c>
      <c r="D38" s="37" t="s">
        <v>32</v>
      </c>
      <c r="E38" s="23" t="s">
        <v>78</v>
      </c>
      <c r="F38" s="31">
        <v>486</v>
      </c>
      <c r="G38" s="31">
        <v>41000</v>
      </c>
      <c r="H38" s="31">
        <f>E_My_Rua[[#This Row],[ĐƠN GIÁ]]*E_My_Rua[[#This Row],[SỐ LƯỢNG]]</f>
        <v>19926000</v>
      </c>
      <c r="I38" s="31"/>
      <c r="J38" s="31">
        <f>J37+E_My_Rua[[#This Row],[THÀNH TIỀN]]-E_My_Rua[[#This Row],[THANH TOÁN]]</f>
        <v>871238478</v>
      </c>
      <c r="K38" s="24"/>
    </row>
    <row r="39" spans="1:11" x14ac:dyDescent="0.25">
      <c r="A39" s="22"/>
      <c r="B39" s="29">
        <v>46153</v>
      </c>
      <c r="C39" s="23" t="s">
        <v>21</v>
      </c>
      <c r="D39" s="37" t="s">
        <v>24</v>
      </c>
      <c r="E39" s="23"/>
      <c r="F39" s="31">
        <v>0</v>
      </c>
      <c r="G39" s="31"/>
      <c r="H39" s="31">
        <f>E_My_Rua[[#This Row],[ĐƠN GIÁ]]*E_My_Rua[[#This Row],[SỐ LƯỢNG]]</f>
        <v>0</v>
      </c>
      <c r="I39" s="31">
        <v>100000000</v>
      </c>
      <c r="J39" s="31">
        <f>J38+E_My_Rua[[#This Row],[THÀNH TIỀN]]-E_My_Rua[[#This Row],[THANH TOÁN]]</f>
        <v>771238478</v>
      </c>
      <c r="K39" s="24"/>
    </row>
    <row r="40" spans="1:11" x14ac:dyDescent="0.25">
      <c r="A40" s="22">
        <v>9344</v>
      </c>
      <c r="B40" s="29">
        <v>46154</v>
      </c>
      <c r="C40" s="23" t="s">
        <v>13</v>
      </c>
      <c r="D40" s="37" t="s">
        <v>32</v>
      </c>
      <c r="E40" s="23" t="s">
        <v>78</v>
      </c>
      <c r="F40" s="31">
        <v>1638</v>
      </c>
      <c r="G40" s="31">
        <v>41000</v>
      </c>
      <c r="H40" s="31">
        <f>E_My_Rua[[#This Row],[ĐƠN GIÁ]]*E_My_Rua[[#This Row],[SỐ LƯỢNG]]</f>
        <v>67158000</v>
      </c>
      <c r="I40" s="31"/>
      <c r="J40" s="31">
        <f>J39+E_My_Rua[[#This Row],[THÀNH TIỀN]]-E_My_Rua[[#This Row],[THANH TOÁN]]</f>
        <v>838396478</v>
      </c>
      <c r="K40" s="24"/>
    </row>
    <row r="41" spans="1:11" x14ac:dyDescent="0.25">
      <c r="A41" s="22">
        <v>9344</v>
      </c>
      <c r="B41" s="29">
        <v>46154</v>
      </c>
      <c r="C41" s="23" t="s">
        <v>13</v>
      </c>
      <c r="D41" s="37" t="s">
        <v>43</v>
      </c>
      <c r="E41" s="23" t="s">
        <v>2061</v>
      </c>
      <c r="F41" s="31">
        <v>517</v>
      </c>
      <c r="G41" s="31">
        <v>62000</v>
      </c>
      <c r="H41" s="31">
        <f>E_My_Rua[[#This Row],[ĐƠN GIÁ]]*E_My_Rua[[#This Row],[SỐ LƯỢNG]]</f>
        <v>32054000</v>
      </c>
      <c r="I41" s="31"/>
      <c r="J41" s="31">
        <f>J40+E_My_Rua[[#This Row],[THÀNH TIỀN]]-E_My_Rua[[#This Row],[THANH TOÁN]]</f>
        <v>870450478</v>
      </c>
      <c r="K41" s="24"/>
    </row>
    <row r="42" spans="1:11" x14ac:dyDescent="0.25">
      <c r="A42" s="22">
        <v>9344</v>
      </c>
      <c r="B42" s="29">
        <v>46154</v>
      </c>
      <c r="C42" s="23" t="s">
        <v>166</v>
      </c>
      <c r="D42" s="37" t="s">
        <v>43</v>
      </c>
      <c r="E42" s="23" t="s">
        <v>40</v>
      </c>
      <c r="F42" s="31">
        <v>170</v>
      </c>
      <c r="G42" s="31">
        <v>-65000</v>
      </c>
      <c r="H42" s="31">
        <f>E_My_Rua[[#This Row],[ĐƠN GIÁ]]*E_My_Rua[[#This Row],[SỐ LƯỢNG]]</f>
        <v>-11050000</v>
      </c>
      <c r="I42" s="31"/>
      <c r="J42" s="31">
        <f>J41+E_My_Rua[[#This Row],[THÀNH TIỀN]]-E_My_Rua[[#This Row],[THANH TOÁN]]</f>
        <v>859400478</v>
      </c>
      <c r="K42" s="24"/>
    </row>
    <row r="43" spans="1:11" x14ac:dyDescent="0.25">
      <c r="A43" s="22">
        <v>9344</v>
      </c>
      <c r="B43" s="29">
        <v>46154</v>
      </c>
      <c r="C43" s="23" t="s">
        <v>166</v>
      </c>
      <c r="D43" s="37" t="s">
        <v>2062</v>
      </c>
      <c r="E43" s="23" t="s">
        <v>2063</v>
      </c>
      <c r="F43" s="31">
        <v>189</v>
      </c>
      <c r="G43" s="31">
        <v>-32000</v>
      </c>
      <c r="H43" s="31">
        <f>E_My_Rua[[#This Row],[ĐƠN GIÁ]]*E_My_Rua[[#This Row],[SỐ LƯỢNG]]</f>
        <v>-6048000</v>
      </c>
      <c r="I43" s="31"/>
      <c r="J43" s="31">
        <f>J42+E_My_Rua[[#This Row],[THÀNH TIỀN]]-E_My_Rua[[#This Row],[THANH TOÁN]]</f>
        <v>853352478</v>
      </c>
      <c r="K43" s="24"/>
    </row>
    <row r="44" spans="1:11" x14ac:dyDescent="0.25">
      <c r="A44" s="22">
        <v>9512</v>
      </c>
      <c r="B44" s="29">
        <v>46162</v>
      </c>
      <c r="C44" s="23" t="s">
        <v>13</v>
      </c>
      <c r="D44" s="37" t="s">
        <v>135</v>
      </c>
      <c r="E44" s="23" t="s">
        <v>134</v>
      </c>
      <c r="F44" s="31">
        <v>1475</v>
      </c>
      <c r="G44" s="31">
        <v>37500</v>
      </c>
      <c r="H44" s="31">
        <f>E_My_Rua[[#This Row],[ĐƠN GIÁ]]*E_My_Rua[[#This Row],[SỐ LƯỢNG]]</f>
        <v>55312500</v>
      </c>
      <c r="I44" s="31"/>
      <c r="J44" s="31">
        <f>J43+E_My_Rua[[#This Row],[THÀNH TIỀN]]-E_My_Rua[[#This Row],[THANH TOÁN]]</f>
        <v>908664978</v>
      </c>
      <c r="K44" s="24"/>
    </row>
    <row r="45" spans="1:11" x14ac:dyDescent="0.25">
      <c r="A45" s="22">
        <v>9512</v>
      </c>
      <c r="B45" s="29">
        <v>46162</v>
      </c>
      <c r="C45" s="23" t="s">
        <v>13</v>
      </c>
      <c r="D45" s="37" t="s">
        <v>68</v>
      </c>
      <c r="E45" s="23" t="s">
        <v>185</v>
      </c>
      <c r="F45" s="31">
        <v>294</v>
      </c>
      <c r="G45" s="31">
        <v>42500</v>
      </c>
      <c r="H45" s="31">
        <f>E_My_Rua[[#This Row],[ĐƠN GIÁ]]*E_My_Rua[[#This Row],[SỐ LƯỢNG]]</f>
        <v>12495000</v>
      </c>
      <c r="I45" s="31"/>
      <c r="J45" s="31">
        <f>J44+E_My_Rua[[#This Row],[THÀNH TIỀN]]-E_My_Rua[[#This Row],[THANH TOÁN]]</f>
        <v>921159978</v>
      </c>
      <c r="K45" s="24"/>
    </row>
    <row r="46" spans="1:11" x14ac:dyDescent="0.25">
      <c r="A46" s="22"/>
      <c r="B46" s="70">
        <v>46163</v>
      </c>
      <c r="C46" s="53" t="s">
        <v>21</v>
      </c>
      <c r="D46" s="46" t="s">
        <v>22</v>
      </c>
      <c r="E46" s="43" t="s">
        <v>147</v>
      </c>
      <c r="F46" s="44"/>
      <c r="G46" s="44"/>
      <c r="H46" s="44">
        <f>E_My_Rua[[#This Row],[ĐƠN GIÁ]]*E_My_Rua[[#This Row],[SỐ LƯỢNG]]</f>
        <v>0</v>
      </c>
      <c r="I46" s="44">
        <v>302692500</v>
      </c>
      <c r="J46" s="31">
        <f>J45+E_My_Rua[[#This Row],[THÀNH TIỀN]]-E_My_Rua[[#This Row],[THANH TOÁN]]</f>
        <v>618467478</v>
      </c>
      <c r="K46" s="24"/>
    </row>
    <row r="47" spans="1:11" x14ac:dyDescent="0.25">
      <c r="A47" s="22">
        <v>9642</v>
      </c>
      <c r="B47" s="29">
        <v>46169</v>
      </c>
      <c r="C47" s="23" t="s">
        <v>13</v>
      </c>
      <c r="D47" s="37" t="s">
        <v>17</v>
      </c>
      <c r="E47" s="23" t="s">
        <v>78</v>
      </c>
      <c r="F47" s="31">
        <v>1067</v>
      </c>
      <c r="G47" s="31">
        <v>65500</v>
      </c>
      <c r="H47" s="31">
        <f>E_My_Rua[[#This Row],[ĐƠN GIÁ]]*E_My_Rua[[#This Row],[SỐ LƯỢNG]]</f>
        <v>69888500</v>
      </c>
      <c r="I47" s="31"/>
      <c r="J47" s="31">
        <f>J46+E_My_Rua[[#This Row],[THÀNH TIỀN]]-E_My_Rua[[#This Row],[THANH TOÁN]]</f>
        <v>688355978</v>
      </c>
      <c r="K47" s="24"/>
    </row>
    <row r="48" spans="1:11" x14ac:dyDescent="0.25">
      <c r="A48" s="25">
        <v>9642</v>
      </c>
      <c r="B48" s="30">
        <v>46169</v>
      </c>
      <c r="C48" s="26" t="s">
        <v>13</v>
      </c>
      <c r="D48" s="38" t="s">
        <v>17</v>
      </c>
      <c r="E48" s="26" t="s">
        <v>62</v>
      </c>
      <c r="F48" s="28">
        <v>1873</v>
      </c>
      <c r="G48" s="28">
        <v>65000</v>
      </c>
      <c r="H48" s="28">
        <f>E_My_Rua[[#This Row],[ĐƠN GIÁ]]*E_My_Rua[[#This Row],[SỐ LƯỢNG]]</f>
        <v>121745000</v>
      </c>
      <c r="I48" s="28"/>
      <c r="J48" s="28">
        <f>J47+E_My_Rua[[#This Row],[THÀNH TIỀN]]-E_My_Rua[[#This Row],[THANH TOÁN]]</f>
        <v>810100978</v>
      </c>
      <c r="K48" s="27"/>
    </row>
    <row r="49" spans="1:11" x14ac:dyDescent="0.25">
      <c r="A49" s="22">
        <v>9642</v>
      </c>
      <c r="B49" s="29">
        <v>46169</v>
      </c>
      <c r="C49" s="23" t="s">
        <v>13</v>
      </c>
      <c r="D49" s="37" t="s">
        <v>68</v>
      </c>
      <c r="E49" s="23" t="s">
        <v>148</v>
      </c>
      <c r="F49" s="31">
        <v>962</v>
      </c>
      <c r="G49" s="31">
        <v>42500</v>
      </c>
      <c r="H49" s="31">
        <f>E_My_Rua[[#This Row],[ĐƠN GIÁ]]*E_My_Rua[[#This Row],[SỐ LƯỢNG]]</f>
        <v>40885000</v>
      </c>
      <c r="I49" s="31"/>
      <c r="J49" s="31">
        <f>J48+E_My_Rua[[#This Row],[THÀNH TIỀN]]-E_My_Rua[[#This Row],[THANH TOÁN]]</f>
        <v>850985978</v>
      </c>
      <c r="K49" s="24"/>
    </row>
    <row r="50" spans="1:11" x14ac:dyDescent="0.25">
      <c r="A50" s="22">
        <v>9642</v>
      </c>
      <c r="B50" s="29">
        <v>46169</v>
      </c>
      <c r="C50" s="23" t="s">
        <v>166</v>
      </c>
      <c r="D50" s="37" t="s">
        <v>317</v>
      </c>
      <c r="E50" s="23" t="s">
        <v>62</v>
      </c>
      <c r="F50" s="31">
        <v>542</v>
      </c>
      <c r="G50" s="31">
        <v>-65000</v>
      </c>
      <c r="H50" s="31">
        <f>E_My_Rua[[#This Row],[ĐƠN GIÁ]]*E_My_Rua[[#This Row],[SỐ LƯỢNG]]</f>
        <v>-35230000</v>
      </c>
      <c r="I50" s="31"/>
      <c r="J50" s="31">
        <f>J49+E_My_Rua[[#This Row],[THÀNH TIỀN]]-E_My_Rua[[#This Row],[THANH TOÁN]]</f>
        <v>815755978</v>
      </c>
      <c r="K50" s="24"/>
    </row>
    <row r="51" spans="1:11" x14ac:dyDescent="0.25">
      <c r="A51" s="25">
        <v>9656</v>
      </c>
      <c r="B51" s="30">
        <v>46169</v>
      </c>
      <c r="C51" s="26" t="s">
        <v>13</v>
      </c>
      <c r="D51" s="38" t="s">
        <v>43</v>
      </c>
      <c r="E51" s="26" t="s">
        <v>78</v>
      </c>
      <c r="F51" s="28">
        <v>697</v>
      </c>
      <c r="G51" s="28">
        <v>63000</v>
      </c>
      <c r="H51" s="28">
        <f>E_My_Rua[[#This Row],[ĐƠN GIÁ]]*E_My_Rua[[#This Row],[SỐ LƯỢNG]]</f>
        <v>43911000</v>
      </c>
      <c r="I51" s="28"/>
      <c r="J51" s="28">
        <f>J50+E_My_Rua[[#This Row],[THÀNH TIỀN]]-E_My_Rua[[#This Row],[THANH TOÁN]]</f>
        <v>859666978</v>
      </c>
      <c r="K51" s="27"/>
    </row>
    <row r="52" spans="1:11" x14ac:dyDescent="0.25">
      <c r="A52" s="25">
        <v>9742</v>
      </c>
      <c r="B52" s="30">
        <v>46174</v>
      </c>
      <c r="C52" s="26" t="s">
        <v>13</v>
      </c>
      <c r="D52" s="38" t="s">
        <v>43</v>
      </c>
      <c r="E52" s="26" t="s">
        <v>2546</v>
      </c>
      <c r="F52" s="28">
        <v>1527</v>
      </c>
      <c r="G52" s="28">
        <v>61500</v>
      </c>
      <c r="H52" s="28">
        <f>E_My_Rua[[#This Row],[ĐƠN GIÁ]]*E_My_Rua[[#This Row],[SỐ LƯỢNG]]</f>
        <v>93910500</v>
      </c>
      <c r="I52" s="28"/>
      <c r="J52" s="28">
        <f>J51+E_My_Rua[[#This Row],[THÀNH TIỀN]]-E_My_Rua[[#This Row],[THANH TOÁN]]</f>
        <v>953577478</v>
      </c>
      <c r="K52" s="27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B46241-A597-466E-97B1-66E08A8E5474}">
  <sheetPr codeName="Sheet102"/>
  <dimension ref="A5:K37"/>
  <sheetViews>
    <sheetView topLeftCell="A13" workbookViewId="0">
      <selection activeCell="J27" sqref="J27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265754940</v>
      </c>
    </row>
    <row r="6" spans="1:11" ht="22.5" x14ac:dyDescent="0.25">
      <c r="D6" s="34" t="s">
        <v>1229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Cty_Thep_Nam_Phat_Tu_Liem[[#This Row],[ĐƠN GIÁ]]*Cty_Thep_Nam_Phat_Tu_Liem[[#This Row],[SỐ LƯỢNG]]</f>
        <v>0</v>
      </c>
      <c r="I10" s="31"/>
      <c r="J10" s="31">
        <f ca="1">N(INDIRECT("R[-1]C", FALSE)) + Cty_Thep_Nam_Phat_Tu_Liem[[#This Row],[THÀNH TIỀN]] - Cty_Thep_Nam_Phat_Tu_Liem[[#This Row],[THANH TOÁN]]</f>
        <v>0</v>
      </c>
      <c r="K10" s="24"/>
    </row>
    <row r="11" spans="1:11" x14ac:dyDescent="0.25">
      <c r="A11" s="22">
        <v>8074</v>
      </c>
      <c r="B11" s="29">
        <v>46094</v>
      </c>
      <c r="C11" s="23" t="s">
        <v>13</v>
      </c>
      <c r="D11" s="37" t="s">
        <v>43</v>
      </c>
      <c r="E11" s="23" t="s">
        <v>1230</v>
      </c>
      <c r="F11" s="31">
        <v>5314</v>
      </c>
      <c r="G11" s="31">
        <v>54000</v>
      </c>
      <c r="H11" s="31">
        <f>Cty_Thep_Nam_Phat_Tu_Liem[[#This Row],[ĐƠN GIÁ]]*Cty_Thep_Nam_Phat_Tu_Liem[[#This Row],[SỐ LƯỢNG]]</f>
        <v>286956000</v>
      </c>
      <c r="I11" s="31"/>
      <c r="J11" s="31">
        <f ca="1">N(INDIRECT("R[-1]C", FALSE)) + Cty_Thep_Nam_Phat_Tu_Liem[[#This Row],[THÀNH TIỀN]] - Cty_Thep_Nam_Phat_Tu_Liem[[#This Row],[THANH TOÁN]]</f>
        <v>286956000</v>
      </c>
      <c r="K11" s="24"/>
    </row>
    <row r="12" spans="1:11" x14ac:dyDescent="0.25">
      <c r="A12" s="22"/>
      <c r="B12" s="29">
        <v>46097</v>
      </c>
      <c r="C12" s="23" t="s">
        <v>21</v>
      </c>
      <c r="D12" s="37" t="s">
        <v>22</v>
      </c>
      <c r="E12" s="23" t="s">
        <v>147</v>
      </c>
      <c r="F12" s="31">
        <v>0</v>
      </c>
      <c r="G12" s="31">
        <v>0</v>
      </c>
      <c r="H12" s="31">
        <f>Cty_Thep_Nam_Phat_Tu_Liem[[#This Row],[ĐƠN GIÁ]]*Cty_Thep_Nam_Phat_Tu_Liem[[#This Row],[SỐ LƯỢNG]]</f>
        <v>0</v>
      </c>
      <c r="I12" s="31">
        <v>100000000</v>
      </c>
      <c r="J12" s="31">
        <f ca="1">N(INDIRECT("R[-1]C", FALSE)) + Cty_Thep_Nam_Phat_Tu_Liem[[#This Row],[THÀNH TIỀN]] - Cty_Thep_Nam_Phat_Tu_Liem[[#This Row],[THANH TOÁN]]</f>
        <v>186956000</v>
      </c>
      <c r="K12" s="24"/>
    </row>
    <row r="13" spans="1:11" x14ac:dyDescent="0.25">
      <c r="A13" s="22"/>
      <c r="B13" s="29">
        <v>46097</v>
      </c>
      <c r="C13" s="23" t="s">
        <v>21</v>
      </c>
      <c r="D13" s="37" t="s">
        <v>22</v>
      </c>
      <c r="E13" s="23" t="s">
        <v>147</v>
      </c>
      <c r="F13" s="31">
        <v>0</v>
      </c>
      <c r="G13" s="31">
        <v>0</v>
      </c>
      <c r="H13" s="31">
        <f>Cty_Thep_Nam_Phat_Tu_Liem[[#This Row],[ĐƠN GIÁ]]*Cty_Thep_Nam_Phat_Tu_Liem[[#This Row],[SỐ LƯỢNG]]</f>
        <v>0</v>
      </c>
      <c r="I13" s="31">
        <v>186956531</v>
      </c>
      <c r="J13" s="31">
        <f ca="1">N(INDIRECT("R[-1]C", FALSE)) + Cty_Thep_Nam_Phat_Tu_Liem[[#This Row],[THÀNH TIỀN]] - Cty_Thep_Nam_Phat_Tu_Liem[[#This Row],[THANH TOÁN]]</f>
        <v>-531</v>
      </c>
      <c r="K13" s="24"/>
    </row>
    <row r="14" spans="1:11" x14ac:dyDescent="0.25">
      <c r="A14" s="22">
        <v>8463</v>
      </c>
      <c r="B14" s="29">
        <v>46113</v>
      </c>
      <c r="C14" s="23" t="s">
        <v>13</v>
      </c>
      <c r="D14" s="37" t="s">
        <v>854</v>
      </c>
      <c r="E14" s="23" t="s">
        <v>1231</v>
      </c>
      <c r="F14" s="31">
        <v>636</v>
      </c>
      <c r="G14" s="31">
        <v>38000</v>
      </c>
      <c r="H14" s="31">
        <f>Cty_Thep_Nam_Phat_Tu_Liem[[#This Row],[ĐƠN GIÁ]]*Cty_Thep_Nam_Phat_Tu_Liem[[#This Row],[SỐ LƯỢNG]]</f>
        <v>24168000</v>
      </c>
      <c r="I14" s="31"/>
      <c r="J14" s="31">
        <f ca="1">N(INDIRECT("R[-1]C", FALSE)) + Cty_Thep_Nam_Phat_Tu_Liem[[#This Row],[THÀNH TIỀN]] - Cty_Thep_Nam_Phat_Tu_Liem[[#This Row],[THANH TOÁN]]</f>
        <v>24167469</v>
      </c>
      <c r="K14" s="24"/>
    </row>
    <row r="15" spans="1:11" x14ac:dyDescent="0.25">
      <c r="A15" s="22">
        <v>8463</v>
      </c>
      <c r="B15" s="29">
        <v>46113</v>
      </c>
      <c r="C15" s="23" t="s">
        <v>13</v>
      </c>
      <c r="D15" s="37" t="s">
        <v>150</v>
      </c>
      <c r="E15" s="23" t="s">
        <v>151</v>
      </c>
      <c r="F15" s="31">
        <v>170</v>
      </c>
      <c r="G15" s="31">
        <v>36000</v>
      </c>
      <c r="H15" s="31">
        <f>Cty_Thep_Nam_Phat_Tu_Liem[[#This Row],[ĐƠN GIÁ]]*Cty_Thep_Nam_Phat_Tu_Liem[[#This Row],[SỐ LƯỢNG]]</f>
        <v>6120000</v>
      </c>
      <c r="I15" s="31"/>
      <c r="J15" s="31">
        <f ca="1">N(INDIRECT("R[-1]C", FALSE)) + Cty_Thep_Nam_Phat_Tu_Liem[[#This Row],[THÀNH TIỀN]] - Cty_Thep_Nam_Phat_Tu_Liem[[#This Row],[THANH TOÁN]]</f>
        <v>30287469</v>
      </c>
      <c r="K15" s="24"/>
    </row>
    <row r="16" spans="1:11" x14ac:dyDescent="0.25">
      <c r="A16" s="22"/>
      <c r="B16" s="29">
        <v>46116</v>
      </c>
      <c r="C16" s="23" t="s">
        <v>21</v>
      </c>
      <c r="D16" s="37" t="s">
        <v>22</v>
      </c>
      <c r="E16" s="23" t="s">
        <v>83</v>
      </c>
      <c r="F16" s="31">
        <v>0</v>
      </c>
      <c r="G16" s="31"/>
      <c r="H16" s="31">
        <f>Cty_Thep_Nam_Phat_Tu_Liem[[#This Row],[ĐƠN GIÁ]]*Cty_Thep_Nam_Phat_Tu_Liem[[#This Row],[SỐ LƯỢNG]]</f>
        <v>0</v>
      </c>
      <c r="I16" s="31">
        <v>30288029</v>
      </c>
      <c r="J16" s="31">
        <f ca="1">N(INDIRECT("R[-1]C", FALSE)) + Cty_Thep_Nam_Phat_Tu_Liem[[#This Row],[THÀNH TIỀN]] - Cty_Thep_Nam_Phat_Tu_Liem[[#This Row],[THANH TOÁN]]</f>
        <v>-560</v>
      </c>
      <c r="K16" s="24"/>
    </row>
    <row r="17" spans="1:11" x14ac:dyDescent="0.25">
      <c r="A17" s="22">
        <v>8691</v>
      </c>
      <c r="B17" s="29">
        <v>46122</v>
      </c>
      <c r="C17" s="23" t="s">
        <v>13</v>
      </c>
      <c r="D17" s="37" t="s">
        <v>68</v>
      </c>
      <c r="E17" s="23" t="s">
        <v>1232</v>
      </c>
      <c r="F17" s="31">
        <v>370</v>
      </c>
      <c r="G17" s="31">
        <v>42000</v>
      </c>
      <c r="H17" s="31">
        <f>Cty_Thep_Nam_Phat_Tu_Liem[[#This Row],[ĐƠN GIÁ]]*Cty_Thep_Nam_Phat_Tu_Liem[[#This Row],[SỐ LƯỢNG]]</f>
        <v>15540000</v>
      </c>
      <c r="I17" s="31"/>
      <c r="J17" s="31">
        <f ca="1">N(INDIRECT("R[-1]C", FALSE)) + Cty_Thep_Nam_Phat_Tu_Liem[[#This Row],[THÀNH TIỀN]] - Cty_Thep_Nam_Phat_Tu_Liem[[#This Row],[THANH TOÁN]]</f>
        <v>15539440</v>
      </c>
      <c r="K17" s="24"/>
    </row>
    <row r="18" spans="1:11" x14ac:dyDescent="0.25">
      <c r="A18" s="22"/>
      <c r="B18" s="29">
        <v>46125</v>
      </c>
      <c r="C18" s="23" t="s">
        <v>21</v>
      </c>
      <c r="D18" s="37" t="s">
        <v>22</v>
      </c>
      <c r="E18" s="23" t="s">
        <v>83</v>
      </c>
      <c r="F18" s="31">
        <v>0</v>
      </c>
      <c r="G18" s="31"/>
      <c r="H18" s="31">
        <f>Cty_Thep_Nam_Phat_Tu_Liem[[#This Row],[ĐƠN GIÁ]]*Cty_Thep_Nam_Phat_Tu_Liem[[#This Row],[SỐ LƯỢNG]]</f>
        <v>0</v>
      </c>
      <c r="I18" s="31">
        <v>15540000</v>
      </c>
      <c r="J18" s="31">
        <f ca="1">N(INDIRECT("R[-1]C", FALSE)) + Cty_Thep_Nam_Phat_Tu_Liem[[#This Row],[THÀNH TIỀN]] - Cty_Thep_Nam_Phat_Tu_Liem[[#This Row],[THANH TOÁN]]</f>
        <v>-560</v>
      </c>
      <c r="K18" s="24"/>
    </row>
    <row r="19" spans="1:11" x14ac:dyDescent="0.25">
      <c r="A19" s="22"/>
      <c r="B19" s="29">
        <v>46125</v>
      </c>
      <c r="C19" s="23" t="s">
        <v>21</v>
      </c>
      <c r="D19" s="37" t="s">
        <v>22</v>
      </c>
      <c r="E19" s="23" t="s">
        <v>261</v>
      </c>
      <c r="F19" s="31">
        <v>0</v>
      </c>
      <c r="G19" s="31"/>
      <c r="H19" s="31">
        <f>Cty_Thep_Nam_Phat_Tu_Liem[[#This Row],[ĐƠN GIÁ]]*Cty_Thep_Nam_Phat_Tu_Liem[[#This Row],[SỐ LƯỢNG]]</f>
        <v>0</v>
      </c>
      <c r="I19" s="31">
        <v>400000000</v>
      </c>
      <c r="J19" s="31">
        <f ca="1">N(INDIRECT("R[-1]C", FALSE)) + Cty_Thep_Nam_Phat_Tu_Liem[[#This Row],[THÀNH TIỀN]] - Cty_Thep_Nam_Phat_Tu_Liem[[#This Row],[THANH TOÁN]]</f>
        <v>-400000560</v>
      </c>
      <c r="K19" s="24"/>
    </row>
    <row r="20" spans="1:11" x14ac:dyDescent="0.25">
      <c r="A20" s="22">
        <v>8755</v>
      </c>
      <c r="B20" s="29">
        <v>46126</v>
      </c>
      <c r="C20" s="23" t="s">
        <v>13</v>
      </c>
      <c r="D20" s="37" t="s">
        <v>17</v>
      </c>
      <c r="E20" s="23" t="s">
        <v>40</v>
      </c>
      <c r="F20" s="31">
        <v>8797</v>
      </c>
      <c r="G20" s="31">
        <v>66500</v>
      </c>
      <c r="H20" s="31">
        <f>Cty_Thep_Nam_Phat_Tu_Liem[[#This Row],[ĐƠN GIÁ]]*Cty_Thep_Nam_Phat_Tu_Liem[[#This Row],[SỐ LƯỢNG]]</f>
        <v>585000500</v>
      </c>
      <c r="I20" s="31"/>
      <c r="J20" s="31">
        <f ca="1">N(INDIRECT("R[-1]C", FALSE)) + Cty_Thep_Nam_Phat_Tu_Liem[[#This Row],[THÀNH TIỀN]] - Cty_Thep_Nam_Phat_Tu_Liem[[#This Row],[THANH TOÁN]]</f>
        <v>184999940</v>
      </c>
      <c r="K20" s="24"/>
    </row>
    <row r="21" spans="1:11" x14ac:dyDescent="0.25">
      <c r="A21" s="22">
        <v>8783</v>
      </c>
      <c r="B21" s="29">
        <v>46127</v>
      </c>
      <c r="C21" s="23" t="s">
        <v>13</v>
      </c>
      <c r="D21" s="37" t="s">
        <v>17</v>
      </c>
      <c r="E21" s="23" t="s">
        <v>78</v>
      </c>
      <c r="F21" s="31">
        <v>9030</v>
      </c>
      <c r="G21" s="31">
        <v>66000</v>
      </c>
      <c r="H21" s="31">
        <f>Cty_Thep_Nam_Phat_Tu_Liem[[#This Row],[ĐƠN GIÁ]]*Cty_Thep_Nam_Phat_Tu_Liem[[#This Row],[SỐ LƯỢNG]]</f>
        <v>595980000</v>
      </c>
      <c r="I21" s="31"/>
      <c r="J21" s="31">
        <f ca="1">N(INDIRECT("R[-1]C", FALSE)) + Cty_Thep_Nam_Phat_Tu_Liem[[#This Row],[THÀNH TIỀN]] - Cty_Thep_Nam_Phat_Tu_Liem[[#This Row],[THANH TOÁN]]</f>
        <v>780979940</v>
      </c>
      <c r="K21" s="24"/>
    </row>
    <row r="22" spans="1:11" x14ac:dyDescent="0.25">
      <c r="A22" s="22">
        <v>8790</v>
      </c>
      <c r="B22" s="29">
        <v>46127</v>
      </c>
      <c r="C22" s="23" t="s">
        <v>13</v>
      </c>
      <c r="D22" s="37" t="s">
        <v>17</v>
      </c>
      <c r="E22" s="23" t="s">
        <v>62</v>
      </c>
      <c r="F22" s="31">
        <v>728</v>
      </c>
      <c r="G22" s="31">
        <v>65500</v>
      </c>
      <c r="H22" s="31">
        <f>Cty_Thep_Nam_Phat_Tu_Liem[[#This Row],[ĐƠN GIÁ]]*Cty_Thep_Nam_Phat_Tu_Liem[[#This Row],[SỐ LƯỢNG]]</f>
        <v>47684000</v>
      </c>
      <c r="I22" s="31"/>
      <c r="J22" s="31">
        <f ca="1">N(INDIRECT("R[-1]C", FALSE)) + Cty_Thep_Nam_Phat_Tu_Liem[[#This Row],[THÀNH TIỀN]] - Cty_Thep_Nam_Phat_Tu_Liem[[#This Row],[THANH TOÁN]]</f>
        <v>828663940</v>
      </c>
      <c r="K22" s="24"/>
    </row>
    <row r="23" spans="1:11" x14ac:dyDescent="0.25">
      <c r="A23" s="22"/>
      <c r="B23" s="29">
        <v>46128</v>
      </c>
      <c r="C23" s="23" t="s">
        <v>21</v>
      </c>
      <c r="D23" s="37" t="s">
        <v>22</v>
      </c>
      <c r="E23" s="23" t="s">
        <v>83</v>
      </c>
      <c r="F23" s="31">
        <v>0</v>
      </c>
      <c r="G23" s="31"/>
      <c r="H23" s="31">
        <f>Cty_Thep_Nam_Phat_Tu_Liem[[#This Row],[ĐƠN GIÁ]]*Cty_Thep_Nam_Phat_Tu_Liem[[#This Row],[SỐ LƯỢNG]]</f>
        <v>0</v>
      </c>
      <c r="I23" s="31">
        <v>500000000</v>
      </c>
      <c r="J23" s="31">
        <f ca="1">N(INDIRECT("R[-1]C", FALSE)) + Cty_Thep_Nam_Phat_Tu_Liem[[#This Row],[THÀNH TIỀN]] - Cty_Thep_Nam_Phat_Tu_Liem[[#This Row],[THANH TOÁN]]</f>
        <v>328663940</v>
      </c>
      <c r="K23" s="24"/>
    </row>
    <row r="24" spans="1:11" x14ac:dyDescent="0.25">
      <c r="A24" s="22"/>
      <c r="B24" s="29">
        <v>46128</v>
      </c>
      <c r="C24" s="23" t="s">
        <v>426</v>
      </c>
      <c r="D24" s="37" t="s">
        <v>17</v>
      </c>
      <c r="E24" s="23" t="s">
        <v>78</v>
      </c>
      <c r="F24" s="31">
        <v>1088</v>
      </c>
      <c r="G24" s="31">
        <v>-66000</v>
      </c>
      <c r="H24" s="31">
        <f>Cty_Thep_Nam_Phat_Tu_Liem[[#This Row],[ĐƠN GIÁ]]*Cty_Thep_Nam_Phat_Tu_Liem[[#This Row],[SỐ LƯỢNG]]</f>
        <v>-71808000</v>
      </c>
      <c r="I24" s="31"/>
      <c r="J24" s="31">
        <f ca="1">N(INDIRECT("R[-1]C", FALSE)) + Cty_Thep_Nam_Phat_Tu_Liem[[#This Row],[THÀNH TIỀN]] - Cty_Thep_Nam_Phat_Tu_Liem[[#This Row],[THANH TOÁN]]</f>
        <v>256855940</v>
      </c>
      <c r="K24" s="24"/>
    </row>
    <row r="25" spans="1:11" x14ac:dyDescent="0.25">
      <c r="A25" s="22">
        <v>8848</v>
      </c>
      <c r="B25" s="29">
        <v>46129</v>
      </c>
      <c r="C25" s="23" t="s">
        <v>13</v>
      </c>
      <c r="D25" s="37" t="s">
        <v>50</v>
      </c>
      <c r="E25" s="23" t="s">
        <v>1233</v>
      </c>
      <c r="F25" s="31">
        <v>176</v>
      </c>
      <c r="G25" s="31">
        <v>61000</v>
      </c>
      <c r="H25" s="31">
        <f>Cty_Thep_Nam_Phat_Tu_Liem[[#This Row],[ĐƠN GIÁ]]*Cty_Thep_Nam_Phat_Tu_Liem[[#This Row],[SỐ LƯỢNG]]</f>
        <v>10736000</v>
      </c>
      <c r="I25" s="31"/>
      <c r="J25" s="31">
        <f ca="1">N(INDIRECT("R[-1]C", FALSE)) + Cty_Thep_Nam_Phat_Tu_Liem[[#This Row],[THÀNH TIỀN]] - Cty_Thep_Nam_Phat_Tu_Liem[[#This Row],[THANH TOÁN]]</f>
        <v>267591940</v>
      </c>
      <c r="K25" s="24"/>
    </row>
    <row r="26" spans="1:11" x14ac:dyDescent="0.25">
      <c r="A26" s="22">
        <v>8848</v>
      </c>
      <c r="B26" s="29">
        <v>46129</v>
      </c>
      <c r="C26" s="23" t="s">
        <v>13</v>
      </c>
      <c r="D26" s="37" t="s">
        <v>50</v>
      </c>
      <c r="E26" s="23" t="s">
        <v>376</v>
      </c>
      <c r="F26" s="31">
        <v>68</v>
      </c>
      <c r="G26" s="31">
        <v>59000</v>
      </c>
      <c r="H26" s="31">
        <f>Cty_Thep_Nam_Phat_Tu_Liem[[#This Row],[ĐƠN GIÁ]]*Cty_Thep_Nam_Phat_Tu_Liem[[#This Row],[SỐ LƯỢNG]]</f>
        <v>4012000</v>
      </c>
      <c r="I26" s="31"/>
      <c r="J26" s="31">
        <f ca="1">N(INDIRECT("R[-1]C", FALSE)) + Cty_Thep_Nam_Phat_Tu_Liem[[#This Row],[THÀNH TIỀN]] - Cty_Thep_Nam_Phat_Tu_Liem[[#This Row],[THANH TOÁN]]</f>
        <v>271603940</v>
      </c>
      <c r="K26" s="24"/>
    </row>
    <row r="27" spans="1:11" x14ac:dyDescent="0.25">
      <c r="A27" s="22">
        <v>8848</v>
      </c>
      <c r="B27" s="29">
        <v>46129</v>
      </c>
      <c r="C27" s="23" t="s">
        <v>13</v>
      </c>
      <c r="D27" s="37" t="s">
        <v>328</v>
      </c>
      <c r="E27" s="23" t="s">
        <v>115</v>
      </c>
      <c r="F27" s="31">
        <v>700</v>
      </c>
      <c r="G27" s="31">
        <v>39000</v>
      </c>
      <c r="H27" s="31">
        <f>Cty_Thep_Nam_Phat_Tu_Liem[[#This Row],[ĐƠN GIÁ]]*Cty_Thep_Nam_Phat_Tu_Liem[[#This Row],[SỐ LƯỢNG]]</f>
        <v>27300000</v>
      </c>
      <c r="I27" s="31"/>
      <c r="J27" s="31">
        <f ca="1">N(INDIRECT("R[-1]C", FALSE)) + Cty_Thep_Nam_Phat_Tu_Liem[[#This Row],[THÀNH TIỀN]] - Cty_Thep_Nam_Phat_Tu_Liem[[#This Row],[THANH TOÁN]]</f>
        <v>298903940</v>
      </c>
      <c r="K27" s="24"/>
    </row>
    <row r="28" spans="1:11" x14ac:dyDescent="0.25">
      <c r="A28" s="22"/>
      <c r="B28" s="29">
        <v>46134</v>
      </c>
      <c r="C28" s="23" t="s">
        <v>21</v>
      </c>
      <c r="D28" s="37" t="s">
        <v>22</v>
      </c>
      <c r="E28" s="23" t="s">
        <v>261</v>
      </c>
      <c r="F28" s="31">
        <v>0</v>
      </c>
      <c r="G28" s="31"/>
      <c r="H28" s="31">
        <f>Cty_Thep_Nam_Phat_Tu_Liem[[#This Row],[ĐƠN GIÁ]]*Cty_Thep_Nam_Phat_Tu_Liem[[#This Row],[SỐ LƯỢNG]]</f>
        <v>0</v>
      </c>
      <c r="I28" s="31">
        <v>298904500</v>
      </c>
      <c r="J28" s="31">
        <f ca="1">N(INDIRECT("R[-1]C", FALSE)) + Cty_Thep_Nam_Phat_Tu_Liem[[#This Row],[THÀNH TIỀN]] - Cty_Thep_Nam_Phat_Tu_Liem[[#This Row],[THANH TOÁN]]</f>
        <v>-560</v>
      </c>
      <c r="K28" s="24"/>
    </row>
    <row r="29" spans="1:11" x14ac:dyDescent="0.25">
      <c r="A29" s="22">
        <v>8952</v>
      </c>
      <c r="B29" s="29">
        <v>46135</v>
      </c>
      <c r="C29" s="23" t="s">
        <v>13</v>
      </c>
      <c r="D29" s="37" t="s">
        <v>328</v>
      </c>
      <c r="E29" s="23" t="s">
        <v>1788</v>
      </c>
      <c r="F29" s="31">
        <v>258</v>
      </c>
      <c r="G29" s="31">
        <v>39000</v>
      </c>
      <c r="H29" s="31">
        <f>Cty_Thep_Nam_Phat_Tu_Liem[[#This Row],[ĐƠN GIÁ]]*Cty_Thep_Nam_Phat_Tu_Liem[[#This Row],[SỐ LƯỢNG]]</f>
        <v>10062000</v>
      </c>
      <c r="I29" s="31"/>
      <c r="J29" s="31">
        <f ca="1">N(INDIRECT("R[-1]C", FALSE)) + Cty_Thep_Nam_Phat_Tu_Liem[[#This Row],[THÀNH TIỀN]] - Cty_Thep_Nam_Phat_Tu_Liem[[#This Row],[THANH TOÁN]]</f>
        <v>10061440</v>
      </c>
      <c r="K29" s="24"/>
    </row>
    <row r="30" spans="1:11" x14ac:dyDescent="0.25">
      <c r="A30" s="22"/>
      <c r="B30" s="29">
        <v>46140</v>
      </c>
      <c r="C30" s="23" t="s">
        <v>21</v>
      </c>
      <c r="D30" s="37" t="s">
        <v>22</v>
      </c>
      <c r="E30" s="23" t="s">
        <v>83</v>
      </c>
      <c r="F30" s="31">
        <v>0</v>
      </c>
      <c r="G30" s="31"/>
      <c r="H30" s="31">
        <f>Cty_Thep_Nam_Phat_Tu_Liem[[#This Row],[ĐƠN GIÁ]]*Cty_Thep_Nam_Phat_Tu_Liem[[#This Row],[SỐ LƯỢNG]]</f>
        <v>0</v>
      </c>
      <c r="I30" s="31">
        <v>10062000</v>
      </c>
      <c r="J30" s="31">
        <f ca="1">N(INDIRECT("R[-1]C", FALSE)) + Cty_Thep_Nam_Phat_Tu_Liem[[#This Row],[THÀNH TIỀN]] - Cty_Thep_Nam_Phat_Tu_Liem[[#This Row],[THANH TOÁN]]</f>
        <v>-560</v>
      </c>
      <c r="K30" s="24"/>
    </row>
    <row r="31" spans="1:11" x14ac:dyDescent="0.25">
      <c r="A31" s="151">
        <v>9093</v>
      </c>
      <c r="B31" s="152">
        <v>46140</v>
      </c>
      <c r="C31" s="55" t="s">
        <v>13</v>
      </c>
      <c r="D31" s="149" t="s">
        <v>50</v>
      </c>
      <c r="E31" s="55" t="s">
        <v>73</v>
      </c>
      <c r="F31" s="57">
        <v>538</v>
      </c>
      <c r="G31" s="57">
        <v>59000</v>
      </c>
      <c r="H31" s="57">
        <f>Cty_Thep_Nam_Phat_Tu_Liem[[#This Row],[ĐƠN GIÁ]]*Cty_Thep_Nam_Phat_Tu_Liem[[#This Row],[SỐ LƯỢNG]]</f>
        <v>31742000</v>
      </c>
      <c r="I31" s="57"/>
      <c r="J31" s="57">
        <f ca="1">N(INDIRECT("R[-1]C", FALSE)) + Cty_Thep_Nam_Phat_Tu_Liem[[#This Row],[THÀNH TIỀN]] - Cty_Thep_Nam_Phat_Tu_Liem[[#This Row],[THANH TOÁN]]</f>
        <v>31741440</v>
      </c>
      <c r="K31" s="58"/>
    </row>
    <row r="32" spans="1:11" x14ac:dyDescent="0.25">
      <c r="A32" s="151">
        <v>9093</v>
      </c>
      <c r="B32" s="152">
        <v>46140</v>
      </c>
      <c r="C32" s="55" t="s">
        <v>13</v>
      </c>
      <c r="D32" s="149" t="s">
        <v>50</v>
      </c>
      <c r="E32" s="55" t="s">
        <v>1106</v>
      </c>
      <c r="F32" s="57">
        <v>116</v>
      </c>
      <c r="G32" s="57">
        <v>61000</v>
      </c>
      <c r="H32" s="57">
        <f>Cty_Thep_Nam_Phat_Tu_Liem[[#This Row],[ĐƠN GIÁ]]*Cty_Thep_Nam_Phat_Tu_Liem[[#This Row],[SỐ LƯỢNG]]</f>
        <v>7076000</v>
      </c>
      <c r="I32" s="57"/>
      <c r="J32" s="57">
        <f ca="1">N(INDIRECT("R[-1]C", FALSE)) + Cty_Thep_Nam_Phat_Tu_Liem[[#This Row],[THÀNH TIỀN]] - Cty_Thep_Nam_Phat_Tu_Liem[[#This Row],[THANH TOÁN]]</f>
        <v>38817440</v>
      </c>
      <c r="K32" s="58"/>
    </row>
    <row r="33" spans="1:11" x14ac:dyDescent="0.25">
      <c r="A33" s="25">
        <v>9515</v>
      </c>
      <c r="B33" s="30">
        <v>46162</v>
      </c>
      <c r="C33" s="26" t="s">
        <v>13</v>
      </c>
      <c r="D33" s="38" t="s">
        <v>43</v>
      </c>
      <c r="E33" s="26" t="s">
        <v>1767</v>
      </c>
      <c r="F33" s="28">
        <v>1313</v>
      </c>
      <c r="G33" s="28">
        <v>58500</v>
      </c>
      <c r="H33" s="28">
        <f>Cty_Thep_Nam_Phat_Tu_Liem[[#This Row],[ĐƠN GIÁ]]*Cty_Thep_Nam_Phat_Tu_Liem[[#This Row],[SỐ LƯỢNG]]</f>
        <v>76810500</v>
      </c>
      <c r="I33" s="28"/>
      <c r="J33" s="28">
        <f ca="1">N(INDIRECT("R[-1]C", FALSE)) + Cty_Thep_Nam_Phat_Tu_Liem[[#This Row],[THÀNH TIỀN]] - Cty_Thep_Nam_Phat_Tu_Liem[[#This Row],[THANH TOÁN]]</f>
        <v>115627940</v>
      </c>
      <c r="K33" s="27"/>
    </row>
    <row r="34" spans="1:11" x14ac:dyDescent="0.25">
      <c r="A34" s="22">
        <v>9573</v>
      </c>
      <c r="B34" s="29">
        <v>46165</v>
      </c>
      <c r="C34" s="23" t="s">
        <v>13</v>
      </c>
      <c r="D34" s="37" t="s">
        <v>43</v>
      </c>
      <c r="E34" s="23" t="s">
        <v>1767</v>
      </c>
      <c r="F34" s="31">
        <v>730</v>
      </c>
      <c r="G34" s="31">
        <v>-58500</v>
      </c>
      <c r="H34" s="31">
        <f>Cty_Thep_Nam_Phat_Tu_Liem[[#This Row],[ĐƠN GIÁ]]*Cty_Thep_Nam_Phat_Tu_Liem[[#This Row],[SỐ LƯỢNG]]</f>
        <v>-42705000</v>
      </c>
      <c r="I34" s="31"/>
      <c r="J34" s="31">
        <f ca="1">N(INDIRECT("R[-1]C", FALSE)) + Cty_Thep_Nam_Phat_Tu_Liem[[#This Row],[THÀNH TIỀN]] - Cty_Thep_Nam_Phat_Tu_Liem[[#This Row],[THANH TOÁN]]</f>
        <v>72922940</v>
      </c>
      <c r="K34" s="24"/>
    </row>
    <row r="35" spans="1:11" x14ac:dyDescent="0.25">
      <c r="A35" s="22">
        <v>9706</v>
      </c>
      <c r="B35" s="29">
        <v>46172</v>
      </c>
      <c r="C35" s="23" t="s">
        <v>13</v>
      </c>
      <c r="D35" s="37" t="s">
        <v>854</v>
      </c>
      <c r="E35" s="23" t="s">
        <v>378</v>
      </c>
      <c r="F35" s="31">
        <v>1274</v>
      </c>
      <c r="G35" s="31">
        <v>37500</v>
      </c>
      <c r="H35" s="31">
        <f>Cty_Thep_Nam_Phat_Tu_Liem[[#This Row],[ĐƠN GIÁ]]*Cty_Thep_Nam_Phat_Tu_Liem[[#This Row],[SỐ LƯỢNG]]</f>
        <v>47775000</v>
      </c>
      <c r="I35" s="31"/>
      <c r="J35" s="31">
        <f ca="1">N(INDIRECT("R[-1]C", FALSE)) + Cty_Thep_Nam_Phat_Tu_Liem[[#This Row],[THÀNH TIỀN]] - Cty_Thep_Nam_Phat_Tu_Liem[[#This Row],[THANH TOÁN]]</f>
        <v>120697940</v>
      </c>
      <c r="K35" s="24"/>
    </row>
    <row r="36" spans="1:11" x14ac:dyDescent="0.25">
      <c r="A36" s="22">
        <v>9706</v>
      </c>
      <c r="B36" s="29">
        <v>46172</v>
      </c>
      <c r="C36" s="23" t="s">
        <v>13</v>
      </c>
      <c r="D36" s="37" t="s">
        <v>150</v>
      </c>
      <c r="E36" s="23" t="s">
        <v>2524</v>
      </c>
      <c r="F36" s="31">
        <v>88</v>
      </c>
      <c r="G36" s="31">
        <v>36000</v>
      </c>
      <c r="H36" s="31">
        <f>Cty_Thep_Nam_Phat_Tu_Liem[[#This Row],[ĐƠN GIÁ]]*Cty_Thep_Nam_Phat_Tu_Liem[[#This Row],[SỐ LƯỢNG]]</f>
        <v>3168000</v>
      </c>
      <c r="I36" s="31"/>
      <c r="J36" s="31">
        <f ca="1">N(INDIRECT("R[-1]C", FALSE)) + Cty_Thep_Nam_Phat_Tu_Liem[[#This Row],[THÀNH TIỀN]] - Cty_Thep_Nam_Phat_Tu_Liem[[#This Row],[THANH TOÁN]]</f>
        <v>123865940</v>
      </c>
      <c r="K36" s="24"/>
    </row>
    <row r="37" spans="1:11" x14ac:dyDescent="0.25">
      <c r="A37" s="22">
        <v>9706</v>
      </c>
      <c r="B37" s="29">
        <v>46172</v>
      </c>
      <c r="C37" s="23" t="s">
        <v>13</v>
      </c>
      <c r="D37" s="37" t="s">
        <v>103</v>
      </c>
      <c r="E37" s="23" t="s">
        <v>383</v>
      </c>
      <c r="F37" s="31">
        <v>94</v>
      </c>
      <c r="G37" s="31">
        <v>38000</v>
      </c>
      <c r="H37" s="31">
        <f>Cty_Thep_Nam_Phat_Tu_Liem[[#This Row],[ĐƠN GIÁ]]*Cty_Thep_Nam_Phat_Tu_Liem[[#This Row],[SỐ LƯỢNG]]</f>
        <v>3572000</v>
      </c>
      <c r="I37" s="31"/>
      <c r="J37" s="31">
        <f ca="1">N(INDIRECT("R[-1]C", FALSE)) + Cty_Thep_Nam_Phat_Tu_Liem[[#This Row],[THÀNH TIỀN]] - Cty_Thep_Nam_Phat_Tu_Liem[[#This Row],[THANH TOÁN]]</f>
        <v>127437940</v>
      </c>
      <c r="K37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ED50D9-A4C7-4FFE-949A-00B8FD228948}">
  <sheetPr codeName="Sheet103"/>
  <dimension ref="A5:K15"/>
  <sheetViews>
    <sheetView workbookViewId="0">
      <selection activeCell="G27" sqref="G27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227362339</v>
      </c>
    </row>
    <row r="6" spans="1:11" ht="22.5" x14ac:dyDescent="0.25">
      <c r="D6" s="34" t="s">
        <v>1234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E_Thang_Cty_Quoc_Thang[[#This Row],[ĐƠN GIÁ]]*E_Thang_Cty_Quoc_Thang[[#This Row],[SỐ LƯỢNG]]</f>
        <v>0</v>
      </c>
      <c r="I10" s="31"/>
      <c r="J10" s="31">
        <v>0</v>
      </c>
      <c r="K10" s="24"/>
    </row>
    <row r="11" spans="1:11" x14ac:dyDescent="0.25">
      <c r="A11" s="22">
        <v>8078</v>
      </c>
      <c r="B11" s="29">
        <v>46095</v>
      </c>
      <c r="C11" s="23" t="s">
        <v>13</v>
      </c>
      <c r="D11" s="37" t="s">
        <v>135</v>
      </c>
      <c r="E11" s="23" t="s">
        <v>134</v>
      </c>
      <c r="F11" s="31">
        <f>5342-16</f>
        <v>5326</v>
      </c>
      <c r="G11" s="31">
        <v>35500</v>
      </c>
      <c r="H11" s="31">
        <f>E_Thang_Cty_Quoc_Thang[[#This Row],[ĐƠN GIÁ]]*E_Thang_Cty_Quoc_Thang[[#This Row],[SỐ LƯỢNG]]</f>
        <v>189073000</v>
      </c>
      <c r="I11" s="31"/>
      <c r="J11" s="31">
        <f>J10+E_Thang_Cty_Quoc_Thang[[#This Row],[THÀNH TIỀN]]-E_Thang_Cty_Quoc_Thang[[#This Row],[THANH TOÁN]]</f>
        <v>189073000</v>
      </c>
      <c r="K11" s="24"/>
    </row>
    <row r="12" spans="1:11" x14ac:dyDescent="0.25">
      <c r="A12" s="22">
        <v>8549</v>
      </c>
      <c r="B12" s="29">
        <v>46116</v>
      </c>
      <c r="C12" s="23" t="s">
        <v>13</v>
      </c>
      <c r="D12" s="37" t="s">
        <v>135</v>
      </c>
      <c r="E12" s="23" t="s">
        <v>148</v>
      </c>
      <c r="F12" s="31">
        <v>5321</v>
      </c>
      <c r="G12" s="31">
        <v>36800</v>
      </c>
      <c r="H12" s="31">
        <f>E_Thang_Cty_Quoc_Thang[[#This Row],[ĐƠN GIÁ]]*E_Thang_Cty_Quoc_Thang[[#This Row],[SỐ LƯỢNG]]</f>
        <v>195812800</v>
      </c>
      <c r="I12" s="31"/>
      <c r="J12" s="31">
        <f>J11+E_Thang_Cty_Quoc_Thang[[#This Row],[THÀNH TIỀN]]-E_Thang_Cty_Quoc_Thang[[#This Row],[THANH TOÁN]]</f>
        <v>384885800</v>
      </c>
      <c r="K12" s="24"/>
    </row>
    <row r="13" spans="1:11" x14ac:dyDescent="0.25">
      <c r="A13" s="22"/>
      <c r="B13" s="29">
        <v>46126</v>
      </c>
      <c r="C13" s="23" t="s">
        <v>21</v>
      </c>
      <c r="D13" s="37" t="s">
        <v>22</v>
      </c>
      <c r="E13" s="23" t="s">
        <v>147</v>
      </c>
      <c r="F13" s="31">
        <v>0</v>
      </c>
      <c r="G13" s="31"/>
      <c r="H13" s="31">
        <f>E_Thang_Cty_Quoc_Thang[[#This Row],[ĐƠN GIÁ]]*E_Thang_Cty_Quoc_Thang[[#This Row],[SỐ LƯỢNG]]</f>
        <v>0</v>
      </c>
      <c r="I13" s="31">
        <v>195815461</v>
      </c>
      <c r="J13" s="31">
        <f>J12+E_Thang_Cty_Quoc_Thang[[#This Row],[THÀNH TIỀN]]-E_Thang_Cty_Quoc_Thang[[#This Row],[THANH TOÁN]]</f>
        <v>189070339</v>
      </c>
      <c r="K13" s="24"/>
    </row>
    <row r="14" spans="1:11" x14ac:dyDescent="0.25">
      <c r="A14" s="25"/>
      <c r="B14" s="30">
        <v>46101</v>
      </c>
      <c r="C14" s="26" t="s">
        <v>21</v>
      </c>
      <c r="D14" s="38" t="s">
        <v>24</v>
      </c>
      <c r="E14" s="26"/>
      <c r="F14" s="28">
        <v>0</v>
      </c>
      <c r="G14" s="28"/>
      <c r="H14" s="28">
        <f>E_Thang_Cty_Quoc_Thang[[#This Row],[ĐƠN GIÁ]]*E_Thang_Cty_Quoc_Thang[[#This Row],[SỐ LƯỢNG]]</f>
        <v>0</v>
      </c>
      <c r="I14" s="28">
        <v>189000000</v>
      </c>
      <c r="J14" s="28">
        <f>J13+E_Thang_Cty_Quoc_Thang[[#This Row],[THÀNH TIỀN]]-E_Thang_Cty_Quoc_Thang[[#This Row],[THANH TOÁN]]</f>
        <v>70339</v>
      </c>
      <c r="K14" s="27"/>
    </row>
    <row r="15" spans="1:11" x14ac:dyDescent="0.25">
      <c r="A15" s="22">
        <v>9731</v>
      </c>
      <c r="B15" s="29">
        <v>46174</v>
      </c>
      <c r="C15" s="23" t="s">
        <v>13</v>
      </c>
      <c r="D15" s="37" t="s">
        <v>43</v>
      </c>
      <c r="E15" s="23" t="s">
        <v>415</v>
      </c>
      <c r="F15" s="31">
        <v>3666</v>
      </c>
      <c r="G15" s="31">
        <v>62000</v>
      </c>
      <c r="H15" s="31">
        <f>E_Thang_Cty_Quoc_Thang[[#This Row],[ĐƠN GIÁ]]*E_Thang_Cty_Quoc_Thang[[#This Row],[SỐ LƯỢNG]]</f>
        <v>227292000</v>
      </c>
      <c r="I15" s="31"/>
      <c r="J15" s="31">
        <f>J14+E_Thang_Cty_Quoc_Thang[[#This Row],[THÀNH TIỀN]]-E_Thang_Cty_Quoc_Thang[[#This Row],[THANH TOÁN]]</f>
        <v>227362339</v>
      </c>
      <c r="K15" s="24" t="s">
        <v>42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07539-103A-4AFA-B6BA-E3253EB4D7BB}">
  <sheetPr codeName="Sheet104"/>
  <dimension ref="A5:L30"/>
  <sheetViews>
    <sheetView topLeftCell="A4" workbookViewId="0">
      <selection activeCell="B23" sqref="B23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2" width="11.28515625" style="1" bestFit="1" customWidth="1"/>
    <col min="13" max="14" width="9.140625" style="1"/>
    <col min="15" max="15" width="12.42578125" style="1" bestFit="1" customWidth="1"/>
    <col min="16" max="16384" width="9.140625" style="1"/>
  </cols>
  <sheetData>
    <row r="5" spans="1:12" ht="25.5" x14ac:dyDescent="0.25">
      <c r="D5" s="33" t="s">
        <v>0</v>
      </c>
      <c r="E5" s="33"/>
      <c r="F5" s="163">
        <v>257740770</v>
      </c>
    </row>
    <row r="6" spans="1:12" ht="22.5" x14ac:dyDescent="0.25">
      <c r="D6" s="34" t="s">
        <v>1235</v>
      </c>
      <c r="E6" s="34"/>
      <c r="F6" s="21"/>
    </row>
    <row r="7" spans="1:12" x14ac:dyDescent="0.25">
      <c r="L7" s="35"/>
    </row>
    <row r="9" spans="1:12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2" x14ac:dyDescent="0.25">
      <c r="A10" s="22"/>
      <c r="B10" s="29">
        <v>46081</v>
      </c>
      <c r="C10" s="23" t="s">
        <v>12</v>
      </c>
      <c r="D10" s="37"/>
      <c r="E10" s="23"/>
      <c r="F10" s="31">
        <v>1</v>
      </c>
      <c r="G10" s="31">
        <v>98616770</v>
      </c>
      <c r="H10" s="31">
        <f>E_Hien_Cty_Minh_Hien_HD[[#This Row],[ĐƠN GIÁ]]*E_Hien_Cty_Minh_Hien_HD[[#This Row],[SỐ LƯỢNG]]</f>
        <v>98616770</v>
      </c>
      <c r="I10" s="31"/>
      <c r="J10" s="31">
        <f ca="1">N(INDIRECT("R[-1]C", FALSE)) + E_Hien_Cty_Minh_Hien_HD[[#This Row],[THÀNH TIỀN]] - E_Hien_Cty_Minh_Hien_HD[[#This Row],[THANH TOÁN]]</f>
        <v>98616770</v>
      </c>
      <c r="K10" s="24">
        <v>28616770</v>
      </c>
    </row>
    <row r="11" spans="1:12" x14ac:dyDescent="0.25">
      <c r="A11" s="22">
        <v>8084</v>
      </c>
      <c r="B11" s="29">
        <v>46095</v>
      </c>
      <c r="C11" s="23" t="s">
        <v>13</v>
      </c>
      <c r="D11" s="37" t="s">
        <v>50</v>
      </c>
      <c r="E11" s="23" t="s">
        <v>1236</v>
      </c>
      <c r="F11" s="31">
        <v>642</v>
      </c>
      <c r="G11" s="31">
        <v>58000</v>
      </c>
      <c r="H11" s="31">
        <f>E_Hien_Cty_Minh_Hien_HD[[#This Row],[ĐƠN GIÁ]]*E_Hien_Cty_Minh_Hien_HD[[#This Row],[SỐ LƯỢNG]]</f>
        <v>37236000</v>
      </c>
      <c r="I11" s="31"/>
      <c r="J11" s="31">
        <f ca="1">N(INDIRECT("R[-1]C", FALSE)) + E_Hien_Cty_Minh_Hien_HD[[#This Row],[THÀNH TIỀN]] - E_Hien_Cty_Minh_Hien_HD[[#This Row],[THANH TOÁN]]</f>
        <v>135852770</v>
      </c>
      <c r="K11" s="24"/>
    </row>
    <row r="12" spans="1:12" x14ac:dyDescent="0.25">
      <c r="A12" s="22">
        <v>8181</v>
      </c>
      <c r="B12" s="29">
        <v>46099</v>
      </c>
      <c r="C12" s="23" t="s">
        <v>13</v>
      </c>
      <c r="D12" s="37" t="s">
        <v>50</v>
      </c>
      <c r="E12" s="23" t="s">
        <v>1236</v>
      </c>
      <c r="F12" s="31">
        <v>428</v>
      </c>
      <c r="G12" s="31">
        <v>58000</v>
      </c>
      <c r="H12" s="31">
        <f>E_Hien_Cty_Minh_Hien_HD[[#This Row],[ĐƠN GIÁ]]*E_Hien_Cty_Minh_Hien_HD[[#This Row],[SỐ LƯỢNG]]</f>
        <v>24824000</v>
      </c>
      <c r="I12" s="31"/>
      <c r="J12" s="31">
        <f ca="1">N(INDIRECT("R[-1]C", FALSE)) + E_Hien_Cty_Minh_Hien_HD[[#This Row],[THÀNH TIỀN]] - E_Hien_Cty_Minh_Hien_HD[[#This Row],[THANH TOÁN]]</f>
        <v>160676770</v>
      </c>
      <c r="K12" s="24"/>
    </row>
    <row r="13" spans="1:12" x14ac:dyDescent="0.25">
      <c r="A13" s="25"/>
      <c r="B13" s="30">
        <v>46099</v>
      </c>
      <c r="C13" s="26" t="s">
        <v>21</v>
      </c>
      <c r="D13" s="38" t="s">
        <v>24</v>
      </c>
      <c r="E13" s="26"/>
      <c r="F13" s="28">
        <v>0</v>
      </c>
      <c r="G13" s="28"/>
      <c r="H13" s="28">
        <f>E_Hien_Cty_Minh_Hien_HD[[#This Row],[ĐƠN GIÁ]]*E_Hien_Cty_Minh_Hien_HD[[#This Row],[SỐ LƯỢNG]]</f>
        <v>0</v>
      </c>
      <c r="I13" s="28">
        <v>80000000</v>
      </c>
      <c r="J13" s="28">
        <f ca="1">N(INDIRECT("R[-1]C", FALSE)) + E_Hien_Cty_Minh_Hien_HD[[#This Row],[THÀNH TIỀN]] - E_Hien_Cty_Minh_Hien_HD[[#This Row],[THANH TOÁN]]</f>
        <v>80676770</v>
      </c>
      <c r="K13" s="27"/>
    </row>
    <row r="14" spans="1:12" x14ac:dyDescent="0.25">
      <c r="A14" s="25">
        <v>8326</v>
      </c>
      <c r="B14" s="30">
        <v>46106</v>
      </c>
      <c r="C14" s="26" t="s">
        <v>13</v>
      </c>
      <c r="D14" s="38" t="s">
        <v>50</v>
      </c>
      <c r="E14" s="26" t="s">
        <v>1236</v>
      </c>
      <c r="F14" s="28">
        <v>539</v>
      </c>
      <c r="G14" s="28">
        <v>60000</v>
      </c>
      <c r="H14" s="28">
        <f>E_Hien_Cty_Minh_Hien_HD[[#This Row],[ĐƠN GIÁ]]*E_Hien_Cty_Minh_Hien_HD[[#This Row],[SỐ LƯỢNG]]</f>
        <v>32340000</v>
      </c>
      <c r="I14" s="28"/>
      <c r="J14" s="28">
        <f ca="1">N(INDIRECT("R[-1]C", FALSE)) + E_Hien_Cty_Minh_Hien_HD[[#This Row],[THÀNH TIỀN]] - E_Hien_Cty_Minh_Hien_HD[[#This Row],[THANH TOÁN]]</f>
        <v>113016770</v>
      </c>
      <c r="K14" s="27" t="s">
        <v>42</v>
      </c>
    </row>
    <row r="15" spans="1:12" x14ac:dyDescent="0.25">
      <c r="A15" s="22">
        <v>8326</v>
      </c>
      <c r="B15" s="29">
        <v>46106</v>
      </c>
      <c r="C15" s="23" t="s">
        <v>13</v>
      </c>
      <c r="D15" s="37" t="s">
        <v>50</v>
      </c>
      <c r="E15" s="23" t="s">
        <v>1237</v>
      </c>
      <c r="F15" s="31">
        <v>222</v>
      </c>
      <c r="G15" s="31">
        <v>62000</v>
      </c>
      <c r="H15" s="31">
        <f>E_Hien_Cty_Minh_Hien_HD[[#This Row],[ĐƠN GIÁ]]*E_Hien_Cty_Minh_Hien_HD[[#This Row],[SỐ LƯỢNG]]</f>
        <v>13764000</v>
      </c>
      <c r="I15" s="31"/>
      <c r="J15" s="31">
        <f ca="1">N(INDIRECT("R[-1]C", FALSE)) + E_Hien_Cty_Minh_Hien_HD[[#This Row],[THÀNH TIỀN]] - E_Hien_Cty_Minh_Hien_HD[[#This Row],[THANH TOÁN]]</f>
        <v>126780770</v>
      </c>
      <c r="K15" s="24"/>
    </row>
    <row r="16" spans="1:12" x14ac:dyDescent="0.25">
      <c r="A16" s="22">
        <v>8679</v>
      </c>
      <c r="B16" s="29">
        <v>46122</v>
      </c>
      <c r="C16" s="23" t="s">
        <v>13</v>
      </c>
      <c r="D16" s="37" t="s">
        <v>442</v>
      </c>
      <c r="E16" s="23" t="s">
        <v>110</v>
      </c>
      <c r="F16" s="31">
        <v>1410</v>
      </c>
      <c r="G16" s="31">
        <v>57000</v>
      </c>
      <c r="H16" s="31">
        <f>E_Hien_Cty_Minh_Hien_HD[[#This Row],[ĐƠN GIÁ]]*E_Hien_Cty_Minh_Hien_HD[[#This Row],[SỐ LƯỢNG]]</f>
        <v>80370000</v>
      </c>
      <c r="I16" s="31"/>
      <c r="J16" s="31">
        <f ca="1">N(INDIRECT("R[-1]C", FALSE)) + E_Hien_Cty_Minh_Hien_HD[[#This Row],[THÀNH TIỀN]] - E_Hien_Cty_Minh_Hien_HD[[#This Row],[THANH TOÁN]]</f>
        <v>207150770</v>
      </c>
      <c r="K16" s="24" t="s">
        <v>42</v>
      </c>
    </row>
    <row r="17" spans="1:11" x14ac:dyDescent="0.25">
      <c r="A17" s="22">
        <v>8679</v>
      </c>
      <c r="B17" s="29">
        <v>46122</v>
      </c>
      <c r="C17" s="23" t="s">
        <v>13</v>
      </c>
      <c r="D17" s="37" t="s">
        <v>50</v>
      </c>
      <c r="E17" s="23" t="s">
        <v>110</v>
      </c>
      <c r="F17" s="31">
        <v>1654</v>
      </c>
      <c r="G17" s="31">
        <v>57000</v>
      </c>
      <c r="H17" s="31">
        <f>E_Hien_Cty_Minh_Hien_HD[[#This Row],[ĐƠN GIÁ]]*E_Hien_Cty_Minh_Hien_HD[[#This Row],[SỐ LƯỢNG]]</f>
        <v>94278000</v>
      </c>
      <c r="I17" s="31"/>
      <c r="J17" s="31">
        <f ca="1">N(INDIRECT("R[-1]C", FALSE)) + E_Hien_Cty_Minh_Hien_HD[[#This Row],[THÀNH TIỀN]] - E_Hien_Cty_Minh_Hien_HD[[#This Row],[THANH TOÁN]]</f>
        <v>301428770</v>
      </c>
      <c r="K17" s="24" t="s">
        <v>42</v>
      </c>
    </row>
    <row r="18" spans="1:11" x14ac:dyDescent="0.25">
      <c r="A18" s="22"/>
      <c r="B18" s="29">
        <v>46122</v>
      </c>
      <c r="C18" s="23" t="s">
        <v>21</v>
      </c>
      <c r="D18" s="37" t="s">
        <v>22</v>
      </c>
      <c r="E18" s="23" t="s">
        <v>47</v>
      </c>
      <c r="F18" s="31">
        <v>0</v>
      </c>
      <c r="G18" s="31"/>
      <c r="H18" s="31">
        <f>E_Hien_Cty_Minh_Hien_HD[[#This Row],[ĐƠN GIÁ]]*E_Hien_Cty_Minh_Hien_HD[[#This Row],[SỐ LƯỢNG]]</f>
        <v>0</v>
      </c>
      <c r="I18" s="31">
        <v>90000000</v>
      </c>
      <c r="J18" s="31">
        <f ca="1">N(INDIRECT("R[-1]C", FALSE)) + E_Hien_Cty_Minh_Hien_HD[[#This Row],[THÀNH TIỀN]] - E_Hien_Cty_Minh_Hien_HD[[#This Row],[THANH TOÁN]]</f>
        <v>211428770</v>
      </c>
      <c r="K18" s="24"/>
    </row>
    <row r="19" spans="1:11" x14ac:dyDescent="0.25">
      <c r="A19" s="22">
        <v>8712</v>
      </c>
      <c r="B19" s="29">
        <v>46123</v>
      </c>
      <c r="C19" s="23" t="s">
        <v>13</v>
      </c>
      <c r="D19" s="37" t="s">
        <v>355</v>
      </c>
      <c r="E19" s="23" t="s">
        <v>1238</v>
      </c>
      <c r="F19" s="31">
        <v>1916</v>
      </c>
      <c r="G19" s="31">
        <v>57000</v>
      </c>
      <c r="H19" s="31">
        <f>E_Hien_Cty_Minh_Hien_HD[[#This Row],[ĐƠN GIÁ]]*E_Hien_Cty_Minh_Hien_HD[[#This Row],[SỐ LƯỢNG]]</f>
        <v>109212000</v>
      </c>
      <c r="I19" s="31"/>
      <c r="J19" s="31">
        <f ca="1">N(INDIRECT("R[-1]C", FALSE)) + E_Hien_Cty_Minh_Hien_HD[[#This Row],[THÀNH TIỀN]] - E_Hien_Cty_Minh_Hien_HD[[#This Row],[THANH TOÁN]]</f>
        <v>320640770</v>
      </c>
      <c r="K19" s="24" t="s">
        <v>42</v>
      </c>
    </row>
    <row r="20" spans="1:11" x14ac:dyDescent="0.25">
      <c r="A20" s="22">
        <v>8924</v>
      </c>
      <c r="B20" s="29">
        <v>46133</v>
      </c>
      <c r="C20" s="23" t="s">
        <v>13</v>
      </c>
      <c r="D20" s="37" t="s">
        <v>54</v>
      </c>
      <c r="E20" s="23" t="s">
        <v>221</v>
      </c>
      <c r="F20" s="31">
        <v>322</v>
      </c>
      <c r="G20" s="31">
        <v>34000</v>
      </c>
      <c r="H20" s="31">
        <f>E_Hien_Cty_Minh_Hien_HD[[#This Row],[ĐƠN GIÁ]]*E_Hien_Cty_Minh_Hien_HD[[#This Row],[SỐ LƯỢNG]]</f>
        <v>10948000</v>
      </c>
      <c r="I20" s="31"/>
      <c r="J20" s="31">
        <f ca="1">N(INDIRECT("R[-1]C", FALSE)) + E_Hien_Cty_Minh_Hien_HD[[#This Row],[THÀNH TIỀN]] - E_Hien_Cty_Minh_Hien_HD[[#This Row],[THANH TOÁN]]</f>
        <v>331588770</v>
      </c>
      <c r="K20" s="24" t="s">
        <v>42</v>
      </c>
    </row>
    <row r="21" spans="1:11" x14ac:dyDescent="0.25">
      <c r="A21" s="22">
        <v>8924</v>
      </c>
      <c r="B21" s="29">
        <v>46133</v>
      </c>
      <c r="C21" s="23" t="s">
        <v>13</v>
      </c>
      <c r="D21" s="37" t="s">
        <v>50</v>
      </c>
      <c r="E21" s="23" t="s">
        <v>29</v>
      </c>
      <c r="F21" s="31">
        <v>286</v>
      </c>
      <c r="G21" s="31">
        <v>60000</v>
      </c>
      <c r="H21" s="31">
        <f>E_Hien_Cty_Minh_Hien_HD[[#This Row],[ĐƠN GIÁ]]*E_Hien_Cty_Minh_Hien_HD[[#This Row],[SỐ LƯỢNG]]</f>
        <v>17160000</v>
      </c>
      <c r="I21" s="31"/>
      <c r="J21" s="31">
        <f ca="1">N(INDIRECT("R[-1]C", FALSE)) + E_Hien_Cty_Minh_Hien_HD[[#This Row],[THÀNH TIỀN]] - E_Hien_Cty_Minh_Hien_HD[[#This Row],[THANH TOÁN]]</f>
        <v>348748770</v>
      </c>
      <c r="K21" s="24" t="s">
        <v>42</v>
      </c>
    </row>
    <row r="22" spans="1:11" x14ac:dyDescent="0.25">
      <c r="A22" s="25"/>
      <c r="B22" s="30">
        <v>46137</v>
      </c>
      <c r="C22" s="26" t="s">
        <v>21</v>
      </c>
      <c r="D22" s="38" t="s">
        <v>24</v>
      </c>
      <c r="E22" s="26"/>
      <c r="F22" s="28">
        <v>0</v>
      </c>
      <c r="G22" s="28"/>
      <c r="H22" s="28">
        <f>E_Hien_Cty_Minh_Hien_HD[[#This Row],[ĐƠN GIÁ]]*E_Hien_Cty_Minh_Hien_HD[[#This Row],[SỐ LƯỢNG]]</f>
        <v>0</v>
      </c>
      <c r="I22" s="28">
        <v>85000000</v>
      </c>
      <c r="J22" s="28">
        <f ca="1">N(INDIRECT("R[-1]C", FALSE)) + E_Hien_Cty_Minh_Hien_HD[[#This Row],[THÀNH TIỀN]] - E_Hien_Cty_Minh_Hien_HD[[#This Row],[THANH TOÁN]]</f>
        <v>263748770</v>
      </c>
      <c r="K22" s="27"/>
    </row>
    <row r="23" spans="1:11" x14ac:dyDescent="0.25">
      <c r="A23" s="22">
        <v>9050</v>
      </c>
      <c r="B23" s="29">
        <v>46139</v>
      </c>
      <c r="C23" s="23" t="s">
        <v>13</v>
      </c>
      <c r="D23" s="37" t="s">
        <v>1842</v>
      </c>
      <c r="E23" s="23" t="s">
        <v>117</v>
      </c>
      <c r="F23" s="31">
        <v>366</v>
      </c>
      <c r="G23" s="31">
        <v>70000</v>
      </c>
      <c r="H23" s="31">
        <f>E_Hien_Cty_Minh_Hien_HD[[#This Row],[ĐƠN GIÁ]]*E_Hien_Cty_Minh_Hien_HD[[#This Row],[SỐ LƯỢNG]]</f>
        <v>25620000</v>
      </c>
      <c r="I23" s="31"/>
      <c r="J23" s="31">
        <f ca="1">N(INDIRECT("R[-1]C", FALSE)) + E_Hien_Cty_Minh_Hien_HD[[#This Row],[THÀNH TIỀN]] - E_Hien_Cty_Minh_Hien_HD[[#This Row],[THANH TOÁN]]</f>
        <v>289368770</v>
      </c>
      <c r="K23" s="24" t="s">
        <v>42</v>
      </c>
    </row>
    <row r="24" spans="1:11" x14ac:dyDescent="0.25">
      <c r="A24" s="22"/>
      <c r="B24" s="29">
        <v>46153</v>
      </c>
      <c r="C24" s="23" t="s">
        <v>21</v>
      </c>
      <c r="D24" s="37" t="s">
        <v>22</v>
      </c>
      <c r="E24" s="23" t="s">
        <v>726</v>
      </c>
      <c r="F24" s="31">
        <v>0</v>
      </c>
      <c r="G24" s="31"/>
      <c r="H24" s="31">
        <f>E_Hien_Cty_Minh_Hien_HD[[#This Row],[ĐƠN GIÁ]]*E_Hien_Cty_Minh_Hien_HD[[#This Row],[SỐ LƯỢNG]]</f>
        <v>0</v>
      </c>
      <c r="I24" s="31">
        <v>70000000</v>
      </c>
      <c r="J24" s="31">
        <f ca="1">N(INDIRECT("R[-1]C", FALSE)) + E_Hien_Cty_Minh_Hien_HD[[#This Row],[THÀNH TIỀN]] - E_Hien_Cty_Minh_Hien_HD[[#This Row],[THANH TOÁN]]</f>
        <v>219368770</v>
      </c>
      <c r="K24" s="24"/>
    </row>
    <row r="25" spans="1:11" x14ac:dyDescent="0.25">
      <c r="A25" s="22">
        <v>9354</v>
      </c>
      <c r="B25" s="29">
        <v>46155</v>
      </c>
      <c r="C25" s="23" t="s">
        <v>13</v>
      </c>
      <c r="D25" s="37" t="s">
        <v>109</v>
      </c>
      <c r="E25" s="23" t="s">
        <v>2077</v>
      </c>
      <c r="F25" s="31">
        <v>1318</v>
      </c>
      <c r="G25" s="31">
        <v>62000</v>
      </c>
      <c r="H25" s="31">
        <f>E_Hien_Cty_Minh_Hien_HD[[#This Row],[ĐƠN GIÁ]]*E_Hien_Cty_Minh_Hien_HD[[#This Row],[SỐ LƯỢNG]]</f>
        <v>81716000</v>
      </c>
      <c r="I25" s="31"/>
      <c r="J25" s="31">
        <f ca="1">N(INDIRECT("R[-1]C", FALSE)) + E_Hien_Cty_Minh_Hien_HD[[#This Row],[THÀNH TIỀN]] - E_Hien_Cty_Minh_Hien_HD[[#This Row],[THANH TOÁN]]</f>
        <v>301084770</v>
      </c>
      <c r="K25" s="24"/>
    </row>
    <row r="26" spans="1:11" x14ac:dyDescent="0.25">
      <c r="A26" s="22">
        <v>9354</v>
      </c>
      <c r="B26" s="29">
        <v>46155</v>
      </c>
      <c r="C26" s="23" t="s">
        <v>13</v>
      </c>
      <c r="D26" s="37" t="s">
        <v>150</v>
      </c>
      <c r="E26" s="23" t="s">
        <v>28</v>
      </c>
      <c r="F26" s="31">
        <v>858</v>
      </c>
      <c r="G26" s="31">
        <v>35000</v>
      </c>
      <c r="H26" s="31">
        <f>E_Hien_Cty_Minh_Hien_HD[[#This Row],[ĐƠN GIÁ]]*E_Hien_Cty_Minh_Hien_HD[[#This Row],[SỐ LƯỢNG]]</f>
        <v>30030000</v>
      </c>
      <c r="I26" s="31"/>
      <c r="J26" s="31">
        <f ca="1">N(INDIRECT("R[-1]C", FALSE)) + E_Hien_Cty_Minh_Hien_HD[[#This Row],[THÀNH TIỀN]] - E_Hien_Cty_Minh_Hien_HD[[#This Row],[THANH TOÁN]]</f>
        <v>331114770</v>
      </c>
      <c r="K26" s="24"/>
    </row>
    <row r="27" spans="1:11" x14ac:dyDescent="0.25">
      <c r="A27" s="22">
        <v>9354</v>
      </c>
      <c r="B27" s="29">
        <v>46155</v>
      </c>
      <c r="C27" s="23" t="s">
        <v>13</v>
      </c>
      <c r="D27" s="37" t="s">
        <v>150</v>
      </c>
      <c r="E27" s="23" t="s">
        <v>682</v>
      </c>
      <c r="F27" s="31">
        <v>285</v>
      </c>
      <c r="G27" s="31">
        <v>35000</v>
      </c>
      <c r="H27" s="31">
        <f>E_Hien_Cty_Minh_Hien_HD[[#This Row],[ĐƠN GIÁ]]*E_Hien_Cty_Minh_Hien_HD[[#This Row],[SỐ LƯỢNG]]</f>
        <v>9975000</v>
      </c>
      <c r="I27" s="31"/>
      <c r="J27" s="31">
        <f ca="1">N(INDIRECT("R[-1]C", FALSE)) + E_Hien_Cty_Minh_Hien_HD[[#This Row],[THÀNH TIỀN]] - E_Hien_Cty_Minh_Hien_HD[[#This Row],[THANH TOÁN]]</f>
        <v>341089770</v>
      </c>
      <c r="K27" s="24"/>
    </row>
    <row r="28" spans="1:11" x14ac:dyDescent="0.25">
      <c r="A28" s="22">
        <v>9474</v>
      </c>
      <c r="B28" s="29">
        <v>46160</v>
      </c>
      <c r="C28" s="23" t="s">
        <v>13</v>
      </c>
      <c r="D28" s="37" t="s">
        <v>36</v>
      </c>
      <c r="E28" s="23" t="s">
        <v>28</v>
      </c>
      <c r="F28" s="31">
        <v>938</v>
      </c>
      <c r="G28" s="31">
        <v>62000</v>
      </c>
      <c r="H28" s="31">
        <f>E_Hien_Cty_Minh_Hien_HD[[#This Row],[ĐƠN GIÁ]]*E_Hien_Cty_Minh_Hien_HD[[#This Row],[SỐ LƯỢNG]]</f>
        <v>58156000</v>
      </c>
      <c r="I28" s="31"/>
      <c r="J28" s="31">
        <f ca="1">N(INDIRECT("R[-1]C", FALSE)) + E_Hien_Cty_Minh_Hien_HD[[#This Row],[THÀNH TIỀN]] - E_Hien_Cty_Minh_Hien_HD[[#This Row],[THANH TOÁN]]</f>
        <v>399245770</v>
      </c>
      <c r="K28" s="24" t="s">
        <v>42</v>
      </c>
    </row>
    <row r="29" spans="1:11" x14ac:dyDescent="0.25">
      <c r="A29" s="22">
        <v>9598</v>
      </c>
      <c r="B29" s="29">
        <v>46167</v>
      </c>
      <c r="C29" s="23" t="s">
        <v>13</v>
      </c>
      <c r="D29" s="37" t="s">
        <v>26</v>
      </c>
      <c r="E29" s="23" t="s">
        <v>2334</v>
      </c>
      <c r="F29" s="31">
        <v>242</v>
      </c>
      <c r="G29" s="31">
        <v>35000</v>
      </c>
      <c r="H29" s="31">
        <f>E_Hien_Cty_Minh_Hien_HD[[#This Row],[ĐƠN GIÁ]]*E_Hien_Cty_Minh_Hien_HD[[#This Row],[SỐ LƯỢNG]]</f>
        <v>8470000</v>
      </c>
      <c r="I29" s="31"/>
      <c r="J29" s="31">
        <f ca="1">N(INDIRECT("R[-1]C", FALSE)) + E_Hien_Cty_Minh_Hien_HD[[#This Row],[THÀNH TIỀN]] - E_Hien_Cty_Minh_Hien_HD[[#This Row],[THANH TOÁN]]</f>
        <v>407715770</v>
      </c>
      <c r="K29" s="24"/>
    </row>
    <row r="30" spans="1:11" x14ac:dyDescent="0.25">
      <c r="A30" s="25"/>
      <c r="B30" s="30">
        <v>46167</v>
      </c>
      <c r="C30" s="26" t="s">
        <v>21</v>
      </c>
      <c r="D30" s="38" t="s">
        <v>2157</v>
      </c>
      <c r="E30" s="26"/>
      <c r="F30" s="28">
        <v>0</v>
      </c>
      <c r="G30" s="28"/>
      <c r="H30" s="28">
        <f>E_Hien_Cty_Minh_Hien_HD[[#This Row],[ĐƠN GIÁ]]*E_Hien_Cty_Minh_Hien_HD[[#This Row],[SỐ LƯỢNG]]</f>
        <v>0</v>
      </c>
      <c r="I30" s="28">
        <v>70000000</v>
      </c>
      <c r="J30" s="28">
        <f ca="1">N(INDIRECT("R[-1]C", FALSE)) + E_Hien_Cty_Minh_Hien_HD[[#This Row],[THÀNH TIỀN]] - E_Hien_Cty_Minh_Hien_HD[[#This Row],[THANH TOÁN]]</f>
        <v>337715770</v>
      </c>
      <c r="K30" s="27"/>
    </row>
  </sheetData>
  <phoneticPr fontId="9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8A726-A115-4100-AB20-09E831117278}">
  <sheetPr codeName="Sheet105"/>
  <dimension ref="A5:K57"/>
  <sheetViews>
    <sheetView topLeftCell="A31" workbookViewId="0">
      <selection activeCell="I47" sqref="I47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3303400077</v>
      </c>
    </row>
    <row r="6" spans="1:11" ht="22.5" x14ac:dyDescent="0.25">
      <c r="D6" s="34" t="s">
        <v>1239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A_Thang_HP[[#This Row],[ĐƠN GIÁ]]*A_Thang_HP[[#This Row],[SỐ LƯỢNG]]</f>
        <v>0</v>
      </c>
      <c r="I10" s="31"/>
      <c r="J10" s="31">
        <v>2568444527</v>
      </c>
      <c r="K10" s="24"/>
    </row>
    <row r="11" spans="1:11" x14ac:dyDescent="0.25">
      <c r="A11" s="22"/>
      <c r="B11" s="29">
        <v>46084</v>
      </c>
      <c r="C11" s="23" t="s">
        <v>21</v>
      </c>
      <c r="D11" s="37" t="s">
        <v>22</v>
      </c>
      <c r="E11" s="23" t="s">
        <v>147</v>
      </c>
      <c r="F11" s="31">
        <v>0</v>
      </c>
      <c r="G11" s="31">
        <v>0</v>
      </c>
      <c r="H11" s="31">
        <f>A_Thang_HP[[#This Row],[ĐƠN GIÁ]]*A_Thang_HP[[#This Row],[SỐ LƯỢNG]]</f>
        <v>0</v>
      </c>
      <c r="I11" s="31">
        <v>200000000</v>
      </c>
      <c r="J11" s="31">
        <f>J10+A_Thang_HP[[#This Row],[THÀNH TIỀN]]-A_Thang_HP[[#This Row],[THANH TOÁN]]</f>
        <v>2368444527</v>
      </c>
      <c r="K11" s="24"/>
    </row>
    <row r="12" spans="1:11" x14ac:dyDescent="0.25">
      <c r="A12" s="22"/>
      <c r="B12" s="29">
        <v>46092</v>
      </c>
      <c r="C12" s="23" t="s">
        <v>21</v>
      </c>
      <c r="D12" s="37" t="s">
        <v>22</v>
      </c>
      <c r="E12" s="23" t="s">
        <v>147</v>
      </c>
      <c r="F12" s="31">
        <v>0</v>
      </c>
      <c r="G12" s="31">
        <v>0</v>
      </c>
      <c r="H12" s="31">
        <f>A_Thang_HP[[#This Row],[ĐƠN GIÁ]]*A_Thang_HP[[#This Row],[SỐ LƯỢNG]]</f>
        <v>0</v>
      </c>
      <c r="I12" s="31">
        <v>100000000</v>
      </c>
      <c r="J12" s="31">
        <f>J11+A_Thang_HP[[#This Row],[THÀNH TIỀN]]-A_Thang_HP[[#This Row],[THANH TOÁN]]</f>
        <v>2268444527</v>
      </c>
      <c r="K12" s="24"/>
    </row>
    <row r="13" spans="1:11" x14ac:dyDescent="0.25">
      <c r="A13" s="25">
        <v>8085</v>
      </c>
      <c r="B13" s="30">
        <v>46095</v>
      </c>
      <c r="C13" s="26" t="s">
        <v>13</v>
      </c>
      <c r="D13" s="38" t="s">
        <v>135</v>
      </c>
      <c r="E13" s="26" t="s">
        <v>1240</v>
      </c>
      <c r="F13" s="28">
        <v>1426</v>
      </c>
      <c r="G13" s="28">
        <v>37000</v>
      </c>
      <c r="H13" s="28">
        <f>A_Thang_HP[[#This Row],[ĐƠN GIÁ]]*A_Thang_HP[[#This Row],[SỐ LƯỢNG]]</f>
        <v>52762000</v>
      </c>
      <c r="I13" s="28"/>
      <c r="J13" s="28">
        <f>J12+A_Thang_HP[[#This Row],[THÀNH TIỀN]]-A_Thang_HP[[#This Row],[THANH TOÁN]]</f>
        <v>2321206527</v>
      </c>
      <c r="K13" s="27"/>
    </row>
    <row r="14" spans="1:11" x14ac:dyDescent="0.25">
      <c r="A14" s="25">
        <v>8119</v>
      </c>
      <c r="B14" s="30">
        <v>46097</v>
      </c>
      <c r="C14" s="26" t="s">
        <v>13</v>
      </c>
      <c r="D14" s="38" t="s">
        <v>17</v>
      </c>
      <c r="E14" s="26" t="s">
        <v>230</v>
      </c>
      <c r="F14" s="28">
        <v>586</v>
      </c>
      <c r="G14" s="28">
        <v>66000</v>
      </c>
      <c r="H14" s="28">
        <f>A_Thang_HP[[#This Row],[ĐƠN GIÁ]]*A_Thang_HP[[#This Row],[SỐ LƯỢNG]]</f>
        <v>38676000</v>
      </c>
      <c r="I14" s="28"/>
      <c r="J14" s="28">
        <f>J13+A_Thang_HP[[#This Row],[THÀNH TIỀN]]-A_Thang_HP[[#This Row],[THANH TOÁN]]</f>
        <v>2359882527</v>
      </c>
      <c r="K14" s="27"/>
    </row>
    <row r="15" spans="1:11" x14ac:dyDescent="0.25">
      <c r="A15" s="25">
        <v>8179</v>
      </c>
      <c r="B15" s="30">
        <v>46099</v>
      </c>
      <c r="C15" s="26" t="s">
        <v>13</v>
      </c>
      <c r="D15" s="38" t="s">
        <v>43</v>
      </c>
      <c r="E15" s="26" t="s">
        <v>366</v>
      </c>
      <c r="F15" s="28">
        <v>1468</v>
      </c>
      <c r="G15" s="28">
        <v>60000</v>
      </c>
      <c r="H15" s="28">
        <f>A_Thang_HP[[#This Row],[ĐƠN GIÁ]]*A_Thang_HP[[#This Row],[SỐ LƯỢNG]]</f>
        <v>88080000</v>
      </c>
      <c r="I15" s="28"/>
      <c r="J15" s="28">
        <f>J14+A_Thang_HP[[#This Row],[THÀNH TIỀN]]-A_Thang_HP[[#This Row],[THANH TOÁN]]</f>
        <v>2447962527</v>
      </c>
      <c r="K15" s="27"/>
    </row>
    <row r="16" spans="1:11" x14ac:dyDescent="0.25">
      <c r="A16" s="25"/>
      <c r="B16" s="30">
        <v>46100</v>
      </c>
      <c r="C16" s="26" t="s">
        <v>21</v>
      </c>
      <c r="D16" s="38" t="s">
        <v>22</v>
      </c>
      <c r="E16" s="26" t="s">
        <v>147</v>
      </c>
      <c r="F16" s="28">
        <v>0</v>
      </c>
      <c r="G16" s="28">
        <v>0</v>
      </c>
      <c r="H16" s="28">
        <f>A_Thang_HP[[#This Row],[ĐƠN GIÁ]]*A_Thang_HP[[#This Row],[SỐ LƯỢNG]]</f>
        <v>0</v>
      </c>
      <c r="I16" s="28">
        <v>100000000</v>
      </c>
      <c r="J16" s="28">
        <f>J15+A_Thang_HP[[#This Row],[THÀNH TIỀN]]-A_Thang_HP[[#This Row],[THANH TOÁN]]</f>
        <v>2347962527</v>
      </c>
      <c r="K16" s="27"/>
    </row>
    <row r="17" spans="1:11" x14ac:dyDescent="0.25">
      <c r="A17" s="25">
        <v>8209</v>
      </c>
      <c r="B17" s="30">
        <v>46104</v>
      </c>
      <c r="C17" s="26" t="s">
        <v>13</v>
      </c>
      <c r="D17" s="38" t="s">
        <v>43</v>
      </c>
      <c r="E17" s="26" t="s">
        <v>175</v>
      </c>
      <c r="F17" s="28">
        <v>1097</v>
      </c>
      <c r="G17" s="28">
        <v>57000</v>
      </c>
      <c r="H17" s="28">
        <f>A_Thang_HP[[#This Row],[ĐƠN GIÁ]]*A_Thang_HP[[#This Row],[SỐ LƯỢNG]]</f>
        <v>62529000</v>
      </c>
      <c r="I17" s="28"/>
      <c r="J17" s="28">
        <f>J16+A_Thang_HP[[#This Row],[THÀNH TIỀN]]-A_Thang_HP[[#This Row],[THANH TOÁN]]</f>
        <v>2410491527</v>
      </c>
      <c r="K17" s="27"/>
    </row>
    <row r="18" spans="1:11" x14ac:dyDescent="0.25">
      <c r="A18" s="25">
        <v>8209</v>
      </c>
      <c r="B18" s="30">
        <v>46104</v>
      </c>
      <c r="C18" s="26" t="s">
        <v>13</v>
      </c>
      <c r="D18" s="38" t="s">
        <v>252</v>
      </c>
      <c r="E18" s="26" t="s">
        <v>136</v>
      </c>
      <c r="F18" s="28">
        <v>1608</v>
      </c>
      <c r="G18" s="28">
        <v>38500</v>
      </c>
      <c r="H18" s="28">
        <f>A_Thang_HP[[#This Row],[ĐƠN GIÁ]]*A_Thang_HP[[#This Row],[SỐ LƯỢNG]]</f>
        <v>61908000</v>
      </c>
      <c r="I18" s="28"/>
      <c r="J18" s="28">
        <f>J17+A_Thang_HP[[#This Row],[THÀNH TIỀN]]-A_Thang_HP[[#This Row],[THANH TOÁN]]</f>
        <v>2472399527</v>
      </c>
      <c r="K18" s="27"/>
    </row>
    <row r="19" spans="1:11" x14ac:dyDescent="0.25">
      <c r="A19" s="25"/>
      <c r="B19" s="30">
        <v>46108</v>
      </c>
      <c r="C19" s="26" t="s">
        <v>21</v>
      </c>
      <c r="D19" s="38" t="s">
        <v>22</v>
      </c>
      <c r="E19" s="26" t="s">
        <v>147</v>
      </c>
      <c r="F19" s="28">
        <v>0</v>
      </c>
      <c r="G19" s="28">
        <v>0</v>
      </c>
      <c r="H19" s="28">
        <f>A_Thang_HP[[#This Row],[ĐƠN GIÁ]]*A_Thang_HP[[#This Row],[SỐ LƯỢNG]]</f>
        <v>0</v>
      </c>
      <c r="I19" s="28">
        <v>100000000</v>
      </c>
      <c r="J19" s="28">
        <f>J18+A_Thang_HP[[#This Row],[THÀNH TIỀN]]-A_Thang_HP[[#This Row],[THANH TOÁN]]</f>
        <v>2372399527</v>
      </c>
      <c r="K19" s="27"/>
    </row>
    <row r="20" spans="1:11" x14ac:dyDescent="0.25">
      <c r="A20" s="22">
        <v>8474</v>
      </c>
      <c r="B20" s="29">
        <v>46113</v>
      </c>
      <c r="C20" s="23" t="s">
        <v>13</v>
      </c>
      <c r="D20" s="37" t="s">
        <v>43</v>
      </c>
      <c r="E20" s="23" t="s">
        <v>1241</v>
      </c>
      <c r="F20" s="31">
        <v>2472</v>
      </c>
      <c r="G20" s="31">
        <v>56000</v>
      </c>
      <c r="H20" s="31">
        <f>A_Thang_HP[[#This Row],[ĐƠN GIÁ]]*A_Thang_HP[[#This Row],[SỐ LƯỢNG]]</f>
        <v>138432000</v>
      </c>
      <c r="I20" s="31"/>
      <c r="J20" s="31">
        <f>J19+A_Thang_HP[[#This Row],[THÀNH TIỀN]]-A_Thang_HP[[#This Row],[THANH TOÁN]]</f>
        <v>2510831527</v>
      </c>
      <c r="K20" s="24"/>
    </row>
    <row r="21" spans="1:11" x14ac:dyDescent="0.25">
      <c r="A21" s="22"/>
      <c r="B21" s="29">
        <v>46113</v>
      </c>
      <c r="C21" s="23" t="s">
        <v>21</v>
      </c>
      <c r="D21" s="37" t="s">
        <v>22</v>
      </c>
      <c r="E21" s="23" t="s">
        <v>147</v>
      </c>
      <c r="F21" s="31">
        <v>0</v>
      </c>
      <c r="G21" s="31"/>
      <c r="H21" s="31">
        <f>A_Thang_HP[[#This Row],[ĐƠN GIÁ]]*A_Thang_HP[[#This Row],[SỐ LƯỢNG]]</f>
        <v>0</v>
      </c>
      <c r="I21" s="31">
        <v>200000000</v>
      </c>
      <c r="J21" s="31">
        <f>J20+A_Thang_HP[[#This Row],[THÀNH TIỀN]]-A_Thang_HP[[#This Row],[THANH TOÁN]]</f>
        <v>2310831527</v>
      </c>
      <c r="K21" s="24"/>
    </row>
    <row r="22" spans="1:11" x14ac:dyDescent="0.25">
      <c r="A22" s="22">
        <v>8629</v>
      </c>
      <c r="B22" s="29">
        <v>46120</v>
      </c>
      <c r="C22" s="23" t="s">
        <v>13</v>
      </c>
      <c r="D22" s="37" t="s">
        <v>43</v>
      </c>
      <c r="E22" s="23" t="s">
        <v>248</v>
      </c>
      <c r="F22" s="31">
        <v>2934</v>
      </c>
      <c r="G22" s="31">
        <v>59000</v>
      </c>
      <c r="H22" s="31">
        <f>A_Thang_HP[[#This Row],[ĐƠN GIÁ]]*A_Thang_HP[[#This Row],[SỐ LƯỢNG]]</f>
        <v>173106000</v>
      </c>
      <c r="I22" s="31"/>
      <c r="J22" s="31">
        <f>J21+A_Thang_HP[[#This Row],[THÀNH TIỀN]]-A_Thang_HP[[#This Row],[THANH TOÁN]]</f>
        <v>2483937527</v>
      </c>
      <c r="K22" s="24"/>
    </row>
    <row r="23" spans="1:11" x14ac:dyDescent="0.25">
      <c r="A23" s="22"/>
      <c r="B23" s="29">
        <v>46121</v>
      </c>
      <c r="C23" s="23" t="s">
        <v>21</v>
      </c>
      <c r="D23" s="37" t="s">
        <v>22</v>
      </c>
      <c r="E23" s="23" t="s">
        <v>147</v>
      </c>
      <c r="F23" s="31">
        <v>0</v>
      </c>
      <c r="G23" s="31"/>
      <c r="H23" s="31">
        <f>A_Thang_HP[[#This Row],[ĐƠN GIÁ]]*A_Thang_HP[[#This Row],[SỐ LƯỢNG]]</f>
        <v>0</v>
      </c>
      <c r="I23" s="31">
        <v>200000000</v>
      </c>
      <c r="J23" s="31">
        <f>J22+A_Thang_HP[[#This Row],[THÀNH TIỀN]]-A_Thang_HP[[#This Row],[THANH TOÁN]]</f>
        <v>2283937527</v>
      </c>
      <c r="K23" s="24"/>
    </row>
    <row r="24" spans="1:11" x14ac:dyDescent="0.25">
      <c r="A24" s="22">
        <v>8681</v>
      </c>
      <c r="B24" s="29">
        <v>46122</v>
      </c>
      <c r="C24" s="23" t="s">
        <v>13</v>
      </c>
      <c r="D24" s="37" t="s">
        <v>43</v>
      </c>
      <c r="E24" s="23" t="s">
        <v>248</v>
      </c>
      <c r="F24" s="31">
        <v>3365</v>
      </c>
      <c r="G24" s="31">
        <v>59000</v>
      </c>
      <c r="H24" s="31">
        <f>A_Thang_HP[[#This Row],[ĐƠN GIÁ]]*A_Thang_HP[[#This Row],[SỐ LƯỢNG]]</f>
        <v>198535000</v>
      </c>
      <c r="I24" s="31"/>
      <c r="J24" s="31">
        <f>J23+A_Thang_HP[[#This Row],[THÀNH TIỀN]]-A_Thang_HP[[#This Row],[THANH TOÁN]]</f>
        <v>2482472527</v>
      </c>
      <c r="K24" s="24"/>
    </row>
    <row r="25" spans="1:11" x14ac:dyDescent="0.25">
      <c r="A25" s="22">
        <v>8743</v>
      </c>
      <c r="B25" s="29">
        <v>46125</v>
      </c>
      <c r="C25" s="23" t="s">
        <v>13</v>
      </c>
      <c r="D25" s="37" t="s">
        <v>135</v>
      </c>
      <c r="E25" s="23" t="s">
        <v>134</v>
      </c>
      <c r="F25" s="31">
        <v>2138</v>
      </c>
      <c r="G25" s="31">
        <v>37500</v>
      </c>
      <c r="H25" s="31">
        <f>A_Thang_HP[[#This Row],[ĐƠN GIÁ]]*A_Thang_HP[[#This Row],[SỐ LƯỢNG]]</f>
        <v>80175000</v>
      </c>
      <c r="I25" s="31"/>
      <c r="J25" s="31">
        <f>J24+A_Thang_HP[[#This Row],[THÀNH TIỀN]]-A_Thang_HP[[#This Row],[THANH TOÁN]]</f>
        <v>2562647527</v>
      </c>
      <c r="K25" s="24"/>
    </row>
    <row r="26" spans="1:11" x14ac:dyDescent="0.25">
      <c r="A26" s="22">
        <v>8793</v>
      </c>
      <c r="B26" s="29">
        <v>46127</v>
      </c>
      <c r="C26" s="23" t="s">
        <v>13</v>
      </c>
      <c r="D26" s="37" t="s">
        <v>26</v>
      </c>
      <c r="E26" s="23" t="s">
        <v>403</v>
      </c>
      <c r="F26" s="31">
        <v>1678</v>
      </c>
      <c r="G26" s="31">
        <v>33000</v>
      </c>
      <c r="H26" s="31">
        <f>A_Thang_HP[[#This Row],[ĐƠN GIÁ]]*A_Thang_HP[[#This Row],[SỐ LƯỢNG]]</f>
        <v>55374000</v>
      </c>
      <c r="I26" s="31"/>
      <c r="J26" s="31">
        <f>J25+A_Thang_HP[[#This Row],[THÀNH TIỀN]]-A_Thang_HP[[#This Row],[THANH TOÁN]]</f>
        <v>2618021527</v>
      </c>
      <c r="K26" s="24"/>
    </row>
    <row r="27" spans="1:11" x14ac:dyDescent="0.25">
      <c r="A27" s="22">
        <v>8793</v>
      </c>
      <c r="B27" s="29">
        <v>46127</v>
      </c>
      <c r="C27" s="23" t="s">
        <v>13</v>
      </c>
      <c r="D27" s="37" t="s">
        <v>26</v>
      </c>
      <c r="E27" s="23" t="s">
        <v>136</v>
      </c>
      <c r="F27" s="31">
        <v>1020</v>
      </c>
      <c r="G27" s="31">
        <v>35000</v>
      </c>
      <c r="H27" s="31">
        <f>A_Thang_HP[[#This Row],[ĐƠN GIÁ]]*A_Thang_HP[[#This Row],[SỐ LƯỢNG]]</f>
        <v>35700000</v>
      </c>
      <c r="I27" s="31"/>
      <c r="J27" s="31">
        <f>J26+A_Thang_HP[[#This Row],[THÀNH TIỀN]]-A_Thang_HP[[#This Row],[THANH TOÁN]]</f>
        <v>2653721527</v>
      </c>
      <c r="K27" s="24"/>
    </row>
    <row r="28" spans="1:11" x14ac:dyDescent="0.25">
      <c r="A28" s="22">
        <v>8793</v>
      </c>
      <c r="B28" s="29">
        <v>46127</v>
      </c>
      <c r="C28" s="23" t="s">
        <v>13</v>
      </c>
      <c r="D28" s="37" t="s">
        <v>14</v>
      </c>
      <c r="E28" s="23" t="s">
        <v>136</v>
      </c>
      <c r="F28" s="31">
        <v>2566</v>
      </c>
      <c r="G28" s="31">
        <v>42000</v>
      </c>
      <c r="H28" s="31">
        <f>A_Thang_HP[[#This Row],[ĐƠN GIÁ]]*A_Thang_HP[[#This Row],[SỐ LƯỢNG]]</f>
        <v>107772000</v>
      </c>
      <c r="I28" s="31"/>
      <c r="J28" s="31">
        <f>J27+A_Thang_HP[[#This Row],[THÀNH TIỀN]]-A_Thang_HP[[#This Row],[THANH TOÁN]]</f>
        <v>2761493527</v>
      </c>
      <c r="K28" s="24"/>
    </row>
    <row r="29" spans="1:11" x14ac:dyDescent="0.25">
      <c r="A29" s="22"/>
      <c r="B29" s="29">
        <v>46127</v>
      </c>
      <c r="C29" s="23" t="s">
        <v>21</v>
      </c>
      <c r="D29" s="37" t="s">
        <v>22</v>
      </c>
      <c r="E29" s="23" t="s">
        <v>147</v>
      </c>
      <c r="F29" s="31">
        <v>0</v>
      </c>
      <c r="G29" s="31"/>
      <c r="H29" s="31">
        <f>A_Thang_HP[[#This Row],[ĐƠN GIÁ]]*A_Thang_HP[[#This Row],[SỐ LƯỢNG]]</f>
        <v>0</v>
      </c>
      <c r="I29" s="31">
        <v>200000000</v>
      </c>
      <c r="J29" s="31">
        <f>J28+A_Thang_HP[[#This Row],[THÀNH TIỀN]]-A_Thang_HP[[#This Row],[THANH TOÁN]]</f>
        <v>2561493527</v>
      </c>
      <c r="K29" s="24"/>
    </row>
    <row r="30" spans="1:11" x14ac:dyDescent="0.25">
      <c r="A30" s="22">
        <v>8825</v>
      </c>
      <c r="B30" s="29">
        <v>46128</v>
      </c>
      <c r="C30" s="23" t="s">
        <v>13</v>
      </c>
      <c r="D30" s="37" t="s">
        <v>43</v>
      </c>
      <c r="E30" s="23" t="s">
        <v>154</v>
      </c>
      <c r="F30" s="31">
        <v>1996</v>
      </c>
      <c r="G30" s="31">
        <v>61000</v>
      </c>
      <c r="H30" s="31">
        <f>A_Thang_HP[[#This Row],[ĐƠN GIÁ]]*A_Thang_HP[[#This Row],[SỐ LƯỢNG]]</f>
        <v>121756000</v>
      </c>
      <c r="I30" s="31"/>
      <c r="J30" s="31">
        <f>J29+A_Thang_HP[[#This Row],[THÀNH TIỀN]]-A_Thang_HP[[#This Row],[THANH TOÁN]]</f>
        <v>2683249527</v>
      </c>
      <c r="K30" s="24"/>
    </row>
    <row r="31" spans="1:11" x14ac:dyDescent="0.25">
      <c r="A31" s="22">
        <v>8868</v>
      </c>
      <c r="B31" s="29">
        <v>46130</v>
      </c>
      <c r="C31" s="23" t="s">
        <v>13</v>
      </c>
      <c r="D31" s="37" t="s">
        <v>43</v>
      </c>
      <c r="E31" s="23" t="s">
        <v>250</v>
      </c>
      <c r="F31" s="31">
        <v>595.5</v>
      </c>
      <c r="G31" s="31">
        <v>59000</v>
      </c>
      <c r="H31" s="31">
        <f>A_Thang_HP[[#This Row],[ĐƠN GIÁ]]*A_Thang_HP[[#This Row],[SỐ LƯỢNG]]</f>
        <v>35134500</v>
      </c>
      <c r="I31" s="31"/>
      <c r="J31" s="31">
        <f>J30+A_Thang_HP[[#This Row],[THÀNH TIỀN]]-A_Thang_HP[[#This Row],[THANH TOÁN]]</f>
        <v>2718384027</v>
      </c>
      <c r="K31" s="24" t="s">
        <v>1242</v>
      </c>
    </row>
    <row r="32" spans="1:11" x14ac:dyDescent="0.25">
      <c r="A32" s="22">
        <v>8868</v>
      </c>
      <c r="B32" s="29">
        <v>46130</v>
      </c>
      <c r="C32" s="23" t="s">
        <v>13</v>
      </c>
      <c r="D32" s="37" t="s">
        <v>43</v>
      </c>
      <c r="E32" s="23" t="s">
        <v>78</v>
      </c>
      <c r="F32" s="31">
        <v>1263</v>
      </c>
      <c r="G32" s="31">
        <v>60000</v>
      </c>
      <c r="H32" s="31">
        <f>A_Thang_HP[[#This Row],[ĐƠN GIÁ]]*A_Thang_HP[[#This Row],[SỐ LƯỢNG]]</f>
        <v>75780000</v>
      </c>
      <c r="I32" s="31"/>
      <c r="J32" s="31">
        <f>J31+A_Thang_HP[[#This Row],[THÀNH TIỀN]]-A_Thang_HP[[#This Row],[THANH TOÁN]]</f>
        <v>2794164027</v>
      </c>
      <c r="K32" s="24" t="s">
        <v>1243</v>
      </c>
    </row>
    <row r="33" spans="1:11" x14ac:dyDescent="0.25">
      <c r="A33" s="22"/>
      <c r="B33" s="29">
        <v>46133</v>
      </c>
      <c r="C33" s="23" t="s">
        <v>21</v>
      </c>
      <c r="D33" s="37" t="s">
        <v>22</v>
      </c>
      <c r="E33" s="23" t="s">
        <v>147</v>
      </c>
      <c r="F33" s="31">
        <v>0</v>
      </c>
      <c r="G33" s="31"/>
      <c r="H33" s="31">
        <f>A_Thang_HP[[#This Row],[ĐƠN GIÁ]]*A_Thang_HP[[#This Row],[SỐ LƯỢNG]]</f>
        <v>0</v>
      </c>
      <c r="I33" s="31">
        <v>200000000</v>
      </c>
      <c r="J33" s="31">
        <f>J32+A_Thang_HP[[#This Row],[THÀNH TIỀN]]-A_Thang_HP[[#This Row],[THANH TOÁN]]</f>
        <v>2594164027</v>
      </c>
      <c r="K33" s="24"/>
    </row>
    <row r="34" spans="1:11" x14ac:dyDescent="0.25">
      <c r="A34" s="22">
        <v>8975</v>
      </c>
      <c r="B34" s="29">
        <v>46136</v>
      </c>
      <c r="C34" s="23" t="s">
        <v>13</v>
      </c>
      <c r="D34" s="37" t="s">
        <v>32</v>
      </c>
      <c r="E34" s="23" t="s">
        <v>40</v>
      </c>
      <c r="F34" s="31">
        <v>966</v>
      </c>
      <c r="G34" s="31">
        <v>43500</v>
      </c>
      <c r="H34" s="31">
        <f>A_Thang_HP[[#This Row],[ĐƠN GIÁ]]*A_Thang_HP[[#This Row],[SỐ LƯỢNG]]</f>
        <v>42021000</v>
      </c>
      <c r="I34" s="31"/>
      <c r="J34" s="31">
        <f>J33+A_Thang_HP[[#This Row],[THÀNH TIỀN]]-A_Thang_HP[[#This Row],[THANH TOÁN]]</f>
        <v>2636185027</v>
      </c>
      <c r="K34" s="24"/>
    </row>
    <row r="35" spans="1:11" x14ac:dyDescent="0.25">
      <c r="A35" s="22">
        <v>8975</v>
      </c>
      <c r="B35" s="29">
        <v>46136</v>
      </c>
      <c r="C35" s="23" t="s">
        <v>13</v>
      </c>
      <c r="D35" s="37" t="s">
        <v>192</v>
      </c>
      <c r="E35" s="23" t="s">
        <v>1804</v>
      </c>
      <c r="F35" s="31">
        <v>8004</v>
      </c>
      <c r="G35" s="31">
        <v>35200</v>
      </c>
      <c r="H35" s="31">
        <f>A_Thang_HP[[#This Row],[ĐƠN GIÁ]]*A_Thang_HP[[#This Row],[SỐ LƯỢNG]]</f>
        <v>281740800</v>
      </c>
      <c r="I35" s="31"/>
      <c r="J35" s="31">
        <f>J34+A_Thang_HP[[#This Row],[THÀNH TIỀN]]-A_Thang_HP[[#This Row],[THANH TOÁN]]</f>
        <v>2917925827</v>
      </c>
      <c r="K35" s="24" t="s">
        <v>1805</v>
      </c>
    </row>
    <row r="36" spans="1:11" x14ac:dyDescent="0.25">
      <c r="A36" s="22">
        <v>9112</v>
      </c>
      <c r="B36" s="29">
        <v>46141</v>
      </c>
      <c r="C36" s="23" t="s">
        <v>13</v>
      </c>
      <c r="D36" s="37" t="s">
        <v>32</v>
      </c>
      <c r="E36" s="23" t="s">
        <v>230</v>
      </c>
      <c r="F36" s="31">
        <v>1120</v>
      </c>
      <c r="G36" s="31">
        <v>45500</v>
      </c>
      <c r="H36" s="31">
        <f>A_Thang_HP[[#This Row],[ĐƠN GIÁ]]*A_Thang_HP[[#This Row],[SỐ LƯỢNG]]</f>
        <v>50960000</v>
      </c>
      <c r="I36" s="31"/>
      <c r="J36" s="31">
        <f>J35+A_Thang_HP[[#This Row],[THÀNH TIỀN]]-A_Thang_HP[[#This Row],[THANH TOÁN]]</f>
        <v>2968885827</v>
      </c>
      <c r="K36" s="24"/>
    </row>
    <row r="37" spans="1:11" x14ac:dyDescent="0.25">
      <c r="A37" s="22">
        <v>9112</v>
      </c>
      <c r="B37" s="29">
        <v>46141</v>
      </c>
      <c r="C37" s="23" t="s">
        <v>13</v>
      </c>
      <c r="D37" s="37" t="s">
        <v>135</v>
      </c>
      <c r="E37" s="23" t="s">
        <v>146</v>
      </c>
      <c r="F37" s="31">
        <v>1176</v>
      </c>
      <c r="G37" s="31">
        <v>37500</v>
      </c>
      <c r="H37" s="31">
        <f>A_Thang_HP[[#This Row],[ĐƠN GIÁ]]*A_Thang_HP[[#This Row],[SỐ LƯỢNG]]</f>
        <v>44100000</v>
      </c>
      <c r="I37" s="31"/>
      <c r="J37" s="31">
        <f>J36+A_Thang_HP[[#This Row],[THÀNH TIỀN]]-A_Thang_HP[[#This Row],[THANH TOÁN]]</f>
        <v>3012985827</v>
      </c>
      <c r="K37" s="24"/>
    </row>
    <row r="38" spans="1:11" x14ac:dyDescent="0.25">
      <c r="A38" s="22"/>
      <c r="B38" s="29">
        <v>46141</v>
      </c>
      <c r="C38" s="23" t="s">
        <v>21</v>
      </c>
      <c r="D38" s="37" t="s">
        <v>22</v>
      </c>
      <c r="E38" s="23" t="s">
        <v>147</v>
      </c>
      <c r="F38" s="31">
        <v>0</v>
      </c>
      <c r="G38" s="31"/>
      <c r="H38" s="31">
        <f>A_Thang_HP[[#This Row],[ĐƠN GIÁ]]*A_Thang_HP[[#This Row],[SỐ LƯỢNG]]</f>
        <v>0</v>
      </c>
      <c r="I38" s="31">
        <v>100000000</v>
      </c>
      <c r="J38" s="31">
        <f>J37+A_Thang_HP[[#This Row],[THÀNH TIỀN]]-A_Thang_HP[[#This Row],[THANH TOÁN]]</f>
        <v>2912985827</v>
      </c>
      <c r="K38" s="24"/>
    </row>
    <row r="39" spans="1:11" x14ac:dyDescent="0.25">
      <c r="A39" s="22">
        <v>9257</v>
      </c>
      <c r="B39" s="29">
        <v>46150</v>
      </c>
      <c r="C39" s="23" t="s">
        <v>13</v>
      </c>
      <c r="D39" s="37" t="s">
        <v>14</v>
      </c>
      <c r="E39" s="23" t="s">
        <v>146</v>
      </c>
      <c r="F39" s="31">
        <v>3486</v>
      </c>
      <c r="G39" s="31">
        <v>42000</v>
      </c>
      <c r="H39" s="31">
        <f>A_Thang_HP[[#This Row],[ĐƠN GIÁ]]*A_Thang_HP[[#This Row],[SỐ LƯỢNG]]</f>
        <v>146412000</v>
      </c>
      <c r="I39" s="31"/>
      <c r="J39" s="31">
        <f>J38+A_Thang_HP[[#This Row],[THÀNH TIỀN]]-A_Thang_HP[[#This Row],[THANH TOÁN]]</f>
        <v>3059397827</v>
      </c>
      <c r="K39" s="24"/>
    </row>
    <row r="40" spans="1:11" x14ac:dyDescent="0.25">
      <c r="A40" s="22">
        <v>9257</v>
      </c>
      <c r="B40" s="29">
        <v>46150</v>
      </c>
      <c r="C40" s="23" t="s">
        <v>13</v>
      </c>
      <c r="D40" s="37" t="s">
        <v>43</v>
      </c>
      <c r="E40" s="23" t="s">
        <v>78</v>
      </c>
      <c r="F40" s="31">
        <v>674</v>
      </c>
      <c r="G40" s="31">
        <v>63000</v>
      </c>
      <c r="H40" s="31">
        <f>A_Thang_HP[[#This Row],[ĐƠN GIÁ]]*A_Thang_HP[[#This Row],[SỐ LƯỢNG]]</f>
        <v>42462000</v>
      </c>
      <c r="I40" s="31"/>
      <c r="J40" s="31">
        <f>J39+A_Thang_HP[[#This Row],[THÀNH TIỀN]]-A_Thang_HP[[#This Row],[THANH TOÁN]]</f>
        <v>3101859827</v>
      </c>
      <c r="K40" s="24"/>
    </row>
    <row r="41" spans="1:11" x14ac:dyDescent="0.25">
      <c r="A41" s="25">
        <v>9310</v>
      </c>
      <c r="B41" s="30">
        <v>46153</v>
      </c>
      <c r="C41" s="26" t="s">
        <v>13</v>
      </c>
      <c r="D41" s="38" t="s">
        <v>43</v>
      </c>
      <c r="E41" s="26" t="s">
        <v>154</v>
      </c>
      <c r="F41" s="28">
        <v>1135.5</v>
      </c>
      <c r="G41" s="28">
        <v>59000</v>
      </c>
      <c r="H41" s="28">
        <f>A_Thang_HP[[#This Row],[ĐƠN GIÁ]]*A_Thang_HP[[#This Row],[SỐ LƯỢNG]]</f>
        <v>66994500</v>
      </c>
      <c r="I41" s="28"/>
      <c r="J41" s="28">
        <f>J40+A_Thang_HP[[#This Row],[THÀNH TIỀN]]-A_Thang_HP[[#This Row],[THANH TOÁN]]</f>
        <v>3168854327</v>
      </c>
      <c r="K41" s="27"/>
    </row>
    <row r="42" spans="1:11" x14ac:dyDescent="0.25">
      <c r="A42" s="22"/>
      <c r="B42" s="29">
        <v>46150</v>
      </c>
      <c r="C42" s="23" t="s">
        <v>21</v>
      </c>
      <c r="D42" s="37" t="s">
        <v>22</v>
      </c>
      <c r="E42" s="23" t="s">
        <v>147</v>
      </c>
      <c r="F42" s="31">
        <v>0</v>
      </c>
      <c r="G42" s="31"/>
      <c r="H42" s="31">
        <f>A_Thang_HP[[#This Row],[ĐƠN GIÁ]]*A_Thang_HP[[#This Row],[SỐ LƯỢNG]]</f>
        <v>0</v>
      </c>
      <c r="I42" s="31">
        <v>150000000</v>
      </c>
      <c r="J42" s="31">
        <f>J41+A_Thang_HP[[#This Row],[THÀNH TIỀN]]-A_Thang_HP[[#This Row],[THANH TOÁN]]</f>
        <v>3018854327</v>
      </c>
      <c r="K42" s="24"/>
    </row>
    <row r="43" spans="1:11" x14ac:dyDescent="0.25">
      <c r="A43" s="22"/>
      <c r="B43" s="29">
        <v>46157</v>
      </c>
      <c r="C43" s="23" t="s">
        <v>21</v>
      </c>
      <c r="D43" s="37" t="s">
        <v>22</v>
      </c>
      <c r="E43" s="23" t="s">
        <v>147</v>
      </c>
      <c r="F43" s="31">
        <v>0</v>
      </c>
      <c r="G43" s="31"/>
      <c r="H43" s="31">
        <f>A_Thang_HP[[#This Row],[ĐƠN GIÁ]]*A_Thang_HP[[#This Row],[SỐ LƯỢNG]]</f>
        <v>0</v>
      </c>
      <c r="I43" s="31">
        <v>150000000</v>
      </c>
      <c r="J43" s="31">
        <f>J42+A_Thang_HP[[#This Row],[THÀNH TIỀN]]-A_Thang_HP[[#This Row],[THANH TOÁN]]</f>
        <v>2868854327</v>
      </c>
      <c r="K43" s="24"/>
    </row>
    <row r="44" spans="1:11" x14ac:dyDescent="0.25">
      <c r="A44" s="22">
        <v>9444</v>
      </c>
      <c r="B44" s="29">
        <v>46160</v>
      </c>
      <c r="C44" s="23" t="s">
        <v>13</v>
      </c>
      <c r="D44" s="37" t="s">
        <v>14</v>
      </c>
      <c r="E44" s="23" t="s">
        <v>134</v>
      </c>
      <c r="F44" s="31">
        <v>4742</v>
      </c>
      <c r="G44" s="31">
        <v>42000</v>
      </c>
      <c r="H44" s="31">
        <f>A_Thang_HP[[#This Row],[ĐƠN GIÁ]]*A_Thang_HP[[#This Row],[SỐ LƯỢNG]]</f>
        <v>199164000</v>
      </c>
      <c r="I44" s="31"/>
      <c r="J44" s="31">
        <f>J43+A_Thang_HP[[#This Row],[THÀNH TIỀN]]-A_Thang_HP[[#This Row],[THANH TOÁN]]</f>
        <v>3068018327</v>
      </c>
      <c r="K44" s="24"/>
    </row>
    <row r="45" spans="1:11" x14ac:dyDescent="0.25">
      <c r="A45" s="22">
        <v>9444</v>
      </c>
      <c r="B45" s="29">
        <v>46160</v>
      </c>
      <c r="C45" s="23" t="s">
        <v>13</v>
      </c>
      <c r="D45" s="37" t="s">
        <v>265</v>
      </c>
      <c r="E45" s="23" t="s">
        <v>41</v>
      </c>
      <c r="F45" s="31">
        <v>1044</v>
      </c>
      <c r="G45" s="31">
        <v>69000</v>
      </c>
      <c r="H45" s="31">
        <f>A_Thang_HP[[#This Row],[ĐƠN GIÁ]]*A_Thang_HP[[#This Row],[SỐ LƯỢNG]]</f>
        <v>72036000</v>
      </c>
      <c r="I45" s="31"/>
      <c r="J45" s="31">
        <f>J44+A_Thang_HP[[#This Row],[THÀNH TIỀN]]-A_Thang_HP[[#This Row],[THANH TOÁN]]</f>
        <v>3140054327</v>
      </c>
      <c r="K45" s="24" t="s">
        <v>874</v>
      </c>
    </row>
    <row r="46" spans="1:11" x14ac:dyDescent="0.25">
      <c r="A46" s="22">
        <v>9548</v>
      </c>
      <c r="B46" s="29">
        <v>46164</v>
      </c>
      <c r="C46" s="23" t="s">
        <v>13</v>
      </c>
      <c r="D46" s="37" t="s">
        <v>43</v>
      </c>
      <c r="E46" s="23" t="s">
        <v>248</v>
      </c>
      <c r="F46" s="31">
        <v>1380</v>
      </c>
      <c r="G46" s="31">
        <v>58000</v>
      </c>
      <c r="H46" s="31">
        <f>A_Thang_HP[[#This Row],[ĐƠN GIÁ]]*A_Thang_HP[[#This Row],[SỐ LƯỢNG]]</f>
        <v>80040000</v>
      </c>
      <c r="I46" s="31"/>
      <c r="J46" s="31">
        <f>J45+A_Thang_HP[[#This Row],[THÀNH TIỀN]]-A_Thang_HP[[#This Row],[THANH TOÁN]]</f>
        <v>3220094327</v>
      </c>
      <c r="K46" s="24"/>
    </row>
    <row r="47" spans="1:11" x14ac:dyDescent="0.25">
      <c r="A47" s="22"/>
      <c r="B47" s="29">
        <v>46163</v>
      </c>
      <c r="C47" s="23" t="s">
        <v>21</v>
      </c>
      <c r="D47" s="37" t="s">
        <v>22</v>
      </c>
      <c r="E47" s="23" t="s">
        <v>147</v>
      </c>
      <c r="F47" s="31">
        <v>0</v>
      </c>
      <c r="G47" s="31"/>
      <c r="H47" s="31">
        <f>A_Thang_HP[[#This Row],[ĐƠN GIÁ]]*A_Thang_HP[[#This Row],[SỐ LƯỢNG]]</f>
        <v>0</v>
      </c>
      <c r="I47" s="31">
        <v>150000000</v>
      </c>
      <c r="J47" s="31">
        <f>J46+A_Thang_HP[[#This Row],[THÀNH TIỀN]]-A_Thang_HP[[#This Row],[THANH TOÁN]]</f>
        <v>3070094327</v>
      </c>
      <c r="K47" s="24"/>
    </row>
    <row r="48" spans="1:11" x14ac:dyDescent="0.25">
      <c r="A48" s="22"/>
      <c r="B48" s="29">
        <v>46169</v>
      </c>
      <c r="C48" s="23" t="s">
        <v>21</v>
      </c>
      <c r="D48" s="37" t="s">
        <v>22</v>
      </c>
      <c r="E48" s="23" t="s">
        <v>147</v>
      </c>
      <c r="F48" s="31">
        <v>0</v>
      </c>
      <c r="G48" s="31"/>
      <c r="H48" s="31">
        <f>A_Thang_HP[[#This Row],[ĐƠN GIÁ]]*A_Thang_HP[[#This Row],[SỐ LƯỢNG]]</f>
        <v>0</v>
      </c>
      <c r="I48" s="31">
        <v>150000000</v>
      </c>
      <c r="J48" s="31">
        <f>J47+A_Thang_HP[[#This Row],[THÀNH TIỀN]]-A_Thang_HP[[#This Row],[THANH TOÁN]]</f>
        <v>2920094327</v>
      </c>
      <c r="K48" s="24"/>
    </row>
    <row r="49" spans="1:11" x14ac:dyDescent="0.25">
      <c r="A49" s="22">
        <v>9662</v>
      </c>
      <c r="B49" s="29">
        <v>46169</v>
      </c>
      <c r="C49" s="23" t="s">
        <v>13</v>
      </c>
      <c r="D49" s="37" t="s">
        <v>50</v>
      </c>
      <c r="E49" s="23" t="s">
        <v>2493</v>
      </c>
      <c r="F49" s="31">
        <v>976</v>
      </c>
      <c r="G49" s="31">
        <v>60500</v>
      </c>
      <c r="H49" s="31">
        <f>A_Thang_HP[[#This Row],[ĐƠN GIÁ]]*A_Thang_HP[[#This Row],[SỐ LƯỢNG]]</f>
        <v>59048000</v>
      </c>
      <c r="I49" s="31"/>
      <c r="J49" s="31">
        <f>J48+A_Thang_HP[[#This Row],[THÀNH TIỀN]]-A_Thang_HP[[#This Row],[THANH TOÁN]]</f>
        <v>2979142327</v>
      </c>
      <c r="K49" s="24"/>
    </row>
    <row r="50" spans="1:11" x14ac:dyDescent="0.25">
      <c r="A50" s="22">
        <v>9669</v>
      </c>
      <c r="B50" s="29">
        <v>46170</v>
      </c>
      <c r="C50" s="23" t="s">
        <v>13</v>
      </c>
      <c r="D50" s="37" t="s">
        <v>43</v>
      </c>
      <c r="E50" s="23" t="s">
        <v>2502</v>
      </c>
      <c r="F50" s="31">
        <v>1107</v>
      </c>
      <c r="G50" s="31">
        <v>61000</v>
      </c>
      <c r="H50" s="31">
        <f>A_Thang_HP[[#This Row],[ĐƠN GIÁ]]*A_Thang_HP[[#This Row],[SỐ LƯỢNG]]</f>
        <v>67527000</v>
      </c>
      <c r="I50" s="31"/>
      <c r="J50" s="31">
        <f>J49+A_Thang_HP[[#This Row],[THÀNH TIỀN]]-A_Thang_HP[[#This Row],[THANH TOÁN]]</f>
        <v>3046669327</v>
      </c>
      <c r="K50" s="24"/>
    </row>
    <row r="51" spans="1:11" x14ac:dyDescent="0.25">
      <c r="A51" s="22">
        <v>9669</v>
      </c>
      <c r="B51" s="29">
        <v>46170</v>
      </c>
      <c r="C51" s="23" t="s">
        <v>13</v>
      </c>
      <c r="D51" s="37" t="s">
        <v>43</v>
      </c>
      <c r="E51" s="23" t="s">
        <v>154</v>
      </c>
      <c r="F51" s="31">
        <v>1072</v>
      </c>
      <c r="G51" s="31">
        <v>58000</v>
      </c>
      <c r="H51" s="31">
        <f>A_Thang_HP[[#This Row],[ĐƠN GIÁ]]*A_Thang_HP[[#This Row],[SỐ LƯỢNG]]</f>
        <v>62176000</v>
      </c>
      <c r="I51" s="31"/>
      <c r="J51" s="31">
        <f>J50+A_Thang_HP[[#This Row],[THÀNH TIỀN]]-A_Thang_HP[[#This Row],[THANH TOÁN]]</f>
        <v>3108845327</v>
      </c>
      <c r="K51" s="24"/>
    </row>
    <row r="52" spans="1:11" x14ac:dyDescent="0.25">
      <c r="A52" s="22">
        <v>9669</v>
      </c>
      <c r="B52" s="29">
        <v>46170</v>
      </c>
      <c r="C52" s="23" t="s">
        <v>13</v>
      </c>
      <c r="D52" s="37" t="s">
        <v>43</v>
      </c>
      <c r="E52" s="23" t="s">
        <v>44</v>
      </c>
      <c r="F52" s="31">
        <v>1220</v>
      </c>
      <c r="G52" s="31">
        <v>61500</v>
      </c>
      <c r="H52" s="31">
        <f>A_Thang_HP[[#This Row],[ĐƠN GIÁ]]*A_Thang_HP[[#This Row],[SỐ LƯỢNG]]</f>
        <v>75030000</v>
      </c>
      <c r="I52" s="31"/>
      <c r="J52" s="31">
        <f>J51+A_Thang_HP[[#This Row],[THÀNH TIỀN]]-A_Thang_HP[[#This Row],[THANH TOÁN]]</f>
        <v>3183875327</v>
      </c>
      <c r="K52" s="24"/>
    </row>
    <row r="53" spans="1:11" x14ac:dyDescent="0.25">
      <c r="A53" s="22">
        <v>9669</v>
      </c>
      <c r="B53" s="29">
        <v>46170</v>
      </c>
      <c r="C53" s="23" t="s">
        <v>13</v>
      </c>
      <c r="D53" s="37" t="s">
        <v>43</v>
      </c>
      <c r="E53" s="23" t="s">
        <v>256</v>
      </c>
      <c r="F53" s="31">
        <v>240</v>
      </c>
      <c r="G53" s="31">
        <v>56000</v>
      </c>
      <c r="H53" s="31">
        <f>A_Thang_HP[[#This Row],[ĐƠN GIÁ]]*A_Thang_HP[[#This Row],[SỐ LƯỢNG]]</f>
        <v>13440000</v>
      </c>
      <c r="I53" s="31"/>
      <c r="J53" s="31">
        <f>J52+A_Thang_HP[[#This Row],[THÀNH TIỀN]]-A_Thang_HP[[#This Row],[THANH TOÁN]]</f>
        <v>3197315327</v>
      </c>
      <c r="K53" s="24"/>
    </row>
    <row r="54" spans="1:11" x14ac:dyDescent="0.25">
      <c r="A54" s="22">
        <v>9688</v>
      </c>
      <c r="B54" s="29">
        <v>46171</v>
      </c>
      <c r="C54" s="23" t="s">
        <v>13</v>
      </c>
      <c r="D54" s="37" t="s">
        <v>43</v>
      </c>
      <c r="E54" s="23" t="s">
        <v>250</v>
      </c>
      <c r="F54" s="31">
        <v>1159.5</v>
      </c>
      <c r="G54" s="31">
        <v>60500</v>
      </c>
      <c r="H54" s="31">
        <f>A_Thang_HP[[#This Row],[ĐƠN GIÁ]]*A_Thang_HP[[#This Row],[SỐ LƯỢNG]]</f>
        <v>70149750</v>
      </c>
      <c r="I54" s="31"/>
      <c r="J54" s="31">
        <f>J53+A_Thang_HP[[#This Row],[THÀNH TIỀN]]-A_Thang_HP[[#This Row],[THANH TOÁN]]</f>
        <v>3267465077</v>
      </c>
      <c r="K54" s="24">
        <v>1166</v>
      </c>
    </row>
    <row r="55" spans="1:11" x14ac:dyDescent="0.25">
      <c r="A55" s="22">
        <v>9688</v>
      </c>
      <c r="B55" s="29">
        <v>46171</v>
      </c>
      <c r="C55" s="23" t="s">
        <v>13</v>
      </c>
      <c r="D55" s="37" t="s">
        <v>43</v>
      </c>
      <c r="E55" s="23" t="s">
        <v>110</v>
      </c>
      <c r="F55" s="31">
        <v>158</v>
      </c>
      <c r="G55" s="31">
        <v>60500</v>
      </c>
      <c r="H55" s="31">
        <f>A_Thang_HP[[#This Row],[ĐƠN GIÁ]]*A_Thang_HP[[#This Row],[SỐ LƯỢNG]]</f>
        <v>9559000</v>
      </c>
      <c r="I55" s="31"/>
      <c r="J55" s="31">
        <f>J54+A_Thang_HP[[#This Row],[THÀNH TIỀN]]-A_Thang_HP[[#This Row],[THANH TOÁN]]</f>
        <v>3277024077</v>
      </c>
      <c r="K55" s="24"/>
    </row>
    <row r="56" spans="1:11" x14ac:dyDescent="0.25">
      <c r="A56" s="22">
        <v>9688</v>
      </c>
      <c r="B56" s="29">
        <v>46171</v>
      </c>
      <c r="C56" s="23" t="s">
        <v>13</v>
      </c>
      <c r="D56" s="37" t="s">
        <v>43</v>
      </c>
      <c r="E56" s="23" t="s">
        <v>256</v>
      </c>
      <c r="F56" s="31">
        <v>471</v>
      </c>
      <c r="G56" s="31">
        <v>56000</v>
      </c>
      <c r="H56" s="31">
        <f>A_Thang_HP[[#This Row],[ĐƠN GIÁ]]*A_Thang_HP[[#This Row],[SỐ LƯỢNG]]</f>
        <v>26376000</v>
      </c>
      <c r="I56" s="31"/>
      <c r="J56" s="31">
        <f>J55+A_Thang_HP[[#This Row],[THÀNH TIỀN]]-A_Thang_HP[[#This Row],[THANH TOÁN]]</f>
        <v>3303400077</v>
      </c>
      <c r="K56" s="24">
        <v>474</v>
      </c>
    </row>
    <row r="57" spans="1:11" x14ac:dyDescent="0.25">
      <c r="A57" s="22"/>
      <c r="B57" s="29">
        <v>46177</v>
      </c>
      <c r="C57" s="23" t="s">
        <v>21</v>
      </c>
      <c r="D57" s="37" t="s">
        <v>22</v>
      </c>
      <c r="E57" s="23" t="s">
        <v>147</v>
      </c>
      <c r="F57" s="31">
        <v>0</v>
      </c>
      <c r="G57" s="31"/>
      <c r="H57" s="31">
        <f>A_Thang_HP[[#This Row],[ĐƠN GIÁ]]*A_Thang_HP[[#This Row],[SỐ LƯỢNG]]</f>
        <v>0</v>
      </c>
      <c r="I57" s="31">
        <v>150000000</v>
      </c>
      <c r="J57" s="31">
        <f>J56+A_Thang_HP[[#This Row],[THÀNH TIỀN]]-A_Thang_HP[[#This Row],[THANH TOÁN]]</f>
        <v>3153400077</v>
      </c>
      <c r="K57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4478F6-74F6-491C-8FBE-16067C0240FF}">
  <sheetPr codeName="Sheet106"/>
  <dimension ref="A5:K12"/>
  <sheetViews>
    <sheetView workbookViewId="0"/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0</v>
      </c>
    </row>
    <row r="6" spans="1:11" ht="22.5" x14ac:dyDescent="0.25">
      <c r="D6" s="34" t="s">
        <v>1244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Cty_Thanh_An[[#This Row],[ĐƠN GIÁ]]*Cty_Thanh_An[[#This Row],[SỐ LƯỢNG]]</f>
        <v>0</v>
      </c>
      <c r="I10" s="31"/>
      <c r="J10" s="31">
        <v>0</v>
      </c>
      <c r="K10" s="24"/>
    </row>
    <row r="11" spans="1:11" x14ac:dyDescent="0.25">
      <c r="A11" s="22">
        <v>8088</v>
      </c>
      <c r="B11" s="29">
        <v>46095</v>
      </c>
      <c r="C11" s="23" t="s">
        <v>13</v>
      </c>
      <c r="D11" s="37" t="s">
        <v>68</v>
      </c>
      <c r="E11" s="23" t="s">
        <v>1245</v>
      </c>
      <c r="F11" s="31">
        <v>582</v>
      </c>
      <c r="G11" s="31">
        <v>42000</v>
      </c>
      <c r="H11" s="31">
        <f>Cty_Thanh_An[[#This Row],[ĐƠN GIÁ]]*Cty_Thanh_An[[#This Row],[SỐ LƯỢNG]]</f>
        <v>24444000</v>
      </c>
      <c r="I11" s="31"/>
      <c r="J11" s="31">
        <f>J10+Cty_Thanh_An[[#This Row],[THÀNH TIỀN]]-Cty_Thanh_An[[#This Row],[THANH TOÁN]]</f>
        <v>24444000</v>
      </c>
      <c r="K11" s="24"/>
    </row>
    <row r="12" spans="1:11" x14ac:dyDescent="0.25">
      <c r="A12" s="22"/>
      <c r="B12" s="29">
        <v>46137</v>
      </c>
      <c r="C12" s="23" t="s">
        <v>21</v>
      </c>
      <c r="D12" s="37" t="s">
        <v>22</v>
      </c>
      <c r="E12" s="23" t="s">
        <v>147</v>
      </c>
      <c r="F12" s="31">
        <v>0</v>
      </c>
      <c r="G12" s="31"/>
      <c r="H12" s="31">
        <f>Cty_Thanh_An[[#This Row],[ĐƠN GIÁ]]*Cty_Thanh_An[[#This Row],[SỐ LƯỢNG]]</f>
        <v>0</v>
      </c>
      <c r="I12" s="31">
        <v>24444000</v>
      </c>
      <c r="J12" s="31">
        <f>J11+Cty_Thanh_An[[#This Row],[THÀNH TIỀN]]-Cty_Thanh_An[[#This Row],[THANH TOÁN]]</f>
        <v>0</v>
      </c>
      <c r="K12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6DBBE5-ECB8-4A5E-840D-66BEADF025AA}">
  <sheetPr codeName="Sheet107"/>
  <dimension ref="A5:K14"/>
  <sheetViews>
    <sheetView workbookViewId="0">
      <selection activeCell="H14" sqref="H14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0</v>
      </c>
    </row>
    <row r="6" spans="1:11" ht="22.5" x14ac:dyDescent="0.25">
      <c r="D6" s="34" t="s">
        <v>1246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Cty_Tam_Viet_TH[[#This Row],[ĐƠN GIÁ]]*Cty_Tam_Viet_TH[[#This Row],[SỐ LƯỢNG]]</f>
        <v>0</v>
      </c>
      <c r="I10" s="31"/>
      <c r="J10" s="31">
        <v>0</v>
      </c>
      <c r="K10" s="24"/>
    </row>
    <row r="11" spans="1:11" x14ac:dyDescent="0.25">
      <c r="A11" s="22">
        <v>8093</v>
      </c>
      <c r="B11" s="29">
        <v>46095</v>
      </c>
      <c r="C11" s="23" t="s">
        <v>13</v>
      </c>
      <c r="D11" s="37" t="s">
        <v>17</v>
      </c>
      <c r="E11" s="23" t="s">
        <v>249</v>
      </c>
      <c r="F11" s="31">
        <v>162</v>
      </c>
      <c r="G11" s="31">
        <v>66000</v>
      </c>
      <c r="H11" s="31">
        <f>Cty_Tam_Viet_TH[[#This Row],[ĐƠN GIÁ]]*Cty_Tam_Viet_TH[[#This Row],[SỐ LƯỢNG]]</f>
        <v>10692000</v>
      </c>
      <c r="I11" s="31"/>
      <c r="J11" s="31">
        <f>J10+Cty_Tam_Viet_TH[[#This Row],[THÀNH TIỀN]]-Cty_Tam_Viet_TH[[#This Row],[THANH TOÁN]]</f>
        <v>10692000</v>
      </c>
      <c r="K11" s="24"/>
    </row>
    <row r="12" spans="1:11" x14ac:dyDescent="0.25">
      <c r="A12" s="22">
        <v>8093</v>
      </c>
      <c r="B12" s="29">
        <v>46095</v>
      </c>
      <c r="C12" s="23" t="s">
        <v>13</v>
      </c>
      <c r="D12" s="37" t="s">
        <v>17</v>
      </c>
      <c r="E12" s="23" t="s">
        <v>33</v>
      </c>
      <c r="F12" s="31">
        <v>396</v>
      </c>
      <c r="G12" s="31">
        <v>66000</v>
      </c>
      <c r="H12" s="31">
        <f>Cty_Tam_Viet_TH[[#This Row],[ĐƠN GIÁ]]*Cty_Tam_Viet_TH[[#This Row],[SỐ LƯỢNG]]</f>
        <v>26136000</v>
      </c>
      <c r="I12" s="31"/>
      <c r="J12" s="31">
        <f>J11+Cty_Tam_Viet_TH[[#This Row],[THÀNH TIỀN]]-Cty_Tam_Viet_TH[[#This Row],[THANH TOÁN]]</f>
        <v>36828000</v>
      </c>
      <c r="K12" s="24"/>
    </row>
    <row r="13" spans="1:11" x14ac:dyDescent="0.25">
      <c r="A13" s="22">
        <v>8093</v>
      </c>
      <c r="B13" s="29">
        <v>46095</v>
      </c>
      <c r="C13" s="23" t="s">
        <v>13</v>
      </c>
      <c r="D13" s="37" t="s">
        <v>17</v>
      </c>
      <c r="E13" s="23" t="s">
        <v>127</v>
      </c>
      <c r="F13" s="31">
        <v>474</v>
      </c>
      <c r="G13" s="31">
        <v>66000</v>
      </c>
      <c r="H13" s="31">
        <f>Cty_Tam_Viet_TH[[#This Row],[ĐƠN GIÁ]]*Cty_Tam_Viet_TH[[#This Row],[SỐ LƯỢNG]]</f>
        <v>31284000</v>
      </c>
      <c r="I13" s="31"/>
      <c r="J13" s="31">
        <f>J12+Cty_Tam_Viet_TH[[#This Row],[THÀNH TIỀN]]-Cty_Tam_Viet_TH[[#This Row],[THANH TOÁN]]</f>
        <v>68112000</v>
      </c>
      <c r="K13" s="24"/>
    </row>
    <row r="14" spans="1:11" x14ac:dyDescent="0.25">
      <c r="A14" s="25"/>
      <c r="B14" s="30">
        <v>46101</v>
      </c>
      <c r="C14" s="26" t="s">
        <v>21</v>
      </c>
      <c r="D14" s="38" t="s">
        <v>22</v>
      </c>
      <c r="E14" s="26" t="s">
        <v>261</v>
      </c>
      <c r="F14" s="28">
        <v>0</v>
      </c>
      <c r="G14" s="28">
        <v>0</v>
      </c>
      <c r="H14" s="28">
        <f>Cty_Tam_Viet_TH[[#This Row],[ĐƠN GIÁ]]*Cty_Tam_Viet_TH[[#This Row],[SỐ LƯỢNG]]</f>
        <v>0</v>
      </c>
      <c r="I14" s="28">
        <v>68112000</v>
      </c>
      <c r="J14" s="28">
        <f>J13+Cty_Tam_Viet_TH[[#This Row],[THÀNH TIỀN]]-Cty_Tam_Viet_TH[[#This Row],[THANH TOÁN]]</f>
        <v>0</v>
      </c>
      <c r="K14" s="27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8A3E8B-E9B7-4FE5-BBE4-5C5F3B83DA09}">
  <sheetPr codeName="Sheet108"/>
  <dimension ref="A5:K37"/>
  <sheetViews>
    <sheetView topLeftCell="A18" workbookViewId="0">
      <selection activeCell="I43" sqref="I43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340017500</v>
      </c>
    </row>
    <row r="6" spans="1:11" ht="22.5" x14ac:dyDescent="0.25">
      <c r="D6" s="34" t="s">
        <v>1247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E_Dat_Cty_Bao_Phat[[#This Row],[ĐƠN GIÁ]]*E_Dat_Cty_Bao_Phat[[#This Row],[SỐ LƯỢNG]]</f>
        <v>0</v>
      </c>
      <c r="I10" s="31"/>
      <c r="J10" s="31">
        <v>216557500</v>
      </c>
      <c r="K10" s="24"/>
    </row>
    <row r="11" spans="1:11" x14ac:dyDescent="0.25">
      <c r="A11" s="22"/>
      <c r="B11" s="29">
        <v>46094</v>
      </c>
      <c r="C11" s="23" t="s">
        <v>21</v>
      </c>
      <c r="D11" s="37" t="s">
        <v>22</v>
      </c>
      <c r="E11" s="23" t="s">
        <v>147</v>
      </c>
      <c r="F11" s="31">
        <v>0</v>
      </c>
      <c r="G11" s="31">
        <v>0</v>
      </c>
      <c r="H11" s="31">
        <f>E_Dat_Cty_Bao_Phat[[#This Row],[ĐƠN GIÁ]]*E_Dat_Cty_Bao_Phat[[#This Row],[SỐ LƯỢNG]]</f>
        <v>0</v>
      </c>
      <c r="I11" s="31">
        <v>30000000</v>
      </c>
      <c r="J11" s="31">
        <f>J10+E_Dat_Cty_Bao_Phat[[#This Row],[THÀNH TIỀN]]-E_Dat_Cty_Bao_Phat[[#This Row],[THANH TOÁN]]</f>
        <v>186557500</v>
      </c>
      <c r="K11" s="24"/>
    </row>
    <row r="12" spans="1:11" ht="31.5" x14ac:dyDescent="0.25">
      <c r="A12" s="22">
        <v>8100</v>
      </c>
      <c r="B12" s="29">
        <v>46095</v>
      </c>
      <c r="C12" s="23" t="s">
        <v>13</v>
      </c>
      <c r="D12" s="37" t="s">
        <v>50</v>
      </c>
      <c r="E12" s="68" t="s">
        <v>1248</v>
      </c>
      <c r="F12" s="31">
        <v>693</v>
      </c>
      <c r="G12" s="31">
        <v>58000</v>
      </c>
      <c r="H12" s="31">
        <f>E_Dat_Cty_Bao_Phat[[#This Row],[ĐƠN GIÁ]]*E_Dat_Cty_Bao_Phat[[#This Row],[SỐ LƯỢNG]]</f>
        <v>40194000</v>
      </c>
      <c r="I12" s="31"/>
      <c r="J12" s="31">
        <f>J11+E_Dat_Cty_Bao_Phat[[#This Row],[THÀNH TIỀN]]-E_Dat_Cty_Bao_Phat[[#This Row],[THANH TOÁN]]</f>
        <v>226751500</v>
      </c>
      <c r="K12" s="24"/>
    </row>
    <row r="13" spans="1:11" x14ac:dyDescent="0.25">
      <c r="A13" s="25"/>
      <c r="B13" s="30">
        <v>46102</v>
      </c>
      <c r="C13" s="26" t="s">
        <v>21</v>
      </c>
      <c r="D13" s="38" t="s">
        <v>22</v>
      </c>
      <c r="E13" s="26" t="s">
        <v>147</v>
      </c>
      <c r="F13" s="28">
        <v>0</v>
      </c>
      <c r="G13" s="28">
        <v>0</v>
      </c>
      <c r="H13" s="28">
        <f>E_Dat_Cty_Bao_Phat[[#This Row],[ĐƠN GIÁ]]*E_Dat_Cty_Bao_Phat[[#This Row],[SỐ LƯỢNG]]</f>
        <v>0</v>
      </c>
      <c r="I13" s="28">
        <v>20000000</v>
      </c>
      <c r="J13" s="28">
        <f>J12+E_Dat_Cty_Bao_Phat[[#This Row],[THÀNH TIỀN]]-E_Dat_Cty_Bao_Phat[[#This Row],[THANH TOÁN]]</f>
        <v>206751500</v>
      </c>
      <c r="K13" s="27"/>
    </row>
    <row r="14" spans="1:11" x14ac:dyDescent="0.25">
      <c r="A14" s="25"/>
      <c r="B14" s="30">
        <v>46109</v>
      </c>
      <c r="C14" s="26" t="s">
        <v>21</v>
      </c>
      <c r="D14" s="38" t="s">
        <v>22</v>
      </c>
      <c r="E14" s="26" t="s">
        <v>147</v>
      </c>
      <c r="F14" s="28">
        <v>0</v>
      </c>
      <c r="G14" s="28">
        <v>0</v>
      </c>
      <c r="H14" s="28">
        <f>E_Dat_Cty_Bao_Phat[[#This Row],[ĐƠN GIÁ]]*E_Dat_Cty_Bao_Phat[[#This Row],[SỐ LƯỢNG]]</f>
        <v>0</v>
      </c>
      <c r="I14" s="28">
        <v>30000000</v>
      </c>
      <c r="J14" s="28">
        <f>J13+E_Dat_Cty_Bao_Phat[[#This Row],[THÀNH TIỀN]]-E_Dat_Cty_Bao_Phat[[#This Row],[THANH TOÁN]]</f>
        <v>176751500</v>
      </c>
      <c r="K14" s="27"/>
    </row>
    <row r="15" spans="1:11" x14ac:dyDescent="0.25">
      <c r="A15" s="25">
        <v>8452</v>
      </c>
      <c r="B15" s="30">
        <v>46112</v>
      </c>
      <c r="C15" s="26" t="s">
        <v>13</v>
      </c>
      <c r="D15" s="38" t="s">
        <v>50</v>
      </c>
      <c r="E15" s="26" t="s">
        <v>380</v>
      </c>
      <c r="F15" s="28">
        <v>650</v>
      </c>
      <c r="G15" s="28">
        <v>60000</v>
      </c>
      <c r="H15" s="28">
        <f>E_Dat_Cty_Bao_Phat[[#This Row],[ĐƠN GIÁ]]*E_Dat_Cty_Bao_Phat[[#This Row],[SỐ LƯỢNG]]</f>
        <v>39000000</v>
      </c>
      <c r="I15" s="28"/>
      <c r="J15" s="28">
        <f>J14+E_Dat_Cty_Bao_Phat[[#This Row],[THÀNH TIỀN]]-E_Dat_Cty_Bao_Phat[[#This Row],[THANH TOÁN]]</f>
        <v>215751500</v>
      </c>
      <c r="K15" s="27"/>
    </row>
    <row r="16" spans="1:11" x14ac:dyDescent="0.25">
      <c r="A16" s="22"/>
      <c r="B16" s="29">
        <v>46122</v>
      </c>
      <c r="C16" s="23" t="s">
        <v>21</v>
      </c>
      <c r="D16" s="37" t="s">
        <v>22</v>
      </c>
      <c r="E16" s="23" t="s">
        <v>147</v>
      </c>
      <c r="F16" s="31">
        <v>0</v>
      </c>
      <c r="G16" s="31">
        <v>0</v>
      </c>
      <c r="H16" s="31">
        <f>E_Dat_Cty_Bao_Phat[[#This Row],[ĐƠN GIÁ]]*E_Dat_Cty_Bao_Phat[[#This Row],[SỐ LƯỢNG]]</f>
        <v>0</v>
      </c>
      <c r="I16" s="31">
        <v>30000000</v>
      </c>
      <c r="J16" s="31">
        <f>J15+E_Dat_Cty_Bao_Phat[[#This Row],[THÀNH TIỀN]]-E_Dat_Cty_Bao_Phat[[#This Row],[THANH TOÁN]]</f>
        <v>185751500</v>
      </c>
      <c r="K16" s="24"/>
    </row>
    <row r="17" spans="1:11" x14ac:dyDescent="0.25">
      <c r="A17" s="22">
        <v>8791</v>
      </c>
      <c r="B17" s="29">
        <v>46127</v>
      </c>
      <c r="C17" s="23" t="s">
        <v>13</v>
      </c>
      <c r="D17" s="37" t="s">
        <v>317</v>
      </c>
      <c r="E17" s="23" t="s">
        <v>1249</v>
      </c>
      <c r="F17" s="31">
        <v>310</v>
      </c>
      <c r="G17" s="31">
        <v>61000</v>
      </c>
      <c r="H17" s="31">
        <f>E_Dat_Cty_Bao_Phat[[#This Row],[ĐƠN GIÁ]]*E_Dat_Cty_Bao_Phat[[#This Row],[SỐ LƯỢNG]]</f>
        <v>18910000</v>
      </c>
      <c r="I17" s="31"/>
      <c r="J17" s="31">
        <f>J16+E_Dat_Cty_Bao_Phat[[#This Row],[THÀNH TIỀN]]-E_Dat_Cty_Bao_Phat[[#This Row],[THANH TOÁN]]</f>
        <v>204661500</v>
      </c>
      <c r="K17" s="24"/>
    </row>
    <row r="18" spans="1:11" x14ac:dyDescent="0.25">
      <c r="A18" s="22">
        <v>8791</v>
      </c>
      <c r="B18" s="29">
        <v>46127</v>
      </c>
      <c r="C18" s="23" t="s">
        <v>13</v>
      </c>
      <c r="D18" s="37" t="s">
        <v>317</v>
      </c>
      <c r="E18" s="23" t="s">
        <v>146</v>
      </c>
      <c r="F18" s="31">
        <v>310</v>
      </c>
      <c r="G18" s="31">
        <v>61000</v>
      </c>
      <c r="H18" s="31">
        <f>E_Dat_Cty_Bao_Phat[[#This Row],[ĐƠN GIÁ]]*E_Dat_Cty_Bao_Phat[[#This Row],[SỐ LƯỢNG]]</f>
        <v>18910000</v>
      </c>
      <c r="I18" s="31"/>
      <c r="J18" s="31">
        <f>J17+E_Dat_Cty_Bao_Phat[[#This Row],[THÀNH TIỀN]]-E_Dat_Cty_Bao_Phat[[#This Row],[THANH TOÁN]]</f>
        <v>223571500</v>
      </c>
      <c r="K18" s="24"/>
    </row>
    <row r="19" spans="1:11" x14ac:dyDescent="0.25">
      <c r="A19" s="25">
        <v>8791</v>
      </c>
      <c r="B19" s="30">
        <v>46127</v>
      </c>
      <c r="C19" s="26" t="s">
        <v>13</v>
      </c>
      <c r="D19" s="38" t="s">
        <v>1250</v>
      </c>
      <c r="E19" s="26" t="s">
        <v>148</v>
      </c>
      <c r="F19" s="28">
        <v>387</v>
      </c>
      <c r="G19" s="28">
        <v>57000</v>
      </c>
      <c r="H19" s="28">
        <f>E_Dat_Cty_Bao_Phat[[#This Row],[ĐƠN GIÁ]]*E_Dat_Cty_Bao_Phat[[#This Row],[SỐ LƯỢNG]]</f>
        <v>22059000</v>
      </c>
      <c r="I19" s="28"/>
      <c r="J19" s="28">
        <f>J18+E_Dat_Cty_Bao_Phat[[#This Row],[THÀNH TIỀN]]-E_Dat_Cty_Bao_Phat[[#This Row],[THANH TOÁN]]</f>
        <v>245630500</v>
      </c>
      <c r="K19" s="27"/>
    </row>
    <row r="20" spans="1:11" x14ac:dyDescent="0.25">
      <c r="A20" s="22">
        <v>8942</v>
      </c>
      <c r="B20" s="29">
        <v>46134</v>
      </c>
      <c r="C20" s="23" t="s">
        <v>13</v>
      </c>
      <c r="D20" s="37" t="s">
        <v>50</v>
      </c>
      <c r="E20" s="23" t="s">
        <v>848</v>
      </c>
      <c r="F20" s="31">
        <v>554</v>
      </c>
      <c r="G20" s="31">
        <v>61000</v>
      </c>
      <c r="H20" s="31">
        <f>E_Dat_Cty_Bao_Phat[[#This Row],[ĐƠN GIÁ]]*E_Dat_Cty_Bao_Phat[[#This Row],[SỐ LƯỢNG]]</f>
        <v>33794000</v>
      </c>
      <c r="I20" s="31"/>
      <c r="J20" s="31">
        <f>J19+E_Dat_Cty_Bao_Phat[[#This Row],[THÀNH TIỀN]]-E_Dat_Cty_Bao_Phat[[#This Row],[THANH TOÁN]]</f>
        <v>279424500</v>
      </c>
      <c r="K20" s="24"/>
    </row>
    <row r="21" spans="1:11" x14ac:dyDescent="0.25">
      <c r="A21" s="22">
        <v>8962</v>
      </c>
      <c r="B21" s="29">
        <v>46135</v>
      </c>
      <c r="C21" s="23" t="s">
        <v>13</v>
      </c>
      <c r="D21" s="37" t="s">
        <v>50</v>
      </c>
      <c r="E21" s="23" t="s">
        <v>1794</v>
      </c>
      <c r="F21" s="31">
        <v>453</v>
      </c>
      <c r="G21" s="31">
        <v>60000</v>
      </c>
      <c r="H21" s="31">
        <f>E_Dat_Cty_Bao_Phat[[#This Row],[ĐƠN GIÁ]]*E_Dat_Cty_Bao_Phat[[#This Row],[SỐ LƯỢNG]]</f>
        <v>27180000</v>
      </c>
      <c r="I21" s="31"/>
      <c r="J21" s="31">
        <f>J20+E_Dat_Cty_Bao_Phat[[#This Row],[THÀNH TIỀN]]-E_Dat_Cty_Bao_Phat[[#This Row],[THANH TOÁN]]</f>
        <v>306604500</v>
      </c>
      <c r="K21" s="24"/>
    </row>
    <row r="22" spans="1:11" x14ac:dyDescent="0.25">
      <c r="A22" s="22">
        <v>8965</v>
      </c>
      <c r="B22" s="29">
        <v>46135</v>
      </c>
      <c r="C22" s="23" t="s">
        <v>49</v>
      </c>
      <c r="D22" s="37" t="s">
        <v>103</v>
      </c>
      <c r="E22" s="23" t="s">
        <v>1797</v>
      </c>
      <c r="F22" s="31">
        <v>624</v>
      </c>
      <c r="G22" s="31"/>
      <c r="H22" s="31">
        <f>E_Dat_Cty_Bao_Phat[[#This Row],[ĐƠN GIÁ]]*E_Dat_Cty_Bao_Phat[[#This Row],[SỐ LƯỢNG]]</f>
        <v>0</v>
      </c>
      <c r="I22" s="31"/>
      <c r="J22" s="31">
        <f>J21+E_Dat_Cty_Bao_Phat[[#This Row],[THÀNH TIỀN]]-E_Dat_Cty_Bao_Phat[[#This Row],[THANH TOÁN]]</f>
        <v>306604500</v>
      </c>
      <c r="K22" s="24" t="s">
        <v>1798</v>
      </c>
    </row>
    <row r="23" spans="1:11" x14ac:dyDescent="0.25">
      <c r="A23" s="22"/>
      <c r="B23" s="29">
        <v>46136</v>
      </c>
      <c r="C23" s="23" t="s">
        <v>21</v>
      </c>
      <c r="D23" s="37" t="s">
        <v>22</v>
      </c>
      <c r="E23" s="23" t="s">
        <v>147</v>
      </c>
      <c r="F23" s="31">
        <v>0</v>
      </c>
      <c r="G23" s="31"/>
      <c r="H23" s="31">
        <f>E_Dat_Cty_Bao_Phat[[#This Row],[ĐƠN GIÁ]]*E_Dat_Cty_Bao_Phat[[#This Row],[SỐ LƯỢNG]]</f>
        <v>0</v>
      </c>
      <c r="I23" s="31">
        <v>30000000</v>
      </c>
      <c r="J23" s="31">
        <f>J22+E_Dat_Cty_Bao_Phat[[#This Row],[THÀNH TIỀN]]-E_Dat_Cty_Bao_Phat[[#This Row],[THANH TOÁN]]</f>
        <v>276604500</v>
      </c>
      <c r="K23" s="24"/>
    </row>
    <row r="24" spans="1:11" x14ac:dyDescent="0.25">
      <c r="A24" s="22">
        <v>9058</v>
      </c>
      <c r="B24" s="29">
        <v>46139</v>
      </c>
      <c r="C24" s="23" t="s">
        <v>13</v>
      </c>
      <c r="D24" s="37" t="s">
        <v>50</v>
      </c>
      <c r="E24" s="23" t="s">
        <v>148</v>
      </c>
      <c r="F24" s="31">
        <v>549</v>
      </c>
      <c r="G24" s="31">
        <v>59000</v>
      </c>
      <c r="H24" s="31">
        <f>E_Dat_Cty_Bao_Phat[[#This Row],[ĐƠN GIÁ]]*E_Dat_Cty_Bao_Phat[[#This Row],[SỐ LƯỢNG]]</f>
        <v>32391000</v>
      </c>
      <c r="I24" s="31"/>
      <c r="J24" s="31">
        <f>J23+E_Dat_Cty_Bao_Phat[[#This Row],[THÀNH TIỀN]]-E_Dat_Cty_Bao_Phat[[#This Row],[THANH TOÁN]]</f>
        <v>308995500</v>
      </c>
      <c r="K24" s="24"/>
    </row>
    <row r="25" spans="1:11" x14ac:dyDescent="0.25">
      <c r="A25" s="22">
        <v>3908</v>
      </c>
      <c r="B25" s="29">
        <v>46139</v>
      </c>
      <c r="C25" s="23" t="s">
        <v>84</v>
      </c>
      <c r="D25" s="37" t="s">
        <v>103</v>
      </c>
      <c r="E25" s="23" t="s">
        <v>1797</v>
      </c>
      <c r="F25" s="31">
        <v>624</v>
      </c>
      <c r="G25" s="31">
        <v>-3000</v>
      </c>
      <c r="H25" s="31">
        <f>E_Dat_Cty_Bao_Phat[[#This Row],[ĐƠN GIÁ]]*E_Dat_Cty_Bao_Phat[[#This Row],[SỐ LƯỢNG]]</f>
        <v>-1872000</v>
      </c>
      <c r="I25" s="31"/>
      <c r="J25" s="31">
        <f>J24+E_Dat_Cty_Bao_Phat[[#This Row],[THÀNH TIỀN]]-E_Dat_Cty_Bao_Phat[[#This Row],[THANH TOÁN]]</f>
        <v>307123500</v>
      </c>
      <c r="K25" s="24"/>
    </row>
    <row r="26" spans="1:11" x14ac:dyDescent="0.25">
      <c r="A26" s="22">
        <v>9068</v>
      </c>
      <c r="B26" s="29">
        <v>46140</v>
      </c>
      <c r="C26" s="23" t="s">
        <v>13</v>
      </c>
      <c r="D26" s="37" t="s">
        <v>1842</v>
      </c>
      <c r="E26" s="23" t="s">
        <v>122</v>
      </c>
      <c r="F26" s="31">
        <v>302</v>
      </c>
      <c r="G26" s="31">
        <v>73000</v>
      </c>
      <c r="H26" s="31">
        <f>E_Dat_Cty_Bao_Phat[[#This Row],[ĐƠN GIÁ]]*E_Dat_Cty_Bao_Phat[[#This Row],[SỐ LƯỢNG]]</f>
        <v>22046000</v>
      </c>
      <c r="I26" s="31"/>
      <c r="J26" s="31">
        <f>J25+E_Dat_Cty_Bao_Phat[[#This Row],[THÀNH TIỀN]]-E_Dat_Cty_Bao_Phat[[#This Row],[THANH TOÁN]]</f>
        <v>329169500</v>
      </c>
      <c r="K26" s="24"/>
    </row>
    <row r="27" spans="1:11" x14ac:dyDescent="0.25">
      <c r="A27" s="22">
        <v>9068</v>
      </c>
      <c r="B27" s="29">
        <v>46140</v>
      </c>
      <c r="C27" s="23" t="s">
        <v>13</v>
      </c>
      <c r="D27" s="37" t="s">
        <v>1842</v>
      </c>
      <c r="E27" s="23" t="s">
        <v>283</v>
      </c>
      <c r="F27" s="31">
        <v>532</v>
      </c>
      <c r="G27" s="31">
        <v>73000</v>
      </c>
      <c r="H27" s="31">
        <f>E_Dat_Cty_Bao_Phat[[#This Row],[ĐƠN GIÁ]]*E_Dat_Cty_Bao_Phat[[#This Row],[SỐ LƯỢNG]]</f>
        <v>38836000</v>
      </c>
      <c r="I27" s="31"/>
      <c r="J27" s="31">
        <f>J26+E_Dat_Cty_Bao_Phat[[#This Row],[THÀNH TIỀN]]-E_Dat_Cty_Bao_Phat[[#This Row],[THANH TOÁN]]</f>
        <v>368005500</v>
      </c>
      <c r="K27" s="24"/>
    </row>
    <row r="28" spans="1:11" x14ac:dyDescent="0.25">
      <c r="A28" s="22">
        <v>9249</v>
      </c>
      <c r="B28" s="29">
        <v>46150</v>
      </c>
      <c r="C28" s="23" t="s">
        <v>13</v>
      </c>
      <c r="D28" s="37" t="s">
        <v>43</v>
      </c>
      <c r="E28" s="23" t="s">
        <v>1984</v>
      </c>
      <c r="F28" s="31">
        <v>152</v>
      </c>
      <c r="G28" s="31">
        <v>62000</v>
      </c>
      <c r="H28" s="31">
        <f>E_Dat_Cty_Bao_Phat[[#This Row],[ĐƠN GIÁ]]*E_Dat_Cty_Bao_Phat[[#This Row],[SỐ LƯỢNG]]</f>
        <v>9424000</v>
      </c>
      <c r="I28" s="31"/>
      <c r="J28" s="31">
        <f>J27+E_Dat_Cty_Bao_Phat[[#This Row],[THÀNH TIỀN]]-E_Dat_Cty_Bao_Phat[[#This Row],[THANH TOÁN]]</f>
        <v>377429500</v>
      </c>
      <c r="K28" s="24"/>
    </row>
    <row r="29" spans="1:11" x14ac:dyDescent="0.25">
      <c r="A29" s="22">
        <v>9249</v>
      </c>
      <c r="B29" s="29">
        <v>46150</v>
      </c>
      <c r="C29" s="23" t="s">
        <v>13</v>
      </c>
      <c r="D29" s="37" t="s">
        <v>43</v>
      </c>
      <c r="E29" s="23" t="s">
        <v>256</v>
      </c>
      <c r="F29" s="31">
        <v>538</v>
      </c>
      <c r="G29" s="31">
        <v>62000</v>
      </c>
      <c r="H29" s="31">
        <f>E_Dat_Cty_Bao_Phat[[#This Row],[ĐƠN GIÁ]]*E_Dat_Cty_Bao_Phat[[#This Row],[SỐ LƯỢNG]]</f>
        <v>33356000</v>
      </c>
      <c r="I29" s="31"/>
      <c r="J29" s="31">
        <f>J28+E_Dat_Cty_Bao_Phat[[#This Row],[THÀNH TIỀN]]-E_Dat_Cty_Bao_Phat[[#This Row],[THANH TOÁN]]</f>
        <v>410785500</v>
      </c>
      <c r="K29" s="24"/>
    </row>
    <row r="30" spans="1:11" x14ac:dyDescent="0.25">
      <c r="A30" s="22">
        <v>9249</v>
      </c>
      <c r="B30" s="29">
        <v>46150</v>
      </c>
      <c r="C30" s="23" t="s">
        <v>13</v>
      </c>
      <c r="D30" s="37" t="s">
        <v>32</v>
      </c>
      <c r="E30" s="23" t="s">
        <v>40</v>
      </c>
      <c r="F30" s="31">
        <v>424</v>
      </c>
      <c r="G30" s="31">
        <v>43000</v>
      </c>
      <c r="H30" s="31">
        <f>E_Dat_Cty_Bao_Phat[[#This Row],[ĐƠN GIÁ]]*E_Dat_Cty_Bao_Phat[[#This Row],[SỐ LƯỢNG]]</f>
        <v>18232000</v>
      </c>
      <c r="I30" s="31"/>
      <c r="J30" s="31">
        <f>J29+E_Dat_Cty_Bao_Phat[[#This Row],[THÀNH TIỀN]]-E_Dat_Cty_Bao_Phat[[#This Row],[THANH TOÁN]]</f>
        <v>429017500</v>
      </c>
      <c r="K30" s="24"/>
    </row>
    <row r="31" spans="1:11" x14ac:dyDescent="0.25">
      <c r="A31" s="22"/>
      <c r="B31" s="29">
        <v>46150</v>
      </c>
      <c r="C31" s="23" t="s">
        <v>21</v>
      </c>
      <c r="D31" s="37" t="s">
        <v>22</v>
      </c>
      <c r="E31" s="23" t="s">
        <v>147</v>
      </c>
      <c r="F31" s="31">
        <v>0</v>
      </c>
      <c r="G31" s="31"/>
      <c r="H31" s="31">
        <f>E_Dat_Cty_Bao_Phat[[#This Row],[ĐƠN GIÁ]]*E_Dat_Cty_Bao_Phat[[#This Row],[SỐ LƯỢNG]]</f>
        <v>0</v>
      </c>
      <c r="I31" s="31">
        <v>30000000</v>
      </c>
      <c r="J31" s="31">
        <f>J30+E_Dat_Cty_Bao_Phat[[#This Row],[THÀNH TIỀN]]-E_Dat_Cty_Bao_Phat[[#This Row],[THANH TOÁN]]</f>
        <v>399017500</v>
      </c>
      <c r="K31" s="24"/>
    </row>
    <row r="32" spans="1:11" x14ac:dyDescent="0.25">
      <c r="A32" s="22"/>
      <c r="B32" s="29">
        <v>46157</v>
      </c>
      <c r="C32" s="23" t="s">
        <v>21</v>
      </c>
      <c r="D32" s="37" t="s">
        <v>22</v>
      </c>
      <c r="E32" s="23" t="s">
        <v>147</v>
      </c>
      <c r="F32" s="31">
        <v>0</v>
      </c>
      <c r="G32" s="31"/>
      <c r="H32" s="31">
        <f>E_Dat_Cty_Bao_Phat[[#This Row],[ĐƠN GIÁ]]*E_Dat_Cty_Bao_Phat[[#This Row],[SỐ LƯỢNG]]</f>
        <v>0</v>
      </c>
      <c r="I32" s="31">
        <v>30000000</v>
      </c>
      <c r="J32" s="31">
        <f>J31+E_Dat_Cty_Bao_Phat[[#This Row],[THÀNH TIỀN]]-E_Dat_Cty_Bao_Phat[[#This Row],[THANH TOÁN]]</f>
        <v>369017500</v>
      </c>
      <c r="K32" s="24"/>
    </row>
    <row r="33" spans="1:11" x14ac:dyDescent="0.25">
      <c r="A33" s="22"/>
      <c r="B33" s="29">
        <v>46164</v>
      </c>
      <c r="C33" s="23" t="s">
        <v>21</v>
      </c>
      <c r="D33" s="37" t="s">
        <v>22</v>
      </c>
      <c r="E33" s="23" t="s">
        <v>147</v>
      </c>
      <c r="F33" s="31">
        <v>0</v>
      </c>
      <c r="G33" s="31"/>
      <c r="H33" s="31">
        <f>E_Dat_Cty_Bao_Phat[[#This Row],[ĐƠN GIÁ]]*E_Dat_Cty_Bao_Phat[[#This Row],[SỐ LƯỢNG]]</f>
        <v>0</v>
      </c>
      <c r="I33" s="31">
        <v>30000000</v>
      </c>
      <c r="J33" s="31">
        <f>J32+E_Dat_Cty_Bao_Phat[[#This Row],[THÀNH TIỀN]]-E_Dat_Cty_Bao_Phat[[#This Row],[THANH TOÁN]]</f>
        <v>339017500</v>
      </c>
      <c r="K33" s="24"/>
    </row>
    <row r="34" spans="1:11" x14ac:dyDescent="0.25">
      <c r="A34" s="151">
        <v>9560</v>
      </c>
      <c r="B34" s="152">
        <v>46164</v>
      </c>
      <c r="C34" s="55" t="s">
        <v>13</v>
      </c>
      <c r="D34" s="149" t="s">
        <v>1842</v>
      </c>
      <c r="E34" s="55" t="s">
        <v>117</v>
      </c>
      <c r="F34" s="57">
        <v>200</v>
      </c>
      <c r="G34" s="57"/>
      <c r="H34" s="57">
        <f>E_Dat_Cty_Bao_Phat[[#This Row],[ĐƠN GIÁ]]*E_Dat_Cty_Bao_Phat[[#This Row],[SỐ LƯỢNG]]</f>
        <v>0</v>
      </c>
      <c r="I34" s="57"/>
      <c r="J34" s="57">
        <f>J33+E_Dat_Cty_Bao_Phat[[#This Row],[THÀNH TIỀN]]-E_Dat_Cty_Bao_Phat[[#This Row],[THANH TOÁN]]</f>
        <v>339017500</v>
      </c>
      <c r="K34" s="58"/>
    </row>
    <row r="35" spans="1:11" x14ac:dyDescent="0.25">
      <c r="A35" s="178"/>
      <c r="B35" s="179">
        <v>46171</v>
      </c>
      <c r="C35" s="180" t="s">
        <v>21</v>
      </c>
      <c r="D35" s="181" t="s">
        <v>22</v>
      </c>
      <c r="E35" s="180" t="s">
        <v>147</v>
      </c>
      <c r="F35" s="182">
        <v>0</v>
      </c>
      <c r="G35" s="182"/>
      <c r="H35" s="182">
        <f>E_Dat_Cty_Bao_Phat[[#This Row],[ĐƠN GIÁ]]*E_Dat_Cty_Bao_Phat[[#This Row],[SỐ LƯỢNG]]</f>
        <v>0</v>
      </c>
      <c r="I35" s="182">
        <v>30000000</v>
      </c>
      <c r="J35" s="182">
        <f>J34+E_Dat_Cty_Bao_Phat[[#This Row],[THÀNH TIỀN]]-E_Dat_Cty_Bao_Phat[[#This Row],[THANH TOÁN]]</f>
        <v>309017500</v>
      </c>
      <c r="K35" s="183"/>
    </row>
    <row r="36" spans="1:11" x14ac:dyDescent="0.25">
      <c r="A36" s="22">
        <v>9748</v>
      </c>
      <c r="B36" s="29">
        <v>46175</v>
      </c>
      <c r="C36" s="23" t="s">
        <v>13</v>
      </c>
      <c r="D36" s="37" t="s">
        <v>43</v>
      </c>
      <c r="E36" s="23" t="s">
        <v>2549</v>
      </c>
      <c r="F36" s="31">
        <v>500</v>
      </c>
      <c r="G36" s="31">
        <v>62000</v>
      </c>
      <c r="H36" s="31">
        <f>E_Dat_Cty_Bao_Phat[[#This Row],[ĐƠN GIÁ]]*E_Dat_Cty_Bao_Phat[[#This Row],[SỐ LƯỢNG]]</f>
        <v>31000000</v>
      </c>
      <c r="I36" s="31"/>
      <c r="J36" s="31">
        <f>J35+E_Dat_Cty_Bao_Phat[[#This Row],[THÀNH TIỀN]]-E_Dat_Cty_Bao_Phat[[#This Row],[THANH TOÁN]]</f>
        <v>340017500</v>
      </c>
      <c r="K36" s="24"/>
    </row>
    <row r="37" spans="1:11" x14ac:dyDescent="0.25">
      <c r="A37" s="22"/>
      <c r="B37" s="29">
        <v>46178</v>
      </c>
      <c r="C37" s="23" t="s">
        <v>21</v>
      </c>
      <c r="D37" s="37" t="s">
        <v>22</v>
      </c>
      <c r="E37" s="23" t="s">
        <v>147</v>
      </c>
      <c r="F37" s="31">
        <v>0</v>
      </c>
      <c r="G37" s="31"/>
      <c r="H37" s="31">
        <f>E_Dat_Cty_Bao_Phat[[#This Row],[ĐƠN GIÁ]]*E_Dat_Cty_Bao_Phat[[#This Row],[SỐ LƯỢNG]]</f>
        <v>0</v>
      </c>
      <c r="I37" s="31">
        <v>40000000</v>
      </c>
      <c r="J37" s="31">
        <f>J36+E_Dat_Cty_Bao_Phat[[#This Row],[THÀNH TIỀN]]-E_Dat_Cty_Bao_Phat[[#This Row],[THANH TOÁN]]</f>
        <v>300017500</v>
      </c>
      <c r="K37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D94682-5CE3-41B5-B30D-691EE77D036B}">
  <sheetPr codeName="Sheet109"/>
  <dimension ref="A5:K13"/>
  <sheetViews>
    <sheetView workbookViewId="0">
      <selection activeCell="G22" sqref="G22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0</v>
      </c>
    </row>
    <row r="6" spans="1:11" ht="22.5" x14ac:dyDescent="0.25">
      <c r="D6" s="34" t="s">
        <v>1251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A_Hai_NH[[#This Row],[ĐƠN GIÁ]]*A_Hai_NH[[#This Row],[SỐ LƯỢNG]]</f>
        <v>0</v>
      </c>
      <c r="I10" s="31"/>
      <c r="J10" s="31">
        <v>0</v>
      </c>
      <c r="K10" s="24"/>
    </row>
    <row r="11" spans="1:11" x14ac:dyDescent="0.25">
      <c r="A11" s="22">
        <v>8101</v>
      </c>
      <c r="B11" s="29">
        <v>46095</v>
      </c>
      <c r="C11" s="23" t="s">
        <v>13</v>
      </c>
      <c r="D11" s="37" t="s">
        <v>17</v>
      </c>
      <c r="E11" s="23" t="s">
        <v>62</v>
      </c>
      <c r="F11" s="31">
        <v>40</v>
      </c>
      <c r="G11" s="31">
        <v>63000</v>
      </c>
      <c r="H11" s="31">
        <f>A_Hai_NH[[#This Row],[ĐƠN GIÁ]]*A_Hai_NH[[#This Row],[SỐ LƯỢNG]]</f>
        <v>2520000</v>
      </c>
      <c r="I11" s="31"/>
      <c r="J11" s="31">
        <f>J10+A_Hai_NH[[#This Row],[THÀNH TIỀN]]-A_Hai_NH[[#This Row],[THANH TOÁN]]</f>
        <v>2520000</v>
      </c>
      <c r="K11" s="24"/>
    </row>
    <row r="12" spans="1:11" x14ac:dyDescent="0.25">
      <c r="A12" s="22">
        <v>8101</v>
      </c>
      <c r="B12" s="29">
        <v>46095</v>
      </c>
      <c r="C12" s="23" t="s">
        <v>13</v>
      </c>
      <c r="D12" s="37" t="s">
        <v>17</v>
      </c>
      <c r="E12" s="23" t="s">
        <v>1252</v>
      </c>
      <c r="F12" s="31">
        <v>74</v>
      </c>
      <c r="G12" s="31">
        <v>63000</v>
      </c>
      <c r="H12" s="31">
        <f>A_Hai_NH[[#This Row],[ĐƠN GIÁ]]*A_Hai_NH[[#This Row],[SỐ LƯỢNG]]</f>
        <v>4662000</v>
      </c>
      <c r="I12" s="31"/>
      <c r="J12" s="31">
        <f>J11+A_Hai_NH[[#This Row],[THÀNH TIỀN]]-A_Hai_NH[[#This Row],[THANH TOÁN]]</f>
        <v>7182000</v>
      </c>
      <c r="K12" s="24"/>
    </row>
    <row r="13" spans="1:11" x14ac:dyDescent="0.25">
      <c r="A13" s="25"/>
      <c r="B13" s="30">
        <v>46095</v>
      </c>
      <c r="C13" s="26" t="s">
        <v>21</v>
      </c>
      <c r="D13" s="38" t="s">
        <v>22</v>
      </c>
      <c r="E13" s="26" t="s">
        <v>2580</v>
      </c>
      <c r="F13" s="28">
        <v>0</v>
      </c>
      <c r="G13" s="28">
        <v>0</v>
      </c>
      <c r="H13" s="28">
        <f>A_Hai_NH[[#This Row],[ĐƠN GIÁ]]*A_Hai_NH[[#This Row],[SỐ LƯỢNG]]</f>
        <v>0</v>
      </c>
      <c r="I13" s="28">
        <f>5000000+2182000</f>
        <v>7182000</v>
      </c>
      <c r="J13" s="28">
        <f>J12+A_Hai_NH[[#This Row],[THÀNH TIỀN]]-A_Hai_NH[[#This Row],[THANH TOÁN]]</f>
        <v>0</v>
      </c>
      <c r="K13" s="27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3E25D-0CC1-418A-9B80-8DDA5EDD09C7}">
  <sheetPr codeName="Sheet110"/>
  <dimension ref="A5:K23"/>
  <sheetViews>
    <sheetView workbookViewId="0">
      <selection activeCell="I20" sqref="I20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19390000</v>
      </c>
    </row>
    <row r="6" spans="1:11" ht="22.5" x14ac:dyDescent="0.25">
      <c r="D6" s="34" t="s">
        <v>1253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Cty_Nam_Phat_Ngoc_Hoi[[#This Row],[ĐƠN GIÁ]]*Cty_Nam_Phat_Ngoc_Hoi[[#This Row],[SỐ LƯỢNG]]</f>
        <v>0</v>
      </c>
      <c r="I10" s="31"/>
      <c r="J10" s="31">
        <v>0</v>
      </c>
      <c r="K10" s="24"/>
    </row>
    <row r="11" spans="1:11" x14ac:dyDescent="0.25">
      <c r="A11" s="22">
        <v>8102</v>
      </c>
      <c r="B11" s="29">
        <v>46095</v>
      </c>
      <c r="C11" s="23" t="s">
        <v>13</v>
      </c>
      <c r="D11" s="37" t="s">
        <v>103</v>
      </c>
      <c r="E11" s="23" t="s">
        <v>1254</v>
      </c>
      <c r="F11" s="31">
        <v>492</v>
      </c>
      <c r="G11" s="31">
        <v>37000</v>
      </c>
      <c r="H11" s="31">
        <f>Cty_Nam_Phat_Ngoc_Hoi[[#This Row],[ĐƠN GIÁ]]*Cty_Nam_Phat_Ngoc_Hoi[[#This Row],[SỐ LƯỢNG]]</f>
        <v>18204000</v>
      </c>
      <c r="I11" s="31"/>
      <c r="J11" s="31">
        <f>J10+Cty_Nam_Phat_Ngoc_Hoi[[#This Row],[THÀNH TIỀN]]-Cty_Nam_Phat_Ngoc_Hoi[[#This Row],[THANH TOÁN]]</f>
        <v>18204000</v>
      </c>
      <c r="K11" s="24"/>
    </row>
    <row r="12" spans="1:11" x14ac:dyDescent="0.25">
      <c r="A12" s="22">
        <v>8287</v>
      </c>
      <c r="B12" s="29">
        <v>46101</v>
      </c>
      <c r="C12" s="23" t="s">
        <v>13</v>
      </c>
      <c r="D12" s="37" t="s">
        <v>103</v>
      </c>
      <c r="E12" s="23" t="s">
        <v>1255</v>
      </c>
      <c r="F12" s="31">
        <v>146</v>
      </c>
      <c r="G12" s="31">
        <v>37000</v>
      </c>
      <c r="H12" s="31">
        <f>Cty_Nam_Phat_Ngoc_Hoi[[#This Row],[ĐƠN GIÁ]]*Cty_Nam_Phat_Ngoc_Hoi[[#This Row],[SỐ LƯỢNG]]</f>
        <v>5402000</v>
      </c>
      <c r="I12" s="31"/>
      <c r="J12" s="31">
        <f>J11+Cty_Nam_Phat_Ngoc_Hoi[[#This Row],[THÀNH TIỀN]]-Cty_Nam_Phat_Ngoc_Hoi[[#This Row],[THANH TOÁN]]</f>
        <v>23606000</v>
      </c>
      <c r="K12" s="24"/>
    </row>
    <row r="13" spans="1:11" x14ac:dyDescent="0.25">
      <c r="A13" s="25"/>
      <c r="B13" s="30">
        <v>46099</v>
      </c>
      <c r="C13" s="26" t="s">
        <v>21</v>
      </c>
      <c r="D13" s="38" t="s">
        <v>22</v>
      </c>
      <c r="E13" s="26" t="s">
        <v>147</v>
      </c>
      <c r="F13" s="28">
        <v>0</v>
      </c>
      <c r="G13" s="28">
        <v>0</v>
      </c>
      <c r="H13" s="28">
        <f>Cty_Nam_Phat_Ngoc_Hoi[[#This Row],[ĐƠN GIÁ]]*Cty_Nam_Phat_Ngoc_Hoi[[#This Row],[SỐ LƯỢNG]]</f>
        <v>0</v>
      </c>
      <c r="I13" s="28">
        <v>18203803</v>
      </c>
      <c r="J13" s="28">
        <f>J12+Cty_Nam_Phat_Ngoc_Hoi[[#This Row],[THÀNH TIỀN]]-Cty_Nam_Phat_Ngoc_Hoi[[#This Row],[THANH TOÁN]]</f>
        <v>5402197</v>
      </c>
      <c r="K13" s="27"/>
    </row>
    <row r="14" spans="1:11" x14ac:dyDescent="0.25">
      <c r="A14" s="22"/>
      <c r="B14" s="29">
        <v>46105</v>
      </c>
      <c r="C14" s="26" t="s">
        <v>21</v>
      </c>
      <c r="D14" s="38" t="s">
        <v>22</v>
      </c>
      <c r="E14" s="26" t="s">
        <v>147</v>
      </c>
      <c r="F14" s="28">
        <v>0</v>
      </c>
      <c r="G14" s="28">
        <v>0</v>
      </c>
      <c r="H14" s="31">
        <f>Cty_Nam_Phat_Ngoc_Hoi[[#This Row],[ĐƠN GIÁ]]*Cty_Nam_Phat_Ngoc_Hoi[[#This Row],[SỐ LƯỢNG]]</f>
        <v>0</v>
      </c>
      <c r="I14" s="31">
        <v>5401942</v>
      </c>
      <c r="J14" s="31">
        <f>J13+Cty_Nam_Phat_Ngoc_Hoi[[#This Row],[THÀNH TIỀN]]-Cty_Nam_Phat_Ngoc_Hoi[[#This Row],[THANH TOÁN]]</f>
        <v>255</v>
      </c>
      <c r="K14" s="24"/>
    </row>
    <row r="15" spans="1:11" x14ac:dyDescent="0.25">
      <c r="A15" s="22">
        <v>8961</v>
      </c>
      <c r="B15" s="29">
        <v>46135</v>
      </c>
      <c r="C15" s="23" t="s">
        <v>13</v>
      </c>
      <c r="D15" s="37" t="s">
        <v>103</v>
      </c>
      <c r="E15" s="23" t="s">
        <v>1793</v>
      </c>
      <c r="F15" s="31">
        <v>608</v>
      </c>
      <c r="G15" s="31">
        <v>38000</v>
      </c>
      <c r="H15" s="31">
        <f>Cty_Nam_Phat_Ngoc_Hoi[[#This Row],[ĐƠN GIÁ]]*Cty_Nam_Phat_Ngoc_Hoi[[#This Row],[SỐ LƯỢNG]]</f>
        <v>23104000</v>
      </c>
      <c r="I15" s="31"/>
      <c r="J15" s="31">
        <f>J14+Cty_Nam_Phat_Ngoc_Hoi[[#This Row],[THÀNH TIỀN]]-Cty_Nam_Phat_Ngoc_Hoi[[#This Row],[THANH TOÁN]]</f>
        <v>23104255</v>
      </c>
      <c r="K15" s="24"/>
    </row>
    <row r="16" spans="1:11" x14ac:dyDescent="0.25">
      <c r="A16" s="22">
        <v>9322</v>
      </c>
      <c r="B16" s="29">
        <v>46153</v>
      </c>
      <c r="C16" s="23" t="s">
        <v>13</v>
      </c>
      <c r="D16" s="37" t="s">
        <v>103</v>
      </c>
      <c r="E16" s="23" t="s">
        <v>117</v>
      </c>
      <c r="F16" s="31">
        <v>1107</v>
      </c>
      <c r="G16" s="31">
        <v>38500</v>
      </c>
      <c r="H16" s="31">
        <f>Cty_Nam_Phat_Ngoc_Hoi[[#This Row],[ĐƠN GIÁ]]*Cty_Nam_Phat_Ngoc_Hoi[[#This Row],[SỐ LƯỢNG]]</f>
        <v>42619500</v>
      </c>
      <c r="I16" s="31"/>
      <c r="J16" s="31">
        <f>J15+Cty_Nam_Phat_Ngoc_Hoi[[#This Row],[THÀNH TIỀN]]-Cty_Nam_Phat_Ngoc_Hoi[[#This Row],[THANH TOÁN]]</f>
        <v>65723755</v>
      </c>
      <c r="K16" s="24"/>
    </row>
    <row r="17" spans="1:11" x14ac:dyDescent="0.25">
      <c r="A17" s="22"/>
      <c r="B17" s="29">
        <v>46148</v>
      </c>
      <c r="C17" s="23" t="s">
        <v>21</v>
      </c>
      <c r="D17" s="37" t="s">
        <v>22</v>
      </c>
      <c r="E17" s="23" t="s">
        <v>147</v>
      </c>
      <c r="F17" s="31">
        <v>0</v>
      </c>
      <c r="G17" s="31"/>
      <c r="H17" s="31">
        <f>Cty_Nam_Phat_Ngoc_Hoi[[#This Row],[ĐƠN GIÁ]]*Cty_Nam_Phat_Ngoc_Hoi[[#This Row],[SỐ LƯỢNG]]</f>
        <v>0</v>
      </c>
      <c r="I17" s="31">
        <v>23103696</v>
      </c>
      <c r="J17" s="31">
        <f>J16+Cty_Nam_Phat_Ngoc_Hoi[[#This Row],[THÀNH TIỀN]]-Cty_Nam_Phat_Ngoc_Hoi[[#This Row],[THANH TOÁN]]</f>
        <v>42620059</v>
      </c>
      <c r="K17" s="24"/>
    </row>
    <row r="18" spans="1:11" x14ac:dyDescent="0.25">
      <c r="A18" s="22"/>
      <c r="B18" s="29">
        <v>46156</v>
      </c>
      <c r="C18" s="23" t="s">
        <v>21</v>
      </c>
      <c r="D18" s="37" t="s">
        <v>22</v>
      </c>
      <c r="E18" s="23" t="s">
        <v>147</v>
      </c>
      <c r="F18" s="31">
        <v>0</v>
      </c>
      <c r="G18" s="31"/>
      <c r="H18" s="31">
        <f>Cty_Nam_Phat_Ngoc_Hoi[[#This Row],[ĐƠN GIÁ]]*Cty_Nam_Phat_Ngoc_Hoi[[#This Row],[SỐ LƯỢNG]]</f>
        <v>0</v>
      </c>
      <c r="I18" s="31">
        <v>42619500</v>
      </c>
      <c r="J18" s="31">
        <f>J17+Cty_Nam_Phat_Ngoc_Hoi[[#This Row],[THÀNH TIỀN]]-Cty_Nam_Phat_Ngoc_Hoi[[#This Row],[THANH TOÁN]]</f>
        <v>559</v>
      </c>
      <c r="K18" s="24"/>
    </row>
    <row r="19" spans="1:11" x14ac:dyDescent="0.25">
      <c r="A19" s="22">
        <v>9486</v>
      </c>
      <c r="B19" s="29">
        <v>46161</v>
      </c>
      <c r="C19" s="23" t="s">
        <v>13</v>
      </c>
      <c r="D19" s="37" t="s">
        <v>103</v>
      </c>
      <c r="E19" s="23" t="s">
        <v>2220</v>
      </c>
      <c r="F19" s="31">
        <v>1012</v>
      </c>
      <c r="G19" s="31">
        <v>39000</v>
      </c>
      <c r="H19" s="31">
        <f>Cty_Nam_Phat_Ngoc_Hoi[[#This Row],[ĐƠN GIÁ]]*Cty_Nam_Phat_Ngoc_Hoi[[#This Row],[SỐ LƯỢNG]]</f>
        <v>39468000</v>
      </c>
      <c r="I19" s="31">
        <v>53</v>
      </c>
      <c r="J19" s="31">
        <f>J18+Cty_Nam_Phat_Ngoc_Hoi[[#This Row],[THÀNH TIỀN]]-Cty_Nam_Phat_Ngoc_Hoi[[#This Row],[THANH TOÁN]]</f>
        <v>39468506</v>
      </c>
      <c r="K19" s="24"/>
    </row>
    <row r="20" spans="1:11" x14ac:dyDescent="0.25">
      <c r="A20" s="22"/>
      <c r="B20" s="29">
        <v>46162</v>
      </c>
      <c r="C20" s="23" t="s">
        <v>21</v>
      </c>
      <c r="D20" s="37" t="s">
        <v>22</v>
      </c>
      <c r="E20" s="23" t="s">
        <v>147</v>
      </c>
      <c r="F20" s="31">
        <v>0</v>
      </c>
      <c r="G20" s="31"/>
      <c r="H20" s="31">
        <f>Cty_Nam_Phat_Ngoc_Hoi[[#This Row],[ĐƠN GIÁ]]*Cty_Nam_Phat_Ngoc_Hoi[[#This Row],[SỐ LƯỢNG]]</f>
        <v>0</v>
      </c>
      <c r="I20" s="31">
        <v>39468506</v>
      </c>
      <c r="J20" s="31">
        <f>J19+Cty_Nam_Phat_Ngoc_Hoi[[#This Row],[THÀNH TIỀN]]-Cty_Nam_Phat_Ngoc_Hoi[[#This Row],[THANH TOÁN]]</f>
        <v>0</v>
      </c>
      <c r="K20" s="24"/>
    </row>
    <row r="21" spans="1:11" x14ac:dyDescent="0.25">
      <c r="A21" s="22">
        <v>9603</v>
      </c>
      <c r="B21" s="29">
        <v>46167</v>
      </c>
      <c r="C21" s="23" t="s">
        <v>13</v>
      </c>
      <c r="D21" s="37" t="s">
        <v>150</v>
      </c>
      <c r="E21" s="23" t="s">
        <v>390</v>
      </c>
      <c r="F21" s="31">
        <v>110</v>
      </c>
      <c r="G21" s="31">
        <v>38000</v>
      </c>
      <c r="H21" s="31">
        <f>Cty_Nam_Phat_Ngoc_Hoi[[#This Row],[ĐƠN GIÁ]]*Cty_Nam_Phat_Ngoc_Hoi[[#This Row],[SỐ LƯỢNG]]</f>
        <v>4180000</v>
      </c>
      <c r="I21" s="31"/>
      <c r="J21" s="31">
        <f>J20+Cty_Nam_Phat_Ngoc_Hoi[[#This Row],[THÀNH TIỀN]]-Cty_Nam_Phat_Ngoc_Hoi[[#This Row],[THANH TOÁN]]</f>
        <v>4180000</v>
      </c>
      <c r="K21" s="24"/>
    </row>
    <row r="22" spans="1:11" x14ac:dyDescent="0.25">
      <c r="A22" s="22">
        <v>9705</v>
      </c>
      <c r="B22" s="29">
        <v>46171</v>
      </c>
      <c r="C22" s="23" t="s">
        <v>13</v>
      </c>
      <c r="D22" s="37" t="s">
        <v>103</v>
      </c>
      <c r="E22" s="23" t="s">
        <v>2516</v>
      </c>
      <c r="F22" s="31">
        <v>390</v>
      </c>
      <c r="G22" s="31">
        <v>39000</v>
      </c>
      <c r="H22" s="31">
        <f>Cty_Nam_Phat_Ngoc_Hoi[[#This Row],[ĐƠN GIÁ]]*Cty_Nam_Phat_Ngoc_Hoi[[#This Row],[SỐ LƯỢNG]]</f>
        <v>15210000</v>
      </c>
      <c r="I22" s="31"/>
      <c r="J22" s="31">
        <f>J21+Cty_Nam_Phat_Ngoc_Hoi[[#This Row],[THÀNH TIỀN]]-Cty_Nam_Phat_Ngoc_Hoi[[#This Row],[THANH TOÁN]]</f>
        <v>19390000</v>
      </c>
      <c r="K22" s="24"/>
    </row>
    <row r="23" spans="1:11" x14ac:dyDescent="0.25">
      <c r="A23" s="22"/>
      <c r="B23" s="29">
        <v>46174</v>
      </c>
      <c r="C23" s="23" t="s">
        <v>21</v>
      </c>
      <c r="D23" s="37" t="s">
        <v>22</v>
      </c>
      <c r="E23" s="23" t="s">
        <v>147</v>
      </c>
      <c r="F23" s="31">
        <v>0</v>
      </c>
      <c r="G23" s="31"/>
      <c r="H23" s="31">
        <f>Cty_Nam_Phat_Ngoc_Hoi[[#This Row],[ĐƠN GIÁ]]*Cty_Nam_Phat_Ngoc_Hoi[[#This Row],[SỐ LƯỢNG]]</f>
        <v>0</v>
      </c>
      <c r="I23" s="31">
        <v>19390140</v>
      </c>
      <c r="J23" s="31">
        <f>J22+Cty_Nam_Phat_Ngoc_Hoi[[#This Row],[THÀNH TIỀN]]-Cty_Nam_Phat_Ngoc_Hoi[[#This Row],[THANH TOÁN]]</f>
        <v>-140</v>
      </c>
      <c r="K23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75983-3DD6-41F1-96EC-B3CD7E67BDBA}">
  <sheetPr codeName="Sheet111"/>
  <dimension ref="A5:K21"/>
  <sheetViews>
    <sheetView workbookViewId="0">
      <selection activeCell="F13" sqref="F13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204447000</v>
      </c>
    </row>
    <row r="6" spans="1:11" ht="22.5" x14ac:dyDescent="0.25">
      <c r="D6" s="34" t="s">
        <v>1256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A_Hung_Cty_Minh_Phat[[#This Row],[ĐƠN GIÁ]]*A_Hung_Cty_Minh_Phat[[#This Row],[SỐ LƯỢNG]]</f>
        <v>0</v>
      </c>
      <c r="I10" s="31"/>
      <c r="J10" s="31">
        <v>41304000</v>
      </c>
      <c r="K10" s="24"/>
    </row>
    <row r="11" spans="1:11" x14ac:dyDescent="0.25">
      <c r="A11" s="22"/>
      <c r="B11" s="29">
        <v>46086</v>
      </c>
      <c r="C11" s="23" t="s">
        <v>21</v>
      </c>
      <c r="D11" s="37" t="s">
        <v>22</v>
      </c>
      <c r="E11" s="23" t="s">
        <v>261</v>
      </c>
      <c r="F11" s="31">
        <v>0</v>
      </c>
      <c r="G11" s="31">
        <v>0</v>
      </c>
      <c r="H11" s="31">
        <f>A_Hung_Cty_Minh_Phat[[#This Row],[ĐƠN GIÁ]]*A_Hung_Cty_Minh_Phat[[#This Row],[SỐ LƯỢNG]]</f>
        <v>0</v>
      </c>
      <c r="I11" s="31">
        <v>41304000</v>
      </c>
      <c r="J11" s="31">
        <f>J10+A_Hung_Cty_Minh_Phat[[#This Row],[THÀNH TIỀN]]-A_Hung_Cty_Minh_Phat[[#This Row],[THANH TOÁN]]</f>
        <v>0</v>
      </c>
      <c r="K11" s="24"/>
    </row>
    <row r="12" spans="1:11" x14ac:dyDescent="0.25">
      <c r="A12" s="22">
        <v>8107</v>
      </c>
      <c r="B12" s="29">
        <v>46097</v>
      </c>
      <c r="C12" s="23" t="s">
        <v>13</v>
      </c>
      <c r="D12" s="37" t="s">
        <v>841</v>
      </c>
      <c r="E12" s="23" t="s">
        <v>1257</v>
      </c>
      <c r="F12" s="31">
        <v>4082</v>
      </c>
      <c r="G12" s="31">
        <v>27500</v>
      </c>
      <c r="H12" s="31">
        <f>A_Hung_Cty_Minh_Phat[[#This Row],[ĐƠN GIÁ]]*A_Hung_Cty_Minh_Phat[[#This Row],[SỐ LƯỢNG]]</f>
        <v>112255000</v>
      </c>
      <c r="I12" s="31"/>
      <c r="J12" s="31">
        <f>J11+A_Hung_Cty_Minh_Phat[[#This Row],[THÀNH TIỀN]]-A_Hung_Cty_Minh_Phat[[#This Row],[THANH TOÁN]]</f>
        <v>112255000</v>
      </c>
      <c r="K12" s="24"/>
    </row>
    <row r="13" spans="1:11" x14ac:dyDescent="0.25">
      <c r="A13" s="25">
        <v>8132</v>
      </c>
      <c r="B13" s="30">
        <v>46097</v>
      </c>
      <c r="C13" s="26" t="s">
        <v>13</v>
      </c>
      <c r="D13" s="38" t="s">
        <v>841</v>
      </c>
      <c r="E13" s="26" t="s">
        <v>1258</v>
      </c>
      <c r="F13" s="28">
        <v>1013</v>
      </c>
      <c r="G13" s="28">
        <v>28000</v>
      </c>
      <c r="H13" s="28">
        <f>A_Hung_Cty_Minh_Phat[[#This Row],[ĐƠN GIÁ]]*A_Hung_Cty_Minh_Phat[[#This Row],[SỐ LƯỢNG]]</f>
        <v>28364000</v>
      </c>
      <c r="I13" s="28"/>
      <c r="J13" s="28">
        <f>J12+A_Hung_Cty_Minh_Phat[[#This Row],[THÀNH TIỀN]]-A_Hung_Cty_Minh_Phat[[#This Row],[THANH TOÁN]]</f>
        <v>140619000</v>
      </c>
      <c r="K13" s="27"/>
    </row>
    <row r="14" spans="1:11" x14ac:dyDescent="0.25">
      <c r="A14" s="25">
        <v>8204</v>
      </c>
      <c r="B14" s="30">
        <v>46102</v>
      </c>
      <c r="C14" s="26" t="s">
        <v>13</v>
      </c>
      <c r="D14" s="38" t="s">
        <v>26</v>
      </c>
      <c r="E14" s="26" t="s">
        <v>1259</v>
      </c>
      <c r="F14" s="28">
        <v>1730</v>
      </c>
      <c r="G14" s="28">
        <v>28000</v>
      </c>
      <c r="H14" s="28">
        <f>A_Hung_Cty_Minh_Phat[[#This Row],[ĐƠN GIÁ]]*A_Hung_Cty_Minh_Phat[[#This Row],[SỐ LƯỢNG]]</f>
        <v>48440000</v>
      </c>
      <c r="I14" s="28"/>
      <c r="J14" s="28">
        <f>J13+A_Hung_Cty_Minh_Phat[[#This Row],[THÀNH TIỀN]]-A_Hung_Cty_Minh_Phat[[#This Row],[THANH TOÁN]]</f>
        <v>189059000</v>
      </c>
      <c r="K14" s="27"/>
    </row>
    <row r="15" spans="1:11" x14ac:dyDescent="0.25">
      <c r="A15" s="22">
        <v>8631</v>
      </c>
      <c r="B15" s="29">
        <v>46120</v>
      </c>
      <c r="C15" s="23" t="s">
        <v>13</v>
      </c>
      <c r="D15" s="37" t="s">
        <v>442</v>
      </c>
      <c r="E15" s="23" t="s">
        <v>678</v>
      </c>
      <c r="F15" s="31">
        <v>216</v>
      </c>
      <c r="G15" s="31">
        <v>59000</v>
      </c>
      <c r="H15" s="31">
        <f>A_Hung_Cty_Minh_Phat[[#This Row],[ĐƠN GIÁ]]*A_Hung_Cty_Minh_Phat[[#This Row],[SỐ LƯỢNG]]</f>
        <v>12744000</v>
      </c>
      <c r="I15" s="31"/>
      <c r="J15" s="31">
        <f>J14+A_Hung_Cty_Minh_Phat[[#This Row],[THÀNH TIỀN]]-A_Hung_Cty_Minh_Phat[[#This Row],[THANH TOÁN]]</f>
        <v>201803000</v>
      </c>
      <c r="K15" s="24"/>
    </row>
    <row r="16" spans="1:11" x14ac:dyDescent="0.25">
      <c r="A16" s="22">
        <v>8631</v>
      </c>
      <c r="B16" s="29">
        <v>46120</v>
      </c>
      <c r="C16" s="23" t="s">
        <v>13</v>
      </c>
      <c r="D16" s="37" t="s">
        <v>442</v>
      </c>
      <c r="E16" s="23" t="s">
        <v>946</v>
      </c>
      <c r="F16" s="31">
        <v>290</v>
      </c>
      <c r="G16" s="31">
        <v>59000</v>
      </c>
      <c r="H16" s="31">
        <f>A_Hung_Cty_Minh_Phat[[#This Row],[ĐƠN GIÁ]]*A_Hung_Cty_Minh_Phat[[#This Row],[SỐ LƯỢNG]]</f>
        <v>17110000</v>
      </c>
      <c r="I16" s="31"/>
      <c r="J16" s="31">
        <f>J15+A_Hung_Cty_Minh_Phat[[#This Row],[THÀNH TIỀN]]-A_Hung_Cty_Minh_Phat[[#This Row],[THANH TOÁN]]</f>
        <v>218913000</v>
      </c>
      <c r="K16" s="24"/>
    </row>
    <row r="17" spans="1:11" x14ac:dyDescent="0.25">
      <c r="A17" s="22">
        <v>8631</v>
      </c>
      <c r="B17" s="29">
        <v>46120</v>
      </c>
      <c r="C17" s="23" t="s">
        <v>13</v>
      </c>
      <c r="D17" s="37" t="s">
        <v>442</v>
      </c>
      <c r="E17" s="23" t="s">
        <v>1046</v>
      </c>
      <c r="F17" s="31">
        <v>358</v>
      </c>
      <c r="G17" s="31">
        <v>59000</v>
      </c>
      <c r="H17" s="31">
        <f>A_Hung_Cty_Minh_Phat[[#This Row],[ĐƠN GIÁ]]*A_Hung_Cty_Minh_Phat[[#This Row],[SỐ LƯỢNG]]</f>
        <v>21122000</v>
      </c>
      <c r="I17" s="31"/>
      <c r="J17" s="31">
        <f>J16+A_Hung_Cty_Minh_Phat[[#This Row],[THÀNH TIỀN]]-A_Hung_Cty_Minh_Phat[[#This Row],[THANH TOÁN]]</f>
        <v>240035000</v>
      </c>
      <c r="K17" s="24"/>
    </row>
    <row r="18" spans="1:11" x14ac:dyDescent="0.25">
      <c r="A18" s="22"/>
      <c r="B18" s="29">
        <v>46127</v>
      </c>
      <c r="C18" s="23" t="s">
        <v>21</v>
      </c>
      <c r="D18" s="37" t="s">
        <v>22</v>
      </c>
      <c r="E18" s="23" t="s">
        <v>261</v>
      </c>
      <c r="F18" s="31">
        <v>0</v>
      </c>
      <c r="G18" s="31"/>
      <c r="H18" s="31">
        <f>A_Hung_Cty_Minh_Phat[[#This Row],[ĐƠN GIÁ]]*A_Hung_Cty_Minh_Phat[[#This Row],[SỐ LƯỢNG]]</f>
        <v>0</v>
      </c>
      <c r="I18" s="31">
        <v>50000000</v>
      </c>
      <c r="J18" s="31">
        <f>J17+A_Hung_Cty_Minh_Phat[[#This Row],[THÀNH TIỀN]]-A_Hung_Cty_Minh_Phat[[#This Row],[THANH TOÁN]]</f>
        <v>190035000</v>
      </c>
      <c r="K18" s="24"/>
    </row>
    <row r="19" spans="1:11" x14ac:dyDescent="0.25">
      <c r="A19" s="22">
        <v>8943</v>
      </c>
      <c r="B19" s="29">
        <v>46134</v>
      </c>
      <c r="C19" s="23" t="s">
        <v>13</v>
      </c>
      <c r="D19" s="37" t="s">
        <v>109</v>
      </c>
      <c r="E19" s="23" t="s">
        <v>946</v>
      </c>
      <c r="F19" s="31">
        <v>292</v>
      </c>
      <c r="G19" s="31">
        <v>60000</v>
      </c>
      <c r="H19" s="31">
        <f>A_Hung_Cty_Minh_Phat[[#This Row],[ĐƠN GIÁ]]*A_Hung_Cty_Minh_Phat[[#This Row],[SỐ LƯỢNG]]</f>
        <v>17520000</v>
      </c>
      <c r="I19" s="31"/>
      <c r="J19" s="31">
        <f>J18+A_Hung_Cty_Minh_Phat[[#This Row],[THÀNH TIỀN]]-A_Hung_Cty_Minh_Phat[[#This Row],[THANH TOÁN]]</f>
        <v>207555000</v>
      </c>
      <c r="K19" s="24"/>
    </row>
    <row r="20" spans="1:11" x14ac:dyDescent="0.25">
      <c r="A20" s="22"/>
      <c r="B20" s="29">
        <v>46157</v>
      </c>
      <c r="C20" s="23" t="s">
        <v>21</v>
      </c>
      <c r="D20" s="37" t="s">
        <v>22</v>
      </c>
      <c r="E20" s="23" t="s">
        <v>2155</v>
      </c>
      <c r="F20" s="31">
        <v>0</v>
      </c>
      <c r="G20" s="31"/>
      <c r="H20" s="31">
        <f>A_Hung_Cty_Minh_Phat[[#This Row],[ĐƠN GIÁ]]*A_Hung_Cty_Minh_Phat[[#This Row],[SỐ LƯỢNG]]</f>
        <v>0</v>
      </c>
      <c r="I20" s="31">
        <v>80000000</v>
      </c>
      <c r="J20" s="31">
        <f>J19+A_Hung_Cty_Minh_Phat[[#This Row],[THÀNH TIỀN]]-A_Hung_Cty_Minh_Phat[[#This Row],[THANH TOÁN]]</f>
        <v>127555000</v>
      </c>
      <c r="K20" s="24"/>
    </row>
    <row r="21" spans="1:11" x14ac:dyDescent="0.25">
      <c r="A21" s="22">
        <v>9579</v>
      </c>
      <c r="B21" s="29">
        <v>46165</v>
      </c>
      <c r="C21" s="23" t="s">
        <v>13</v>
      </c>
      <c r="D21" s="37" t="s">
        <v>14</v>
      </c>
      <c r="E21" s="23" t="s">
        <v>40</v>
      </c>
      <c r="F21" s="31">
        <v>1636</v>
      </c>
      <c r="G21" s="31">
        <v>47000</v>
      </c>
      <c r="H21" s="31">
        <f>A_Hung_Cty_Minh_Phat[[#This Row],[ĐƠN GIÁ]]*A_Hung_Cty_Minh_Phat[[#This Row],[SỐ LƯỢNG]]</f>
        <v>76892000</v>
      </c>
      <c r="I21" s="31"/>
      <c r="J21" s="31">
        <f>J20+A_Hung_Cty_Minh_Phat[[#This Row],[THÀNH TIỀN]]-A_Hung_Cty_Minh_Phat[[#This Row],[THANH TOÁN]]</f>
        <v>204447000</v>
      </c>
      <c r="K21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AE7431-B782-4109-BF94-9A71D4B15B0E}">
  <sheetPr codeName="Sheet112"/>
  <dimension ref="A5:K15"/>
  <sheetViews>
    <sheetView workbookViewId="0">
      <selection activeCell="J11" sqref="J11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16048500</v>
      </c>
    </row>
    <row r="6" spans="1:11" ht="22.5" x14ac:dyDescent="0.25">
      <c r="D6" s="34" t="s">
        <v>1260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C_Ha_Xuan_Mai[[#This Row],[ĐƠN GIÁ]]*C_Ha_Xuan_Mai[[#This Row],[SỐ LƯỢNG]]</f>
        <v>0</v>
      </c>
      <c r="I10" s="31"/>
      <c r="J10" s="31">
        <v>18256500</v>
      </c>
      <c r="K10" s="24"/>
    </row>
    <row r="11" spans="1:11" x14ac:dyDescent="0.25">
      <c r="A11" s="22">
        <v>8111</v>
      </c>
      <c r="B11" s="29">
        <v>46097</v>
      </c>
      <c r="C11" s="23" t="s">
        <v>13</v>
      </c>
      <c r="D11" s="37" t="s">
        <v>54</v>
      </c>
      <c r="E11" s="23" t="s">
        <v>179</v>
      </c>
      <c r="F11" s="31">
        <v>118</v>
      </c>
      <c r="G11" s="31">
        <v>37000</v>
      </c>
      <c r="H11" s="31">
        <f>C_Ha_Xuan_Mai[[#This Row],[ĐƠN GIÁ]]*C_Ha_Xuan_Mai[[#This Row],[SỐ LƯỢNG]]</f>
        <v>4366000</v>
      </c>
      <c r="I11" s="31"/>
      <c r="J11" s="31">
        <f>J10+C_Ha_Xuan_Mai[[#This Row],[THÀNH TIỀN]]-C_Ha_Xuan_Mai[[#This Row],[THANH TOÁN]]</f>
        <v>22622500</v>
      </c>
      <c r="K11" s="24"/>
    </row>
    <row r="12" spans="1:11" x14ac:dyDescent="0.25">
      <c r="A12" s="22">
        <v>8111</v>
      </c>
      <c r="B12" s="29">
        <v>46097</v>
      </c>
      <c r="C12" s="23" t="s">
        <v>13</v>
      </c>
      <c r="D12" s="37" t="s">
        <v>54</v>
      </c>
      <c r="E12" s="23" t="s">
        <v>62</v>
      </c>
      <c r="F12" s="31">
        <v>162</v>
      </c>
      <c r="G12" s="31">
        <v>37000</v>
      </c>
      <c r="H12" s="31">
        <f>C_Ha_Xuan_Mai[[#This Row],[ĐƠN GIÁ]]*C_Ha_Xuan_Mai[[#This Row],[SỐ LƯỢNG]]</f>
        <v>5994000</v>
      </c>
      <c r="I12" s="31"/>
      <c r="J12" s="31">
        <f>J11+C_Ha_Xuan_Mai[[#This Row],[THÀNH TIỀN]]-C_Ha_Xuan_Mai[[#This Row],[THANH TOÁN]]</f>
        <v>28616500</v>
      </c>
      <c r="K12" s="24"/>
    </row>
    <row r="13" spans="1:11" x14ac:dyDescent="0.25">
      <c r="A13" s="25"/>
      <c r="B13" s="30">
        <v>46097</v>
      </c>
      <c r="C13" s="26" t="s">
        <v>21</v>
      </c>
      <c r="D13" s="38" t="s">
        <v>22</v>
      </c>
      <c r="E13" s="26" t="s">
        <v>261</v>
      </c>
      <c r="F13" s="28">
        <v>0</v>
      </c>
      <c r="G13" s="28">
        <v>0</v>
      </c>
      <c r="H13" s="28">
        <f>C_Ha_Xuan_Mai[[#This Row],[ĐƠN GIÁ]]*C_Ha_Xuan_Mai[[#This Row],[SỐ LƯỢNG]]</f>
        <v>0</v>
      </c>
      <c r="I13" s="28">
        <v>10360000</v>
      </c>
      <c r="J13" s="28">
        <f>J12+C_Ha_Xuan_Mai[[#This Row],[THÀNH TIỀN]]-C_Ha_Xuan_Mai[[#This Row],[THANH TOÁN]]</f>
        <v>18256500</v>
      </c>
      <c r="K13" s="27"/>
    </row>
    <row r="14" spans="1:11" x14ac:dyDescent="0.25">
      <c r="A14" s="22">
        <v>9312</v>
      </c>
      <c r="B14" s="29">
        <v>46153</v>
      </c>
      <c r="C14" s="23" t="s">
        <v>13</v>
      </c>
      <c r="D14" s="37" t="s">
        <v>26</v>
      </c>
      <c r="E14" s="23" t="s">
        <v>40</v>
      </c>
      <c r="F14" s="31">
        <v>254</v>
      </c>
      <c r="G14" s="31">
        <v>40000</v>
      </c>
      <c r="H14" s="31">
        <f>C_Ha_Xuan_Mai[[#This Row],[ĐƠN GIÁ]]*C_Ha_Xuan_Mai[[#This Row],[SỐ LƯỢNG]]</f>
        <v>10160000</v>
      </c>
      <c r="I14" s="31"/>
      <c r="J14" s="31">
        <f>J13+C_Ha_Xuan_Mai[[#This Row],[THÀNH TIỀN]]-C_Ha_Xuan_Mai[[#This Row],[THANH TOÁN]]</f>
        <v>28416500</v>
      </c>
      <c r="K14" s="24"/>
    </row>
    <row r="15" spans="1:11" x14ac:dyDescent="0.25">
      <c r="A15" s="22"/>
      <c r="B15" s="29">
        <v>46153</v>
      </c>
      <c r="C15" s="23" t="s">
        <v>21</v>
      </c>
      <c r="D15" s="37" t="s">
        <v>22</v>
      </c>
      <c r="E15" s="23" t="s">
        <v>261</v>
      </c>
      <c r="F15" s="31">
        <v>0</v>
      </c>
      <c r="G15" s="31"/>
      <c r="H15" s="31">
        <f>C_Ha_Xuan_Mai[[#This Row],[ĐƠN GIÁ]]*C_Ha_Xuan_Mai[[#This Row],[SỐ LƯỢNG]]</f>
        <v>0</v>
      </c>
      <c r="I15" s="31">
        <v>10160000</v>
      </c>
      <c r="J15" s="31">
        <f>J14+C_Ha_Xuan_Mai[[#This Row],[THÀNH TIỀN]]-C_Ha_Xuan_Mai[[#This Row],[THANH TOÁN]]</f>
        <v>18256500</v>
      </c>
      <c r="K15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F8F9D-A381-4C8B-A5B6-1C91A04A266F}">
  <sheetPr codeName="Sheet113"/>
  <dimension ref="A5:K31"/>
  <sheetViews>
    <sheetView topLeftCell="A3" workbookViewId="0">
      <selection activeCell="J11" sqref="J11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66412960</v>
      </c>
    </row>
    <row r="6" spans="1:11" ht="22.5" x14ac:dyDescent="0.25">
      <c r="D6" s="34" t="s">
        <v>1261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>
        <v>1</v>
      </c>
      <c r="G10" s="31">
        <v>43170600</v>
      </c>
      <c r="H10" s="31">
        <f>E_Doanh_Thanh_Oai[[#This Row],[ĐƠN GIÁ]]*E_Doanh_Thanh_Oai[[#This Row],[SỐ LƯỢNG]]</f>
        <v>43170600</v>
      </c>
      <c r="I10" s="31"/>
      <c r="J10" s="31">
        <f ca="1">N(INDIRECT("R[-1]C", FALSE)) + E_Doanh_Thanh_Oai[[#This Row],[THÀNH TIỀN]] - E_Doanh_Thanh_Oai[[#This Row],[THANH TOÁN]]</f>
        <v>43170600</v>
      </c>
      <c r="K10" s="24"/>
    </row>
    <row r="11" spans="1:11" x14ac:dyDescent="0.25">
      <c r="A11" s="22"/>
      <c r="B11" s="29">
        <v>46094</v>
      </c>
      <c r="C11" s="23" t="s">
        <v>21</v>
      </c>
      <c r="D11" s="37" t="s">
        <v>22</v>
      </c>
      <c r="E11" s="23" t="s">
        <v>147</v>
      </c>
      <c r="F11" s="31">
        <v>0</v>
      </c>
      <c r="G11" s="31">
        <v>0</v>
      </c>
      <c r="H11" s="31">
        <f>E_Doanh_Thanh_Oai[[#This Row],[ĐƠN GIÁ]]*E_Doanh_Thanh_Oai[[#This Row],[SỐ LƯỢNG]]</f>
        <v>0</v>
      </c>
      <c r="I11" s="31">
        <v>43170600</v>
      </c>
      <c r="J11" s="31">
        <f ca="1">N(INDIRECT("R[-1]C", FALSE)) + E_Doanh_Thanh_Oai[[#This Row],[THÀNH TIỀN]] - E_Doanh_Thanh_Oai[[#This Row],[THANH TOÁN]]</f>
        <v>0</v>
      </c>
      <c r="K11" s="24"/>
    </row>
    <row r="12" spans="1:11" x14ac:dyDescent="0.25">
      <c r="A12" s="22">
        <v>8120</v>
      </c>
      <c r="B12" s="29">
        <v>46097</v>
      </c>
      <c r="C12" s="23" t="s">
        <v>13</v>
      </c>
      <c r="D12" s="37" t="s">
        <v>17</v>
      </c>
      <c r="E12" s="23" t="s">
        <v>1102</v>
      </c>
      <c r="F12" s="31">
        <v>612</v>
      </c>
      <c r="G12" s="31">
        <v>64000</v>
      </c>
      <c r="H12" s="31">
        <f>E_Doanh_Thanh_Oai[[#This Row],[ĐƠN GIÁ]]*E_Doanh_Thanh_Oai[[#This Row],[SỐ LƯỢNG]]</f>
        <v>39168000</v>
      </c>
      <c r="I12" s="31"/>
      <c r="J12" s="31">
        <f ca="1">N(INDIRECT("R[-1]C", FALSE)) + E_Doanh_Thanh_Oai[[#This Row],[THÀNH TIỀN]] - E_Doanh_Thanh_Oai[[#This Row],[THANH TOÁN]]</f>
        <v>39168000</v>
      </c>
      <c r="K12" s="24"/>
    </row>
    <row r="13" spans="1:11" x14ac:dyDescent="0.25">
      <c r="A13" s="25">
        <v>8120</v>
      </c>
      <c r="B13" s="30">
        <v>46097</v>
      </c>
      <c r="C13" s="26" t="s">
        <v>13</v>
      </c>
      <c r="D13" s="38" t="s">
        <v>746</v>
      </c>
      <c r="E13" s="26" t="s">
        <v>807</v>
      </c>
      <c r="F13" s="28">
        <v>2012</v>
      </c>
      <c r="G13" s="28">
        <v>30500</v>
      </c>
      <c r="H13" s="28">
        <f>E_Doanh_Thanh_Oai[[#This Row],[ĐƠN GIÁ]]*E_Doanh_Thanh_Oai[[#This Row],[SỐ LƯỢNG]]</f>
        <v>61366000</v>
      </c>
      <c r="I13" s="28"/>
      <c r="J13" s="28">
        <f ca="1">N(INDIRECT("R[-1]C", FALSE)) + E_Doanh_Thanh_Oai[[#This Row],[THÀNH TIỀN]] - E_Doanh_Thanh_Oai[[#This Row],[THANH TOÁN]]</f>
        <v>100534000</v>
      </c>
      <c r="K13" s="27"/>
    </row>
    <row r="14" spans="1:11" x14ac:dyDescent="0.25">
      <c r="A14" s="25">
        <v>8172</v>
      </c>
      <c r="B14" s="30">
        <v>46099</v>
      </c>
      <c r="C14" s="26" t="s">
        <v>13</v>
      </c>
      <c r="D14" s="38" t="s">
        <v>26</v>
      </c>
      <c r="E14" s="26" t="s">
        <v>824</v>
      </c>
      <c r="F14" s="28">
        <v>710</v>
      </c>
      <c r="G14" s="28">
        <v>30500</v>
      </c>
      <c r="H14" s="28">
        <f>E_Doanh_Thanh_Oai[[#This Row],[ĐƠN GIÁ]]*E_Doanh_Thanh_Oai[[#This Row],[SỐ LƯỢNG]]</f>
        <v>21655000</v>
      </c>
      <c r="I14" s="28"/>
      <c r="J14" s="28">
        <f ca="1">N(INDIRECT("R[-1]C", FALSE)) + E_Doanh_Thanh_Oai[[#This Row],[THÀNH TIỀN]] - E_Doanh_Thanh_Oai[[#This Row],[THANH TOÁN]]</f>
        <v>122189000</v>
      </c>
      <c r="K14" s="27"/>
    </row>
    <row r="15" spans="1:11" x14ac:dyDescent="0.25">
      <c r="A15" s="25">
        <v>8244</v>
      </c>
      <c r="B15" s="30">
        <v>46105</v>
      </c>
      <c r="C15" s="26" t="s">
        <v>13</v>
      </c>
      <c r="D15" s="38" t="s">
        <v>68</v>
      </c>
      <c r="E15" s="26" t="s">
        <v>1262</v>
      </c>
      <c r="F15" s="28">
        <v>538</v>
      </c>
      <c r="G15" s="28">
        <v>45000</v>
      </c>
      <c r="H15" s="28">
        <f>E_Doanh_Thanh_Oai[[#This Row],[ĐƠN GIÁ]]*E_Doanh_Thanh_Oai[[#This Row],[SỐ LƯỢNG]]</f>
        <v>24210000</v>
      </c>
      <c r="I15" s="28"/>
      <c r="J15" s="28">
        <f ca="1">N(INDIRECT("R[-1]C", FALSE)) + E_Doanh_Thanh_Oai[[#This Row],[THÀNH TIỀN]] - E_Doanh_Thanh_Oai[[#This Row],[THANH TOÁN]]</f>
        <v>146399000</v>
      </c>
      <c r="K15" s="27"/>
    </row>
    <row r="16" spans="1:11" x14ac:dyDescent="0.25">
      <c r="A16" s="25">
        <v>8244</v>
      </c>
      <c r="B16" s="30">
        <v>46105</v>
      </c>
      <c r="C16" s="26" t="s">
        <v>13</v>
      </c>
      <c r="D16" s="38" t="s">
        <v>1263</v>
      </c>
      <c r="E16" s="23" t="s">
        <v>1264</v>
      </c>
      <c r="F16" s="31">
        <v>530</v>
      </c>
      <c r="G16" s="31">
        <v>62500</v>
      </c>
      <c r="H16" s="31">
        <f>E_Doanh_Thanh_Oai[[#This Row],[ĐƠN GIÁ]]*E_Doanh_Thanh_Oai[[#This Row],[SỐ LƯỢNG]]</f>
        <v>33125000</v>
      </c>
      <c r="I16" s="31"/>
      <c r="J16" s="31">
        <f ca="1">N(INDIRECT("R[-1]C", FALSE)) + E_Doanh_Thanh_Oai[[#This Row],[THÀNH TIỀN]] - E_Doanh_Thanh_Oai[[#This Row],[THANH TOÁN]]</f>
        <v>179524000</v>
      </c>
      <c r="K16" s="24"/>
    </row>
    <row r="17" spans="1:11" x14ac:dyDescent="0.25">
      <c r="A17" s="25">
        <v>8244</v>
      </c>
      <c r="B17" s="30">
        <v>46105</v>
      </c>
      <c r="C17" s="26" t="s">
        <v>13</v>
      </c>
      <c r="D17" s="38" t="s">
        <v>1105</v>
      </c>
      <c r="E17" s="26" t="s">
        <v>1265</v>
      </c>
      <c r="F17" s="28">
        <v>156</v>
      </c>
      <c r="G17" s="28">
        <v>64000</v>
      </c>
      <c r="H17" s="28">
        <f>E_Doanh_Thanh_Oai[[#This Row],[ĐƠN GIÁ]]*E_Doanh_Thanh_Oai[[#This Row],[SỐ LƯỢNG]]</f>
        <v>9984000</v>
      </c>
      <c r="I17" s="28"/>
      <c r="J17" s="28">
        <f ca="1">N(INDIRECT("R[-1]C", FALSE)) + E_Doanh_Thanh_Oai[[#This Row],[THÀNH TIỀN]] - E_Doanh_Thanh_Oai[[#This Row],[THANH TOÁN]]</f>
        <v>189508000</v>
      </c>
      <c r="K17" s="27"/>
    </row>
    <row r="18" spans="1:11" x14ac:dyDescent="0.25">
      <c r="A18" s="25">
        <v>8244</v>
      </c>
      <c r="B18" s="30">
        <v>46105</v>
      </c>
      <c r="C18" s="26" t="s">
        <v>13</v>
      </c>
      <c r="D18" s="38" t="s">
        <v>1263</v>
      </c>
      <c r="E18" s="26" t="s">
        <v>1266</v>
      </c>
      <c r="F18" s="28">
        <v>441</v>
      </c>
      <c r="G18" s="28">
        <v>57000</v>
      </c>
      <c r="H18" s="28">
        <f>E_Doanh_Thanh_Oai[[#This Row],[ĐƠN GIÁ]]*E_Doanh_Thanh_Oai[[#This Row],[SỐ LƯỢNG]]</f>
        <v>25137000</v>
      </c>
      <c r="I18" s="28"/>
      <c r="J18" s="28">
        <f ca="1">N(INDIRECT("R[-1]C", FALSE)) + E_Doanh_Thanh_Oai[[#This Row],[THÀNH TIỀN]] - E_Doanh_Thanh_Oai[[#This Row],[THANH TOÁN]]</f>
        <v>214645000</v>
      </c>
      <c r="K18" s="27"/>
    </row>
    <row r="19" spans="1:11" x14ac:dyDescent="0.25">
      <c r="A19" s="25"/>
      <c r="B19" s="30">
        <v>46108</v>
      </c>
      <c r="C19" s="26" t="s">
        <v>21</v>
      </c>
      <c r="D19" s="38" t="s">
        <v>22</v>
      </c>
      <c r="E19" s="26" t="s">
        <v>147</v>
      </c>
      <c r="F19" s="28">
        <v>0</v>
      </c>
      <c r="G19" s="28">
        <v>0</v>
      </c>
      <c r="H19" s="28">
        <f>E_Doanh_Thanh_Oai[[#This Row],[ĐƠN GIÁ]]*E_Doanh_Thanh_Oai[[#This Row],[SỐ LƯỢNG]]</f>
        <v>0</v>
      </c>
      <c r="I19" s="28">
        <v>122186598</v>
      </c>
      <c r="J19" s="28">
        <f ca="1">N(INDIRECT("R[-1]C", FALSE)) + E_Doanh_Thanh_Oai[[#This Row],[THÀNH TIỀN]] - E_Doanh_Thanh_Oai[[#This Row],[THANH TOÁN]]</f>
        <v>92458402</v>
      </c>
      <c r="K19" s="27"/>
    </row>
    <row r="20" spans="1:11" x14ac:dyDescent="0.25">
      <c r="A20" s="22"/>
      <c r="B20" s="29">
        <v>46122</v>
      </c>
      <c r="C20" s="23" t="s">
        <v>21</v>
      </c>
      <c r="D20" s="37" t="s">
        <v>22</v>
      </c>
      <c r="E20" s="23" t="s">
        <v>147</v>
      </c>
      <c r="F20" s="31">
        <v>0</v>
      </c>
      <c r="G20" s="31"/>
      <c r="H20" s="31">
        <f>E_Doanh_Thanh_Oai[[#This Row],[ĐƠN GIÁ]]*E_Doanh_Thanh_Oai[[#This Row],[SỐ LƯỢNG]]</f>
        <v>0</v>
      </c>
      <c r="I20" s="31">
        <v>92458402</v>
      </c>
      <c r="J20" s="31">
        <f ca="1">N(INDIRECT("R[-1]C", FALSE)) + E_Doanh_Thanh_Oai[[#This Row],[THÀNH TIỀN]] - E_Doanh_Thanh_Oai[[#This Row],[THANH TOÁN]]</f>
        <v>0</v>
      </c>
      <c r="K20" s="24"/>
    </row>
    <row r="21" spans="1:11" x14ac:dyDescent="0.25">
      <c r="A21" s="22">
        <v>8702</v>
      </c>
      <c r="B21" s="29">
        <v>46123</v>
      </c>
      <c r="C21" s="23" t="s">
        <v>13</v>
      </c>
      <c r="D21" s="37" t="s">
        <v>68</v>
      </c>
      <c r="E21" s="23" t="s">
        <v>1262</v>
      </c>
      <c r="F21" s="31">
        <v>954</v>
      </c>
      <c r="G21" s="31">
        <v>45000</v>
      </c>
      <c r="H21" s="31">
        <f>E_Doanh_Thanh_Oai[[#This Row],[ĐƠN GIÁ]]*E_Doanh_Thanh_Oai[[#This Row],[SỐ LƯỢNG]]</f>
        <v>42930000</v>
      </c>
      <c r="I21" s="31"/>
      <c r="J21" s="31">
        <f ca="1">N(INDIRECT("R[-1]C", FALSE)) + E_Doanh_Thanh_Oai[[#This Row],[THÀNH TIỀN]] - E_Doanh_Thanh_Oai[[#This Row],[THANH TOÁN]]</f>
        <v>42930000</v>
      </c>
      <c r="K21" s="24"/>
    </row>
    <row r="22" spans="1:11" x14ac:dyDescent="0.25">
      <c r="A22" s="22">
        <v>8702</v>
      </c>
      <c r="B22" s="29">
        <v>46123</v>
      </c>
      <c r="C22" s="23" t="s">
        <v>13</v>
      </c>
      <c r="D22" s="37" t="s">
        <v>68</v>
      </c>
      <c r="E22" s="23" t="s">
        <v>1267</v>
      </c>
      <c r="F22" s="31">
        <v>722</v>
      </c>
      <c r="G22" s="31">
        <v>41500</v>
      </c>
      <c r="H22" s="31">
        <f>E_Doanh_Thanh_Oai[[#This Row],[ĐƠN GIÁ]]*E_Doanh_Thanh_Oai[[#This Row],[SỐ LƯỢNG]]</f>
        <v>29963000</v>
      </c>
      <c r="I22" s="31"/>
      <c r="J22" s="31">
        <f ca="1">N(INDIRECT("R[-1]C", FALSE)) + E_Doanh_Thanh_Oai[[#This Row],[THÀNH TIỀN]] - E_Doanh_Thanh_Oai[[#This Row],[THANH TOÁN]]</f>
        <v>72893000</v>
      </c>
      <c r="K22" s="24"/>
    </row>
    <row r="23" spans="1:11" x14ac:dyDescent="0.25">
      <c r="A23" s="22">
        <v>8702</v>
      </c>
      <c r="B23" s="29">
        <v>46123</v>
      </c>
      <c r="C23" s="23" t="s">
        <v>13</v>
      </c>
      <c r="D23" s="37" t="s">
        <v>1105</v>
      </c>
      <c r="E23" s="23" t="s">
        <v>1268</v>
      </c>
      <c r="F23" s="31">
        <v>172</v>
      </c>
      <c r="G23" s="31">
        <v>68000</v>
      </c>
      <c r="H23" s="31">
        <f>E_Doanh_Thanh_Oai[[#This Row],[ĐƠN GIÁ]]*E_Doanh_Thanh_Oai[[#This Row],[SỐ LƯỢNG]]</f>
        <v>11696000</v>
      </c>
      <c r="I23" s="31"/>
      <c r="J23" s="31">
        <f ca="1">N(INDIRECT("R[-1]C", FALSE)) + E_Doanh_Thanh_Oai[[#This Row],[THÀNH TIỀN]] - E_Doanh_Thanh_Oai[[#This Row],[THANH TOÁN]]</f>
        <v>84589000</v>
      </c>
      <c r="K23" s="24"/>
    </row>
    <row r="24" spans="1:11" x14ac:dyDescent="0.25">
      <c r="A24" s="22">
        <v>8702</v>
      </c>
      <c r="B24" s="29">
        <v>46123</v>
      </c>
      <c r="C24" s="23" t="s">
        <v>13</v>
      </c>
      <c r="D24" s="37" t="s">
        <v>50</v>
      </c>
      <c r="E24" s="23" t="s">
        <v>379</v>
      </c>
      <c r="F24" s="31">
        <v>180</v>
      </c>
      <c r="G24" s="31">
        <v>57000</v>
      </c>
      <c r="H24" s="31">
        <f>E_Doanh_Thanh_Oai[[#This Row],[ĐƠN GIÁ]]*E_Doanh_Thanh_Oai[[#This Row],[SỐ LƯỢNG]]</f>
        <v>10260000</v>
      </c>
      <c r="I24" s="31"/>
      <c r="J24" s="31">
        <f ca="1">N(INDIRECT("R[-1]C", FALSE)) + E_Doanh_Thanh_Oai[[#This Row],[THÀNH TIỀN]] - E_Doanh_Thanh_Oai[[#This Row],[THANH TOÁN]]</f>
        <v>94849000</v>
      </c>
      <c r="K24" s="24"/>
    </row>
    <row r="25" spans="1:11" x14ac:dyDescent="0.25">
      <c r="A25" s="22"/>
      <c r="B25" s="29">
        <v>46136</v>
      </c>
      <c r="C25" s="23" t="s">
        <v>21</v>
      </c>
      <c r="D25" s="37" t="s">
        <v>22</v>
      </c>
      <c r="E25" s="23" t="s">
        <v>261</v>
      </c>
      <c r="F25" s="31">
        <v>0</v>
      </c>
      <c r="G25" s="31"/>
      <c r="H25" s="31">
        <f>E_Doanh_Thanh_Oai[[#This Row],[ĐƠN GIÁ]]*E_Doanh_Thanh_Oai[[#This Row],[SỐ LƯỢNG]]</f>
        <v>0</v>
      </c>
      <c r="I25" s="31">
        <v>94845520</v>
      </c>
      <c r="J25" s="31">
        <f ca="1">N(INDIRECT("R[-1]C", FALSE)) + E_Doanh_Thanh_Oai[[#This Row],[THÀNH TIỀN]] - E_Doanh_Thanh_Oai[[#This Row],[THANH TOÁN]]</f>
        <v>3480</v>
      </c>
      <c r="K25" s="24"/>
    </row>
    <row r="26" spans="1:11" x14ac:dyDescent="0.25">
      <c r="A26" s="22">
        <v>9127</v>
      </c>
      <c r="B26" s="29">
        <v>46141</v>
      </c>
      <c r="C26" s="23" t="s">
        <v>13</v>
      </c>
      <c r="D26" s="37" t="s">
        <v>68</v>
      </c>
      <c r="E26" s="23" t="s">
        <v>1267</v>
      </c>
      <c r="F26" s="31">
        <v>1056</v>
      </c>
      <c r="G26" s="31">
        <v>41500</v>
      </c>
      <c r="H26" s="31">
        <f>E_Doanh_Thanh_Oai[[#This Row],[ĐƠN GIÁ]]*E_Doanh_Thanh_Oai[[#This Row],[SỐ LƯỢNG]]</f>
        <v>43824000</v>
      </c>
      <c r="I26" s="31"/>
      <c r="J26" s="31">
        <f ca="1">N(INDIRECT("R[-1]C", FALSE)) + E_Doanh_Thanh_Oai[[#This Row],[THÀNH TIỀN]] - E_Doanh_Thanh_Oai[[#This Row],[THANH TOÁN]]</f>
        <v>43827480</v>
      </c>
      <c r="K26" s="24"/>
    </row>
    <row r="27" spans="1:11" x14ac:dyDescent="0.25">
      <c r="A27" s="22"/>
      <c r="B27" s="29">
        <v>46157</v>
      </c>
      <c r="C27" s="23" t="s">
        <v>21</v>
      </c>
      <c r="D27" s="37" t="s">
        <v>22</v>
      </c>
      <c r="E27" s="23" t="s">
        <v>147</v>
      </c>
      <c r="F27" s="31">
        <v>0</v>
      </c>
      <c r="G27" s="31"/>
      <c r="H27" s="31">
        <f>E_Doanh_Thanh_Oai[[#This Row],[ĐƠN GIÁ]]*E_Doanh_Thanh_Oai[[#This Row],[SỐ LƯỢNG]]</f>
        <v>0</v>
      </c>
      <c r="I27" s="31">
        <v>43825320</v>
      </c>
      <c r="J27" s="31">
        <f ca="1">N(INDIRECT("R[-1]C", FALSE)) + E_Doanh_Thanh_Oai[[#This Row],[THÀNH TIỀN]] - E_Doanh_Thanh_Oai[[#This Row],[THANH TOÁN]]</f>
        <v>2160</v>
      </c>
      <c r="K27" s="24"/>
    </row>
    <row r="28" spans="1:11" x14ac:dyDescent="0.25">
      <c r="A28" s="22">
        <v>9517</v>
      </c>
      <c r="B28" s="29">
        <v>46163</v>
      </c>
      <c r="C28" s="23" t="s">
        <v>13</v>
      </c>
      <c r="D28" s="37" t="s">
        <v>858</v>
      </c>
      <c r="E28" s="23" t="s">
        <v>1267</v>
      </c>
      <c r="F28" s="31">
        <v>558</v>
      </c>
      <c r="G28" s="31">
        <v>42000</v>
      </c>
      <c r="H28" s="31">
        <f>E_Doanh_Thanh_Oai[[#This Row],[ĐƠN GIÁ]]*E_Doanh_Thanh_Oai[[#This Row],[SỐ LƯỢNG]]</f>
        <v>23436000</v>
      </c>
      <c r="I28" s="31"/>
      <c r="J28" s="31">
        <f ca="1">N(INDIRECT("R[-1]C", FALSE)) + E_Doanh_Thanh_Oai[[#This Row],[THÀNH TIỀN]] - E_Doanh_Thanh_Oai[[#This Row],[THANH TOÁN]]</f>
        <v>23438160</v>
      </c>
      <c r="K28" s="24"/>
    </row>
    <row r="29" spans="1:11" x14ac:dyDescent="0.25">
      <c r="A29" s="169">
        <v>9517</v>
      </c>
      <c r="B29" s="170">
        <v>46163</v>
      </c>
      <c r="C29" s="171" t="s">
        <v>13</v>
      </c>
      <c r="D29" s="172" t="s">
        <v>1105</v>
      </c>
      <c r="E29" s="171" t="s">
        <v>1267</v>
      </c>
      <c r="F29" s="173">
        <v>306</v>
      </c>
      <c r="G29" s="173">
        <v>72300</v>
      </c>
      <c r="H29" s="173">
        <f>E_Doanh_Thanh_Oai[[#This Row],[ĐƠN GIÁ]]*E_Doanh_Thanh_Oai[[#This Row],[SỐ LƯỢNG]]</f>
        <v>22123800</v>
      </c>
      <c r="I29" s="173"/>
      <c r="J29" s="173">
        <f ca="1">N(INDIRECT("R[-1]C", FALSE)) + E_Doanh_Thanh_Oai[[#This Row],[THÀNH TIỀN]] - E_Doanh_Thanh_Oai[[#This Row],[THANH TOÁN]]</f>
        <v>45561960</v>
      </c>
      <c r="K29" s="174" t="s">
        <v>2311</v>
      </c>
    </row>
    <row r="30" spans="1:11" x14ac:dyDescent="0.25">
      <c r="A30" s="169">
        <v>9517</v>
      </c>
      <c r="B30" s="170">
        <v>46163</v>
      </c>
      <c r="C30" s="171" t="s">
        <v>13</v>
      </c>
      <c r="D30" s="172" t="s">
        <v>1105</v>
      </c>
      <c r="E30" s="171" t="s">
        <v>1265</v>
      </c>
      <c r="F30" s="173">
        <v>290</v>
      </c>
      <c r="G30" s="173">
        <v>71900</v>
      </c>
      <c r="H30" s="173">
        <f>E_Doanh_Thanh_Oai[[#This Row],[ĐƠN GIÁ]]*E_Doanh_Thanh_Oai[[#This Row],[SỐ LƯỢNG]]</f>
        <v>20851000</v>
      </c>
      <c r="I30" s="173"/>
      <c r="J30" s="173">
        <f ca="1">N(INDIRECT("R[-1]C", FALSE)) + E_Doanh_Thanh_Oai[[#This Row],[THÀNH TIỀN]] - E_Doanh_Thanh_Oai[[#This Row],[THANH TOÁN]]</f>
        <v>66412960</v>
      </c>
      <c r="K30" s="174" t="s">
        <v>2312</v>
      </c>
    </row>
    <row r="31" spans="1:11" x14ac:dyDescent="0.25">
      <c r="A31" s="169"/>
      <c r="B31" s="170">
        <v>46176</v>
      </c>
      <c r="C31" s="171" t="s">
        <v>21</v>
      </c>
      <c r="D31" s="172" t="s">
        <v>22</v>
      </c>
      <c r="E31" s="171" t="s">
        <v>147</v>
      </c>
      <c r="F31" s="173">
        <v>0</v>
      </c>
      <c r="G31" s="173"/>
      <c r="H31" s="173">
        <f>E_Doanh_Thanh_Oai[[#This Row],[ĐƠN GIÁ]]*E_Doanh_Thanh_Oai[[#This Row],[SỐ LƯỢNG]]</f>
        <v>0</v>
      </c>
      <c r="I31" s="173">
        <v>65155530</v>
      </c>
      <c r="J31" s="173">
        <f ca="1">N(INDIRECT("R[-1]C", FALSE)) + E_Doanh_Thanh_Oai[[#This Row],[THÀNH TIỀN]] - E_Doanh_Thanh_Oai[[#This Row],[THANH TOÁN]]</f>
        <v>1257430</v>
      </c>
      <c r="K31" s="17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816E66-3C48-42D1-BC02-BC210AA79DC4}">
  <sheetPr codeName="Sheet114"/>
  <dimension ref="A5:K22"/>
  <sheetViews>
    <sheetView workbookViewId="0">
      <selection activeCell="I27" sqref="I27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124942000</v>
      </c>
    </row>
    <row r="6" spans="1:11" ht="22.5" x14ac:dyDescent="0.25">
      <c r="D6" s="34" t="s">
        <v>1269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A_Du_ND[[#This Row],[ĐƠN GIÁ]]*A_Du_ND[[#This Row],[SỐ LƯỢNG]]</f>
        <v>0</v>
      </c>
      <c r="I10" s="31"/>
      <c r="J10" s="31">
        <v>0</v>
      </c>
      <c r="K10" s="24"/>
    </row>
    <row r="11" spans="1:11" x14ac:dyDescent="0.25">
      <c r="A11" s="22">
        <v>8121</v>
      </c>
      <c r="B11" s="29">
        <v>46097</v>
      </c>
      <c r="C11" s="23" t="s">
        <v>13</v>
      </c>
      <c r="D11" s="37" t="s">
        <v>77</v>
      </c>
      <c r="E11" s="23" t="s">
        <v>801</v>
      </c>
      <c r="F11" s="31">
        <v>11930</v>
      </c>
      <c r="G11" s="31">
        <v>12000</v>
      </c>
      <c r="H11" s="31">
        <f>A_Du_ND[[#This Row],[ĐƠN GIÁ]]*A_Du_ND[[#This Row],[SỐ LƯỢNG]]</f>
        <v>143160000</v>
      </c>
      <c r="I11" s="31"/>
      <c r="J11" s="31">
        <f>J10+A_Du_ND[[#This Row],[THÀNH TIỀN]]-A_Du_ND[[#This Row],[THANH TOÁN]]</f>
        <v>143160000</v>
      </c>
      <c r="K11" s="24"/>
    </row>
    <row r="12" spans="1:11" x14ac:dyDescent="0.25">
      <c r="A12" s="22">
        <v>8121</v>
      </c>
      <c r="B12" s="29">
        <v>46097</v>
      </c>
      <c r="C12" s="23" t="s">
        <v>13</v>
      </c>
      <c r="D12" s="37" t="s">
        <v>504</v>
      </c>
      <c r="E12" s="23" t="s">
        <v>801</v>
      </c>
      <c r="F12" s="31">
        <v>1622</v>
      </c>
      <c r="G12" s="31">
        <v>10000</v>
      </c>
      <c r="H12" s="31">
        <f>A_Du_ND[[#This Row],[ĐƠN GIÁ]]*A_Du_ND[[#This Row],[SỐ LƯỢNG]]</f>
        <v>16220000</v>
      </c>
      <c r="I12" s="31"/>
      <c r="J12" s="31">
        <f>J11+A_Du_ND[[#This Row],[THÀNH TIỀN]]-A_Du_ND[[#This Row],[THANH TOÁN]]</f>
        <v>159380000</v>
      </c>
      <c r="K12" s="24"/>
    </row>
    <row r="13" spans="1:11" x14ac:dyDescent="0.25">
      <c r="A13" s="25"/>
      <c r="B13" s="30">
        <v>46098</v>
      </c>
      <c r="C13" s="26" t="s">
        <v>21</v>
      </c>
      <c r="D13" s="38" t="s">
        <v>22</v>
      </c>
      <c r="E13" s="26" t="s">
        <v>727</v>
      </c>
      <c r="F13" s="28">
        <v>0</v>
      </c>
      <c r="G13" s="28">
        <v>0</v>
      </c>
      <c r="H13" s="28">
        <f>A_Du_ND[[#This Row],[ĐƠN GIÁ]]*A_Du_ND[[#This Row],[SỐ LƯỢNG]]</f>
        <v>0</v>
      </c>
      <c r="I13" s="28">
        <v>159380000</v>
      </c>
      <c r="J13" s="28">
        <f>J12+A_Du_ND[[#This Row],[THÀNH TIỀN]]-A_Du_ND[[#This Row],[THANH TOÁN]]</f>
        <v>0</v>
      </c>
      <c r="K13" s="27"/>
    </row>
    <row r="14" spans="1:11" x14ac:dyDescent="0.25">
      <c r="A14" s="22">
        <v>9073</v>
      </c>
      <c r="B14" s="29">
        <v>46140</v>
      </c>
      <c r="C14" s="23" t="s">
        <v>13</v>
      </c>
      <c r="D14" s="37" t="s">
        <v>17</v>
      </c>
      <c r="E14" s="23" t="s">
        <v>78</v>
      </c>
      <c r="F14" s="31">
        <v>828</v>
      </c>
      <c r="G14" s="31">
        <v>66000</v>
      </c>
      <c r="H14" s="31">
        <f>A_Du_ND[[#This Row],[ĐƠN GIÁ]]*A_Du_ND[[#This Row],[SỐ LƯỢNG]]</f>
        <v>54648000</v>
      </c>
      <c r="I14" s="31"/>
      <c r="J14" s="31">
        <f>J13+A_Du_ND[[#This Row],[THÀNH TIỀN]]-A_Du_ND[[#This Row],[THANH TOÁN]]</f>
        <v>54648000</v>
      </c>
      <c r="K14" s="24"/>
    </row>
    <row r="15" spans="1:11" x14ac:dyDescent="0.25">
      <c r="A15" s="22"/>
      <c r="B15" s="29">
        <v>46148</v>
      </c>
      <c r="C15" s="23" t="s">
        <v>21</v>
      </c>
      <c r="D15" s="37" t="s">
        <v>22</v>
      </c>
      <c r="E15" s="23" t="s">
        <v>261</v>
      </c>
      <c r="F15" s="31">
        <v>0</v>
      </c>
      <c r="G15" s="31"/>
      <c r="H15" s="31">
        <f>A_Du_ND[[#This Row],[ĐƠN GIÁ]]*A_Du_ND[[#This Row],[SỐ LƯỢNG]]</f>
        <v>0</v>
      </c>
      <c r="I15" s="31">
        <v>54648000</v>
      </c>
      <c r="J15" s="31">
        <f>J14+A_Du_ND[[#This Row],[THÀNH TIỀN]]-A_Du_ND[[#This Row],[THANH TOÁN]]</f>
        <v>0</v>
      </c>
      <c r="K15" s="24"/>
    </row>
    <row r="16" spans="1:11" x14ac:dyDescent="0.25">
      <c r="A16" s="22">
        <v>9341</v>
      </c>
      <c r="B16" s="29">
        <v>46154</v>
      </c>
      <c r="C16" s="23" t="s">
        <v>13</v>
      </c>
      <c r="D16" s="37" t="s">
        <v>2059</v>
      </c>
      <c r="E16" s="23"/>
      <c r="F16" s="31">
        <v>12901</v>
      </c>
      <c r="G16" s="31">
        <v>26000</v>
      </c>
      <c r="H16" s="31">
        <f>A_Du_ND[[#This Row],[ĐƠN GIÁ]]*A_Du_ND[[#This Row],[SỐ LƯỢNG]]</f>
        <v>335426000</v>
      </c>
      <c r="I16" s="31"/>
      <c r="J16" s="31">
        <f>J15+A_Du_ND[[#This Row],[THÀNH TIỀN]]-A_Du_ND[[#This Row],[THANH TOÁN]]</f>
        <v>335426000</v>
      </c>
      <c r="K16" s="24">
        <v>12874</v>
      </c>
    </row>
    <row r="17" spans="1:11" x14ac:dyDescent="0.25">
      <c r="A17" s="22">
        <v>9373</v>
      </c>
      <c r="B17" s="29">
        <v>46156</v>
      </c>
      <c r="C17" s="23" t="s">
        <v>13</v>
      </c>
      <c r="D17" s="37" t="s">
        <v>2098</v>
      </c>
      <c r="E17" s="23"/>
      <c r="F17" s="31">
        <v>380</v>
      </c>
      <c r="G17" s="31">
        <v>10000</v>
      </c>
      <c r="H17" s="31">
        <f>A_Du_ND[[#This Row],[ĐƠN GIÁ]]*A_Du_ND[[#This Row],[SỐ LƯỢNG]]</f>
        <v>3800000</v>
      </c>
      <c r="I17" s="31"/>
      <c r="J17" s="31">
        <f>J16+A_Du_ND[[#This Row],[THÀNH TIỀN]]-A_Du_ND[[#This Row],[THANH TOÁN]]</f>
        <v>339226000</v>
      </c>
      <c r="K17" s="24"/>
    </row>
    <row r="18" spans="1:11" x14ac:dyDescent="0.25">
      <c r="A18" s="22">
        <v>9373</v>
      </c>
      <c r="B18" s="29">
        <v>46156</v>
      </c>
      <c r="C18" s="23" t="s">
        <v>13</v>
      </c>
      <c r="D18" s="37" t="s">
        <v>2099</v>
      </c>
      <c r="E18" s="23"/>
      <c r="F18" s="31">
        <v>16626</v>
      </c>
      <c r="G18" s="31">
        <v>12000</v>
      </c>
      <c r="H18" s="31">
        <f>A_Du_ND[[#This Row],[ĐƠN GIÁ]]*A_Du_ND[[#This Row],[SỐ LƯỢNG]]</f>
        <v>199512000</v>
      </c>
      <c r="I18" s="31"/>
      <c r="J18" s="31">
        <f>J17+A_Du_ND[[#This Row],[THÀNH TIỀN]]-A_Du_ND[[#This Row],[THANH TOÁN]]</f>
        <v>538738000</v>
      </c>
      <c r="K18" s="24"/>
    </row>
    <row r="19" spans="1:11" x14ac:dyDescent="0.25">
      <c r="A19" s="22">
        <v>9373</v>
      </c>
      <c r="B19" s="29">
        <v>46156</v>
      </c>
      <c r="C19" s="23" t="s">
        <v>13</v>
      </c>
      <c r="D19" s="37" t="s">
        <v>2059</v>
      </c>
      <c r="E19" s="23"/>
      <c r="F19" s="31">
        <v>2759</v>
      </c>
      <c r="G19" s="31">
        <v>26000</v>
      </c>
      <c r="H19" s="31">
        <f>A_Du_ND[[#This Row],[ĐƠN GIÁ]]*A_Du_ND[[#This Row],[SỐ LƯỢNG]]</f>
        <v>71734000</v>
      </c>
      <c r="I19" s="31"/>
      <c r="J19" s="31">
        <f>J18+A_Du_ND[[#This Row],[THÀNH TIỀN]]-A_Du_ND[[#This Row],[THANH TOÁN]]</f>
        <v>610472000</v>
      </c>
      <c r="K19" s="24"/>
    </row>
    <row r="20" spans="1:11" x14ac:dyDescent="0.25">
      <c r="A20" s="22">
        <v>9465</v>
      </c>
      <c r="B20" s="29">
        <v>46160</v>
      </c>
      <c r="C20" s="23" t="s">
        <v>13</v>
      </c>
      <c r="D20" s="37" t="s">
        <v>17</v>
      </c>
      <c r="E20" s="23" t="s">
        <v>953</v>
      </c>
      <c r="F20" s="31">
        <v>772</v>
      </c>
      <c r="G20" s="31">
        <v>63500</v>
      </c>
      <c r="H20" s="31">
        <f>A_Du_ND[[#This Row],[ĐƠN GIÁ]]*A_Du_ND[[#This Row],[SỐ LƯỢNG]]</f>
        <v>49022000</v>
      </c>
      <c r="I20" s="31"/>
      <c r="J20" s="31">
        <f>J19+A_Du_ND[[#This Row],[THÀNH TIỀN]]-A_Du_ND[[#This Row],[THANH TOÁN]]</f>
        <v>659494000</v>
      </c>
      <c r="K20" s="24"/>
    </row>
    <row r="21" spans="1:11" x14ac:dyDescent="0.25">
      <c r="A21" s="22"/>
      <c r="B21" s="29">
        <v>46160</v>
      </c>
      <c r="C21" s="23" t="s">
        <v>21</v>
      </c>
      <c r="D21" s="37" t="s">
        <v>2157</v>
      </c>
      <c r="E21" s="23"/>
      <c r="F21" s="31">
        <v>0</v>
      </c>
      <c r="G21" s="31"/>
      <c r="H21" s="31">
        <f>A_Du_ND[[#This Row],[ĐƠN GIÁ]]*A_Du_ND[[#This Row],[SỐ LƯỢNG]]</f>
        <v>0</v>
      </c>
      <c r="I21" s="31">
        <v>533850000</v>
      </c>
      <c r="J21" s="31">
        <f>J20+A_Du_ND[[#This Row],[THÀNH TIỀN]]-A_Du_ND[[#This Row],[THANH TOÁN]]</f>
        <v>125644000</v>
      </c>
      <c r="K21" s="24"/>
    </row>
    <row r="22" spans="1:11" x14ac:dyDescent="0.25">
      <c r="A22" s="22"/>
      <c r="B22" s="29">
        <v>46155</v>
      </c>
      <c r="C22" s="23" t="s">
        <v>21</v>
      </c>
      <c r="D22" s="37" t="s">
        <v>22</v>
      </c>
      <c r="E22" s="23" t="s">
        <v>47</v>
      </c>
      <c r="F22" s="31">
        <v>0</v>
      </c>
      <c r="G22" s="31"/>
      <c r="H22" s="31">
        <f>A_Du_ND[[#This Row],[ĐƠN GIÁ]]*A_Du_ND[[#This Row],[SỐ LƯỢNG]]</f>
        <v>0</v>
      </c>
      <c r="I22" s="31">
        <v>75920000</v>
      </c>
      <c r="J22" s="31">
        <f>J21+A_Du_ND[[#This Row],[THÀNH TIỀN]]-A_Du_ND[[#This Row],[THANH TOÁN]]</f>
        <v>49724000</v>
      </c>
      <c r="K22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E540C-E029-4011-9A14-5A5BFD007205}">
  <sheetPr codeName="Sheet115"/>
  <dimension ref="A5:K13"/>
  <sheetViews>
    <sheetView workbookViewId="0">
      <selection activeCell="G23" sqref="G23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0</v>
      </c>
    </row>
    <row r="6" spans="1:11" ht="22.5" x14ac:dyDescent="0.25">
      <c r="D6" s="34" t="s">
        <v>1270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46023</v>
      </c>
      <c r="C10" s="23" t="s">
        <v>12</v>
      </c>
      <c r="D10" s="37"/>
      <c r="E10" s="23"/>
      <c r="F10" s="31"/>
      <c r="G10" s="31"/>
      <c r="H10" s="31">
        <f>Cty_Giang_Phuong[[#This Row],[ĐƠN GIÁ]]*Cty_Giang_Phuong[[#This Row],[SỐ LƯỢNG]]</f>
        <v>0</v>
      </c>
      <c r="I10" s="31"/>
      <c r="J10" s="31">
        <v>0</v>
      </c>
      <c r="K10" s="24"/>
    </row>
    <row r="11" spans="1:11" x14ac:dyDescent="0.25">
      <c r="A11" s="22">
        <v>8133</v>
      </c>
      <c r="B11" s="29">
        <v>46097</v>
      </c>
      <c r="C11" s="23" t="s">
        <v>49</v>
      </c>
      <c r="D11" s="37" t="s">
        <v>317</v>
      </c>
      <c r="E11" s="23" t="s">
        <v>1271</v>
      </c>
      <c r="F11" s="31">
        <v>46</v>
      </c>
      <c r="G11" s="31"/>
      <c r="H11" s="31">
        <f>Cty_Giang_Phuong[[#This Row],[ĐƠN GIÁ]]*Cty_Giang_Phuong[[#This Row],[SỐ LƯỢNG]]</f>
        <v>0</v>
      </c>
      <c r="I11" s="31"/>
      <c r="J11" s="31">
        <f>J10+Cty_Giang_Phuong[[#This Row],[THÀNH TIỀN]]-Cty_Giang_Phuong[[#This Row],[THANH TOÁN]]</f>
        <v>0</v>
      </c>
      <c r="K11" s="24"/>
    </row>
    <row r="12" spans="1:11" x14ac:dyDescent="0.25">
      <c r="A12" s="22">
        <v>8839</v>
      </c>
      <c r="B12" s="29">
        <v>46129</v>
      </c>
      <c r="C12" s="23" t="s">
        <v>49</v>
      </c>
      <c r="D12" s="37" t="s">
        <v>26</v>
      </c>
      <c r="E12" s="23" t="s">
        <v>1272</v>
      </c>
      <c r="F12" s="31">
        <v>512</v>
      </c>
      <c r="G12" s="31"/>
      <c r="H12" s="31">
        <f>Cty_Giang_Phuong[[#This Row],[ĐƠN GIÁ]]*Cty_Giang_Phuong[[#This Row],[SỐ LƯỢNG]]</f>
        <v>0</v>
      </c>
      <c r="I12" s="31"/>
      <c r="J12" s="31">
        <f>J11+Cty_Giang_Phuong[[#This Row],[THÀNH TIỀN]]-Cty_Giang_Phuong[[#This Row],[THANH TOÁN]]</f>
        <v>0</v>
      </c>
      <c r="K12" s="24" t="s">
        <v>1273</v>
      </c>
    </row>
    <row r="13" spans="1:11" x14ac:dyDescent="0.25">
      <c r="A13" s="25">
        <v>7070</v>
      </c>
      <c r="B13" s="30">
        <v>46031</v>
      </c>
      <c r="C13" s="26" t="s">
        <v>49</v>
      </c>
      <c r="D13" s="38" t="s">
        <v>54</v>
      </c>
      <c r="E13" s="26" t="s">
        <v>2400</v>
      </c>
      <c r="F13" s="28">
        <v>504</v>
      </c>
      <c r="G13" s="28"/>
      <c r="H13" s="28">
        <f>Cty_Giang_Phuong[[#This Row],[ĐƠN GIÁ]]*Cty_Giang_Phuong[[#This Row],[SỐ LƯỢNG]]</f>
        <v>0</v>
      </c>
      <c r="I13" s="28"/>
      <c r="J13" s="28">
        <f>J12+Cty_Giang_Phuong[[#This Row],[THÀNH TIỀN]]-Cty_Giang_Phuong[[#This Row],[THANH TOÁN]]</f>
        <v>0</v>
      </c>
      <c r="K13" s="27" t="s">
        <v>2401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5C148-3ADC-4644-BEA6-3B59D9A4BF3F}">
  <sheetPr codeName="Sheet116"/>
  <dimension ref="A5:K18"/>
  <sheetViews>
    <sheetView workbookViewId="0"/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27486000</v>
      </c>
    </row>
    <row r="6" spans="1:11" ht="22.5" x14ac:dyDescent="0.25">
      <c r="D6" s="34" t="s">
        <v>1274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C_Yen_Cty_Tan_Thanh[[#This Row],[ĐƠN GIÁ]]*C_Yen_Cty_Tan_Thanh[[#This Row],[SỐ LƯỢNG]]</f>
        <v>0</v>
      </c>
      <c r="I10" s="31"/>
      <c r="J10" s="31">
        <v>105742000</v>
      </c>
      <c r="K10" s="24"/>
    </row>
    <row r="11" spans="1:11" x14ac:dyDescent="0.25">
      <c r="A11" s="22">
        <v>8135</v>
      </c>
      <c r="B11" s="29">
        <v>46097</v>
      </c>
      <c r="C11" s="23" t="s">
        <v>13</v>
      </c>
      <c r="D11" s="37" t="s">
        <v>50</v>
      </c>
      <c r="E11" s="23" t="s">
        <v>1275</v>
      </c>
      <c r="F11" s="31">
        <v>274</v>
      </c>
      <c r="G11" s="31">
        <v>56500</v>
      </c>
      <c r="H11" s="31">
        <f>C_Yen_Cty_Tan_Thanh[[#This Row],[ĐƠN GIÁ]]*C_Yen_Cty_Tan_Thanh[[#This Row],[SỐ LƯỢNG]]</f>
        <v>15481000</v>
      </c>
      <c r="I11" s="31"/>
      <c r="J11" s="31">
        <f>J10+C_Yen_Cty_Tan_Thanh[[#This Row],[THÀNH TIỀN]]-C_Yen_Cty_Tan_Thanh[[#This Row],[THANH TOÁN]]</f>
        <v>121223000</v>
      </c>
      <c r="K11" s="24"/>
    </row>
    <row r="12" spans="1:11" x14ac:dyDescent="0.25">
      <c r="A12" s="22">
        <v>8135</v>
      </c>
      <c r="B12" s="29">
        <v>46097</v>
      </c>
      <c r="C12" s="23" t="s">
        <v>13</v>
      </c>
      <c r="D12" s="37" t="s">
        <v>50</v>
      </c>
      <c r="E12" s="23" t="s">
        <v>1276</v>
      </c>
      <c r="F12" s="31">
        <v>268</v>
      </c>
      <c r="G12" s="31">
        <v>56500</v>
      </c>
      <c r="H12" s="31">
        <f>C_Yen_Cty_Tan_Thanh[[#This Row],[ĐƠN GIÁ]]*C_Yen_Cty_Tan_Thanh[[#This Row],[SỐ LƯỢNG]]</f>
        <v>15142000</v>
      </c>
      <c r="I12" s="31"/>
      <c r="J12" s="31">
        <f>J11+C_Yen_Cty_Tan_Thanh[[#This Row],[THÀNH TIỀN]]-C_Yen_Cty_Tan_Thanh[[#This Row],[THANH TOÁN]]</f>
        <v>136365000</v>
      </c>
      <c r="K12" s="24"/>
    </row>
    <row r="13" spans="1:11" x14ac:dyDescent="0.25">
      <c r="A13" s="22">
        <v>8135</v>
      </c>
      <c r="B13" s="29">
        <v>46097</v>
      </c>
      <c r="C13" s="23" t="s">
        <v>13</v>
      </c>
      <c r="D13" s="37" t="s">
        <v>50</v>
      </c>
      <c r="E13" s="23" t="s">
        <v>148</v>
      </c>
      <c r="F13" s="31">
        <v>678</v>
      </c>
      <c r="G13" s="31">
        <v>56500</v>
      </c>
      <c r="H13" s="31">
        <f>C_Yen_Cty_Tan_Thanh[[#This Row],[ĐƠN GIÁ]]*C_Yen_Cty_Tan_Thanh[[#This Row],[SỐ LƯỢNG]]</f>
        <v>38307000</v>
      </c>
      <c r="I13" s="31"/>
      <c r="J13" s="31">
        <f>J12+C_Yen_Cty_Tan_Thanh[[#This Row],[THÀNH TIỀN]]-C_Yen_Cty_Tan_Thanh[[#This Row],[THANH TOÁN]]</f>
        <v>174672000</v>
      </c>
      <c r="K13" s="24"/>
    </row>
    <row r="14" spans="1:11" x14ac:dyDescent="0.25">
      <c r="A14" s="25">
        <v>8311</v>
      </c>
      <c r="B14" s="30">
        <v>46105</v>
      </c>
      <c r="C14" s="26" t="s">
        <v>13</v>
      </c>
      <c r="D14" s="38" t="s">
        <v>50</v>
      </c>
      <c r="E14" s="26" t="s">
        <v>111</v>
      </c>
      <c r="F14" s="28">
        <v>374</v>
      </c>
      <c r="G14" s="28">
        <v>61000</v>
      </c>
      <c r="H14" s="28">
        <f>C_Yen_Cty_Tan_Thanh[[#This Row],[ĐƠN GIÁ]]*C_Yen_Cty_Tan_Thanh[[#This Row],[SỐ LƯỢNG]]</f>
        <v>22814000</v>
      </c>
      <c r="I14" s="28"/>
      <c r="J14" s="28">
        <f>J13+C_Yen_Cty_Tan_Thanh[[#This Row],[THÀNH TIỀN]]-C_Yen_Cty_Tan_Thanh[[#This Row],[THANH TOÁN]]</f>
        <v>197486000</v>
      </c>
      <c r="K14" s="27"/>
    </row>
    <row r="15" spans="1:11" x14ac:dyDescent="0.25">
      <c r="A15" s="25"/>
      <c r="B15" s="30">
        <v>46094</v>
      </c>
      <c r="C15" s="26" t="s">
        <v>21</v>
      </c>
      <c r="D15" s="38" t="s">
        <v>1277</v>
      </c>
      <c r="E15" s="26" t="s">
        <v>83</v>
      </c>
      <c r="F15" s="28">
        <v>0</v>
      </c>
      <c r="G15" s="28">
        <v>0</v>
      </c>
      <c r="H15" s="28">
        <f>C_Yen_Cty_Tan_Thanh[[#This Row],[ĐƠN GIÁ]]*C_Yen_Cty_Tan_Thanh[[#This Row],[SỐ LƯỢNG]]</f>
        <v>0</v>
      </c>
      <c r="I15" s="28">
        <v>50000000</v>
      </c>
      <c r="J15" s="28">
        <f>J14+C_Yen_Cty_Tan_Thanh[[#This Row],[THÀNH TIỀN]]-C_Yen_Cty_Tan_Thanh[[#This Row],[THANH TOÁN]]</f>
        <v>147486000</v>
      </c>
      <c r="K15" s="27"/>
    </row>
    <row r="16" spans="1:11" x14ac:dyDescent="0.25">
      <c r="A16" s="25"/>
      <c r="B16" s="30">
        <v>46107</v>
      </c>
      <c r="C16" s="26" t="s">
        <v>21</v>
      </c>
      <c r="D16" s="38" t="s">
        <v>22</v>
      </c>
      <c r="E16" s="26" t="s">
        <v>261</v>
      </c>
      <c r="F16" s="28">
        <v>0</v>
      </c>
      <c r="G16" s="28">
        <v>0</v>
      </c>
      <c r="H16" s="28">
        <f>C_Yen_Cty_Tan_Thanh[[#This Row],[ĐƠN GIÁ]]*C_Yen_Cty_Tan_Thanh[[#This Row],[SỐ LƯỢNG]]</f>
        <v>0</v>
      </c>
      <c r="I16" s="28">
        <v>45000000</v>
      </c>
      <c r="J16" s="28">
        <f>J15+C_Yen_Cty_Tan_Thanh[[#This Row],[THÀNH TIỀN]]-C_Yen_Cty_Tan_Thanh[[#This Row],[THANH TOÁN]]</f>
        <v>102486000</v>
      </c>
      <c r="K16" s="27"/>
    </row>
    <row r="17" spans="1:11" x14ac:dyDescent="0.25">
      <c r="A17" s="22"/>
      <c r="B17" s="29">
        <v>46121</v>
      </c>
      <c r="C17" s="23" t="s">
        <v>21</v>
      </c>
      <c r="D17" s="37" t="s">
        <v>22</v>
      </c>
      <c r="E17" s="23" t="s">
        <v>261</v>
      </c>
      <c r="F17" s="31">
        <v>0</v>
      </c>
      <c r="G17" s="31"/>
      <c r="H17" s="31">
        <f>C_Yen_Cty_Tan_Thanh[[#This Row],[ĐƠN GIÁ]]*C_Yen_Cty_Tan_Thanh[[#This Row],[SỐ LƯỢNG]]</f>
        <v>0</v>
      </c>
      <c r="I17" s="31">
        <v>35000000</v>
      </c>
      <c r="J17" s="31">
        <f>J16+C_Yen_Cty_Tan_Thanh[[#This Row],[THÀNH TIỀN]]-C_Yen_Cty_Tan_Thanh[[#This Row],[THANH TOÁN]]</f>
        <v>67486000</v>
      </c>
      <c r="K17" s="24"/>
    </row>
    <row r="18" spans="1:11" x14ac:dyDescent="0.25">
      <c r="A18" s="22"/>
      <c r="B18" s="29">
        <v>46141</v>
      </c>
      <c r="C18" s="23" t="s">
        <v>21</v>
      </c>
      <c r="D18" s="37" t="s">
        <v>22</v>
      </c>
      <c r="E18" s="23" t="s">
        <v>261</v>
      </c>
      <c r="F18" s="31">
        <v>0</v>
      </c>
      <c r="G18" s="31"/>
      <c r="H18" s="31">
        <f>C_Yen_Cty_Tan_Thanh[[#This Row],[ĐƠN GIÁ]]*C_Yen_Cty_Tan_Thanh[[#This Row],[SỐ LƯỢNG]]</f>
        <v>0</v>
      </c>
      <c r="I18" s="31">
        <v>40000000</v>
      </c>
      <c r="J18" s="31">
        <f>J17+C_Yen_Cty_Tan_Thanh[[#This Row],[THÀNH TIỀN]]-C_Yen_Cty_Tan_Thanh[[#This Row],[THANH TOÁN]]</f>
        <v>27486000</v>
      </c>
      <c r="K18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27148-246A-4314-AD8E-F58593F7A3B5}">
  <sheetPr codeName="Sheet117"/>
  <dimension ref="A5:K66"/>
  <sheetViews>
    <sheetView topLeftCell="A32" workbookViewId="0">
      <selection activeCell="B60" sqref="B60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-1201050400</v>
      </c>
    </row>
    <row r="6" spans="1:11" ht="22.5" x14ac:dyDescent="0.25">
      <c r="D6" s="34" t="s">
        <v>1278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Cty_XNK_Thinh_Phat[[#This Row],[ĐƠN GIÁ]]*Cty_XNK_Thinh_Phat[[#This Row],[SỐ LƯỢNG]]</f>
        <v>0</v>
      </c>
      <c r="I10" s="31"/>
      <c r="J10" s="31">
        <v>-637514000</v>
      </c>
      <c r="K10" s="24">
        <v>-637514000</v>
      </c>
    </row>
    <row r="11" spans="1:11" x14ac:dyDescent="0.25">
      <c r="A11" s="22">
        <v>8637</v>
      </c>
      <c r="B11" s="29">
        <v>46083</v>
      </c>
      <c r="C11" s="23" t="s">
        <v>692</v>
      </c>
      <c r="D11" s="37" t="s">
        <v>54</v>
      </c>
      <c r="E11" s="68" t="s">
        <v>1279</v>
      </c>
      <c r="F11" s="31">
        <v>444</v>
      </c>
      <c r="G11" s="31">
        <v>-33000</v>
      </c>
      <c r="H11" s="31">
        <f>Cty_XNK_Thinh_Phat[[#This Row],[ĐƠN GIÁ]]*Cty_XNK_Thinh_Phat[[#This Row],[SỐ LƯỢNG]]</f>
        <v>-14652000</v>
      </c>
      <c r="I11" s="31"/>
      <c r="J11" s="31">
        <f>J10+Cty_XNK_Thinh_Phat[[#This Row],[THÀNH TIỀN]]-Cty_XNK_Thinh_Phat[[#This Row],[THANH TOÁN]]</f>
        <v>-652166000</v>
      </c>
      <c r="K11" s="24"/>
    </row>
    <row r="12" spans="1:11" x14ac:dyDescent="0.25">
      <c r="A12" s="22">
        <v>8649</v>
      </c>
      <c r="B12" s="29">
        <v>46085</v>
      </c>
      <c r="C12" s="23" t="s">
        <v>692</v>
      </c>
      <c r="D12" s="37" t="s">
        <v>54</v>
      </c>
      <c r="E12" s="23" t="s">
        <v>1280</v>
      </c>
      <c r="F12" s="31">
        <v>120</v>
      </c>
      <c r="G12" s="31">
        <v>-33000</v>
      </c>
      <c r="H12" s="31">
        <f>Cty_XNK_Thinh_Phat[[#This Row],[ĐƠN GIÁ]]*Cty_XNK_Thinh_Phat[[#This Row],[SỐ LƯỢNG]]</f>
        <v>-3960000</v>
      </c>
      <c r="I12" s="31"/>
      <c r="J12" s="31">
        <f>J11+Cty_XNK_Thinh_Phat[[#This Row],[THÀNH TIỀN]]-Cty_XNK_Thinh_Phat[[#This Row],[THANH TOÁN]]</f>
        <v>-656126000</v>
      </c>
      <c r="K12" s="24"/>
    </row>
    <row r="13" spans="1:11" x14ac:dyDescent="0.25">
      <c r="A13" s="25">
        <v>8657</v>
      </c>
      <c r="B13" s="30">
        <v>46085</v>
      </c>
      <c r="C13" s="26" t="s">
        <v>692</v>
      </c>
      <c r="D13" s="38" t="s">
        <v>26</v>
      </c>
      <c r="E13" s="26" t="s">
        <v>1281</v>
      </c>
      <c r="F13" s="28">
        <v>556</v>
      </c>
      <c r="G13" s="28">
        <v>-33000</v>
      </c>
      <c r="H13" s="28">
        <f>Cty_XNK_Thinh_Phat[[#This Row],[ĐƠN GIÁ]]*Cty_XNK_Thinh_Phat[[#This Row],[SỐ LƯỢNG]]</f>
        <v>-18348000</v>
      </c>
      <c r="I13" s="28"/>
      <c r="J13" s="28">
        <f>J12+Cty_XNK_Thinh_Phat[[#This Row],[THÀNH TIỀN]]-Cty_XNK_Thinh_Phat[[#This Row],[THANH TOÁN]]</f>
        <v>-674474000</v>
      </c>
      <c r="K13" s="27"/>
    </row>
    <row r="14" spans="1:11" x14ac:dyDescent="0.25">
      <c r="A14" s="25">
        <v>8664</v>
      </c>
      <c r="B14" s="30">
        <v>46086</v>
      </c>
      <c r="C14" s="23" t="s">
        <v>692</v>
      </c>
      <c r="D14" s="37" t="s">
        <v>26</v>
      </c>
      <c r="E14" s="23" t="s">
        <v>254</v>
      </c>
      <c r="F14" s="31">
        <v>820</v>
      </c>
      <c r="G14" s="31">
        <v>-33000</v>
      </c>
      <c r="H14" s="31">
        <f>Cty_XNK_Thinh_Phat[[#This Row],[ĐƠN GIÁ]]*Cty_XNK_Thinh_Phat[[#This Row],[SỐ LƯỢNG]]</f>
        <v>-27060000</v>
      </c>
      <c r="I14" s="31"/>
      <c r="J14" s="31">
        <f>J13+Cty_XNK_Thinh_Phat[[#This Row],[THÀNH TIỀN]]-Cty_XNK_Thinh_Phat[[#This Row],[THANH TOÁN]]</f>
        <v>-701534000</v>
      </c>
      <c r="K14" s="24"/>
    </row>
    <row r="15" spans="1:11" x14ac:dyDescent="0.25">
      <c r="A15" s="25"/>
      <c r="B15" s="30">
        <v>46088</v>
      </c>
      <c r="C15" s="26" t="s">
        <v>2214</v>
      </c>
      <c r="D15" s="38" t="s">
        <v>22</v>
      </c>
      <c r="E15" s="26" t="s">
        <v>83</v>
      </c>
      <c r="F15" s="28">
        <v>0</v>
      </c>
      <c r="G15" s="28"/>
      <c r="H15" s="28">
        <f>Cty_XNK_Thinh_Phat[[#This Row],[ĐƠN GIÁ]]*Cty_XNK_Thinh_Phat[[#This Row],[SỐ LƯỢNG]]</f>
        <v>0</v>
      </c>
      <c r="I15" s="28">
        <v>-100000000</v>
      </c>
      <c r="J15" s="28">
        <f>J14+Cty_XNK_Thinh_Phat[[#This Row],[THÀNH TIỀN]]-Cty_XNK_Thinh_Phat[[#This Row],[THANH TOÁN]]</f>
        <v>-601534000</v>
      </c>
      <c r="K15" s="27"/>
    </row>
    <row r="16" spans="1:11" x14ac:dyDescent="0.25">
      <c r="A16" s="25">
        <v>8689</v>
      </c>
      <c r="B16" s="30">
        <v>46090</v>
      </c>
      <c r="C16" s="26" t="s">
        <v>692</v>
      </c>
      <c r="D16" s="38" t="s">
        <v>54</v>
      </c>
      <c r="E16" s="23" t="s">
        <v>1282</v>
      </c>
      <c r="F16" s="31">
        <v>826</v>
      </c>
      <c r="G16" s="31">
        <v>-33000</v>
      </c>
      <c r="H16" s="31">
        <f>Cty_XNK_Thinh_Phat[[#This Row],[ĐƠN GIÁ]]*Cty_XNK_Thinh_Phat[[#This Row],[SỐ LƯỢNG]]</f>
        <v>-27258000</v>
      </c>
      <c r="I16" s="31"/>
      <c r="J16" s="31">
        <f>J15+Cty_XNK_Thinh_Phat[[#This Row],[THÀNH TIỀN]]-Cty_XNK_Thinh_Phat[[#This Row],[THANH TOÁN]]</f>
        <v>-628792000</v>
      </c>
      <c r="K16" s="24"/>
    </row>
    <row r="17" spans="1:11" x14ac:dyDescent="0.25">
      <c r="A17" s="25">
        <v>8709</v>
      </c>
      <c r="B17" s="30">
        <v>46092</v>
      </c>
      <c r="C17" s="26" t="s">
        <v>692</v>
      </c>
      <c r="D17" s="38" t="s">
        <v>135</v>
      </c>
      <c r="E17" s="23" t="s">
        <v>148</v>
      </c>
      <c r="F17" s="31">
        <v>5318</v>
      </c>
      <c r="G17" s="31">
        <v>-37000</v>
      </c>
      <c r="H17" s="31">
        <f>Cty_XNK_Thinh_Phat[[#This Row],[ĐƠN GIÁ]]*Cty_XNK_Thinh_Phat[[#This Row],[SỐ LƯỢNG]]</f>
        <v>-196766000</v>
      </c>
      <c r="I17" s="31"/>
      <c r="J17" s="31">
        <f>J16+Cty_XNK_Thinh_Phat[[#This Row],[THÀNH TIỀN]]-Cty_XNK_Thinh_Phat[[#This Row],[THANH TOÁN]]</f>
        <v>-825558000</v>
      </c>
      <c r="K17" s="24"/>
    </row>
    <row r="18" spans="1:11" x14ac:dyDescent="0.25">
      <c r="A18" s="25">
        <v>8722</v>
      </c>
      <c r="B18" s="30">
        <v>46094</v>
      </c>
      <c r="C18" s="26" t="s">
        <v>692</v>
      </c>
      <c r="D18" s="38" t="s">
        <v>26</v>
      </c>
      <c r="E18" s="26" t="s">
        <v>1283</v>
      </c>
      <c r="F18" s="28">
        <v>1557</v>
      </c>
      <c r="G18" s="28">
        <v>-34000</v>
      </c>
      <c r="H18" s="28">
        <f>Cty_XNK_Thinh_Phat[[#This Row],[ĐƠN GIÁ]]*Cty_XNK_Thinh_Phat[[#This Row],[SỐ LƯỢNG]]</f>
        <v>-52938000</v>
      </c>
      <c r="I18" s="28"/>
      <c r="J18" s="28">
        <f>J17+Cty_XNK_Thinh_Phat[[#This Row],[THÀNH TIỀN]]-Cty_XNK_Thinh_Phat[[#This Row],[THANH TOÁN]]</f>
        <v>-878496000</v>
      </c>
      <c r="K18" s="27"/>
    </row>
    <row r="19" spans="1:11" ht="47.25" x14ac:dyDescent="0.25">
      <c r="A19" s="25">
        <v>8722</v>
      </c>
      <c r="B19" s="30">
        <v>46094</v>
      </c>
      <c r="C19" s="26" t="s">
        <v>692</v>
      </c>
      <c r="D19" s="38" t="s">
        <v>103</v>
      </c>
      <c r="E19" s="67" t="s">
        <v>1284</v>
      </c>
      <c r="F19" s="28">
        <v>493</v>
      </c>
      <c r="G19" s="28">
        <v>-37000</v>
      </c>
      <c r="H19" s="28">
        <f>Cty_XNK_Thinh_Phat[[#This Row],[ĐƠN GIÁ]]*Cty_XNK_Thinh_Phat[[#This Row],[SỐ LƯỢNG]]</f>
        <v>-18241000</v>
      </c>
      <c r="I19" s="28"/>
      <c r="J19" s="28">
        <f>J18+Cty_XNK_Thinh_Phat[[#This Row],[THÀNH TIỀN]]-Cty_XNK_Thinh_Phat[[#This Row],[THANH TOÁN]]</f>
        <v>-896737000</v>
      </c>
      <c r="K19" s="27"/>
    </row>
    <row r="20" spans="1:11" x14ac:dyDescent="0.25">
      <c r="A20" s="25"/>
      <c r="B20" s="30">
        <v>46094</v>
      </c>
      <c r="C20" s="26" t="s">
        <v>2214</v>
      </c>
      <c r="D20" s="38" t="s">
        <v>22</v>
      </c>
      <c r="E20" s="26" t="s">
        <v>83</v>
      </c>
      <c r="F20" s="28">
        <v>0</v>
      </c>
      <c r="G20" s="28"/>
      <c r="H20" s="28">
        <f>Cty_XNK_Thinh_Phat[[#This Row],[ĐƠN GIÁ]]*Cty_XNK_Thinh_Phat[[#This Row],[SỐ LƯỢNG]]</f>
        <v>0</v>
      </c>
      <c r="I20" s="28">
        <v>-100000000</v>
      </c>
      <c r="J20" s="28">
        <f>J19+Cty_XNK_Thinh_Phat[[#This Row],[THÀNH TIỀN]]-Cty_XNK_Thinh_Phat[[#This Row],[THANH TOÁN]]</f>
        <v>-796737000</v>
      </c>
      <c r="K20" s="27"/>
    </row>
    <row r="21" spans="1:11" x14ac:dyDescent="0.25">
      <c r="A21" s="25">
        <v>8142</v>
      </c>
      <c r="B21" s="30">
        <v>46098</v>
      </c>
      <c r="C21" s="26" t="s">
        <v>13</v>
      </c>
      <c r="D21" s="38" t="s">
        <v>17</v>
      </c>
      <c r="E21" s="26" t="s">
        <v>40</v>
      </c>
      <c r="F21" s="28">
        <f>104+94+106+104+90</f>
        <v>498</v>
      </c>
      <c r="G21" s="28">
        <v>64000</v>
      </c>
      <c r="H21" s="28">
        <f>Cty_XNK_Thinh_Phat[[#This Row],[ĐƠN GIÁ]]*Cty_XNK_Thinh_Phat[[#This Row],[SỐ LƯỢNG]]</f>
        <v>31872000</v>
      </c>
      <c r="I21" s="28"/>
      <c r="J21" s="28">
        <f>J20+Cty_XNK_Thinh_Phat[[#This Row],[THÀNH TIỀN]]-Cty_XNK_Thinh_Phat[[#This Row],[THANH TOÁN]]</f>
        <v>-764865000</v>
      </c>
      <c r="K21" s="27"/>
    </row>
    <row r="22" spans="1:11" ht="31.5" x14ac:dyDescent="0.25">
      <c r="A22" s="25">
        <v>8762</v>
      </c>
      <c r="B22" s="30">
        <v>46098</v>
      </c>
      <c r="C22" s="26" t="s">
        <v>692</v>
      </c>
      <c r="D22" s="38" t="s">
        <v>68</v>
      </c>
      <c r="E22" s="67" t="s">
        <v>1285</v>
      </c>
      <c r="F22" s="28">
        <v>113</v>
      </c>
      <c r="G22" s="28">
        <v>-41000</v>
      </c>
      <c r="H22" s="28">
        <f>Cty_XNK_Thinh_Phat[[#This Row],[ĐƠN GIÁ]]*Cty_XNK_Thinh_Phat[[#This Row],[SỐ LƯỢNG]]</f>
        <v>-4633000</v>
      </c>
      <c r="I22" s="28"/>
      <c r="J22" s="28">
        <f>J21+Cty_XNK_Thinh_Phat[[#This Row],[THÀNH TIỀN]]-Cty_XNK_Thinh_Phat[[#This Row],[THANH TOÁN]]</f>
        <v>-769498000</v>
      </c>
      <c r="K22" s="27"/>
    </row>
    <row r="23" spans="1:11" x14ac:dyDescent="0.25">
      <c r="A23" s="25">
        <v>8762</v>
      </c>
      <c r="B23" s="30">
        <v>46098</v>
      </c>
      <c r="C23" s="26" t="s">
        <v>692</v>
      </c>
      <c r="D23" s="38" t="s">
        <v>68</v>
      </c>
      <c r="E23" s="26" t="s">
        <v>116</v>
      </c>
      <c r="F23" s="28">
        <v>690</v>
      </c>
      <c r="G23" s="28">
        <v>-41000</v>
      </c>
      <c r="H23" s="28">
        <f>Cty_XNK_Thinh_Phat[[#This Row],[ĐƠN GIÁ]]*Cty_XNK_Thinh_Phat[[#This Row],[SỐ LƯỢNG]]</f>
        <v>-28290000</v>
      </c>
      <c r="I23" s="28"/>
      <c r="J23" s="28">
        <f>J22+Cty_XNK_Thinh_Phat[[#This Row],[THÀNH TIỀN]]-Cty_XNK_Thinh_Phat[[#This Row],[THANH TOÁN]]</f>
        <v>-797788000</v>
      </c>
      <c r="K23" s="27"/>
    </row>
    <row r="24" spans="1:11" x14ac:dyDescent="0.25">
      <c r="A24" s="25">
        <v>8265</v>
      </c>
      <c r="B24" s="30">
        <v>46100</v>
      </c>
      <c r="C24" s="26" t="s">
        <v>13</v>
      </c>
      <c r="D24" s="38" t="s">
        <v>17</v>
      </c>
      <c r="E24" s="26" t="s">
        <v>482</v>
      </c>
      <c r="F24" s="28">
        <v>4361</v>
      </c>
      <c r="G24" s="28">
        <v>63500</v>
      </c>
      <c r="H24" s="28">
        <f>Cty_XNK_Thinh_Phat[[#This Row],[ĐƠN GIÁ]]*Cty_XNK_Thinh_Phat[[#This Row],[SỐ LƯỢNG]]</f>
        <v>276923500</v>
      </c>
      <c r="I24" s="28"/>
      <c r="J24" s="28">
        <f>J23+Cty_XNK_Thinh_Phat[[#This Row],[THÀNH TIỀN]]-Cty_XNK_Thinh_Phat[[#This Row],[THANH TOÁN]]</f>
        <v>-520864500</v>
      </c>
      <c r="K24" s="27"/>
    </row>
    <row r="25" spans="1:11" x14ac:dyDescent="0.25">
      <c r="A25" s="25">
        <v>8790</v>
      </c>
      <c r="B25" s="30">
        <v>46100</v>
      </c>
      <c r="C25" s="26" t="s">
        <v>692</v>
      </c>
      <c r="D25" s="37" t="s">
        <v>192</v>
      </c>
      <c r="E25" s="23" t="s">
        <v>1283</v>
      </c>
      <c r="F25" s="31">
        <v>5341</v>
      </c>
      <c r="G25" s="31">
        <v>-34000</v>
      </c>
      <c r="H25" s="31">
        <f>Cty_XNK_Thinh_Phat[[#This Row],[ĐƠN GIÁ]]*Cty_XNK_Thinh_Phat[[#This Row],[SỐ LƯỢNG]]</f>
        <v>-181594000</v>
      </c>
      <c r="I25" s="31"/>
      <c r="J25" s="31">
        <f>J24+Cty_XNK_Thinh_Phat[[#This Row],[THÀNH TIỀN]]-Cty_XNK_Thinh_Phat[[#This Row],[THANH TOÁN]]</f>
        <v>-702458500</v>
      </c>
      <c r="K25" s="24"/>
    </row>
    <row r="26" spans="1:11" x14ac:dyDescent="0.25">
      <c r="A26" s="25"/>
      <c r="B26" s="30">
        <v>46101</v>
      </c>
      <c r="C26" s="26" t="s">
        <v>2214</v>
      </c>
      <c r="D26" s="38" t="s">
        <v>22</v>
      </c>
      <c r="E26" s="26" t="s">
        <v>147</v>
      </c>
      <c r="F26" s="28">
        <v>0</v>
      </c>
      <c r="G26" s="28"/>
      <c r="H26" s="28">
        <f>Cty_XNK_Thinh_Phat[[#This Row],[ĐƠN GIÁ]]*Cty_XNK_Thinh_Phat[[#This Row],[SỐ LƯỢNG]]</f>
        <v>0</v>
      </c>
      <c r="I26" s="28">
        <v>-100000000</v>
      </c>
      <c r="J26" s="28">
        <f>J25+Cty_XNK_Thinh_Phat[[#This Row],[THÀNH TIỀN]]-Cty_XNK_Thinh_Phat[[#This Row],[THANH TOÁN]]</f>
        <v>-602458500</v>
      </c>
      <c r="K26" s="27"/>
    </row>
    <row r="27" spans="1:11" x14ac:dyDescent="0.25">
      <c r="A27" s="25">
        <v>8296</v>
      </c>
      <c r="B27" s="30">
        <v>46102</v>
      </c>
      <c r="C27" s="26" t="s">
        <v>13</v>
      </c>
      <c r="D27" s="37" t="s">
        <v>17</v>
      </c>
      <c r="E27" s="23" t="s">
        <v>78</v>
      </c>
      <c r="F27" s="31">
        <v>313</v>
      </c>
      <c r="G27" s="31">
        <v>63500</v>
      </c>
      <c r="H27" s="31">
        <f>Cty_XNK_Thinh_Phat[[#This Row],[ĐƠN GIÁ]]*Cty_XNK_Thinh_Phat[[#This Row],[SỐ LƯỢNG]]</f>
        <v>19875500</v>
      </c>
      <c r="I27" s="31"/>
      <c r="J27" s="31">
        <f>J26+Cty_XNK_Thinh_Phat[[#This Row],[THÀNH TIỀN]]-Cty_XNK_Thinh_Phat[[#This Row],[THANH TOÁN]]</f>
        <v>-582583000</v>
      </c>
      <c r="K27" s="24"/>
    </row>
    <row r="28" spans="1:11" x14ac:dyDescent="0.25">
      <c r="A28" s="25">
        <v>8296</v>
      </c>
      <c r="B28" s="30">
        <v>46102</v>
      </c>
      <c r="C28" s="26" t="s">
        <v>1354</v>
      </c>
      <c r="D28" s="38" t="s">
        <v>26</v>
      </c>
      <c r="E28" s="26" t="s">
        <v>148</v>
      </c>
      <c r="F28" s="28">
        <v>2670</v>
      </c>
      <c r="G28" s="28">
        <v>34000</v>
      </c>
      <c r="H28" s="28">
        <f>Cty_XNK_Thinh_Phat[[#This Row],[ĐƠN GIÁ]]*Cty_XNK_Thinh_Phat[[#This Row],[SỐ LƯỢNG]]</f>
        <v>90780000</v>
      </c>
      <c r="I28" s="28"/>
      <c r="J28" s="28">
        <f>J27+Cty_XNK_Thinh_Phat[[#This Row],[THÀNH TIỀN]]-Cty_XNK_Thinh_Phat[[#This Row],[THANH TOÁN]]</f>
        <v>-491803000</v>
      </c>
      <c r="K28" s="27"/>
    </row>
    <row r="29" spans="1:11" x14ac:dyDescent="0.25">
      <c r="A29" s="25">
        <v>8823</v>
      </c>
      <c r="B29" s="30">
        <v>46102</v>
      </c>
      <c r="C29" s="26" t="s">
        <v>692</v>
      </c>
      <c r="D29" s="38" t="s">
        <v>143</v>
      </c>
      <c r="E29" s="26" t="s">
        <v>1286</v>
      </c>
      <c r="F29" s="28">
        <v>3949</v>
      </c>
      <c r="G29" s="28">
        <v>-61000</v>
      </c>
      <c r="H29" s="28">
        <f>Cty_XNK_Thinh_Phat[[#This Row],[ĐƠN GIÁ]]*Cty_XNK_Thinh_Phat[[#This Row],[SỐ LƯỢNG]]</f>
        <v>-240889000</v>
      </c>
      <c r="I29" s="28"/>
      <c r="J29" s="28">
        <f>J28+Cty_XNK_Thinh_Phat[[#This Row],[THÀNH TIỀN]]-Cty_XNK_Thinh_Phat[[#This Row],[THANH TOÁN]]</f>
        <v>-732692000</v>
      </c>
      <c r="K29" s="27"/>
    </row>
    <row r="30" spans="1:11" x14ac:dyDescent="0.25">
      <c r="A30" s="178">
        <v>8812</v>
      </c>
      <c r="B30" s="179">
        <v>46102</v>
      </c>
      <c r="C30" s="180" t="s">
        <v>692</v>
      </c>
      <c r="D30" s="181" t="s">
        <v>143</v>
      </c>
      <c r="E30" s="180" t="s">
        <v>1286</v>
      </c>
      <c r="F30" s="182">
        <v>9860</v>
      </c>
      <c r="G30" s="182">
        <v>-61000</v>
      </c>
      <c r="H30" s="182">
        <f>Cty_XNK_Thinh_Phat[[#This Row],[ĐƠN GIÁ]]*Cty_XNK_Thinh_Phat[[#This Row],[SỐ LƯỢNG]]</f>
        <v>-601460000</v>
      </c>
      <c r="I30" s="182"/>
      <c r="J30" s="182">
        <f>J29+Cty_XNK_Thinh_Phat[[#This Row],[THÀNH TIỀN]]-Cty_XNK_Thinh_Phat[[#This Row],[THANH TOÁN]]</f>
        <v>-1334152000</v>
      </c>
      <c r="K30" s="183"/>
    </row>
    <row r="31" spans="1:11" x14ac:dyDescent="0.25">
      <c r="A31" s="25">
        <v>8824</v>
      </c>
      <c r="B31" s="30">
        <v>46102</v>
      </c>
      <c r="C31" s="26" t="s">
        <v>692</v>
      </c>
      <c r="D31" s="38" t="s">
        <v>143</v>
      </c>
      <c r="E31" s="26" t="s">
        <v>1286</v>
      </c>
      <c r="F31" s="28">
        <v>8057</v>
      </c>
      <c r="G31" s="28">
        <v>-61000</v>
      </c>
      <c r="H31" s="28">
        <f>Cty_XNK_Thinh_Phat[[#This Row],[ĐƠN GIÁ]]*Cty_XNK_Thinh_Phat[[#This Row],[SỐ LƯỢNG]]</f>
        <v>-491477000</v>
      </c>
      <c r="I31" s="28"/>
      <c r="J31" s="28">
        <f>J30+Cty_XNK_Thinh_Phat[[#This Row],[THÀNH TIỀN]]-Cty_XNK_Thinh_Phat[[#This Row],[THANH TOÁN]]</f>
        <v>-1825629000</v>
      </c>
      <c r="K31" s="27"/>
    </row>
    <row r="32" spans="1:11" x14ac:dyDescent="0.25">
      <c r="A32" s="25">
        <v>8820</v>
      </c>
      <c r="B32" s="30">
        <v>46102</v>
      </c>
      <c r="C32" s="26" t="s">
        <v>692</v>
      </c>
      <c r="D32" s="38" t="s">
        <v>17</v>
      </c>
      <c r="E32" s="26" t="s">
        <v>1286</v>
      </c>
      <c r="F32" s="28">
        <f>2528+5093</f>
        <v>7621</v>
      </c>
      <c r="G32" s="28">
        <v>-61000</v>
      </c>
      <c r="H32" s="28">
        <f>Cty_XNK_Thinh_Phat[[#This Row],[ĐƠN GIÁ]]*Cty_XNK_Thinh_Phat[[#This Row],[SỐ LƯỢNG]]</f>
        <v>-464881000</v>
      </c>
      <c r="I32" s="28"/>
      <c r="J32" s="28">
        <f>J31+Cty_XNK_Thinh_Phat[[#This Row],[THÀNH TIỀN]]-Cty_XNK_Thinh_Phat[[#This Row],[THANH TOÁN]]</f>
        <v>-2290510000</v>
      </c>
      <c r="K32" s="27"/>
    </row>
    <row r="33" spans="1:11" x14ac:dyDescent="0.25">
      <c r="A33" s="25">
        <v>8820</v>
      </c>
      <c r="B33" s="30">
        <v>46102</v>
      </c>
      <c r="C33" s="26" t="s">
        <v>692</v>
      </c>
      <c r="D33" s="38" t="s">
        <v>103</v>
      </c>
      <c r="E33" s="26" t="s">
        <v>1287</v>
      </c>
      <c r="F33" s="28">
        <v>1098</v>
      </c>
      <c r="G33" s="28">
        <v>-37000</v>
      </c>
      <c r="H33" s="28">
        <f>Cty_XNK_Thinh_Phat[[#This Row],[ĐƠN GIÁ]]*Cty_XNK_Thinh_Phat[[#This Row],[SỐ LƯỢNG]]</f>
        <v>-40626000</v>
      </c>
      <c r="I33" s="28"/>
      <c r="J33" s="28">
        <f>J32+Cty_XNK_Thinh_Phat[[#This Row],[THÀNH TIỀN]]-Cty_XNK_Thinh_Phat[[#This Row],[THANH TOÁN]]</f>
        <v>-2331136000</v>
      </c>
      <c r="K33" s="27"/>
    </row>
    <row r="34" spans="1:11" x14ac:dyDescent="0.25">
      <c r="A34" s="22"/>
      <c r="B34" s="29">
        <v>46108</v>
      </c>
      <c r="C34" s="23" t="s">
        <v>2214</v>
      </c>
      <c r="D34" s="37" t="s">
        <v>22</v>
      </c>
      <c r="E34" s="23" t="s">
        <v>83</v>
      </c>
      <c r="F34" s="31">
        <v>0</v>
      </c>
      <c r="G34" s="31"/>
      <c r="H34" s="31">
        <f>Cty_XNK_Thinh_Phat[[#This Row],[ĐƠN GIÁ]]*Cty_XNK_Thinh_Phat[[#This Row],[SỐ LƯỢNG]]</f>
        <v>0</v>
      </c>
      <c r="I34" s="31">
        <v>-100000000</v>
      </c>
      <c r="J34" s="31">
        <f>J33+Cty_XNK_Thinh_Phat[[#This Row],[THÀNH TIỀN]]-Cty_XNK_Thinh_Phat[[#This Row],[THANH TOÁN]]</f>
        <v>-2231136000</v>
      </c>
      <c r="K34" s="24"/>
    </row>
    <row r="35" spans="1:11" x14ac:dyDescent="0.25">
      <c r="A35" s="22">
        <v>8891</v>
      </c>
      <c r="B35" s="29">
        <v>46109</v>
      </c>
      <c r="C35" s="23" t="s">
        <v>692</v>
      </c>
      <c r="D35" s="37" t="s">
        <v>26</v>
      </c>
      <c r="E35" s="23" t="s">
        <v>1288</v>
      </c>
      <c r="F35" s="31">
        <v>2384</v>
      </c>
      <c r="G35" s="31">
        <v>-35000</v>
      </c>
      <c r="H35" s="31">
        <f>Cty_XNK_Thinh_Phat[[#This Row],[ĐƠN GIÁ]]*Cty_XNK_Thinh_Phat[[#This Row],[SỐ LƯỢNG]]</f>
        <v>-83440000</v>
      </c>
      <c r="I35" s="31"/>
      <c r="J35" s="31">
        <f>J34+Cty_XNK_Thinh_Phat[[#This Row],[THÀNH TIỀN]]-Cty_XNK_Thinh_Phat[[#This Row],[THANH TOÁN]]</f>
        <v>-2314576000</v>
      </c>
      <c r="K35" s="24"/>
    </row>
    <row r="36" spans="1:11" x14ac:dyDescent="0.25">
      <c r="A36" s="22">
        <v>8420</v>
      </c>
      <c r="B36" s="29">
        <v>46111</v>
      </c>
      <c r="C36" s="23" t="s">
        <v>13</v>
      </c>
      <c r="D36" s="37" t="s">
        <v>17</v>
      </c>
      <c r="E36" s="23" t="s">
        <v>230</v>
      </c>
      <c r="F36" s="31">
        <v>504</v>
      </c>
      <c r="G36" s="31">
        <v>65000</v>
      </c>
      <c r="H36" s="31">
        <f>Cty_XNK_Thinh_Phat[[#This Row],[ĐƠN GIÁ]]*Cty_XNK_Thinh_Phat[[#This Row],[SỐ LƯỢNG]]</f>
        <v>32760000</v>
      </c>
      <c r="I36" s="31"/>
      <c r="J36" s="31">
        <f>J35+Cty_XNK_Thinh_Phat[[#This Row],[THÀNH TIỀN]]-Cty_XNK_Thinh_Phat[[#This Row],[THANH TOÁN]]</f>
        <v>-2281816000</v>
      </c>
      <c r="K36" s="24"/>
    </row>
    <row r="37" spans="1:11" x14ac:dyDescent="0.25">
      <c r="A37" s="22">
        <v>8420</v>
      </c>
      <c r="B37" s="29">
        <v>46111</v>
      </c>
      <c r="C37" s="23" t="s">
        <v>13</v>
      </c>
      <c r="D37" s="37" t="s">
        <v>17</v>
      </c>
      <c r="E37" s="23" t="s">
        <v>40</v>
      </c>
      <c r="F37" s="31">
        <v>188</v>
      </c>
      <c r="G37" s="31">
        <v>63000</v>
      </c>
      <c r="H37" s="31">
        <f>Cty_XNK_Thinh_Phat[[#This Row],[ĐƠN GIÁ]]*Cty_XNK_Thinh_Phat[[#This Row],[SỐ LƯỢNG]]</f>
        <v>11844000</v>
      </c>
      <c r="I37" s="31"/>
      <c r="J37" s="31">
        <f>J36+Cty_XNK_Thinh_Phat[[#This Row],[THÀNH TIỀN]]-Cty_XNK_Thinh_Phat[[#This Row],[THANH TOÁN]]</f>
        <v>-2269972000</v>
      </c>
      <c r="K37" s="24"/>
    </row>
    <row r="38" spans="1:11" x14ac:dyDescent="0.25">
      <c r="A38" s="22">
        <v>8420</v>
      </c>
      <c r="B38" s="29">
        <v>46111</v>
      </c>
      <c r="C38" s="23" t="s">
        <v>13</v>
      </c>
      <c r="D38" s="37" t="s">
        <v>17</v>
      </c>
      <c r="E38" s="23" t="s">
        <v>40</v>
      </c>
      <c r="F38" s="31">
        <v>146</v>
      </c>
      <c r="G38" s="31">
        <v>66000</v>
      </c>
      <c r="H38" s="31">
        <f>Cty_XNK_Thinh_Phat[[#This Row],[ĐƠN GIÁ]]*Cty_XNK_Thinh_Phat[[#This Row],[SỐ LƯỢNG]]</f>
        <v>9636000</v>
      </c>
      <c r="I38" s="31"/>
      <c r="J38" s="31">
        <f>J37+Cty_XNK_Thinh_Phat[[#This Row],[THÀNH TIỀN]]-Cty_XNK_Thinh_Phat[[#This Row],[THANH TOÁN]]</f>
        <v>-2260336000</v>
      </c>
      <c r="K38" s="24"/>
    </row>
    <row r="39" spans="1:11" x14ac:dyDescent="0.25">
      <c r="A39" s="22">
        <v>8903</v>
      </c>
      <c r="B39" s="29">
        <v>46111</v>
      </c>
      <c r="C39" s="23" t="s">
        <v>692</v>
      </c>
      <c r="D39" s="37" t="s">
        <v>26</v>
      </c>
      <c r="E39" s="23" t="s">
        <v>254</v>
      </c>
      <c r="F39" s="31">
        <v>4285</v>
      </c>
      <c r="G39" s="31">
        <v>-35500</v>
      </c>
      <c r="H39" s="31">
        <f>Cty_XNK_Thinh_Phat[[#This Row],[ĐƠN GIÁ]]*Cty_XNK_Thinh_Phat[[#This Row],[SỐ LƯỢNG]]</f>
        <v>-152117500</v>
      </c>
      <c r="I39" s="31"/>
      <c r="J39" s="31">
        <f>J38+Cty_XNK_Thinh_Phat[[#This Row],[THÀNH TIỀN]]-Cty_XNK_Thinh_Phat[[#This Row],[THANH TOÁN]]</f>
        <v>-2412453500</v>
      </c>
      <c r="K39" s="24"/>
    </row>
    <row r="40" spans="1:11" x14ac:dyDescent="0.25">
      <c r="A40" s="22">
        <v>8538</v>
      </c>
      <c r="B40" s="29">
        <v>46115</v>
      </c>
      <c r="C40" s="23" t="s">
        <v>13</v>
      </c>
      <c r="D40" s="37" t="s">
        <v>32</v>
      </c>
      <c r="E40" s="23" t="s">
        <v>211</v>
      </c>
      <c r="F40" s="31">
        <v>4768</v>
      </c>
      <c r="G40" s="31">
        <v>41500</v>
      </c>
      <c r="H40" s="31">
        <f>Cty_XNK_Thinh_Phat[[#This Row],[ĐƠN GIÁ]]*Cty_XNK_Thinh_Phat[[#This Row],[SỐ LƯỢNG]]</f>
        <v>197872000</v>
      </c>
      <c r="I40" s="31"/>
      <c r="J40" s="31">
        <f>J39+Cty_XNK_Thinh_Phat[[#This Row],[THÀNH TIỀN]]-Cty_XNK_Thinh_Phat[[#This Row],[THANH TOÁN]]</f>
        <v>-2214581500</v>
      </c>
      <c r="K40" s="24"/>
    </row>
    <row r="41" spans="1:11" x14ac:dyDescent="0.25">
      <c r="A41" s="22">
        <v>8538</v>
      </c>
      <c r="B41" s="29">
        <v>46115</v>
      </c>
      <c r="C41" s="23" t="s">
        <v>242</v>
      </c>
      <c r="D41" s="37" t="s">
        <v>26</v>
      </c>
      <c r="E41" s="23" t="s">
        <v>134</v>
      </c>
      <c r="F41" s="31">
        <v>3502</v>
      </c>
      <c r="G41" s="31">
        <v>35500</v>
      </c>
      <c r="H41" s="31">
        <f>Cty_XNK_Thinh_Phat[[#This Row],[ĐƠN GIÁ]]*Cty_XNK_Thinh_Phat[[#This Row],[SỐ LƯỢNG]]</f>
        <v>124321000</v>
      </c>
      <c r="I41" s="31"/>
      <c r="J41" s="31">
        <f>J40+Cty_XNK_Thinh_Phat[[#This Row],[THÀNH TIỀN]]-Cty_XNK_Thinh_Phat[[#This Row],[THANH TOÁN]]</f>
        <v>-2090260500</v>
      </c>
      <c r="K41" s="24">
        <v>35500</v>
      </c>
    </row>
    <row r="42" spans="1:11" x14ac:dyDescent="0.25">
      <c r="A42" s="22"/>
      <c r="B42" s="29">
        <v>46115</v>
      </c>
      <c r="C42" s="23" t="s">
        <v>654</v>
      </c>
      <c r="D42" s="37" t="s">
        <v>22</v>
      </c>
      <c r="E42" s="23" t="s">
        <v>147</v>
      </c>
      <c r="F42" s="31">
        <v>0</v>
      </c>
      <c r="G42" s="31"/>
      <c r="H42" s="31">
        <f>Cty_XNK_Thinh_Phat[[#This Row],[ĐƠN GIÁ]]*Cty_XNK_Thinh_Phat[[#This Row],[SỐ LƯỢNG]]</f>
        <v>0</v>
      </c>
      <c r="I42" s="31">
        <v>-100000000</v>
      </c>
      <c r="J42" s="31">
        <f>J41+Cty_XNK_Thinh_Phat[[#This Row],[THÀNH TIỀN]]-Cty_XNK_Thinh_Phat[[#This Row],[THANH TOÁN]]</f>
        <v>-1990260500</v>
      </c>
      <c r="K42" s="24"/>
    </row>
    <row r="43" spans="1:11" x14ac:dyDescent="0.25">
      <c r="A43" s="22"/>
      <c r="B43" s="29">
        <v>46122</v>
      </c>
      <c r="C43" s="23" t="s">
        <v>654</v>
      </c>
      <c r="D43" s="37" t="s">
        <v>22</v>
      </c>
      <c r="E43" s="23" t="s">
        <v>147</v>
      </c>
      <c r="F43" s="31">
        <v>0</v>
      </c>
      <c r="G43" s="31"/>
      <c r="H43" s="31">
        <f>Cty_XNK_Thinh_Phat[[#This Row],[ĐƠN GIÁ]]*Cty_XNK_Thinh_Phat[[#This Row],[SỐ LƯỢNG]]</f>
        <v>0</v>
      </c>
      <c r="I43" s="31">
        <v>-100000000</v>
      </c>
      <c r="J43" s="31">
        <f>J42+Cty_XNK_Thinh_Phat[[#This Row],[THÀNH TIỀN]]-Cty_XNK_Thinh_Phat[[#This Row],[THANH TOÁN]]</f>
        <v>-1890260500</v>
      </c>
      <c r="K43" s="24"/>
    </row>
    <row r="44" spans="1:11" x14ac:dyDescent="0.25">
      <c r="A44" s="22">
        <v>9037</v>
      </c>
      <c r="B44" s="29">
        <v>46129</v>
      </c>
      <c r="C44" s="23" t="s">
        <v>692</v>
      </c>
      <c r="D44" s="37" t="s">
        <v>1289</v>
      </c>
      <c r="E44" s="23" t="s">
        <v>1290</v>
      </c>
      <c r="F44" s="31">
        <v>1010</v>
      </c>
      <c r="G44" s="31">
        <v>-30000</v>
      </c>
      <c r="H44" s="31">
        <f>Cty_XNK_Thinh_Phat[[#This Row],[ĐƠN GIÁ]]*Cty_XNK_Thinh_Phat[[#This Row],[SỐ LƯỢNG]]</f>
        <v>-30300000</v>
      </c>
      <c r="I44" s="31"/>
      <c r="J44" s="31">
        <f>J43+Cty_XNK_Thinh_Phat[[#This Row],[THÀNH TIỀN]]-Cty_XNK_Thinh_Phat[[#This Row],[THANH TOÁN]]</f>
        <v>-1920560500</v>
      </c>
      <c r="K44" s="24"/>
    </row>
    <row r="45" spans="1:11" x14ac:dyDescent="0.25">
      <c r="A45" s="22"/>
      <c r="B45" s="29">
        <v>46129</v>
      </c>
      <c r="C45" s="23" t="s">
        <v>2214</v>
      </c>
      <c r="D45" s="37" t="s">
        <v>22</v>
      </c>
      <c r="E45" s="23" t="s">
        <v>261</v>
      </c>
      <c r="F45" s="31">
        <v>0</v>
      </c>
      <c r="G45" s="31"/>
      <c r="H45" s="31">
        <f>Cty_XNK_Thinh_Phat[[#This Row],[ĐƠN GIÁ]]*Cty_XNK_Thinh_Phat[[#This Row],[SỐ LƯỢNG]]</f>
        <v>0</v>
      </c>
      <c r="I45" s="31">
        <v>-100000000</v>
      </c>
      <c r="J45" s="31">
        <f>J44+Cty_XNK_Thinh_Phat[[#This Row],[THÀNH TIỀN]]-Cty_XNK_Thinh_Phat[[#This Row],[THANH TOÁN]]</f>
        <v>-1820560500</v>
      </c>
      <c r="K45" s="24"/>
    </row>
    <row r="46" spans="1:11" x14ac:dyDescent="0.25">
      <c r="A46" s="22"/>
      <c r="B46" s="29">
        <v>46136</v>
      </c>
      <c r="C46" s="23" t="s">
        <v>2214</v>
      </c>
      <c r="D46" s="37" t="s">
        <v>22</v>
      </c>
      <c r="E46" s="23" t="s">
        <v>83</v>
      </c>
      <c r="F46" s="31">
        <v>0</v>
      </c>
      <c r="G46" s="31"/>
      <c r="H46" s="31">
        <f>Cty_XNK_Thinh_Phat[[#This Row],[ĐƠN GIÁ]]*Cty_XNK_Thinh_Phat[[#This Row],[SỐ LƯỢNG]]</f>
        <v>0</v>
      </c>
      <c r="I46" s="31">
        <v>-100000000</v>
      </c>
      <c r="J46" s="31">
        <f>J45+Cty_XNK_Thinh_Phat[[#This Row],[THÀNH TIỀN]]-Cty_XNK_Thinh_Phat[[#This Row],[THANH TOÁN]]</f>
        <v>-1720560500</v>
      </c>
      <c r="K46" s="24"/>
    </row>
    <row r="47" spans="1:11" x14ac:dyDescent="0.25">
      <c r="A47" s="22">
        <v>9080</v>
      </c>
      <c r="B47" s="29">
        <v>46140</v>
      </c>
      <c r="C47" s="23" t="s">
        <v>13</v>
      </c>
      <c r="D47" s="37" t="s">
        <v>32</v>
      </c>
      <c r="E47" s="23" t="s">
        <v>40</v>
      </c>
      <c r="F47" s="31">
        <v>302</v>
      </c>
      <c r="G47" s="31">
        <v>42500</v>
      </c>
      <c r="H47" s="31">
        <f>Cty_XNK_Thinh_Phat[[#This Row],[ĐƠN GIÁ]]*Cty_XNK_Thinh_Phat[[#This Row],[SỐ LƯỢNG]]</f>
        <v>12835000</v>
      </c>
      <c r="I47" s="31"/>
      <c r="J47" s="31">
        <f>J46+Cty_XNK_Thinh_Phat[[#This Row],[THÀNH TIỀN]]-Cty_XNK_Thinh_Phat[[#This Row],[THANH TOÁN]]</f>
        <v>-1707725500</v>
      </c>
      <c r="K47" s="24"/>
    </row>
    <row r="48" spans="1:11" x14ac:dyDescent="0.25">
      <c r="A48" s="22"/>
      <c r="B48" s="29">
        <v>46141</v>
      </c>
      <c r="C48" s="23" t="s">
        <v>2214</v>
      </c>
      <c r="D48" s="37" t="s">
        <v>22</v>
      </c>
      <c r="E48" s="23" t="s">
        <v>261</v>
      </c>
      <c r="F48" s="31">
        <v>0</v>
      </c>
      <c r="G48" s="31"/>
      <c r="H48" s="31">
        <f>Cty_XNK_Thinh_Phat[[#This Row],[ĐƠN GIÁ]]*Cty_XNK_Thinh_Phat[[#This Row],[SỐ LƯỢNG]]</f>
        <v>0</v>
      </c>
      <c r="I48" s="31">
        <v>-100000000</v>
      </c>
      <c r="J48" s="31">
        <f>J47+Cty_XNK_Thinh_Phat[[#This Row],[THÀNH TIỀN]]-Cty_XNK_Thinh_Phat[[#This Row],[THANH TOÁN]]</f>
        <v>-1607725500</v>
      </c>
      <c r="K48" s="24"/>
    </row>
    <row r="49" spans="1:11" x14ac:dyDescent="0.25">
      <c r="A49" s="25">
        <v>9135</v>
      </c>
      <c r="B49" s="30">
        <v>46146</v>
      </c>
      <c r="C49" s="26" t="s">
        <v>13</v>
      </c>
      <c r="D49" s="38" t="s">
        <v>32</v>
      </c>
      <c r="E49" s="26" t="s">
        <v>40</v>
      </c>
      <c r="F49" s="28">
        <v>100</v>
      </c>
      <c r="G49" s="28">
        <v>42500</v>
      </c>
      <c r="H49" s="28">
        <f>Cty_XNK_Thinh_Phat[[#This Row],[ĐƠN GIÁ]]*Cty_XNK_Thinh_Phat[[#This Row],[SỐ LƯỢNG]]</f>
        <v>4250000</v>
      </c>
      <c r="I49" s="28"/>
      <c r="J49" s="28">
        <f>J48+Cty_XNK_Thinh_Phat[[#This Row],[THÀNH TIỀN]]-Cty_XNK_Thinh_Phat[[#This Row],[THANH TOÁN]]</f>
        <v>-1603475500</v>
      </c>
      <c r="K49" s="27"/>
    </row>
    <row r="50" spans="1:11" x14ac:dyDescent="0.25">
      <c r="A50" s="25">
        <v>9320</v>
      </c>
      <c r="B50" s="30">
        <v>46153</v>
      </c>
      <c r="C50" s="26" t="s">
        <v>13</v>
      </c>
      <c r="D50" s="38" t="s">
        <v>14</v>
      </c>
      <c r="E50" s="26" t="s">
        <v>62</v>
      </c>
      <c r="F50" s="28">
        <v>174</v>
      </c>
      <c r="G50" s="28">
        <v>43000</v>
      </c>
      <c r="H50" s="28">
        <f>Cty_XNK_Thinh_Phat[[#This Row],[ĐƠN GIÁ]]*Cty_XNK_Thinh_Phat[[#This Row],[SỐ LƯỢNG]]</f>
        <v>7482000</v>
      </c>
      <c r="I50" s="28"/>
      <c r="J50" s="28">
        <f>J49+Cty_XNK_Thinh_Phat[[#This Row],[THÀNH TIỀN]]-Cty_XNK_Thinh_Phat[[#This Row],[THANH TOÁN]]</f>
        <v>-1595993500</v>
      </c>
      <c r="K50" s="27"/>
    </row>
    <row r="51" spans="1:11" x14ac:dyDescent="0.25">
      <c r="A51" s="25"/>
      <c r="B51" s="30">
        <v>46153</v>
      </c>
      <c r="C51" s="26" t="s">
        <v>2214</v>
      </c>
      <c r="D51" s="38" t="s">
        <v>22</v>
      </c>
      <c r="E51" s="26" t="s">
        <v>83</v>
      </c>
      <c r="F51" s="28">
        <v>0</v>
      </c>
      <c r="G51" s="28"/>
      <c r="H51" s="28">
        <f>Cty_XNK_Thinh_Phat[[#This Row],[ĐƠN GIÁ]]*Cty_XNK_Thinh_Phat[[#This Row],[SỐ LƯỢNG]]</f>
        <v>0</v>
      </c>
      <c r="I51" s="28">
        <v>-100000000</v>
      </c>
      <c r="J51" s="28">
        <f>J50+Cty_XNK_Thinh_Phat[[#This Row],[THÀNH TIỀN]]-Cty_XNK_Thinh_Phat[[#This Row],[THANH TOÁN]]</f>
        <v>-1495993500</v>
      </c>
      <c r="K51" s="27"/>
    </row>
    <row r="52" spans="1:11" x14ac:dyDescent="0.25">
      <c r="A52" s="25">
        <v>9347</v>
      </c>
      <c r="B52" s="30">
        <v>46154</v>
      </c>
      <c r="C52" s="26" t="s">
        <v>13</v>
      </c>
      <c r="D52" s="38" t="s">
        <v>14</v>
      </c>
      <c r="E52" s="26" t="s">
        <v>62</v>
      </c>
      <c r="F52" s="28">
        <v>126</v>
      </c>
      <c r="G52" s="28">
        <v>43000</v>
      </c>
      <c r="H52" s="28">
        <f>Cty_XNK_Thinh_Phat[[#This Row],[ĐƠN GIÁ]]*Cty_XNK_Thinh_Phat[[#This Row],[SỐ LƯỢNG]]</f>
        <v>5418000</v>
      </c>
      <c r="I52" s="28"/>
      <c r="J52" s="28">
        <f>J51+Cty_XNK_Thinh_Phat[[#This Row],[THÀNH TIỀN]]-Cty_XNK_Thinh_Phat[[#This Row],[THANH TOÁN]]</f>
        <v>-1490575500</v>
      </c>
      <c r="K52" s="27"/>
    </row>
    <row r="53" spans="1:11" x14ac:dyDescent="0.25">
      <c r="A53" s="25">
        <v>9184</v>
      </c>
      <c r="B53" s="30">
        <v>46156</v>
      </c>
      <c r="C53" s="26" t="s">
        <v>692</v>
      </c>
      <c r="D53" s="38" t="s">
        <v>150</v>
      </c>
      <c r="E53" s="26" t="s">
        <v>2141</v>
      </c>
      <c r="F53" s="28">
        <v>2218</v>
      </c>
      <c r="G53" s="28">
        <v>-36000</v>
      </c>
      <c r="H53" s="28">
        <f>Cty_XNK_Thinh_Phat[[#This Row],[ĐƠN GIÁ]]*Cty_XNK_Thinh_Phat[[#This Row],[SỐ LƯỢNG]]</f>
        <v>-79848000</v>
      </c>
      <c r="I53" s="28"/>
      <c r="J53" s="28">
        <f>J52+Cty_XNK_Thinh_Phat[[#This Row],[THÀNH TIỀN]]-Cty_XNK_Thinh_Phat[[#This Row],[THANH TOÁN]]</f>
        <v>-1570423500</v>
      </c>
      <c r="K53" s="27"/>
    </row>
    <row r="54" spans="1:11" x14ac:dyDescent="0.25">
      <c r="A54" s="22">
        <v>9184</v>
      </c>
      <c r="B54" s="29">
        <v>46156</v>
      </c>
      <c r="C54" s="23" t="s">
        <v>692</v>
      </c>
      <c r="D54" s="37" t="s">
        <v>2142</v>
      </c>
      <c r="E54" s="23" t="s">
        <v>2143</v>
      </c>
      <c r="F54" s="31">
        <v>29.7</v>
      </c>
      <c r="G54" s="31">
        <v>-47000</v>
      </c>
      <c r="H54" s="31">
        <f>Cty_XNK_Thinh_Phat[[#This Row],[ĐƠN GIÁ]]*Cty_XNK_Thinh_Phat[[#This Row],[SỐ LƯỢNG]]</f>
        <v>-1395900</v>
      </c>
      <c r="I54" s="31"/>
      <c r="J54" s="31">
        <f>J53+Cty_XNK_Thinh_Phat[[#This Row],[THÀNH TIỀN]]-Cty_XNK_Thinh_Phat[[#This Row],[THANH TOÁN]]</f>
        <v>-1571819400</v>
      </c>
      <c r="K54" s="24"/>
    </row>
    <row r="55" spans="1:11" x14ac:dyDescent="0.25">
      <c r="A55" s="22"/>
      <c r="B55" s="29">
        <v>46158</v>
      </c>
      <c r="C55" s="23" t="s">
        <v>2214</v>
      </c>
      <c r="D55" s="37" t="s">
        <v>22</v>
      </c>
      <c r="E55" s="23" t="s">
        <v>83</v>
      </c>
      <c r="F55" s="31">
        <v>0</v>
      </c>
      <c r="G55" s="31"/>
      <c r="H55" s="31">
        <f>Cty_XNK_Thinh_Phat[[#This Row],[ĐƠN GIÁ]]*Cty_XNK_Thinh_Phat[[#This Row],[SỐ LƯỢNG]]</f>
        <v>0</v>
      </c>
      <c r="I55" s="31">
        <v>-100000000</v>
      </c>
      <c r="J55" s="31">
        <f>J54+Cty_XNK_Thinh_Phat[[#This Row],[THÀNH TIỀN]]-Cty_XNK_Thinh_Phat[[#This Row],[THANH TOÁN]]</f>
        <v>-1471819400</v>
      </c>
      <c r="K55" s="24"/>
    </row>
    <row r="56" spans="1:11" x14ac:dyDescent="0.25">
      <c r="A56" s="22">
        <v>2897</v>
      </c>
      <c r="B56" s="29">
        <v>46163</v>
      </c>
      <c r="C56" s="23" t="s">
        <v>692</v>
      </c>
      <c r="D56" s="37" t="s">
        <v>2273</v>
      </c>
      <c r="E56" s="23" t="s">
        <v>2274</v>
      </c>
      <c r="F56" s="31">
        <v>19</v>
      </c>
      <c r="G56" s="31">
        <v>-70000</v>
      </c>
      <c r="H56" s="31">
        <f>Cty_XNK_Thinh_Phat[[#This Row],[ĐƠN GIÁ]]*Cty_XNK_Thinh_Phat[[#This Row],[SỐ LƯỢNG]]</f>
        <v>-1330000</v>
      </c>
      <c r="I56" s="31"/>
      <c r="J56" s="31">
        <f>J55+Cty_XNK_Thinh_Phat[[#This Row],[THÀNH TIỀN]]-Cty_XNK_Thinh_Phat[[#This Row],[THANH TOÁN]]</f>
        <v>-1473149400</v>
      </c>
      <c r="K56" s="24"/>
    </row>
    <row r="57" spans="1:11" x14ac:dyDescent="0.25">
      <c r="A57" s="22">
        <v>9534</v>
      </c>
      <c r="B57" s="29">
        <v>46163</v>
      </c>
      <c r="C57" s="23" t="s">
        <v>13</v>
      </c>
      <c r="D57" s="37" t="s">
        <v>195</v>
      </c>
      <c r="E57" s="23" t="s">
        <v>2320</v>
      </c>
      <c r="F57" s="31">
        <v>156</v>
      </c>
      <c r="G57" s="31">
        <v>29000</v>
      </c>
      <c r="H57" s="31">
        <f>Cty_XNK_Thinh_Phat[[#This Row],[ĐƠN GIÁ]]*Cty_XNK_Thinh_Phat[[#This Row],[SỐ LƯỢNG]]</f>
        <v>4524000</v>
      </c>
      <c r="I57" s="31"/>
      <c r="J57" s="31">
        <f>J56+Cty_XNK_Thinh_Phat[[#This Row],[THÀNH TIỀN]]-Cty_XNK_Thinh_Phat[[#This Row],[THANH TOÁN]]</f>
        <v>-1468625400</v>
      </c>
      <c r="K57" s="24"/>
    </row>
    <row r="58" spans="1:11" x14ac:dyDescent="0.25">
      <c r="A58" s="22"/>
      <c r="B58" s="29">
        <v>46164</v>
      </c>
      <c r="C58" s="23" t="s">
        <v>2214</v>
      </c>
      <c r="D58" s="37" t="s">
        <v>22</v>
      </c>
      <c r="E58" s="23" t="s">
        <v>83</v>
      </c>
      <c r="F58" s="31">
        <v>0</v>
      </c>
      <c r="G58" s="31"/>
      <c r="H58" s="31">
        <f>Cty_XNK_Thinh_Phat[[#This Row],[ĐƠN GIÁ]]*Cty_XNK_Thinh_Phat[[#This Row],[SỐ LƯỢNG]]</f>
        <v>0</v>
      </c>
      <c r="I58" s="31">
        <v>-100000000</v>
      </c>
      <c r="J58" s="31">
        <f>J57+Cty_XNK_Thinh_Phat[[#This Row],[THÀNH TIỀN]]-Cty_XNK_Thinh_Phat[[#This Row],[THANH TOÁN]]</f>
        <v>-1368625400</v>
      </c>
      <c r="K58" s="24"/>
    </row>
    <row r="59" spans="1:11" x14ac:dyDescent="0.25">
      <c r="A59" s="22"/>
      <c r="B59" s="29">
        <v>46171</v>
      </c>
      <c r="C59" s="23" t="s">
        <v>2214</v>
      </c>
      <c r="D59" s="37" t="s">
        <v>22</v>
      </c>
      <c r="E59" s="23" t="s">
        <v>83</v>
      </c>
      <c r="F59" s="31">
        <v>0</v>
      </c>
      <c r="G59" s="31"/>
      <c r="H59" s="31">
        <f>Cty_XNK_Thinh_Phat[[#This Row],[ĐƠN GIÁ]]*Cty_XNK_Thinh_Phat[[#This Row],[SỐ LƯỢNG]]</f>
        <v>0</v>
      </c>
      <c r="I59" s="31">
        <v>-100000000</v>
      </c>
      <c r="J59" s="31">
        <f>J58+Cty_XNK_Thinh_Phat[[#This Row],[THÀNH TIỀN]]-Cty_XNK_Thinh_Phat[[#This Row],[THANH TOÁN]]</f>
        <v>-1268625400</v>
      </c>
      <c r="K59" s="24"/>
    </row>
    <row r="60" spans="1:11" x14ac:dyDescent="0.25">
      <c r="A60" s="22">
        <v>9686</v>
      </c>
      <c r="B60" s="29">
        <v>46171</v>
      </c>
      <c r="C60" s="23" t="s">
        <v>13</v>
      </c>
      <c r="D60" s="37" t="s">
        <v>701</v>
      </c>
      <c r="E60" s="23" t="s">
        <v>148</v>
      </c>
      <c r="F60" s="31">
        <v>1590</v>
      </c>
      <c r="G60" s="31">
        <v>42500</v>
      </c>
      <c r="H60" s="31">
        <f>Cty_XNK_Thinh_Phat[[#This Row],[ĐƠN GIÁ]]*Cty_XNK_Thinh_Phat[[#This Row],[SỐ LƯỢNG]]</f>
        <v>67575000</v>
      </c>
      <c r="I60" s="31"/>
      <c r="J60" s="31">
        <f>J59+Cty_XNK_Thinh_Phat[[#This Row],[THÀNH TIỀN]]-Cty_XNK_Thinh_Phat[[#This Row],[THANH TOÁN]]</f>
        <v>-1201050400</v>
      </c>
      <c r="K60" s="24"/>
    </row>
    <row r="61" spans="1:11" x14ac:dyDescent="0.25">
      <c r="A61" s="22"/>
      <c r="B61" s="29">
        <v>46179</v>
      </c>
      <c r="C61" s="23" t="s">
        <v>2214</v>
      </c>
      <c r="D61" s="37" t="s">
        <v>22</v>
      </c>
      <c r="E61" s="23" t="s">
        <v>147</v>
      </c>
      <c r="F61" s="31">
        <v>0</v>
      </c>
      <c r="G61" s="31"/>
      <c r="H61" s="31">
        <f>Cty_XNK_Thinh_Phat[[#This Row],[ĐƠN GIÁ]]*Cty_XNK_Thinh_Phat[[#This Row],[SỐ LƯỢNG]]</f>
        <v>0</v>
      </c>
      <c r="I61" s="31">
        <v>-100000000</v>
      </c>
      <c r="J61" s="31">
        <f>J60+Cty_XNK_Thinh_Phat[[#This Row],[THÀNH TIỀN]]-Cty_XNK_Thinh_Phat[[#This Row],[THANH TOÁN]]</f>
        <v>-1101050400</v>
      </c>
      <c r="K61" s="24"/>
    </row>
    <row r="66" spans="9:9" x14ac:dyDescent="0.25">
      <c r="I66" s="35"/>
    </row>
  </sheetData>
  <phoneticPr fontId="9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CD8969-EBA8-4CAD-9C22-FE20E0BA939B}">
  <sheetPr codeName="Sheet118"/>
  <dimension ref="A5:K15"/>
  <sheetViews>
    <sheetView workbookViewId="0">
      <selection activeCell="J11" sqref="J11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121879357</v>
      </c>
    </row>
    <row r="6" spans="1:11" ht="22.5" x14ac:dyDescent="0.25">
      <c r="D6" s="34" t="s">
        <v>1291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Cty_Han_Viet[[#This Row],[ĐƠN GIÁ]]*Cty_Han_Viet[[#This Row],[SỐ LƯỢNG]]</f>
        <v>0</v>
      </c>
      <c r="I10" s="31"/>
      <c r="J10" s="31">
        <v>132094939</v>
      </c>
      <c r="K10" s="24"/>
    </row>
    <row r="11" spans="1:11" x14ac:dyDescent="0.25">
      <c r="A11" s="22">
        <v>8147</v>
      </c>
      <c r="B11" s="29">
        <v>46098</v>
      </c>
      <c r="C11" s="23" t="s">
        <v>13</v>
      </c>
      <c r="D11" s="37" t="s">
        <v>192</v>
      </c>
      <c r="E11" s="23" t="s">
        <v>1292</v>
      </c>
      <c r="F11" s="31">
        <f>1458-22</f>
        <v>1436</v>
      </c>
      <c r="G11" s="31">
        <v>35000</v>
      </c>
      <c r="H11" s="31">
        <f>Cty_Han_Viet[[#This Row],[ĐƠN GIÁ]]*Cty_Han_Viet[[#This Row],[SỐ LƯỢNG]]</f>
        <v>50260000</v>
      </c>
      <c r="I11" s="31"/>
      <c r="J11" s="31">
        <f>J10+Cty_Han_Viet[[#This Row],[THÀNH TIỀN]]-Cty_Han_Viet[[#This Row],[THANH TOÁN]]</f>
        <v>182354939</v>
      </c>
      <c r="K11" s="24"/>
    </row>
    <row r="12" spans="1:11" x14ac:dyDescent="0.25">
      <c r="A12" s="22">
        <v>8199</v>
      </c>
      <c r="B12" s="29">
        <v>46100</v>
      </c>
      <c r="C12" s="23" t="s">
        <v>13</v>
      </c>
      <c r="D12" s="37" t="s">
        <v>143</v>
      </c>
      <c r="E12" s="23" t="s">
        <v>1293</v>
      </c>
      <c r="F12" s="31">
        <v>1052</v>
      </c>
      <c r="G12" s="31">
        <v>64000</v>
      </c>
      <c r="H12" s="31">
        <f>Cty_Han_Viet[[#This Row],[ĐƠN GIÁ]]*Cty_Han_Viet[[#This Row],[SỐ LƯỢNG]]</f>
        <v>67328000</v>
      </c>
      <c r="I12" s="31"/>
      <c r="J12" s="31">
        <f>J11+Cty_Han_Viet[[#This Row],[THÀNH TIỀN]]-Cty_Han_Viet[[#This Row],[THANH TOÁN]]</f>
        <v>249682939</v>
      </c>
      <c r="K12" s="24"/>
    </row>
    <row r="13" spans="1:11" x14ac:dyDescent="0.25">
      <c r="A13" s="25"/>
      <c r="B13" s="30">
        <v>46112</v>
      </c>
      <c r="C13" s="26" t="s">
        <v>21</v>
      </c>
      <c r="D13" s="38" t="s">
        <v>1277</v>
      </c>
      <c r="E13" s="26" t="s">
        <v>147</v>
      </c>
      <c r="F13" s="28">
        <v>0</v>
      </c>
      <c r="G13" s="28">
        <v>0</v>
      </c>
      <c r="H13" s="28">
        <f>Cty_Han_Viet[[#This Row],[ĐƠN GIÁ]]*Cty_Han_Viet[[#This Row],[SỐ LƯỢNG]]</f>
        <v>0</v>
      </c>
      <c r="I13" s="28">
        <v>47802488</v>
      </c>
      <c r="J13" s="28">
        <f>J12+Cty_Han_Viet[[#This Row],[THÀNH TIỀN]]-Cty_Han_Viet[[#This Row],[THANH TOÁN]]</f>
        <v>201880451</v>
      </c>
      <c r="K13" s="27"/>
    </row>
    <row r="14" spans="1:11" x14ac:dyDescent="0.25">
      <c r="A14" s="22"/>
      <c r="B14" s="29">
        <v>46132</v>
      </c>
      <c r="C14" s="23" t="s">
        <v>21</v>
      </c>
      <c r="D14" s="37" t="s">
        <v>22</v>
      </c>
      <c r="E14" s="23" t="s">
        <v>147</v>
      </c>
      <c r="F14" s="31">
        <v>0</v>
      </c>
      <c r="G14" s="31"/>
      <c r="H14" s="31">
        <f>Cty_Han_Viet[[#This Row],[ĐƠN GIÁ]]*Cty_Han_Viet[[#This Row],[SỐ LƯỢNG]]</f>
        <v>0</v>
      </c>
      <c r="I14" s="31">
        <v>30001094</v>
      </c>
      <c r="J14" s="31">
        <f>J13+Cty_Han_Viet[[#This Row],[THÀNH TIỀN]]-Cty_Han_Viet[[#This Row],[THANH TOÁN]]</f>
        <v>171879357</v>
      </c>
      <c r="K14" s="24"/>
    </row>
    <row r="15" spans="1:11" x14ac:dyDescent="0.25">
      <c r="A15" s="22"/>
      <c r="B15" s="29">
        <v>46170</v>
      </c>
      <c r="C15" s="23" t="s">
        <v>21</v>
      </c>
      <c r="D15" s="37" t="s">
        <v>22</v>
      </c>
      <c r="E15" s="23" t="s">
        <v>147</v>
      </c>
      <c r="F15" s="31">
        <v>0</v>
      </c>
      <c r="G15" s="31"/>
      <c r="H15" s="31">
        <f>Cty_Han_Viet[[#This Row],[ĐƠN GIÁ]]*Cty_Han_Viet[[#This Row],[SỐ LƯỢNG]]</f>
        <v>0</v>
      </c>
      <c r="I15" s="31">
        <v>50000000</v>
      </c>
      <c r="J15" s="31">
        <f>J14+Cty_Han_Viet[[#This Row],[THÀNH TIỀN]]-Cty_Han_Viet[[#This Row],[THANH TOÁN]]</f>
        <v>121879357</v>
      </c>
      <c r="K15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917364-7241-4D89-AA85-EBA9DB8E007C}">
  <sheetPr codeName="Sheet119"/>
  <dimension ref="A5:K26"/>
  <sheetViews>
    <sheetView workbookViewId="0">
      <selection activeCell="G30" sqref="G30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0</v>
      </c>
    </row>
    <row r="6" spans="1:11" ht="22.5" x14ac:dyDescent="0.25">
      <c r="D6" s="34" t="s">
        <v>1294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Cty_Nang_Luong_Tu_Hiep[[#This Row],[ĐƠN GIÁ]]*Cty_Nang_Luong_Tu_Hiep[[#This Row],[SỐ LƯỢNG]]</f>
        <v>0</v>
      </c>
      <c r="I10" s="31"/>
      <c r="J10" s="31">
        <v>0</v>
      </c>
      <c r="K10" s="24"/>
    </row>
    <row r="11" spans="1:11" x14ac:dyDescent="0.25">
      <c r="A11" s="22">
        <v>8159</v>
      </c>
      <c r="B11" s="29">
        <v>46098</v>
      </c>
      <c r="C11" s="23" t="s">
        <v>13</v>
      </c>
      <c r="D11" s="37" t="s">
        <v>355</v>
      </c>
      <c r="E11" s="23" t="s">
        <v>1295</v>
      </c>
      <c r="F11" s="31">
        <v>1168</v>
      </c>
      <c r="G11" s="31">
        <v>64000</v>
      </c>
      <c r="H11" s="31">
        <f>Cty_Nang_Luong_Tu_Hiep[[#This Row],[ĐƠN GIÁ]]*Cty_Nang_Luong_Tu_Hiep[[#This Row],[SỐ LƯỢNG]]</f>
        <v>74752000</v>
      </c>
      <c r="I11" s="31"/>
      <c r="J11" s="31">
        <f>J10+Cty_Nang_Luong_Tu_Hiep[[#This Row],[THÀNH TIỀN]]-Cty_Nang_Luong_Tu_Hiep[[#This Row],[THANH TOÁN]]</f>
        <v>74752000</v>
      </c>
      <c r="K11" s="24"/>
    </row>
    <row r="12" spans="1:11" x14ac:dyDescent="0.25">
      <c r="A12" s="25"/>
      <c r="B12" s="30">
        <v>46104</v>
      </c>
      <c r="C12" s="26" t="s">
        <v>21</v>
      </c>
      <c r="D12" s="38" t="s">
        <v>22</v>
      </c>
      <c r="E12" s="26" t="s">
        <v>261</v>
      </c>
      <c r="F12" s="28">
        <v>0</v>
      </c>
      <c r="G12" s="28">
        <v>0</v>
      </c>
      <c r="H12" s="28">
        <f>Cty_Nang_Luong_Tu_Hiep[[#This Row],[ĐƠN GIÁ]]*Cty_Nang_Luong_Tu_Hiep[[#This Row],[SỐ LƯỢNG]]</f>
        <v>0</v>
      </c>
      <c r="I12" s="28">
        <v>74752000</v>
      </c>
      <c r="J12" s="28">
        <f>J11+Cty_Nang_Luong_Tu_Hiep[[#This Row],[THÀNH TIỀN]]-Cty_Nang_Luong_Tu_Hiep[[#This Row],[THANH TOÁN]]</f>
        <v>0</v>
      </c>
      <c r="K12" s="27"/>
    </row>
    <row r="13" spans="1:11" x14ac:dyDescent="0.25">
      <c r="A13" s="22">
        <v>8665</v>
      </c>
      <c r="B13" s="29">
        <v>46121</v>
      </c>
      <c r="C13" s="23" t="s">
        <v>13</v>
      </c>
      <c r="D13" s="37" t="s">
        <v>355</v>
      </c>
      <c r="E13" s="23" t="s">
        <v>116</v>
      </c>
      <c r="F13" s="31">
        <v>3238</v>
      </c>
      <c r="G13" s="31">
        <v>64000</v>
      </c>
      <c r="H13" s="31">
        <f>Cty_Nang_Luong_Tu_Hiep[[#This Row],[ĐƠN GIÁ]]*Cty_Nang_Luong_Tu_Hiep[[#This Row],[SỐ LƯỢNG]]</f>
        <v>207232000</v>
      </c>
      <c r="I13" s="31"/>
      <c r="J13" s="31">
        <f>J12+Cty_Nang_Luong_Tu_Hiep[[#This Row],[THÀNH TIỀN]]-Cty_Nang_Luong_Tu_Hiep[[#This Row],[THANH TOÁN]]</f>
        <v>207232000</v>
      </c>
      <c r="K13" s="24"/>
    </row>
    <row r="14" spans="1:11" x14ac:dyDescent="0.25">
      <c r="A14" s="22"/>
      <c r="B14" s="29">
        <v>46129</v>
      </c>
      <c r="C14" s="23" t="s">
        <v>21</v>
      </c>
      <c r="D14" s="37" t="s">
        <v>22</v>
      </c>
      <c r="E14" s="23" t="s">
        <v>261</v>
      </c>
      <c r="F14" s="31">
        <v>0</v>
      </c>
      <c r="G14" s="31"/>
      <c r="H14" s="31">
        <f>Cty_Nang_Luong_Tu_Hiep[[#This Row],[ĐƠN GIÁ]]*Cty_Nang_Luong_Tu_Hiep[[#This Row],[SỐ LƯỢNG]]</f>
        <v>0</v>
      </c>
      <c r="I14" s="31">
        <v>207232000</v>
      </c>
      <c r="J14" s="31">
        <f>J13+Cty_Nang_Luong_Tu_Hiep[[#This Row],[THÀNH TIỀN]]-Cty_Nang_Luong_Tu_Hiep[[#This Row],[THANH TOÁN]]</f>
        <v>0</v>
      </c>
      <c r="K14" s="24"/>
    </row>
    <row r="15" spans="1:11" x14ac:dyDescent="0.25">
      <c r="A15" s="22">
        <v>9300</v>
      </c>
      <c r="B15" s="29">
        <v>46152</v>
      </c>
      <c r="C15" s="23" t="s">
        <v>13</v>
      </c>
      <c r="D15" s="37" t="s">
        <v>355</v>
      </c>
      <c r="E15" s="23" t="s">
        <v>2002</v>
      </c>
      <c r="F15" s="31">
        <v>130</v>
      </c>
      <c r="G15" s="31">
        <v>66000</v>
      </c>
      <c r="H15" s="31">
        <f>Cty_Nang_Luong_Tu_Hiep[[#This Row],[ĐƠN GIÁ]]*Cty_Nang_Luong_Tu_Hiep[[#This Row],[SỐ LƯỢNG]]</f>
        <v>8580000</v>
      </c>
      <c r="I15" s="31"/>
      <c r="J15" s="31">
        <f>J14+Cty_Nang_Luong_Tu_Hiep[[#This Row],[THÀNH TIỀN]]-Cty_Nang_Luong_Tu_Hiep[[#This Row],[THANH TOÁN]]</f>
        <v>8580000</v>
      </c>
      <c r="K15" s="24"/>
    </row>
    <row r="16" spans="1:11" x14ac:dyDescent="0.25">
      <c r="A16" s="22">
        <v>9300</v>
      </c>
      <c r="B16" s="29">
        <v>46152</v>
      </c>
      <c r="C16" s="23" t="s">
        <v>426</v>
      </c>
      <c r="D16" s="37" t="s">
        <v>355</v>
      </c>
      <c r="E16" s="23" t="s">
        <v>116</v>
      </c>
      <c r="F16" s="31">
        <v>70</v>
      </c>
      <c r="G16" s="31">
        <v>-64000</v>
      </c>
      <c r="H16" s="31">
        <f>Cty_Nang_Luong_Tu_Hiep[[#This Row],[ĐƠN GIÁ]]*Cty_Nang_Luong_Tu_Hiep[[#This Row],[SỐ LƯỢNG]]</f>
        <v>-4480000</v>
      </c>
      <c r="I16" s="31"/>
      <c r="J16" s="31">
        <f>J15+Cty_Nang_Luong_Tu_Hiep[[#This Row],[THÀNH TIỀN]]-Cty_Nang_Luong_Tu_Hiep[[#This Row],[THANH TOÁN]]</f>
        <v>4100000</v>
      </c>
      <c r="K16" s="24"/>
    </row>
    <row r="17" spans="1:11" x14ac:dyDescent="0.25">
      <c r="A17" s="22"/>
      <c r="B17" s="29">
        <v>46158</v>
      </c>
      <c r="C17" s="23" t="s">
        <v>21</v>
      </c>
      <c r="D17" s="37" t="s">
        <v>22</v>
      </c>
      <c r="E17" s="23" t="s">
        <v>147</v>
      </c>
      <c r="F17" s="31">
        <v>0</v>
      </c>
      <c r="G17" s="31"/>
      <c r="H17" s="31">
        <f>Cty_Nang_Luong_Tu_Hiep[[#This Row],[ĐƠN GIÁ]]*Cty_Nang_Luong_Tu_Hiep[[#This Row],[SỐ LƯỢNG]]</f>
        <v>0</v>
      </c>
      <c r="I17" s="31">
        <v>70000000</v>
      </c>
      <c r="J17" s="31">
        <f>J16+Cty_Nang_Luong_Tu_Hiep[[#This Row],[THÀNH TIỀN]]-Cty_Nang_Luong_Tu_Hiep[[#This Row],[THANH TOÁN]]</f>
        <v>-65900000</v>
      </c>
      <c r="K17" s="24"/>
    </row>
    <row r="18" spans="1:11" x14ac:dyDescent="0.25">
      <c r="A18" s="22">
        <v>9490</v>
      </c>
      <c r="B18" s="29">
        <v>46161</v>
      </c>
      <c r="C18" s="23" t="s">
        <v>13</v>
      </c>
      <c r="D18" s="37" t="s">
        <v>50</v>
      </c>
      <c r="E18" s="23" t="s">
        <v>1106</v>
      </c>
      <c r="F18" s="31">
        <v>4892</v>
      </c>
      <c r="G18" s="31">
        <v>65000</v>
      </c>
      <c r="H18" s="31">
        <f>Cty_Nang_Luong_Tu_Hiep[[#This Row],[ĐƠN GIÁ]]*Cty_Nang_Luong_Tu_Hiep[[#This Row],[SỐ LƯỢNG]]</f>
        <v>317980000</v>
      </c>
      <c r="I18" s="31"/>
      <c r="J18" s="31">
        <f>J17+Cty_Nang_Luong_Tu_Hiep[[#This Row],[THÀNH TIỀN]]-Cty_Nang_Luong_Tu_Hiep[[#This Row],[THANH TOÁN]]</f>
        <v>252080000</v>
      </c>
      <c r="K18" s="24"/>
    </row>
    <row r="19" spans="1:11" x14ac:dyDescent="0.25">
      <c r="A19" s="22">
        <v>9490</v>
      </c>
      <c r="B19" s="29">
        <v>46161</v>
      </c>
      <c r="C19" s="23" t="s">
        <v>13</v>
      </c>
      <c r="D19" s="37" t="s">
        <v>1965</v>
      </c>
      <c r="E19" s="23" t="s">
        <v>2223</v>
      </c>
      <c r="F19" s="31">
        <v>4576.5</v>
      </c>
      <c r="G19" s="31">
        <v>72000</v>
      </c>
      <c r="H19" s="31">
        <f>Cty_Nang_Luong_Tu_Hiep[[#This Row],[ĐƠN GIÁ]]*Cty_Nang_Luong_Tu_Hiep[[#This Row],[SỐ LƯỢNG]]</f>
        <v>329508000</v>
      </c>
      <c r="I19" s="31"/>
      <c r="J19" s="31">
        <f>J18+Cty_Nang_Luong_Tu_Hiep[[#This Row],[THÀNH TIỀN]]-Cty_Nang_Luong_Tu_Hiep[[#This Row],[THANH TOÁN]]</f>
        <v>581588000</v>
      </c>
      <c r="K19" s="24"/>
    </row>
    <row r="20" spans="1:11" x14ac:dyDescent="0.25">
      <c r="A20" s="22">
        <v>9535</v>
      </c>
      <c r="B20" s="29">
        <v>46163</v>
      </c>
      <c r="C20" s="23" t="s">
        <v>13</v>
      </c>
      <c r="D20" s="37" t="s">
        <v>50</v>
      </c>
      <c r="E20" s="23" t="s">
        <v>111</v>
      </c>
      <c r="F20" s="31">
        <v>3434</v>
      </c>
      <c r="G20" s="31">
        <v>65000</v>
      </c>
      <c r="H20" s="31">
        <f>Cty_Nang_Luong_Tu_Hiep[[#This Row],[ĐƠN GIÁ]]*Cty_Nang_Luong_Tu_Hiep[[#This Row],[SỐ LƯỢNG]]</f>
        <v>223210000</v>
      </c>
      <c r="I20" s="31"/>
      <c r="J20" s="31">
        <f>J19+Cty_Nang_Luong_Tu_Hiep[[#This Row],[THÀNH TIỀN]]-Cty_Nang_Luong_Tu_Hiep[[#This Row],[THANH TOÁN]]</f>
        <v>804798000</v>
      </c>
      <c r="K20" s="24"/>
    </row>
    <row r="21" spans="1:11" x14ac:dyDescent="0.25">
      <c r="A21" s="22">
        <v>9535</v>
      </c>
      <c r="B21" s="29">
        <v>46163</v>
      </c>
      <c r="C21" s="23" t="s">
        <v>13</v>
      </c>
      <c r="D21" s="37" t="s">
        <v>50</v>
      </c>
      <c r="E21" s="23" t="s">
        <v>151</v>
      </c>
      <c r="F21" s="31">
        <v>1098</v>
      </c>
      <c r="G21" s="31">
        <v>65000</v>
      </c>
      <c r="H21" s="31">
        <f>Cty_Nang_Luong_Tu_Hiep[[#This Row],[ĐƠN GIÁ]]*Cty_Nang_Luong_Tu_Hiep[[#This Row],[SỐ LƯỢNG]]</f>
        <v>71370000</v>
      </c>
      <c r="I21" s="31"/>
      <c r="J21" s="31">
        <f>J20+Cty_Nang_Luong_Tu_Hiep[[#This Row],[THÀNH TIỀN]]-Cty_Nang_Luong_Tu_Hiep[[#This Row],[THANH TOÁN]]</f>
        <v>876168000</v>
      </c>
      <c r="K21" s="24"/>
    </row>
    <row r="22" spans="1:11" x14ac:dyDescent="0.25">
      <c r="A22" s="22">
        <v>9535</v>
      </c>
      <c r="B22" s="29">
        <v>46163</v>
      </c>
      <c r="C22" s="23" t="s">
        <v>13</v>
      </c>
      <c r="D22" s="37" t="s">
        <v>50</v>
      </c>
      <c r="E22" s="23" t="s">
        <v>2271</v>
      </c>
      <c r="F22" s="31">
        <v>68</v>
      </c>
      <c r="G22" s="31">
        <v>68000</v>
      </c>
      <c r="H22" s="31">
        <f>Cty_Nang_Luong_Tu_Hiep[[#This Row],[ĐƠN GIÁ]]*Cty_Nang_Luong_Tu_Hiep[[#This Row],[SỐ LƯỢNG]]</f>
        <v>4624000</v>
      </c>
      <c r="I22" s="31"/>
      <c r="J22" s="31">
        <f>J21+Cty_Nang_Luong_Tu_Hiep[[#This Row],[THÀNH TIỀN]]-Cty_Nang_Luong_Tu_Hiep[[#This Row],[THANH TOÁN]]</f>
        <v>880792000</v>
      </c>
      <c r="K22" s="24"/>
    </row>
    <row r="23" spans="1:11" x14ac:dyDescent="0.25">
      <c r="A23" s="22">
        <v>9535</v>
      </c>
      <c r="B23" s="29">
        <v>46163</v>
      </c>
      <c r="C23" s="23" t="s">
        <v>13</v>
      </c>
      <c r="D23" s="37" t="s">
        <v>1965</v>
      </c>
      <c r="E23" s="23" t="s">
        <v>2240</v>
      </c>
      <c r="F23" s="31">
        <v>815</v>
      </c>
      <c r="G23" s="31">
        <v>74000</v>
      </c>
      <c r="H23" s="31">
        <f>Cty_Nang_Luong_Tu_Hiep[[#This Row],[ĐƠN GIÁ]]*Cty_Nang_Luong_Tu_Hiep[[#This Row],[SỐ LƯỢNG]]</f>
        <v>60310000</v>
      </c>
      <c r="I23" s="31"/>
      <c r="J23" s="31">
        <f>J22+Cty_Nang_Luong_Tu_Hiep[[#This Row],[THÀNH TIỀN]]-Cty_Nang_Luong_Tu_Hiep[[#This Row],[THANH TOÁN]]</f>
        <v>941102000</v>
      </c>
      <c r="K23" s="24"/>
    </row>
    <row r="24" spans="1:11" x14ac:dyDescent="0.25">
      <c r="A24" s="22">
        <v>9535</v>
      </c>
      <c r="B24" s="29">
        <v>46163</v>
      </c>
      <c r="C24" s="23" t="s">
        <v>13</v>
      </c>
      <c r="D24" s="37" t="s">
        <v>1951</v>
      </c>
      <c r="E24" s="23" t="s">
        <v>2272</v>
      </c>
      <c r="F24" s="31">
        <v>19</v>
      </c>
      <c r="G24" s="31">
        <v>75000</v>
      </c>
      <c r="H24" s="31">
        <f>Cty_Nang_Luong_Tu_Hiep[[#This Row],[ĐƠN GIÁ]]*Cty_Nang_Luong_Tu_Hiep[[#This Row],[SỐ LƯỢNG]]</f>
        <v>1425000</v>
      </c>
      <c r="I24" s="31">
        <v>-3535</v>
      </c>
      <c r="J24" s="31">
        <f>J23+Cty_Nang_Luong_Tu_Hiep[[#This Row],[THÀNH TIỀN]]-Cty_Nang_Luong_Tu_Hiep[[#This Row],[THANH TOÁN]]</f>
        <v>942530535</v>
      </c>
      <c r="K24" s="24"/>
    </row>
    <row r="25" spans="1:11" x14ac:dyDescent="0.25">
      <c r="A25" s="22"/>
      <c r="B25" s="29">
        <v>46160</v>
      </c>
      <c r="C25" s="23" t="s">
        <v>21</v>
      </c>
      <c r="D25" s="37" t="s">
        <v>22</v>
      </c>
      <c r="E25" s="23" t="s">
        <v>147</v>
      </c>
      <c r="F25" s="31">
        <v>0</v>
      </c>
      <c r="G25" s="31"/>
      <c r="H25" s="31">
        <f>Cty_Nang_Luong_Tu_Hiep[[#This Row],[ĐƠN GIÁ]]*Cty_Nang_Luong_Tu_Hiep[[#This Row],[SỐ LƯỢNG]]</f>
        <v>0</v>
      </c>
      <c r="I25" s="31">
        <v>30000000</v>
      </c>
      <c r="J25" s="31">
        <f>J24+Cty_Nang_Luong_Tu_Hiep[[#This Row],[THÀNH TIỀN]]-Cty_Nang_Luong_Tu_Hiep[[#This Row],[THANH TOÁN]]</f>
        <v>912530535</v>
      </c>
      <c r="K25" s="24"/>
    </row>
    <row r="26" spans="1:11" x14ac:dyDescent="0.25">
      <c r="A26" s="22"/>
      <c r="B26" s="29">
        <v>46165</v>
      </c>
      <c r="C26" s="23" t="s">
        <v>21</v>
      </c>
      <c r="D26" s="37" t="s">
        <v>22</v>
      </c>
      <c r="E26" s="23" t="s">
        <v>147</v>
      </c>
      <c r="F26" s="31">
        <v>0</v>
      </c>
      <c r="G26" s="31"/>
      <c r="H26" s="31">
        <f>Cty_Nang_Luong_Tu_Hiep[[#This Row],[ĐƠN GIÁ]]*Cty_Nang_Luong_Tu_Hiep[[#This Row],[SỐ LƯỢNG]]</f>
        <v>0</v>
      </c>
      <c r="I26" s="31">
        <v>912530535</v>
      </c>
      <c r="J26" s="31">
        <f>J25+Cty_Nang_Luong_Tu_Hiep[[#This Row],[THÀNH TIỀN]]-Cty_Nang_Luong_Tu_Hiep[[#This Row],[THANH TOÁN]]</f>
        <v>0</v>
      </c>
      <c r="K26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83EB4-3CCF-4B3D-851B-2E6F4191E22B}">
  <sheetPr codeName="Sheet120"/>
  <dimension ref="A5:K20"/>
  <sheetViews>
    <sheetView workbookViewId="0">
      <selection activeCell="B12" sqref="B12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-104589488</v>
      </c>
    </row>
    <row r="6" spans="1:11" ht="22.5" x14ac:dyDescent="0.25">
      <c r="D6" s="34" t="s">
        <v>1296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C_Hanh_Cty_Duc_Phat[[#This Row],[ĐƠN GIÁ]]*C_Hanh_Cty_Duc_Phat[[#This Row],[SỐ LƯỢNG]]</f>
        <v>0</v>
      </c>
      <c r="I10" s="31"/>
      <c r="J10" s="31">
        <v>-30741984</v>
      </c>
      <c r="K10" s="24"/>
    </row>
    <row r="11" spans="1:11" x14ac:dyDescent="0.25">
      <c r="A11" s="22">
        <v>8164</v>
      </c>
      <c r="B11" s="29">
        <v>46098</v>
      </c>
      <c r="C11" s="23" t="s">
        <v>13</v>
      </c>
      <c r="D11" s="37" t="s">
        <v>26</v>
      </c>
      <c r="E11" s="23" t="s">
        <v>1297</v>
      </c>
      <c r="F11" s="31">
        <f>2654+2980+1290+1926</f>
        <v>8850</v>
      </c>
      <c r="G11" s="31">
        <v>27500</v>
      </c>
      <c r="H11" s="31">
        <f>C_Hanh_Cty_Duc_Phat[[#This Row],[ĐƠN GIÁ]]*C_Hanh_Cty_Duc_Phat[[#This Row],[SỐ LƯỢNG]]</f>
        <v>243375000</v>
      </c>
      <c r="I11" s="31"/>
      <c r="J11" s="31">
        <f>J10+C_Hanh_Cty_Duc_Phat[[#This Row],[THÀNH TIỀN]]-C_Hanh_Cty_Duc_Phat[[#This Row],[THANH TOÁN]]</f>
        <v>212633016</v>
      </c>
      <c r="K11" s="24"/>
    </row>
    <row r="12" spans="1:11" x14ac:dyDescent="0.25">
      <c r="A12" s="22">
        <v>8164</v>
      </c>
      <c r="B12" s="29">
        <v>46098</v>
      </c>
      <c r="C12" s="23" t="s">
        <v>13</v>
      </c>
      <c r="D12" s="37" t="s">
        <v>26</v>
      </c>
      <c r="E12" s="23" t="s">
        <v>1298</v>
      </c>
      <c r="F12" s="31">
        <f>1776+2624+1820+1758+2166+2000+2386+2506</f>
        <v>17036</v>
      </c>
      <c r="G12" s="31">
        <v>27500</v>
      </c>
      <c r="H12" s="31">
        <f>C_Hanh_Cty_Duc_Phat[[#This Row],[ĐƠN GIÁ]]*C_Hanh_Cty_Duc_Phat[[#This Row],[SỐ LƯỢNG]]</f>
        <v>468490000</v>
      </c>
      <c r="I12" s="31"/>
      <c r="J12" s="31">
        <f>J11+C_Hanh_Cty_Duc_Phat[[#This Row],[THÀNH TIỀN]]-C_Hanh_Cty_Duc_Phat[[#This Row],[THANH TOÁN]]</f>
        <v>681123016</v>
      </c>
      <c r="K12" s="24"/>
    </row>
    <row r="13" spans="1:11" x14ac:dyDescent="0.25">
      <c r="A13" s="25">
        <v>8167</v>
      </c>
      <c r="B13" s="30">
        <v>46099</v>
      </c>
      <c r="C13" s="26" t="s">
        <v>13</v>
      </c>
      <c r="D13" s="38" t="s">
        <v>26</v>
      </c>
      <c r="E13" s="26" t="s">
        <v>1299</v>
      </c>
      <c r="F13" s="28">
        <f>2418+2484+1900+1914</f>
        <v>8716</v>
      </c>
      <c r="G13" s="28">
        <v>27500</v>
      </c>
      <c r="H13" s="28">
        <f>C_Hanh_Cty_Duc_Phat[[#This Row],[ĐƠN GIÁ]]*C_Hanh_Cty_Duc_Phat[[#This Row],[SỐ LƯỢNG]]</f>
        <v>239690000</v>
      </c>
      <c r="I13" s="28"/>
      <c r="J13" s="28">
        <f>J12+C_Hanh_Cty_Duc_Phat[[#This Row],[THÀNH TIỀN]]-C_Hanh_Cty_Duc_Phat[[#This Row],[THANH TOÁN]]</f>
        <v>920813016</v>
      </c>
      <c r="K13" s="27"/>
    </row>
    <row r="14" spans="1:11" x14ac:dyDescent="0.25">
      <c r="A14" s="25">
        <v>8196</v>
      </c>
      <c r="B14" s="30">
        <v>46100</v>
      </c>
      <c r="C14" s="26" t="s">
        <v>13</v>
      </c>
      <c r="D14" s="38" t="s">
        <v>26</v>
      </c>
      <c r="E14" s="26" t="s">
        <v>1300</v>
      </c>
      <c r="F14" s="28">
        <v>2454</v>
      </c>
      <c r="G14" s="28">
        <v>27500</v>
      </c>
      <c r="H14" s="28">
        <f>C_Hanh_Cty_Duc_Phat[[#This Row],[ĐƠN GIÁ]]*C_Hanh_Cty_Duc_Phat[[#This Row],[SỐ LƯỢNG]]</f>
        <v>67485000</v>
      </c>
      <c r="I14" s="28"/>
      <c r="J14" s="28">
        <f>J13+C_Hanh_Cty_Duc_Phat[[#This Row],[THÀNH TIỀN]]-C_Hanh_Cty_Duc_Phat[[#This Row],[THANH TOÁN]]</f>
        <v>988298016</v>
      </c>
      <c r="K14" s="27"/>
    </row>
    <row r="15" spans="1:11" x14ac:dyDescent="0.25">
      <c r="A15" s="25"/>
      <c r="B15" s="30">
        <v>46104</v>
      </c>
      <c r="C15" s="26" t="s">
        <v>21</v>
      </c>
      <c r="D15" s="38" t="s">
        <v>260</v>
      </c>
      <c r="E15" s="26" t="s">
        <v>261</v>
      </c>
      <c r="F15" s="28">
        <v>0</v>
      </c>
      <c r="G15" s="28">
        <v>0</v>
      </c>
      <c r="H15" s="28">
        <f>C_Hanh_Cty_Duc_Phat[[#This Row],[ĐƠN GIÁ]]*C_Hanh_Cty_Duc_Phat[[#This Row],[SỐ LƯỢNG]]</f>
        <v>0</v>
      </c>
      <c r="I15" s="28">
        <f>600000000+387459126</f>
        <v>987459126</v>
      </c>
      <c r="J15" s="28">
        <f>J14+C_Hanh_Cty_Duc_Phat[[#This Row],[THÀNH TIỀN]]-C_Hanh_Cty_Duc_Phat[[#This Row],[THANH TOÁN]]</f>
        <v>838890</v>
      </c>
      <c r="K15" s="27"/>
    </row>
    <row r="16" spans="1:11" x14ac:dyDescent="0.25">
      <c r="A16" s="25"/>
      <c r="B16" s="30">
        <v>46108</v>
      </c>
      <c r="C16" s="26" t="s">
        <v>21</v>
      </c>
      <c r="D16" s="38" t="s">
        <v>22</v>
      </c>
      <c r="E16" s="26" t="s">
        <v>147</v>
      </c>
      <c r="F16" s="28">
        <v>0</v>
      </c>
      <c r="G16" s="28">
        <v>0</v>
      </c>
      <c r="H16" s="28">
        <f>C_Hanh_Cty_Duc_Phat[[#This Row],[ĐƠN GIÁ]]*C_Hanh_Cty_Duc_Phat[[#This Row],[SỐ LƯỢNG]]</f>
        <v>0</v>
      </c>
      <c r="I16" s="28">
        <v>105428378</v>
      </c>
      <c r="J16" s="28">
        <f>J15+C_Hanh_Cty_Duc_Phat[[#This Row],[THÀNH TIỀN]]-C_Hanh_Cty_Duc_Phat[[#This Row],[THANH TOÁN]]</f>
        <v>-104589488</v>
      </c>
      <c r="K16" s="27"/>
    </row>
    <row r="17" spans="1:11" x14ac:dyDescent="0.25">
      <c r="A17" s="22">
        <v>8806</v>
      </c>
      <c r="B17" s="29">
        <v>46127</v>
      </c>
      <c r="C17" s="23" t="s">
        <v>242</v>
      </c>
      <c r="D17" s="37" t="s">
        <v>26</v>
      </c>
      <c r="E17" s="23" t="s">
        <v>747</v>
      </c>
      <c r="F17" s="31">
        <v>6248</v>
      </c>
      <c r="G17" s="31"/>
      <c r="H17" s="31">
        <f>C_Hanh_Cty_Duc_Phat[[#This Row],[ĐƠN GIÁ]]*C_Hanh_Cty_Duc_Phat[[#This Row],[SỐ LƯỢNG]]</f>
        <v>0</v>
      </c>
      <c r="I17" s="31"/>
      <c r="J17" s="31">
        <f>J16+C_Hanh_Cty_Duc_Phat[[#This Row],[THÀNH TIỀN]]-C_Hanh_Cty_Duc_Phat[[#This Row],[THANH TOÁN]]</f>
        <v>-104589488</v>
      </c>
      <c r="K17" s="24"/>
    </row>
    <row r="18" spans="1:11" x14ac:dyDescent="0.25">
      <c r="A18" s="22">
        <v>8806</v>
      </c>
      <c r="B18" s="29">
        <v>46127</v>
      </c>
      <c r="C18" s="23" t="s">
        <v>242</v>
      </c>
      <c r="D18" s="37" t="s">
        <v>26</v>
      </c>
      <c r="E18" s="23" t="s">
        <v>747</v>
      </c>
      <c r="F18" s="31">
        <v>4740</v>
      </c>
      <c r="G18" s="31"/>
      <c r="H18" s="31">
        <f>C_Hanh_Cty_Duc_Phat[[#This Row],[ĐƠN GIÁ]]*C_Hanh_Cty_Duc_Phat[[#This Row],[SỐ LƯỢNG]]</f>
        <v>0</v>
      </c>
      <c r="I18" s="31"/>
      <c r="J18" s="31">
        <f>J17+C_Hanh_Cty_Duc_Phat[[#This Row],[THÀNH TIỀN]]-C_Hanh_Cty_Duc_Phat[[#This Row],[THANH TOÁN]]</f>
        <v>-104589488</v>
      </c>
      <c r="K18" s="24"/>
    </row>
    <row r="19" spans="1:11" x14ac:dyDescent="0.25">
      <c r="A19" s="22">
        <v>9325</v>
      </c>
      <c r="B19" s="29">
        <v>46153</v>
      </c>
      <c r="C19" s="23" t="s">
        <v>1354</v>
      </c>
      <c r="D19" s="37" t="s">
        <v>26</v>
      </c>
      <c r="E19" s="23" t="s">
        <v>747</v>
      </c>
      <c r="F19" s="31">
        <v>25984</v>
      </c>
      <c r="G19" s="31"/>
      <c r="H19" s="31">
        <f>C_Hanh_Cty_Duc_Phat[[#This Row],[ĐƠN GIÁ]]*C_Hanh_Cty_Duc_Phat[[#This Row],[SỐ LƯỢNG]]</f>
        <v>0</v>
      </c>
      <c r="I19" s="31"/>
      <c r="J19" s="31">
        <f>J18+C_Hanh_Cty_Duc_Phat[[#This Row],[THÀNH TIỀN]]-C_Hanh_Cty_Duc_Phat[[#This Row],[THANH TOÁN]]</f>
        <v>-104589488</v>
      </c>
      <c r="K19" s="24"/>
    </row>
    <row r="20" spans="1:11" x14ac:dyDescent="0.25">
      <c r="A20" s="22">
        <v>9325</v>
      </c>
      <c r="B20" s="29">
        <v>46153</v>
      </c>
      <c r="C20" s="23" t="s">
        <v>1354</v>
      </c>
      <c r="D20" s="37" t="s">
        <v>26</v>
      </c>
      <c r="E20" s="23" t="s">
        <v>2018</v>
      </c>
      <c r="F20" s="31">
        <v>523</v>
      </c>
      <c r="G20" s="31"/>
      <c r="H20" s="31">
        <f>C_Hanh_Cty_Duc_Phat[[#This Row],[ĐƠN GIÁ]]*C_Hanh_Cty_Duc_Phat[[#This Row],[SỐ LƯỢNG]]</f>
        <v>0</v>
      </c>
      <c r="I20" s="31"/>
      <c r="J20" s="31">
        <f>J19+C_Hanh_Cty_Duc_Phat[[#This Row],[THÀNH TIỀN]]-C_Hanh_Cty_Duc_Phat[[#This Row],[THANH TOÁN]]</f>
        <v>-104589488</v>
      </c>
      <c r="K20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F934F7-D171-4D4E-8686-7B183494B256}">
  <sheetPr codeName="Sheet121"/>
  <dimension ref="A5:K15"/>
  <sheetViews>
    <sheetView workbookViewId="0">
      <selection activeCell="I13" sqref="I13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0</v>
      </c>
    </row>
    <row r="6" spans="1:11" ht="22.5" x14ac:dyDescent="0.25">
      <c r="D6" s="34" t="s">
        <v>1301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Cty_Bao_Lam[[#This Row],[ĐƠN GIÁ]]*Cty_Bao_Lam[[#This Row],[SỐ LƯỢNG]]</f>
        <v>0</v>
      </c>
      <c r="I10" s="31"/>
      <c r="J10" s="31">
        <v>0</v>
      </c>
      <c r="K10" s="24"/>
    </row>
    <row r="11" spans="1:11" x14ac:dyDescent="0.25">
      <c r="A11" s="22">
        <v>8171</v>
      </c>
      <c r="B11" s="29">
        <v>46099</v>
      </c>
      <c r="C11" s="23" t="s">
        <v>13</v>
      </c>
      <c r="D11" s="37" t="s">
        <v>50</v>
      </c>
      <c r="E11" s="23" t="s">
        <v>378</v>
      </c>
      <c r="F11" s="31">
        <v>4072</v>
      </c>
      <c r="G11" s="31">
        <v>60500</v>
      </c>
      <c r="H11" s="31">
        <f>Cty_Bao_Lam[[#This Row],[ĐƠN GIÁ]]*Cty_Bao_Lam[[#This Row],[SỐ LƯỢNG]]</f>
        <v>246356000</v>
      </c>
      <c r="I11" s="31"/>
      <c r="J11" s="31">
        <f>J10+Cty_Bao_Lam[[#This Row],[THÀNH TIỀN]]-Cty_Bao_Lam[[#This Row],[THANH TOÁN]]</f>
        <v>246356000</v>
      </c>
      <c r="K11" s="24"/>
    </row>
    <row r="12" spans="1:11" x14ac:dyDescent="0.25">
      <c r="A12" s="22">
        <v>8171</v>
      </c>
      <c r="B12" s="29">
        <v>46099</v>
      </c>
      <c r="C12" s="23" t="s">
        <v>13</v>
      </c>
      <c r="D12" s="37" t="s">
        <v>1302</v>
      </c>
      <c r="E12" s="23" t="s">
        <v>1303</v>
      </c>
      <c r="F12" s="31">
        <v>28</v>
      </c>
      <c r="G12" s="31">
        <v>140000</v>
      </c>
      <c r="H12" s="31">
        <f>Cty_Bao_Lam[[#This Row],[ĐƠN GIÁ]]*Cty_Bao_Lam[[#This Row],[SỐ LƯỢNG]]</f>
        <v>3920000</v>
      </c>
      <c r="I12" s="31"/>
      <c r="J12" s="31">
        <f>J11+Cty_Bao_Lam[[#This Row],[THÀNH TIỀN]]-Cty_Bao_Lam[[#This Row],[THANH TOÁN]]</f>
        <v>250276000</v>
      </c>
      <c r="K12" s="24"/>
    </row>
    <row r="13" spans="1:11" x14ac:dyDescent="0.25">
      <c r="A13" s="22">
        <v>8171</v>
      </c>
      <c r="B13" s="29">
        <v>46099</v>
      </c>
      <c r="C13" s="23" t="s">
        <v>13</v>
      </c>
      <c r="D13" s="37" t="s">
        <v>1302</v>
      </c>
      <c r="E13" s="23" t="s">
        <v>1304</v>
      </c>
      <c r="F13" s="31">
        <v>94</v>
      </c>
      <c r="G13" s="31">
        <v>140000</v>
      </c>
      <c r="H13" s="31">
        <f>Cty_Bao_Lam[[#This Row],[ĐƠN GIÁ]]*Cty_Bao_Lam[[#This Row],[SỐ LƯỢNG]]</f>
        <v>13160000</v>
      </c>
      <c r="I13" s="31"/>
      <c r="J13" s="31">
        <f>J12+Cty_Bao_Lam[[#This Row],[THÀNH TIỀN]]-Cty_Bao_Lam[[#This Row],[THANH TOÁN]]</f>
        <v>263436000</v>
      </c>
      <c r="K13" s="24"/>
    </row>
    <row r="14" spans="1:11" x14ac:dyDescent="0.25">
      <c r="A14" s="25"/>
      <c r="B14" s="30">
        <v>46097</v>
      </c>
      <c r="C14" s="26" t="s">
        <v>21</v>
      </c>
      <c r="D14" s="38" t="s">
        <v>1305</v>
      </c>
      <c r="E14" s="26" t="s">
        <v>147</v>
      </c>
      <c r="F14" s="28">
        <v>0</v>
      </c>
      <c r="G14" s="28">
        <v>0</v>
      </c>
      <c r="H14" s="28">
        <f>Cty_Bao_Lam[[#This Row],[ĐƠN GIÁ]]*Cty_Bao_Lam[[#This Row],[SỐ LƯỢNG]]</f>
        <v>0</v>
      </c>
      <c r="I14" s="28">
        <v>79000000</v>
      </c>
      <c r="J14" s="28">
        <f>J13+Cty_Bao_Lam[[#This Row],[THÀNH TIỀN]]-Cty_Bao_Lam[[#This Row],[THANH TOÁN]]</f>
        <v>184436000</v>
      </c>
      <c r="K14" s="27"/>
    </row>
    <row r="15" spans="1:11" x14ac:dyDescent="0.25">
      <c r="A15" s="25"/>
      <c r="B15" s="30">
        <v>46099</v>
      </c>
      <c r="C15" s="26" t="s">
        <v>21</v>
      </c>
      <c r="D15" s="38" t="s">
        <v>1305</v>
      </c>
      <c r="E15" s="26" t="s">
        <v>147</v>
      </c>
      <c r="F15" s="28">
        <v>0</v>
      </c>
      <c r="G15" s="28">
        <v>0</v>
      </c>
      <c r="H15" s="28">
        <f>Cty_Bao_Lam[[#This Row],[ĐƠN GIÁ]]*Cty_Bao_Lam[[#This Row],[SỐ LƯỢNG]]</f>
        <v>0</v>
      </c>
      <c r="I15" s="28">
        <v>184436000</v>
      </c>
      <c r="J15" s="28">
        <f>J14+Cty_Bao_Lam[[#This Row],[THÀNH TIỀN]]-Cty_Bao_Lam[[#This Row],[THANH TOÁN]]</f>
        <v>0</v>
      </c>
      <c r="K15" s="27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21C64-A9C8-465D-BF61-FE8F0FAA5DBE}">
  <sheetPr codeName="Sheet122"/>
  <dimension ref="A5:K20"/>
  <sheetViews>
    <sheetView workbookViewId="0"/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91032419</v>
      </c>
    </row>
    <row r="6" spans="1:11" ht="22.5" x14ac:dyDescent="0.25">
      <c r="D6" s="34" t="s">
        <v>1306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Cty_Toan_Phat_HP[[#This Row],[ĐƠN GIÁ]]*Cty_Toan_Phat_HP[[#This Row],[SỐ LƯỢNG]]</f>
        <v>0</v>
      </c>
      <c r="I10" s="31"/>
      <c r="J10" s="31">
        <v>0</v>
      </c>
      <c r="K10" s="24"/>
    </row>
    <row r="11" spans="1:11" x14ac:dyDescent="0.25">
      <c r="A11" s="22">
        <v>8180</v>
      </c>
      <c r="B11" s="29">
        <v>46099</v>
      </c>
      <c r="C11" s="23" t="s">
        <v>13</v>
      </c>
      <c r="D11" s="37" t="s">
        <v>17</v>
      </c>
      <c r="E11" s="23" t="s">
        <v>146</v>
      </c>
      <c r="F11" s="31">
        <v>668</v>
      </c>
      <c r="G11" s="31">
        <v>60500</v>
      </c>
      <c r="H11" s="31">
        <f>Cty_Toan_Phat_HP[[#This Row],[ĐƠN GIÁ]]*Cty_Toan_Phat_HP[[#This Row],[SỐ LƯỢNG]]</f>
        <v>40414000</v>
      </c>
      <c r="I11" s="31"/>
      <c r="J11" s="31">
        <f>J10+Cty_Toan_Phat_HP[[#This Row],[THÀNH TIỀN]]-Cty_Toan_Phat_HP[[#This Row],[THANH TOÁN]]</f>
        <v>40414000</v>
      </c>
      <c r="K11" s="24"/>
    </row>
    <row r="12" spans="1:11" x14ac:dyDescent="0.25">
      <c r="A12" s="22">
        <v>8180</v>
      </c>
      <c r="B12" s="29">
        <v>46099</v>
      </c>
      <c r="C12" s="23" t="s">
        <v>13</v>
      </c>
      <c r="D12" s="37" t="s">
        <v>75</v>
      </c>
      <c r="E12" s="23" t="s">
        <v>1307</v>
      </c>
      <c r="F12" s="31">
        <v>284</v>
      </c>
      <c r="G12" s="31">
        <v>38000</v>
      </c>
      <c r="H12" s="31">
        <f>Cty_Toan_Phat_HP[[#This Row],[ĐƠN GIÁ]]*Cty_Toan_Phat_HP[[#This Row],[SỐ LƯỢNG]]</f>
        <v>10792000</v>
      </c>
      <c r="I12" s="31"/>
      <c r="J12" s="31">
        <f>J11+Cty_Toan_Phat_HP[[#This Row],[THÀNH TIỀN]]-Cty_Toan_Phat_HP[[#This Row],[THANH TOÁN]]</f>
        <v>51206000</v>
      </c>
      <c r="K12" s="24"/>
    </row>
    <row r="13" spans="1:11" x14ac:dyDescent="0.25">
      <c r="A13" s="22">
        <v>8528</v>
      </c>
      <c r="B13" s="29">
        <v>46115</v>
      </c>
      <c r="C13" s="23" t="s">
        <v>13</v>
      </c>
      <c r="D13" s="37" t="s">
        <v>32</v>
      </c>
      <c r="E13" s="23" t="s">
        <v>40</v>
      </c>
      <c r="F13" s="31">
        <v>525</v>
      </c>
      <c r="G13" s="31">
        <v>43000</v>
      </c>
      <c r="H13" s="31">
        <f>Cty_Toan_Phat_HP[[#This Row],[ĐƠN GIÁ]]*Cty_Toan_Phat_HP[[#This Row],[SỐ LƯỢNG]]</f>
        <v>22575000</v>
      </c>
      <c r="I13" s="31"/>
      <c r="J13" s="31">
        <f>J12+Cty_Toan_Phat_HP[[#This Row],[THÀNH TIỀN]]-Cty_Toan_Phat_HP[[#This Row],[THANH TOÁN]]</f>
        <v>73781000</v>
      </c>
      <c r="K13" s="24"/>
    </row>
    <row r="14" spans="1:11" x14ac:dyDescent="0.25">
      <c r="A14" s="22">
        <v>8528</v>
      </c>
      <c r="B14" s="29">
        <v>46115</v>
      </c>
      <c r="C14" s="23" t="s">
        <v>13</v>
      </c>
      <c r="D14" s="37" t="s">
        <v>17</v>
      </c>
      <c r="E14" s="23" t="s">
        <v>136</v>
      </c>
      <c r="F14" s="31">
        <v>643</v>
      </c>
      <c r="G14" s="31">
        <v>61000</v>
      </c>
      <c r="H14" s="31">
        <f>Cty_Toan_Phat_HP[[#This Row],[ĐƠN GIÁ]]*Cty_Toan_Phat_HP[[#This Row],[SỐ LƯỢNG]]</f>
        <v>39223000</v>
      </c>
      <c r="I14" s="31"/>
      <c r="J14" s="31">
        <f>J13+Cty_Toan_Phat_HP[[#This Row],[THÀNH TIỀN]]-Cty_Toan_Phat_HP[[#This Row],[THANH TOÁN]]</f>
        <v>113004000</v>
      </c>
      <c r="K14" s="24"/>
    </row>
    <row r="15" spans="1:11" x14ac:dyDescent="0.25">
      <c r="A15" s="22"/>
      <c r="B15" s="29">
        <v>46132</v>
      </c>
      <c r="C15" s="23" t="s">
        <v>21</v>
      </c>
      <c r="D15" s="37" t="s">
        <v>22</v>
      </c>
      <c r="E15" s="23" t="s">
        <v>147</v>
      </c>
      <c r="F15" s="31">
        <v>0</v>
      </c>
      <c r="G15" s="31"/>
      <c r="H15" s="31">
        <f>Cty_Toan_Phat_HP[[#This Row],[ĐƠN GIÁ]]*Cty_Toan_Phat_HP[[#This Row],[SỐ LƯỢNG]]</f>
        <v>0</v>
      </c>
      <c r="I15" s="31">
        <v>57235081</v>
      </c>
      <c r="J15" s="31">
        <f>J14+Cty_Toan_Phat_HP[[#This Row],[THÀNH TIỀN]]-Cty_Toan_Phat_HP[[#This Row],[THANH TOÁN]]</f>
        <v>55768919</v>
      </c>
      <c r="K15" s="24"/>
    </row>
    <row r="16" spans="1:11" x14ac:dyDescent="0.25">
      <c r="A16" s="22"/>
      <c r="B16" s="29">
        <v>46148</v>
      </c>
      <c r="C16" s="23" t="s">
        <v>21</v>
      </c>
      <c r="D16" s="37" t="s">
        <v>22</v>
      </c>
      <c r="E16" s="23" t="s">
        <v>147</v>
      </c>
      <c r="F16" s="31">
        <v>0</v>
      </c>
      <c r="G16" s="31"/>
      <c r="H16" s="31">
        <f>Cty_Toan_Phat_HP[[#This Row],[ĐƠN GIÁ]]*Cty_Toan_Phat_HP[[#This Row],[SỐ LƯỢNG]]</f>
        <v>0</v>
      </c>
      <c r="I16" s="31">
        <v>55768000</v>
      </c>
      <c r="J16" s="31">
        <f>J15+Cty_Toan_Phat_HP[[#This Row],[THÀNH TIỀN]]-Cty_Toan_Phat_HP[[#This Row],[THANH TOÁN]]</f>
        <v>919</v>
      </c>
      <c r="K16" s="24"/>
    </row>
    <row r="17" spans="1:11" x14ac:dyDescent="0.25">
      <c r="A17" s="22">
        <v>9407</v>
      </c>
      <c r="B17" s="29">
        <v>46157</v>
      </c>
      <c r="C17" s="23" t="s">
        <v>13</v>
      </c>
      <c r="D17" s="37" t="s">
        <v>17</v>
      </c>
      <c r="E17" s="23" t="s">
        <v>41</v>
      </c>
      <c r="F17" s="31">
        <v>867</v>
      </c>
      <c r="G17" s="31">
        <v>62500</v>
      </c>
      <c r="H17" s="31">
        <f>Cty_Toan_Phat_HP[[#This Row],[ĐƠN GIÁ]]*Cty_Toan_Phat_HP[[#This Row],[SỐ LƯỢNG]]</f>
        <v>54187500</v>
      </c>
      <c r="I17" s="31"/>
      <c r="J17" s="31">
        <f>J16+Cty_Toan_Phat_HP[[#This Row],[THÀNH TIỀN]]-Cty_Toan_Phat_HP[[#This Row],[THANH TOÁN]]</f>
        <v>54188419</v>
      </c>
      <c r="K17" s="24"/>
    </row>
    <row r="18" spans="1:11" x14ac:dyDescent="0.25">
      <c r="A18" s="22">
        <v>9407</v>
      </c>
      <c r="B18" s="29">
        <v>46157</v>
      </c>
      <c r="C18" s="23" t="s">
        <v>13</v>
      </c>
      <c r="D18" s="37" t="s">
        <v>17</v>
      </c>
      <c r="E18" s="23" t="s">
        <v>78</v>
      </c>
      <c r="F18" s="31">
        <v>474</v>
      </c>
      <c r="G18" s="31">
        <v>68500</v>
      </c>
      <c r="H18" s="31">
        <f>Cty_Toan_Phat_HP[[#This Row],[ĐƠN GIÁ]]*Cty_Toan_Phat_HP[[#This Row],[SỐ LƯỢNG]]</f>
        <v>32469000</v>
      </c>
      <c r="I18" s="31"/>
      <c r="J18" s="31">
        <f>J17+Cty_Toan_Phat_HP[[#This Row],[THÀNH TIỀN]]-Cty_Toan_Phat_HP[[#This Row],[THANH TOÁN]]</f>
        <v>86657419</v>
      </c>
      <c r="K18" s="24"/>
    </row>
    <row r="19" spans="1:11" x14ac:dyDescent="0.25">
      <c r="A19" s="22">
        <v>9470</v>
      </c>
      <c r="B19" s="29">
        <v>46161</v>
      </c>
      <c r="C19" s="23" t="s">
        <v>13</v>
      </c>
      <c r="D19" s="37" t="s">
        <v>317</v>
      </c>
      <c r="E19" s="23" t="s">
        <v>2219</v>
      </c>
      <c r="F19" s="31">
        <v>870</v>
      </c>
      <c r="G19" s="31">
        <v>62500</v>
      </c>
      <c r="H19" s="31">
        <f>Cty_Toan_Phat_HP[[#This Row],[ĐƠN GIÁ]]*Cty_Toan_Phat_HP[[#This Row],[SỐ LƯỢNG]]</f>
        <v>54375000</v>
      </c>
      <c r="I19" s="31"/>
      <c r="J19" s="31">
        <f>J18+Cty_Toan_Phat_HP[[#This Row],[THÀNH TIỀN]]-Cty_Toan_Phat_HP[[#This Row],[THANH TOÁN]]</f>
        <v>141032419</v>
      </c>
      <c r="K19" s="24"/>
    </row>
    <row r="20" spans="1:11" x14ac:dyDescent="0.25">
      <c r="A20" s="22"/>
      <c r="B20" s="29">
        <v>46168</v>
      </c>
      <c r="C20" s="23" t="s">
        <v>21</v>
      </c>
      <c r="D20" s="37" t="s">
        <v>22</v>
      </c>
      <c r="E20" s="23" t="s">
        <v>261</v>
      </c>
      <c r="F20" s="31">
        <v>0</v>
      </c>
      <c r="G20" s="31"/>
      <c r="H20" s="31">
        <f>Cty_Toan_Phat_HP[[#This Row],[ĐƠN GIÁ]]*Cty_Toan_Phat_HP[[#This Row],[SỐ LƯỢNG]]</f>
        <v>0</v>
      </c>
      <c r="I20" s="31">
        <v>50000000</v>
      </c>
      <c r="J20" s="31">
        <f>J19+Cty_Toan_Phat_HP[[#This Row],[THÀNH TIỀN]]-Cty_Toan_Phat_HP[[#This Row],[THANH TOÁN]]</f>
        <v>91032419</v>
      </c>
      <c r="K20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51774D-A487-467E-A1D9-5CDDB10880D4}">
  <sheetPr codeName="Sheet123"/>
  <dimension ref="A5:K21"/>
  <sheetViews>
    <sheetView workbookViewId="0"/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71350146</v>
      </c>
    </row>
    <row r="6" spans="1:11" ht="22.5" x14ac:dyDescent="0.25">
      <c r="D6" s="34" t="s">
        <v>1308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E_Trung_Cty_An_Phat_HY[[#This Row],[ĐƠN GIÁ]]*E_Trung_Cty_An_Phat_HY[[#This Row],[SỐ LƯỢNG]]</f>
        <v>0</v>
      </c>
      <c r="I10" s="31"/>
      <c r="J10" s="31">
        <v>11399466</v>
      </c>
      <c r="K10" s="24"/>
    </row>
    <row r="11" spans="1:11" x14ac:dyDescent="0.25">
      <c r="A11" s="22">
        <v>8183</v>
      </c>
      <c r="B11" s="29">
        <v>46099</v>
      </c>
      <c r="C11" s="23" t="s">
        <v>13</v>
      </c>
      <c r="D11" s="37" t="s">
        <v>265</v>
      </c>
      <c r="E11" s="23" t="s">
        <v>267</v>
      </c>
      <c r="F11" s="31">
        <v>514</v>
      </c>
      <c r="G11" s="31">
        <v>62000</v>
      </c>
      <c r="H11" s="31">
        <f>E_Trung_Cty_An_Phat_HY[[#This Row],[ĐƠN GIÁ]]*E_Trung_Cty_An_Phat_HY[[#This Row],[SỐ LƯỢNG]]</f>
        <v>31868000</v>
      </c>
      <c r="I11" s="31"/>
      <c r="J11" s="31">
        <f>J10+E_Trung_Cty_An_Phat_HY[[#This Row],[THÀNH TIỀN]]-E_Trung_Cty_An_Phat_HY[[#This Row],[THANH TOÁN]]</f>
        <v>43267466</v>
      </c>
      <c r="K11" s="24"/>
    </row>
    <row r="12" spans="1:11" x14ac:dyDescent="0.25">
      <c r="A12" s="22"/>
      <c r="B12" s="29">
        <v>46108</v>
      </c>
      <c r="C12" s="23" t="s">
        <v>21</v>
      </c>
      <c r="D12" s="37" t="s">
        <v>22</v>
      </c>
      <c r="E12" s="23" t="s">
        <v>83</v>
      </c>
      <c r="F12" s="31">
        <v>0</v>
      </c>
      <c r="G12" s="31">
        <v>0</v>
      </c>
      <c r="H12" s="31">
        <f>E_Trung_Cty_An_Phat_HY[[#This Row],[ĐƠN GIÁ]]*E_Trung_Cty_An_Phat_HY[[#This Row],[SỐ LƯỢNG]]</f>
        <v>0</v>
      </c>
      <c r="I12" s="31">
        <v>11400114</v>
      </c>
      <c r="J12" s="31">
        <f>J11+E_Trung_Cty_An_Phat_HY[[#This Row],[THÀNH TIỀN]]-E_Trung_Cty_An_Phat_HY[[#This Row],[THANH TOÁN]]</f>
        <v>31867352</v>
      </c>
      <c r="K12" s="24"/>
    </row>
    <row r="13" spans="1:11" x14ac:dyDescent="0.25">
      <c r="A13" s="22">
        <v>8997</v>
      </c>
      <c r="B13" s="29">
        <v>46136</v>
      </c>
      <c r="C13" s="23" t="s">
        <v>13</v>
      </c>
      <c r="D13" s="37" t="s">
        <v>26</v>
      </c>
      <c r="E13" s="23" t="s">
        <v>25</v>
      </c>
      <c r="F13" s="31">
        <v>472</v>
      </c>
      <c r="G13" s="31">
        <v>36000</v>
      </c>
      <c r="H13" s="31">
        <f>E_Trung_Cty_An_Phat_HY[[#This Row],[ĐƠN GIÁ]]*E_Trung_Cty_An_Phat_HY[[#This Row],[SỐ LƯỢNG]]</f>
        <v>16992000</v>
      </c>
      <c r="I13" s="31"/>
      <c r="J13" s="31">
        <f>J12+E_Trung_Cty_An_Phat_HY[[#This Row],[THÀNH TIỀN]]-E_Trung_Cty_An_Phat_HY[[#This Row],[THANH TOÁN]]</f>
        <v>48859352</v>
      </c>
      <c r="K13" s="24"/>
    </row>
    <row r="14" spans="1:11" x14ac:dyDescent="0.25">
      <c r="A14" s="22">
        <v>8997</v>
      </c>
      <c r="B14" s="29">
        <v>46136</v>
      </c>
      <c r="C14" s="23" t="s">
        <v>13</v>
      </c>
      <c r="D14" s="37" t="s">
        <v>26</v>
      </c>
      <c r="E14" s="23" t="s">
        <v>40</v>
      </c>
      <c r="F14" s="31">
        <v>527</v>
      </c>
      <c r="G14" s="31">
        <v>36000</v>
      </c>
      <c r="H14" s="31">
        <f>E_Trung_Cty_An_Phat_HY[[#This Row],[ĐƠN GIÁ]]*E_Trung_Cty_An_Phat_HY[[#This Row],[SỐ LƯỢNG]]</f>
        <v>18972000</v>
      </c>
      <c r="I14" s="31"/>
      <c r="J14" s="31">
        <f>J13+E_Trung_Cty_An_Phat_HY[[#This Row],[THÀNH TIỀN]]-E_Trung_Cty_An_Phat_HY[[#This Row],[THANH TOÁN]]</f>
        <v>67831352</v>
      </c>
      <c r="K14" s="24"/>
    </row>
    <row r="15" spans="1:11" x14ac:dyDescent="0.25">
      <c r="A15" s="22">
        <v>8997</v>
      </c>
      <c r="B15" s="29">
        <v>46136</v>
      </c>
      <c r="C15" s="23" t="s">
        <v>13</v>
      </c>
      <c r="D15" s="37" t="s">
        <v>32</v>
      </c>
      <c r="E15" s="23" t="s">
        <v>40</v>
      </c>
      <c r="F15" s="31">
        <v>256</v>
      </c>
      <c r="G15" s="31">
        <v>43000</v>
      </c>
      <c r="H15" s="31">
        <f>E_Trung_Cty_An_Phat_HY[[#This Row],[ĐƠN GIÁ]]*E_Trung_Cty_An_Phat_HY[[#This Row],[SỐ LƯỢNG]]</f>
        <v>11008000</v>
      </c>
      <c r="I15" s="31"/>
      <c r="J15" s="31">
        <f>J14+E_Trung_Cty_An_Phat_HY[[#This Row],[THÀNH TIỀN]]-E_Trung_Cty_An_Phat_HY[[#This Row],[THANH TOÁN]]</f>
        <v>78839352</v>
      </c>
      <c r="K15" s="24"/>
    </row>
    <row r="16" spans="1:11" x14ac:dyDescent="0.25">
      <c r="A16" s="22"/>
      <c r="B16" s="29">
        <v>46136</v>
      </c>
      <c r="C16" s="23" t="s">
        <v>21</v>
      </c>
      <c r="D16" s="37" t="s">
        <v>22</v>
      </c>
      <c r="E16" s="23" t="s">
        <v>261</v>
      </c>
      <c r="F16" s="31">
        <v>0</v>
      </c>
      <c r="G16" s="31"/>
      <c r="H16" s="31">
        <f>E_Trung_Cty_An_Phat_HY[[#This Row],[ĐƠN GIÁ]]*E_Trung_Cty_An_Phat_HY[[#This Row],[SỐ LƯỢNG]]</f>
        <v>0</v>
      </c>
      <c r="I16" s="31">
        <v>31868206</v>
      </c>
      <c r="J16" s="31">
        <f>J15+E_Trung_Cty_An_Phat_HY[[#This Row],[THÀNH TIỀN]]-E_Trung_Cty_An_Phat_HY[[#This Row],[THANH TOÁN]]</f>
        <v>46971146</v>
      </c>
      <c r="K16" s="24"/>
    </row>
    <row r="17" spans="1:11" x14ac:dyDescent="0.25">
      <c r="A17" s="22">
        <v>9253</v>
      </c>
      <c r="B17" s="29">
        <v>46150</v>
      </c>
      <c r="C17" s="23" t="s">
        <v>13</v>
      </c>
      <c r="D17" s="37" t="s">
        <v>17</v>
      </c>
      <c r="E17" s="23" t="s">
        <v>46</v>
      </c>
      <c r="F17" s="31">
        <v>118</v>
      </c>
      <c r="G17" s="31">
        <v>69000</v>
      </c>
      <c r="H17" s="31">
        <f>E_Trung_Cty_An_Phat_HY[[#This Row],[ĐƠN GIÁ]]*E_Trung_Cty_An_Phat_HY[[#This Row],[SỐ LƯỢNG]]</f>
        <v>8142000</v>
      </c>
      <c r="I17" s="31"/>
      <c r="J17" s="31">
        <f>J16+E_Trung_Cty_An_Phat_HY[[#This Row],[THÀNH TIỀN]]-E_Trung_Cty_An_Phat_HY[[#This Row],[THANH TOÁN]]</f>
        <v>55113146</v>
      </c>
      <c r="K17" s="24"/>
    </row>
    <row r="18" spans="1:11" x14ac:dyDescent="0.25">
      <c r="A18" s="22">
        <v>9253</v>
      </c>
      <c r="B18" s="29">
        <v>46150</v>
      </c>
      <c r="C18" s="23" t="s">
        <v>13</v>
      </c>
      <c r="D18" s="37" t="s">
        <v>26</v>
      </c>
      <c r="E18" s="23" t="s">
        <v>33</v>
      </c>
      <c r="F18" s="31">
        <v>564</v>
      </c>
      <c r="G18" s="31">
        <v>36000</v>
      </c>
      <c r="H18" s="31">
        <f>E_Trung_Cty_An_Phat_HY[[#This Row],[ĐƠN GIÁ]]*E_Trung_Cty_An_Phat_HY[[#This Row],[SỐ LƯỢNG]]</f>
        <v>20304000</v>
      </c>
      <c r="I18" s="31"/>
      <c r="J18" s="31">
        <f>J17+E_Trung_Cty_An_Phat_HY[[#This Row],[THÀNH TIỀN]]-E_Trung_Cty_An_Phat_HY[[#This Row],[THANH TOÁN]]</f>
        <v>75417146</v>
      </c>
      <c r="K18" s="24"/>
    </row>
    <row r="19" spans="1:11" x14ac:dyDescent="0.25">
      <c r="A19" s="22">
        <v>9253</v>
      </c>
      <c r="B19" s="29">
        <v>46150</v>
      </c>
      <c r="C19" s="23" t="s">
        <v>13</v>
      </c>
      <c r="D19" s="37" t="s">
        <v>14</v>
      </c>
      <c r="E19" s="23" t="s">
        <v>40</v>
      </c>
      <c r="F19" s="31">
        <v>761</v>
      </c>
      <c r="G19" s="31">
        <v>47000</v>
      </c>
      <c r="H19" s="31">
        <f>E_Trung_Cty_An_Phat_HY[[#This Row],[ĐƠN GIÁ]]*E_Trung_Cty_An_Phat_HY[[#This Row],[SỐ LƯỢNG]]</f>
        <v>35767000</v>
      </c>
      <c r="I19" s="31"/>
      <c r="J19" s="31">
        <f>J18+E_Trung_Cty_An_Phat_HY[[#This Row],[THÀNH TIỀN]]-E_Trung_Cty_An_Phat_HY[[#This Row],[THANH TOÁN]]</f>
        <v>111184146</v>
      </c>
      <c r="K19" s="24"/>
    </row>
    <row r="20" spans="1:11" x14ac:dyDescent="0.25">
      <c r="A20" s="22">
        <v>9253</v>
      </c>
      <c r="B20" s="29">
        <v>46150</v>
      </c>
      <c r="C20" s="23" t="s">
        <v>13</v>
      </c>
      <c r="D20" s="37" t="s">
        <v>14</v>
      </c>
      <c r="E20" s="23" t="s">
        <v>62</v>
      </c>
      <c r="F20" s="31">
        <v>166</v>
      </c>
      <c r="G20" s="31">
        <v>43000</v>
      </c>
      <c r="H20" s="31">
        <f>E_Trung_Cty_An_Phat_HY[[#This Row],[ĐƠN GIÁ]]*E_Trung_Cty_An_Phat_HY[[#This Row],[SỐ LƯỢNG]]</f>
        <v>7138000</v>
      </c>
      <c r="I20" s="31"/>
      <c r="J20" s="31">
        <f>J19+E_Trung_Cty_An_Phat_HY[[#This Row],[THÀNH TIỀN]]-E_Trung_Cty_An_Phat_HY[[#This Row],[THANH TOÁN]]</f>
        <v>118322146</v>
      </c>
      <c r="K20" s="24"/>
    </row>
    <row r="21" spans="1:11" x14ac:dyDescent="0.25">
      <c r="A21" s="22"/>
      <c r="B21" s="29">
        <v>46171</v>
      </c>
      <c r="C21" s="23" t="s">
        <v>21</v>
      </c>
      <c r="D21" s="37" t="s">
        <v>22</v>
      </c>
      <c r="E21" s="23" t="s">
        <v>83</v>
      </c>
      <c r="F21" s="31">
        <v>0</v>
      </c>
      <c r="G21" s="31"/>
      <c r="H21" s="31">
        <f>E_Trung_Cty_An_Phat_HY[[#This Row],[ĐƠN GIÁ]]*E_Trung_Cty_An_Phat_HY[[#This Row],[SỐ LƯỢNG]]</f>
        <v>0</v>
      </c>
      <c r="I21" s="31">
        <v>46972000</v>
      </c>
      <c r="J21" s="31">
        <f>J20+E_Trung_Cty_An_Phat_HY[[#This Row],[THÀNH TIỀN]]-E_Trung_Cty_An_Phat_HY[[#This Row],[THANH TOÁN]]</f>
        <v>71350146</v>
      </c>
      <c r="K21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3BB364-2B48-4AB2-B59C-E02A56BE793B}">
  <sheetPr codeName="Sheet124"/>
  <dimension ref="A5:K23"/>
  <sheetViews>
    <sheetView workbookViewId="0">
      <selection activeCell="B10" sqref="B10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274010000</v>
      </c>
    </row>
    <row r="6" spans="1:11" ht="22.5" x14ac:dyDescent="0.25">
      <c r="D6" s="34" t="s">
        <v>1309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Cty_Thinh_Hung[[#This Row],[ĐƠN GIÁ]]*Cty_Thinh_Hung[[#This Row],[SỐ LƯỢNG]]</f>
        <v>0</v>
      </c>
      <c r="I10" s="31"/>
      <c r="J10" s="31">
        <v>0</v>
      </c>
      <c r="K10" s="24"/>
    </row>
    <row r="11" spans="1:11" x14ac:dyDescent="0.25">
      <c r="A11" s="22">
        <v>8186</v>
      </c>
      <c r="B11" s="29">
        <v>46099</v>
      </c>
      <c r="C11" s="23" t="s">
        <v>13</v>
      </c>
      <c r="D11" s="37" t="s">
        <v>265</v>
      </c>
      <c r="E11" s="23" t="s">
        <v>134</v>
      </c>
      <c r="F11" s="31">
        <v>1416</v>
      </c>
      <c r="G11" s="31">
        <v>62000</v>
      </c>
      <c r="H11" s="31">
        <f>Cty_Thinh_Hung[[#This Row],[ĐƠN GIÁ]]*Cty_Thinh_Hung[[#This Row],[SỐ LƯỢNG]]</f>
        <v>87792000</v>
      </c>
      <c r="I11" s="31"/>
      <c r="J11" s="31">
        <f>J10+Cty_Thinh_Hung[[#This Row],[THÀNH TIỀN]]-Cty_Thinh_Hung[[#This Row],[THANH TOÁN]]</f>
        <v>87792000</v>
      </c>
      <c r="K11" s="24"/>
    </row>
    <row r="12" spans="1:11" x14ac:dyDescent="0.25">
      <c r="A12" s="22">
        <v>8186</v>
      </c>
      <c r="B12" s="29">
        <v>46099</v>
      </c>
      <c r="C12" s="23" t="s">
        <v>13</v>
      </c>
      <c r="D12" s="37" t="s">
        <v>265</v>
      </c>
      <c r="E12" s="23" t="s">
        <v>136</v>
      </c>
      <c r="F12" s="31">
        <v>520</v>
      </c>
      <c r="G12" s="31">
        <v>62500</v>
      </c>
      <c r="H12" s="31">
        <f>Cty_Thinh_Hung[[#This Row],[ĐƠN GIÁ]]*Cty_Thinh_Hung[[#This Row],[SỐ LƯỢNG]]</f>
        <v>32500000</v>
      </c>
      <c r="I12" s="31"/>
      <c r="J12" s="31">
        <f>J11+Cty_Thinh_Hung[[#This Row],[THÀNH TIỀN]]-Cty_Thinh_Hung[[#This Row],[THANH TOÁN]]</f>
        <v>120292000</v>
      </c>
      <c r="K12" s="24"/>
    </row>
    <row r="13" spans="1:11" x14ac:dyDescent="0.25">
      <c r="A13" s="25">
        <v>8278</v>
      </c>
      <c r="B13" s="30">
        <v>46101</v>
      </c>
      <c r="C13" s="26" t="s">
        <v>13</v>
      </c>
      <c r="D13" s="38" t="s">
        <v>43</v>
      </c>
      <c r="E13" s="26" t="s">
        <v>1310</v>
      </c>
      <c r="F13" s="28">
        <v>2538</v>
      </c>
      <c r="G13" s="28">
        <v>61500</v>
      </c>
      <c r="H13" s="28">
        <f>Cty_Thinh_Hung[[#This Row],[ĐƠN GIÁ]]*Cty_Thinh_Hung[[#This Row],[SỐ LƯỢNG]]</f>
        <v>156087000</v>
      </c>
      <c r="I13" s="28"/>
      <c r="J13" s="28">
        <f>J12+Cty_Thinh_Hung[[#This Row],[THÀNH TIỀN]]-Cty_Thinh_Hung[[#This Row],[THANH TOÁN]]</f>
        <v>276379000</v>
      </c>
      <c r="K13" s="27"/>
    </row>
    <row r="14" spans="1:11" x14ac:dyDescent="0.25">
      <c r="A14" s="22"/>
      <c r="B14" s="29">
        <v>46136</v>
      </c>
      <c r="C14" s="23" t="s">
        <v>21</v>
      </c>
      <c r="D14" s="37" t="s">
        <v>22</v>
      </c>
      <c r="E14" s="23" t="s">
        <v>147</v>
      </c>
      <c r="F14" s="31">
        <v>0</v>
      </c>
      <c r="G14" s="31"/>
      <c r="H14" s="31">
        <f>Cty_Thinh_Hung[[#This Row],[ĐƠN GIÁ]]*Cty_Thinh_Hung[[#This Row],[SỐ LƯỢNG]]</f>
        <v>0</v>
      </c>
      <c r="I14" s="31">
        <v>100000000</v>
      </c>
      <c r="J14" s="31">
        <f>J13+Cty_Thinh_Hung[[#This Row],[THÀNH TIỀN]]-Cty_Thinh_Hung[[#This Row],[THANH TOÁN]]</f>
        <v>176379000</v>
      </c>
      <c r="K14" s="24"/>
    </row>
    <row r="15" spans="1:11" x14ac:dyDescent="0.25">
      <c r="A15" s="22"/>
      <c r="B15" s="29">
        <v>46141</v>
      </c>
      <c r="C15" s="23" t="s">
        <v>21</v>
      </c>
      <c r="D15" s="37" t="s">
        <v>22</v>
      </c>
      <c r="E15" s="23" t="s">
        <v>147</v>
      </c>
      <c r="F15" s="31">
        <v>0</v>
      </c>
      <c r="G15" s="31"/>
      <c r="H15" s="31">
        <f>Cty_Thinh_Hung[[#This Row],[ĐƠN GIÁ]]*Cty_Thinh_Hung[[#This Row],[SỐ LƯỢNG]]</f>
        <v>0</v>
      </c>
      <c r="I15" s="31">
        <v>100000000</v>
      </c>
      <c r="J15" s="31">
        <f>J14+Cty_Thinh_Hung[[#This Row],[THÀNH TIỀN]]-Cty_Thinh_Hung[[#This Row],[THANH TOÁN]]</f>
        <v>76379000</v>
      </c>
      <c r="K15" s="24"/>
    </row>
    <row r="16" spans="1:11" x14ac:dyDescent="0.25">
      <c r="A16" s="22">
        <v>9218</v>
      </c>
      <c r="B16" s="29">
        <v>46148</v>
      </c>
      <c r="C16" s="23" t="s">
        <v>13</v>
      </c>
      <c r="D16" s="37" t="s">
        <v>17</v>
      </c>
      <c r="E16" s="23" t="s">
        <v>251</v>
      </c>
      <c r="F16" s="31">
        <v>840</v>
      </c>
      <c r="G16" s="31">
        <v>65000</v>
      </c>
      <c r="H16" s="31">
        <f>Cty_Thinh_Hung[[#This Row],[ĐƠN GIÁ]]*Cty_Thinh_Hung[[#This Row],[SỐ LƯỢNG]]</f>
        <v>54600000</v>
      </c>
      <c r="I16" s="31"/>
      <c r="J16" s="31">
        <f>J15+Cty_Thinh_Hung[[#This Row],[THÀNH TIỀN]]-Cty_Thinh_Hung[[#This Row],[THANH TOÁN]]</f>
        <v>130979000</v>
      </c>
      <c r="K16" s="24"/>
    </row>
    <row r="17" spans="1:11" x14ac:dyDescent="0.25">
      <c r="A17" s="22">
        <v>9240</v>
      </c>
      <c r="B17" s="29">
        <v>46149</v>
      </c>
      <c r="C17" s="23" t="s">
        <v>13</v>
      </c>
      <c r="D17" s="37" t="s">
        <v>17</v>
      </c>
      <c r="E17" s="23" t="s">
        <v>251</v>
      </c>
      <c r="F17" s="31">
        <v>1916</v>
      </c>
      <c r="G17" s="31">
        <v>65000</v>
      </c>
      <c r="H17" s="31">
        <f>Cty_Thinh_Hung[[#This Row],[ĐƠN GIÁ]]*Cty_Thinh_Hung[[#This Row],[SỐ LƯỢNG]]</f>
        <v>124540000</v>
      </c>
      <c r="I17" s="31"/>
      <c r="J17" s="31">
        <f>J16+Cty_Thinh_Hung[[#This Row],[THÀNH TIỀN]]-Cty_Thinh_Hung[[#This Row],[THANH TOÁN]]</f>
        <v>255519000</v>
      </c>
      <c r="K17" s="24"/>
    </row>
    <row r="18" spans="1:11" x14ac:dyDescent="0.25">
      <c r="A18" s="22"/>
      <c r="B18" s="29">
        <v>46150</v>
      </c>
      <c r="C18" s="23" t="s">
        <v>21</v>
      </c>
      <c r="D18" s="37" t="s">
        <v>22</v>
      </c>
      <c r="E18" s="23" t="s">
        <v>147</v>
      </c>
      <c r="F18" s="31">
        <v>0</v>
      </c>
      <c r="G18" s="31"/>
      <c r="H18" s="31">
        <f>Cty_Thinh_Hung[[#This Row],[ĐƠN GIÁ]]*Cty_Thinh_Hung[[#This Row],[SỐ LƯỢNG]]</f>
        <v>0</v>
      </c>
      <c r="I18" s="31">
        <v>40000000</v>
      </c>
      <c r="J18" s="31">
        <f>J17+Cty_Thinh_Hung[[#This Row],[THÀNH TIỀN]]-Cty_Thinh_Hung[[#This Row],[THANH TOÁN]]</f>
        <v>215519000</v>
      </c>
      <c r="K18" s="24"/>
    </row>
    <row r="19" spans="1:11" x14ac:dyDescent="0.25">
      <c r="A19" s="22">
        <v>9294</v>
      </c>
      <c r="B19" s="29">
        <v>46151</v>
      </c>
      <c r="C19" s="23" t="s">
        <v>13</v>
      </c>
      <c r="D19" s="37" t="s">
        <v>50</v>
      </c>
      <c r="E19" s="23" t="s">
        <v>2001</v>
      </c>
      <c r="F19" s="31">
        <v>518</v>
      </c>
      <c r="G19" s="31">
        <v>60500</v>
      </c>
      <c r="H19" s="31">
        <f>Cty_Thinh_Hung[[#This Row],[ĐƠN GIÁ]]*Cty_Thinh_Hung[[#This Row],[SỐ LƯỢNG]]</f>
        <v>31339000</v>
      </c>
      <c r="I19" s="31"/>
      <c r="J19" s="31">
        <f>J18+Cty_Thinh_Hung[[#This Row],[THÀNH TIỀN]]-Cty_Thinh_Hung[[#This Row],[THANH TOÁN]]</f>
        <v>246858000</v>
      </c>
      <c r="K19" s="24"/>
    </row>
    <row r="20" spans="1:11" x14ac:dyDescent="0.25">
      <c r="A20" s="22"/>
      <c r="B20" s="29">
        <v>46157</v>
      </c>
      <c r="C20" s="23" t="s">
        <v>21</v>
      </c>
      <c r="D20" s="37" t="s">
        <v>22</v>
      </c>
      <c r="E20" s="23" t="s">
        <v>147</v>
      </c>
      <c r="F20" s="31">
        <v>0</v>
      </c>
      <c r="G20" s="31"/>
      <c r="H20" s="31">
        <f>Cty_Thinh_Hung[[#This Row],[ĐƠN GIÁ]]*Cty_Thinh_Hung[[#This Row],[SỐ LƯỢNG]]</f>
        <v>0</v>
      </c>
      <c r="I20" s="31">
        <v>30000000</v>
      </c>
      <c r="J20" s="31">
        <f>J19+Cty_Thinh_Hung[[#This Row],[THÀNH TIỀN]]-Cty_Thinh_Hung[[#This Row],[THANH TOÁN]]</f>
        <v>216858000</v>
      </c>
      <c r="K20" s="24"/>
    </row>
    <row r="21" spans="1:11" x14ac:dyDescent="0.25">
      <c r="A21" s="22">
        <v>9414</v>
      </c>
      <c r="B21" s="29">
        <v>46157</v>
      </c>
      <c r="C21" s="23" t="s">
        <v>13</v>
      </c>
      <c r="D21" s="37" t="s">
        <v>50</v>
      </c>
      <c r="E21" s="23" t="s">
        <v>117</v>
      </c>
      <c r="F21" s="31">
        <v>721</v>
      </c>
      <c r="G21" s="31">
        <v>60000</v>
      </c>
      <c r="H21" s="31">
        <f>Cty_Thinh_Hung[[#This Row],[ĐƠN GIÁ]]*Cty_Thinh_Hung[[#This Row],[SỐ LƯỢNG]]</f>
        <v>43260000</v>
      </c>
      <c r="I21" s="31"/>
      <c r="J21" s="31">
        <f>J20+Cty_Thinh_Hung[[#This Row],[THÀNH TIỀN]]-Cty_Thinh_Hung[[#This Row],[THANH TOÁN]]</f>
        <v>260118000</v>
      </c>
      <c r="K21" s="24"/>
    </row>
    <row r="22" spans="1:11" x14ac:dyDescent="0.25">
      <c r="A22" s="22">
        <v>9414</v>
      </c>
      <c r="B22" s="29">
        <v>46157</v>
      </c>
      <c r="C22" s="23" t="s">
        <v>13</v>
      </c>
      <c r="D22" s="37" t="s">
        <v>50</v>
      </c>
      <c r="E22" s="23" t="s">
        <v>117</v>
      </c>
      <c r="F22" s="31">
        <v>50</v>
      </c>
      <c r="G22" s="31">
        <v>64000</v>
      </c>
      <c r="H22" s="31">
        <f>Cty_Thinh_Hung[[#This Row],[ĐƠN GIÁ]]*Cty_Thinh_Hung[[#This Row],[SỐ LƯỢNG]]</f>
        <v>3200000</v>
      </c>
      <c r="I22" s="31"/>
      <c r="J22" s="31">
        <f>J21+Cty_Thinh_Hung[[#This Row],[THÀNH TIỀN]]-Cty_Thinh_Hung[[#This Row],[THANH TOÁN]]</f>
        <v>263318000</v>
      </c>
      <c r="K22" s="24"/>
    </row>
    <row r="23" spans="1:11" x14ac:dyDescent="0.25">
      <c r="A23" s="22">
        <v>9751</v>
      </c>
      <c r="B23" s="29">
        <v>46175</v>
      </c>
      <c r="C23" s="23" t="s">
        <v>13</v>
      </c>
      <c r="D23" s="37" t="s">
        <v>17</v>
      </c>
      <c r="E23" s="23" t="s">
        <v>251</v>
      </c>
      <c r="F23" s="31">
        <v>162</v>
      </c>
      <c r="G23" s="31">
        <v>66000</v>
      </c>
      <c r="H23" s="31">
        <f>Cty_Thinh_Hung[[#This Row],[ĐƠN GIÁ]]*Cty_Thinh_Hung[[#This Row],[SỐ LƯỢNG]]</f>
        <v>10692000</v>
      </c>
      <c r="I23" s="31"/>
      <c r="J23" s="31">
        <f>J22+Cty_Thinh_Hung[[#This Row],[THÀNH TIỀN]]-Cty_Thinh_Hung[[#This Row],[THANH TOÁN]]</f>
        <v>274010000</v>
      </c>
      <c r="K23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05A44-ED71-4556-B9D9-CAC7075B54B9}">
  <sheetPr codeName="Sheet125"/>
  <dimension ref="A5:K13"/>
  <sheetViews>
    <sheetView workbookViewId="0"/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0</v>
      </c>
    </row>
    <row r="6" spans="1:11" ht="22.5" x14ac:dyDescent="0.25">
      <c r="D6" s="34" t="s">
        <v>1311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Cty_Tuan_Nhung_Rua[[#This Row],[ĐƠN GIÁ]]*Cty_Tuan_Nhung_Rua[[#This Row],[SỐ LƯỢNG]]</f>
        <v>0</v>
      </c>
      <c r="I10" s="31"/>
      <c r="J10" s="31">
        <v>293471076</v>
      </c>
      <c r="K10" s="24"/>
    </row>
    <row r="11" spans="1:11" x14ac:dyDescent="0.25">
      <c r="A11" s="22">
        <v>8187</v>
      </c>
      <c r="B11" s="29">
        <v>46099</v>
      </c>
      <c r="C11" s="23" t="s">
        <v>13</v>
      </c>
      <c r="D11" s="37" t="s">
        <v>17</v>
      </c>
      <c r="E11" s="23" t="s">
        <v>1312</v>
      </c>
      <c r="F11" s="31">
        <v>527</v>
      </c>
      <c r="G11" s="31">
        <v>60500</v>
      </c>
      <c r="H11" s="31">
        <f>Cty_Tuan_Nhung_Rua[[#This Row],[ĐƠN GIÁ]]*Cty_Tuan_Nhung_Rua[[#This Row],[SỐ LƯỢNG]]</f>
        <v>31883500</v>
      </c>
      <c r="I11" s="31"/>
      <c r="J11" s="31">
        <f>J10+Cty_Tuan_Nhung_Rua[[#This Row],[THÀNH TIỀN]]-Cty_Tuan_Nhung_Rua[[#This Row],[THANH TOÁN]]</f>
        <v>325354576</v>
      </c>
      <c r="K11" s="24"/>
    </row>
    <row r="12" spans="1:11" x14ac:dyDescent="0.25">
      <c r="A12" s="25"/>
      <c r="B12" s="30">
        <v>46098</v>
      </c>
      <c r="C12" s="26" t="s">
        <v>21</v>
      </c>
      <c r="D12" s="38" t="s">
        <v>22</v>
      </c>
      <c r="E12" s="26" t="s">
        <v>261</v>
      </c>
      <c r="F12" s="28">
        <v>0</v>
      </c>
      <c r="G12" s="28">
        <v>0</v>
      </c>
      <c r="H12" s="28">
        <f>Cty_Tuan_Nhung_Rua[[#This Row],[ĐƠN GIÁ]]*Cty_Tuan_Nhung_Rua[[#This Row],[SỐ LƯỢNG]]</f>
        <v>0</v>
      </c>
      <c r="I12" s="28">
        <v>293471076</v>
      </c>
      <c r="J12" s="28">
        <f>J11+Cty_Tuan_Nhung_Rua[[#This Row],[THÀNH TIỀN]]-Cty_Tuan_Nhung_Rua[[#This Row],[THANH TOÁN]]</f>
        <v>31883500</v>
      </c>
      <c r="K12" s="27"/>
    </row>
    <row r="13" spans="1:11" x14ac:dyDescent="0.25">
      <c r="A13" s="25"/>
      <c r="B13" s="30">
        <v>46112</v>
      </c>
      <c r="C13" s="26" t="s">
        <v>21</v>
      </c>
      <c r="D13" s="38" t="s">
        <v>22</v>
      </c>
      <c r="E13" s="26" t="s">
        <v>261</v>
      </c>
      <c r="F13" s="28">
        <v>0</v>
      </c>
      <c r="G13" s="28">
        <v>0</v>
      </c>
      <c r="H13" s="28">
        <f>Cty_Tuan_Nhung_Rua[[#This Row],[ĐƠN GIÁ]]*Cty_Tuan_Nhung_Rua[[#This Row],[SỐ LƯỢNG]]</f>
        <v>0</v>
      </c>
      <c r="I13" s="28">
        <v>31883500</v>
      </c>
      <c r="J13" s="28">
        <f>J12+Cty_Tuan_Nhung_Rua[[#This Row],[THÀNH TIỀN]]-Cty_Tuan_Nhung_Rua[[#This Row],[THANH TOÁN]]</f>
        <v>0</v>
      </c>
      <c r="K13" s="27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6C09B-30D0-476B-86EC-054237984B80}">
  <sheetPr codeName="Sheet126"/>
  <dimension ref="A5:K26"/>
  <sheetViews>
    <sheetView workbookViewId="0">
      <selection activeCell="B24" sqref="B24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189885000</v>
      </c>
    </row>
    <row r="6" spans="1:11" ht="22.5" x14ac:dyDescent="0.25">
      <c r="D6" s="34" t="s">
        <v>1313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Cty_Thanh_Hung[[#This Row],[ĐƠN GIÁ]]*Cty_Thanh_Hung[[#This Row],[SỐ LƯỢNG]]</f>
        <v>0</v>
      </c>
      <c r="I10" s="31"/>
      <c r="J10" s="31">
        <v>0</v>
      </c>
      <c r="K10" s="24"/>
    </row>
    <row r="11" spans="1:11" x14ac:dyDescent="0.25">
      <c r="A11" s="22">
        <v>8189</v>
      </c>
      <c r="B11" s="29">
        <v>46098</v>
      </c>
      <c r="C11" s="23" t="s">
        <v>13</v>
      </c>
      <c r="D11" s="37" t="s">
        <v>17</v>
      </c>
      <c r="E11" s="23" t="s">
        <v>65</v>
      </c>
      <c r="F11" s="31">
        <v>1032</v>
      </c>
      <c r="G11" s="31">
        <v>63000</v>
      </c>
      <c r="H11" s="31">
        <f>Cty_Thanh_Hung[[#This Row],[ĐƠN GIÁ]]*Cty_Thanh_Hung[[#This Row],[SỐ LƯỢNG]]</f>
        <v>65016000</v>
      </c>
      <c r="I11" s="31"/>
      <c r="J11" s="31">
        <f>J10+Cty_Thanh_Hung[[#This Row],[THÀNH TIỀN]]-Cty_Thanh_Hung[[#This Row],[THANH TOÁN]]</f>
        <v>65016000</v>
      </c>
      <c r="K11" s="24"/>
    </row>
    <row r="12" spans="1:11" x14ac:dyDescent="0.25">
      <c r="A12" s="22">
        <v>8423</v>
      </c>
      <c r="B12" s="29">
        <v>46111</v>
      </c>
      <c r="C12" s="23" t="s">
        <v>13</v>
      </c>
      <c r="D12" s="37" t="s">
        <v>43</v>
      </c>
      <c r="E12" s="23" t="s">
        <v>246</v>
      </c>
      <c r="F12" s="31">
        <v>2170</v>
      </c>
      <c r="G12" s="31">
        <v>55000</v>
      </c>
      <c r="H12" s="31">
        <f>Cty_Thanh_Hung[[#This Row],[ĐƠN GIÁ]]*Cty_Thanh_Hung[[#This Row],[SỐ LƯỢNG]]</f>
        <v>119350000</v>
      </c>
      <c r="I12" s="31"/>
      <c r="J12" s="31">
        <f>J11+Cty_Thanh_Hung[[#This Row],[THÀNH TIỀN]]-Cty_Thanh_Hung[[#This Row],[THANH TOÁN]]</f>
        <v>184366000</v>
      </c>
      <c r="K12" s="24"/>
    </row>
    <row r="13" spans="1:11" x14ac:dyDescent="0.25">
      <c r="A13" s="22">
        <v>8523</v>
      </c>
      <c r="B13" s="29">
        <v>46115</v>
      </c>
      <c r="C13" s="23" t="s">
        <v>13</v>
      </c>
      <c r="D13" s="37" t="s">
        <v>45</v>
      </c>
      <c r="E13" s="23" t="s">
        <v>215</v>
      </c>
      <c r="F13" s="31">
        <v>1932.5</v>
      </c>
      <c r="G13" s="31">
        <v>34000</v>
      </c>
      <c r="H13" s="31">
        <f>Cty_Thanh_Hung[[#This Row],[ĐƠN GIÁ]]*Cty_Thanh_Hung[[#This Row],[SỐ LƯỢNG]]</f>
        <v>65705000</v>
      </c>
      <c r="I13" s="31"/>
      <c r="J13" s="31">
        <f>J12+Cty_Thanh_Hung[[#This Row],[THÀNH TIỀN]]-Cty_Thanh_Hung[[#This Row],[THANH TOÁN]]</f>
        <v>250071000</v>
      </c>
      <c r="K13" s="24"/>
    </row>
    <row r="14" spans="1:11" x14ac:dyDescent="0.25">
      <c r="A14" s="22">
        <v>8611</v>
      </c>
      <c r="B14" s="29">
        <v>46119</v>
      </c>
      <c r="C14" s="23" t="s">
        <v>13</v>
      </c>
      <c r="D14" s="37" t="s">
        <v>43</v>
      </c>
      <c r="E14" s="23" t="s">
        <v>1225</v>
      </c>
      <c r="F14" s="31">
        <v>488</v>
      </c>
      <c r="G14" s="31">
        <v>58000</v>
      </c>
      <c r="H14" s="31">
        <f>Cty_Thanh_Hung[[#This Row],[ĐƠN GIÁ]]*Cty_Thanh_Hung[[#This Row],[SỐ LƯỢNG]]</f>
        <v>28304000</v>
      </c>
      <c r="I14" s="31"/>
      <c r="J14" s="31">
        <f>J13+Cty_Thanh_Hung[[#This Row],[THÀNH TIỀN]]-Cty_Thanh_Hung[[#This Row],[THANH TOÁN]]</f>
        <v>278375000</v>
      </c>
      <c r="K14" s="24"/>
    </row>
    <row r="15" spans="1:11" x14ac:dyDescent="0.25">
      <c r="A15" s="22">
        <v>8611</v>
      </c>
      <c r="B15" s="29">
        <v>46119</v>
      </c>
      <c r="C15" s="23" t="s">
        <v>13</v>
      </c>
      <c r="D15" s="37" t="s">
        <v>43</v>
      </c>
      <c r="E15" s="23" t="s">
        <v>44</v>
      </c>
      <c r="F15" s="31">
        <v>510</v>
      </c>
      <c r="G15" s="31">
        <v>58000</v>
      </c>
      <c r="H15" s="31">
        <f>Cty_Thanh_Hung[[#This Row],[ĐƠN GIÁ]]*Cty_Thanh_Hung[[#This Row],[SỐ LƯỢNG]]</f>
        <v>29580000</v>
      </c>
      <c r="I15" s="31"/>
      <c r="J15" s="31">
        <f>J14+Cty_Thanh_Hung[[#This Row],[THÀNH TIỀN]]-Cty_Thanh_Hung[[#This Row],[THANH TOÁN]]</f>
        <v>307955000</v>
      </c>
      <c r="K15" s="24"/>
    </row>
    <row r="16" spans="1:11" x14ac:dyDescent="0.25">
      <c r="A16" s="22">
        <v>8611</v>
      </c>
      <c r="B16" s="29">
        <v>46119</v>
      </c>
      <c r="C16" s="23" t="s">
        <v>13</v>
      </c>
      <c r="D16" s="37" t="s">
        <v>43</v>
      </c>
      <c r="E16" s="23" t="s">
        <v>248</v>
      </c>
      <c r="F16" s="31">
        <v>2269</v>
      </c>
      <c r="G16" s="31">
        <v>58000</v>
      </c>
      <c r="H16" s="31">
        <f>Cty_Thanh_Hung[[#This Row],[ĐƠN GIÁ]]*Cty_Thanh_Hung[[#This Row],[SỐ LƯỢNG]]</f>
        <v>131602000</v>
      </c>
      <c r="I16" s="31"/>
      <c r="J16" s="31">
        <f>J15+Cty_Thanh_Hung[[#This Row],[THÀNH TIỀN]]-Cty_Thanh_Hung[[#This Row],[THANH TOÁN]]</f>
        <v>439557000</v>
      </c>
      <c r="K16" s="24"/>
    </row>
    <row r="17" spans="1:11" x14ac:dyDescent="0.25">
      <c r="A17" s="22">
        <v>8626</v>
      </c>
      <c r="B17" s="29">
        <v>46120</v>
      </c>
      <c r="C17" s="23" t="s">
        <v>13</v>
      </c>
      <c r="D17" s="37" t="s">
        <v>26</v>
      </c>
      <c r="E17" s="23" t="s">
        <v>200</v>
      </c>
      <c r="F17" s="31">
        <v>694</v>
      </c>
      <c r="G17" s="31">
        <v>35000</v>
      </c>
      <c r="H17" s="31">
        <f>Cty_Thanh_Hung[[#This Row],[ĐƠN GIÁ]]*Cty_Thanh_Hung[[#This Row],[SỐ LƯỢNG]]</f>
        <v>24290000</v>
      </c>
      <c r="I17" s="31"/>
      <c r="J17" s="31">
        <f>J16+Cty_Thanh_Hung[[#This Row],[THÀNH TIỀN]]-Cty_Thanh_Hung[[#This Row],[THANH TOÁN]]</f>
        <v>463847000</v>
      </c>
      <c r="K17" s="24"/>
    </row>
    <row r="18" spans="1:11" x14ac:dyDescent="0.25">
      <c r="A18" s="22">
        <v>8796</v>
      </c>
      <c r="B18" s="29">
        <v>46127</v>
      </c>
      <c r="C18" s="23" t="s">
        <v>13</v>
      </c>
      <c r="D18" s="37" t="s">
        <v>26</v>
      </c>
      <c r="E18" s="23" t="s">
        <v>200</v>
      </c>
      <c r="F18" s="31">
        <v>1580</v>
      </c>
      <c r="G18" s="31">
        <v>35000</v>
      </c>
      <c r="H18" s="31">
        <f>Cty_Thanh_Hung[[#This Row],[ĐƠN GIÁ]]*Cty_Thanh_Hung[[#This Row],[SỐ LƯỢNG]]</f>
        <v>55300000</v>
      </c>
      <c r="I18" s="31"/>
      <c r="J18" s="31">
        <f>J17+Cty_Thanh_Hung[[#This Row],[THÀNH TIỀN]]-Cty_Thanh_Hung[[#This Row],[THANH TOÁN]]</f>
        <v>519147000</v>
      </c>
      <c r="K18" s="24"/>
    </row>
    <row r="19" spans="1:11" x14ac:dyDescent="0.25">
      <c r="A19" s="22">
        <v>9037</v>
      </c>
      <c r="B19" s="29">
        <v>46137</v>
      </c>
      <c r="C19" s="23" t="s">
        <v>13</v>
      </c>
      <c r="D19" s="37" t="s">
        <v>170</v>
      </c>
      <c r="E19" s="23" t="s">
        <v>1844</v>
      </c>
      <c r="F19" s="31">
        <v>828</v>
      </c>
      <c r="G19" s="31">
        <v>66000</v>
      </c>
      <c r="H19" s="31">
        <f>Cty_Thanh_Hung[[#This Row],[ĐƠN GIÁ]]*Cty_Thanh_Hung[[#This Row],[SỐ LƯỢNG]]</f>
        <v>54648000</v>
      </c>
      <c r="I19" s="31"/>
      <c r="J19" s="31">
        <f>J18+Cty_Thanh_Hung[[#This Row],[THÀNH TIỀN]]-Cty_Thanh_Hung[[#This Row],[THANH TOÁN]]</f>
        <v>573795000</v>
      </c>
      <c r="K19" s="24"/>
    </row>
    <row r="20" spans="1:11" x14ac:dyDescent="0.25">
      <c r="A20" s="22">
        <v>9072</v>
      </c>
      <c r="B20" s="29">
        <v>46140</v>
      </c>
      <c r="C20" s="23" t="s">
        <v>13</v>
      </c>
      <c r="D20" s="37" t="s">
        <v>17</v>
      </c>
      <c r="E20" s="23" t="s">
        <v>40</v>
      </c>
      <c r="F20" s="31">
        <v>466</v>
      </c>
      <c r="G20" s="31">
        <v>67000</v>
      </c>
      <c r="H20" s="31">
        <f>Cty_Thanh_Hung[[#This Row],[ĐƠN GIÁ]]*Cty_Thanh_Hung[[#This Row],[SỐ LƯỢNG]]</f>
        <v>31222000</v>
      </c>
      <c r="I20" s="31"/>
      <c r="J20" s="31">
        <f>J19+Cty_Thanh_Hung[[#This Row],[THÀNH TIỀN]]-Cty_Thanh_Hung[[#This Row],[THANH TOÁN]]</f>
        <v>605017000</v>
      </c>
      <c r="K20" s="24"/>
    </row>
    <row r="21" spans="1:11" x14ac:dyDescent="0.25">
      <c r="A21" s="22"/>
      <c r="B21" s="29">
        <v>46147</v>
      </c>
      <c r="C21" s="23" t="s">
        <v>21</v>
      </c>
      <c r="D21" s="37" t="s">
        <v>22</v>
      </c>
      <c r="E21" s="23" t="s">
        <v>147</v>
      </c>
      <c r="F21" s="31">
        <v>0</v>
      </c>
      <c r="G21" s="31"/>
      <c r="H21" s="31">
        <f>Cty_Thanh_Hung[[#This Row],[ĐƠN GIÁ]]*Cty_Thanh_Hung[[#This Row],[SỐ LƯỢNG]]</f>
        <v>0</v>
      </c>
      <c r="I21" s="31">
        <v>180000000</v>
      </c>
      <c r="J21" s="31">
        <f>J20+Cty_Thanh_Hung[[#This Row],[THÀNH TIỀN]]-Cty_Thanh_Hung[[#This Row],[THANH TOÁN]]</f>
        <v>425017000</v>
      </c>
      <c r="K21" s="24"/>
    </row>
    <row r="22" spans="1:11" x14ac:dyDescent="0.25">
      <c r="A22" s="22">
        <v>9402</v>
      </c>
      <c r="B22" s="29">
        <v>46157</v>
      </c>
      <c r="C22" s="23" t="s">
        <v>13</v>
      </c>
      <c r="D22" s="37" t="s">
        <v>68</v>
      </c>
      <c r="E22" s="23" t="s">
        <v>2123</v>
      </c>
      <c r="F22" s="31">
        <v>3046</v>
      </c>
      <c r="G22" s="31">
        <v>43000</v>
      </c>
      <c r="H22" s="31">
        <f>Cty_Thanh_Hung[[#This Row],[ĐƠN GIÁ]]*Cty_Thanh_Hung[[#This Row],[SỐ LƯỢNG]]</f>
        <v>130978000</v>
      </c>
      <c r="I22" s="31"/>
      <c r="J22" s="31">
        <f>J21+Cty_Thanh_Hung[[#This Row],[THÀNH TIỀN]]-Cty_Thanh_Hung[[#This Row],[THANH TOÁN]]</f>
        <v>555995000</v>
      </c>
      <c r="K22" s="24"/>
    </row>
    <row r="23" spans="1:11" x14ac:dyDescent="0.25">
      <c r="A23" s="22"/>
      <c r="B23" s="29">
        <v>46160</v>
      </c>
      <c r="C23" s="23" t="s">
        <v>21</v>
      </c>
      <c r="D23" s="37" t="s">
        <v>22</v>
      </c>
      <c r="E23" s="23" t="s">
        <v>147</v>
      </c>
      <c r="F23" s="31">
        <v>0</v>
      </c>
      <c r="G23" s="31"/>
      <c r="H23" s="31">
        <f>Cty_Thanh_Hung[[#This Row],[ĐƠN GIÁ]]*Cty_Thanh_Hung[[#This Row],[SỐ LƯỢNG]]</f>
        <v>0</v>
      </c>
      <c r="I23" s="31">
        <v>200000000</v>
      </c>
      <c r="J23" s="31">
        <f>J22+Cty_Thanh_Hung[[#This Row],[THÀNH TIỀN]]-Cty_Thanh_Hung[[#This Row],[THANH TOÁN]]</f>
        <v>355995000</v>
      </c>
      <c r="K23" s="24"/>
    </row>
    <row r="24" spans="1:11" x14ac:dyDescent="0.25">
      <c r="A24" s="22"/>
      <c r="B24" s="29">
        <v>46168</v>
      </c>
      <c r="C24" s="23" t="s">
        <v>21</v>
      </c>
      <c r="D24" s="37" t="s">
        <v>22</v>
      </c>
      <c r="E24" s="23" t="s">
        <v>147</v>
      </c>
      <c r="F24" s="31">
        <v>0</v>
      </c>
      <c r="G24" s="31"/>
      <c r="H24" s="31">
        <f>Cty_Thanh_Hung[[#This Row],[ĐƠN GIÁ]]*Cty_Thanh_Hung[[#This Row],[SỐ LƯỢNG]]</f>
        <v>0</v>
      </c>
      <c r="I24" s="31">
        <v>150000000</v>
      </c>
      <c r="J24" s="31">
        <f>J23+Cty_Thanh_Hung[[#This Row],[THÀNH TIỀN]]-Cty_Thanh_Hung[[#This Row],[THANH TOÁN]]</f>
        <v>205995000</v>
      </c>
      <c r="K24" s="24"/>
    </row>
    <row r="25" spans="1:11" x14ac:dyDescent="0.25">
      <c r="A25" s="22"/>
      <c r="B25" s="29">
        <v>46172</v>
      </c>
      <c r="C25" s="23" t="s">
        <v>21</v>
      </c>
      <c r="D25" s="37" t="s">
        <v>22</v>
      </c>
      <c r="E25" s="23" t="s">
        <v>147</v>
      </c>
      <c r="F25" s="31">
        <v>0</v>
      </c>
      <c r="G25" s="31"/>
      <c r="H25" s="31">
        <f>Cty_Thanh_Hung[[#This Row],[ĐƠN GIÁ]]*Cty_Thanh_Hung[[#This Row],[SỐ LƯỢNG]]</f>
        <v>0</v>
      </c>
      <c r="I25" s="31">
        <v>60000000</v>
      </c>
      <c r="J25" s="31">
        <f>J24+Cty_Thanh_Hung[[#This Row],[THÀNH TIỀN]]-Cty_Thanh_Hung[[#This Row],[THANH TOÁN]]</f>
        <v>145995000</v>
      </c>
      <c r="K25" s="24"/>
    </row>
    <row r="26" spans="1:11" x14ac:dyDescent="0.25">
      <c r="A26" s="22">
        <v>9721</v>
      </c>
      <c r="B26" s="29">
        <v>46172</v>
      </c>
      <c r="C26" s="23" t="s">
        <v>13</v>
      </c>
      <c r="D26" s="37" t="s">
        <v>17</v>
      </c>
      <c r="E26" s="23" t="s">
        <v>40</v>
      </c>
      <c r="F26" s="31">
        <v>665</v>
      </c>
      <c r="G26" s="31">
        <v>66000</v>
      </c>
      <c r="H26" s="31">
        <f>Cty_Thanh_Hung[[#This Row],[ĐƠN GIÁ]]*Cty_Thanh_Hung[[#This Row],[SỐ LƯỢNG]]</f>
        <v>43890000</v>
      </c>
      <c r="I26" s="31"/>
      <c r="J26" s="31">
        <f>J25+Cty_Thanh_Hung[[#This Row],[THÀNH TIỀN]]-Cty_Thanh_Hung[[#This Row],[THANH TOÁN]]</f>
        <v>189885000</v>
      </c>
      <c r="K26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E99CA0-8FC0-457A-BE19-9C58FD669E75}">
  <sheetPr codeName="Sheet127"/>
  <dimension ref="A5:K14"/>
  <sheetViews>
    <sheetView workbookViewId="0"/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3458000</v>
      </c>
    </row>
    <row r="6" spans="1:11" ht="22.5" x14ac:dyDescent="0.25">
      <c r="D6" s="34" t="s">
        <v>1314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Cty_Minh_Tam[[#This Row],[ĐƠN GIÁ]]*Cty_Minh_Tam[[#This Row],[SỐ LƯỢNG]]</f>
        <v>0</v>
      </c>
      <c r="I10" s="31"/>
      <c r="J10" s="31">
        <v>0</v>
      </c>
      <c r="K10" s="24"/>
    </row>
    <row r="11" spans="1:11" x14ac:dyDescent="0.25">
      <c r="A11" s="22">
        <v>8200</v>
      </c>
      <c r="B11" s="29">
        <v>46100</v>
      </c>
      <c r="C11" s="23" t="s">
        <v>13</v>
      </c>
      <c r="D11" s="37" t="s">
        <v>17</v>
      </c>
      <c r="E11" s="23" t="s">
        <v>40</v>
      </c>
      <c r="F11" s="31">
        <v>107</v>
      </c>
      <c r="G11" s="31">
        <v>66000</v>
      </c>
      <c r="H11" s="31">
        <f>Cty_Minh_Tam[[#This Row],[ĐƠN GIÁ]]*Cty_Minh_Tam[[#This Row],[SỐ LƯỢNG]]</f>
        <v>7062000</v>
      </c>
      <c r="I11" s="31"/>
      <c r="J11" s="31">
        <f>J10+Cty_Minh_Tam[[#This Row],[THÀNH TIỀN]]-Cty_Minh_Tam[[#This Row],[THANH TOÁN]]</f>
        <v>7062000</v>
      </c>
      <c r="K11" s="24"/>
    </row>
    <row r="12" spans="1:11" x14ac:dyDescent="0.25">
      <c r="A12" s="22"/>
      <c r="B12" s="29">
        <v>46100</v>
      </c>
      <c r="C12" s="23" t="s">
        <v>21</v>
      </c>
      <c r="D12" s="37" t="s">
        <v>22</v>
      </c>
      <c r="E12" s="23" t="s">
        <v>147</v>
      </c>
      <c r="F12" s="31">
        <v>0</v>
      </c>
      <c r="G12" s="31">
        <v>0</v>
      </c>
      <c r="H12" s="31">
        <f>Cty_Minh_Tam[[#This Row],[ĐƠN GIÁ]]*Cty_Minh_Tam[[#This Row],[SỐ LƯỢNG]]</f>
        <v>0</v>
      </c>
      <c r="I12" s="31">
        <v>7062000</v>
      </c>
      <c r="J12" s="31">
        <f>J11+Cty_Minh_Tam[[#This Row],[THÀNH TIỀN]]-Cty_Minh_Tam[[#This Row],[THANH TOÁN]]</f>
        <v>0</v>
      </c>
      <c r="K12" s="24"/>
    </row>
    <row r="13" spans="1:11" x14ac:dyDescent="0.25">
      <c r="A13" s="22">
        <v>9493</v>
      </c>
      <c r="B13" s="29">
        <v>46161</v>
      </c>
      <c r="C13" s="23" t="s">
        <v>13</v>
      </c>
      <c r="D13" s="37" t="s">
        <v>317</v>
      </c>
      <c r="E13" s="23" t="s">
        <v>288</v>
      </c>
      <c r="F13" s="31">
        <v>28</v>
      </c>
      <c r="G13" s="31">
        <v>66500</v>
      </c>
      <c r="H13" s="31">
        <f>Cty_Minh_Tam[[#This Row],[ĐƠN GIÁ]]*Cty_Minh_Tam[[#This Row],[SỐ LƯỢNG]]</f>
        <v>1862000</v>
      </c>
      <c r="I13" s="31"/>
      <c r="J13" s="31">
        <f>J12+Cty_Minh_Tam[[#This Row],[THÀNH TIỀN]]-Cty_Minh_Tam[[#This Row],[THANH TOÁN]]</f>
        <v>1862000</v>
      </c>
      <c r="K13" s="24"/>
    </row>
    <row r="14" spans="1:11" x14ac:dyDescent="0.25">
      <c r="A14" s="22">
        <v>9650</v>
      </c>
      <c r="B14" s="29">
        <v>46169</v>
      </c>
      <c r="C14" s="23" t="s">
        <v>13</v>
      </c>
      <c r="D14" s="37" t="s">
        <v>317</v>
      </c>
      <c r="E14" s="23" t="s">
        <v>288</v>
      </c>
      <c r="F14" s="31">
        <v>24</v>
      </c>
      <c r="G14" s="31">
        <v>66500</v>
      </c>
      <c r="H14" s="31">
        <f>Cty_Minh_Tam[[#This Row],[ĐƠN GIÁ]]*Cty_Minh_Tam[[#This Row],[SỐ LƯỢNG]]</f>
        <v>1596000</v>
      </c>
      <c r="I14" s="31"/>
      <c r="J14" s="31">
        <f>J13+Cty_Minh_Tam[[#This Row],[THÀNH TIỀN]]-Cty_Minh_Tam[[#This Row],[THANH TOÁN]]</f>
        <v>3458000</v>
      </c>
      <c r="K14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44F528-0C3B-44FD-9BE0-D3F26444B1A6}">
  <sheetPr codeName="Sheet128"/>
  <dimension ref="A5:K59"/>
  <sheetViews>
    <sheetView topLeftCell="A34" workbookViewId="0">
      <selection activeCell="A60" sqref="A60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-120361612</v>
      </c>
    </row>
    <row r="6" spans="1:11" ht="22.5" x14ac:dyDescent="0.25">
      <c r="D6" s="34" t="s">
        <v>1315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Cty_Binh_Minh[[#This Row],[ĐƠN GIÁ]]*Cty_Binh_Minh[[#This Row],[SỐ LƯỢNG]]</f>
        <v>0</v>
      </c>
      <c r="I10" s="31"/>
      <c r="J10" s="31">
        <v>-305217921</v>
      </c>
      <c r="K10" s="24"/>
    </row>
    <row r="11" spans="1:11" x14ac:dyDescent="0.25">
      <c r="A11" s="22"/>
      <c r="B11" s="29">
        <v>46088</v>
      </c>
      <c r="C11" s="23" t="s">
        <v>2214</v>
      </c>
      <c r="D11" s="37" t="s">
        <v>22</v>
      </c>
      <c r="E11" s="23" t="s">
        <v>83</v>
      </c>
      <c r="F11" s="31">
        <v>0</v>
      </c>
      <c r="G11" s="31"/>
      <c r="H11" s="31">
        <f>Cty_Binh_Minh[[#This Row],[ĐƠN GIÁ]]*Cty_Binh_Minh[[#This Row],[SỐ LƯỢNG]]</f>
        <v>0</v>
      </c>
      <c r="I11" s="31">
        <v>-100000000</v>
      </c>
      <c r="J11" s="31">
        <f>J10+Cty_Binh_Minh[[#This Row],[THÀNH TIỀN]]-Cty_Binh_Minh[[#This Row],[THANH TOÁN]]</f>
        <v>-205217921</v>
      </c>
      <c r="K11" s="24"/>
    </row>
    <row r="12" spans="1:11" x14ac:dyDescent="0.25">
      <c r="A12" s="25"/>
      <c r="B12" s="30">
        <v>46094</v>
      </c>
      <c r="C12" s="26" t="s">
        <v>2214</v>
      </c>
      <c r="D12" s="38" t="s">
        <v>22</v>
      </c>
      <c r="E12" s="26" t="s">
        <v>83</v>
      </c>
      <c r="F12" s="28">
        <v>0</v>
      </c>
      <c r="G12" s="28"/>
      <c r="H12" s="28">
        <f>Cty_Binh_Minh[[#This Row],[ĐƠN GIÁ]]*Cty_Binh_Minh[[#This Row],[SỐ LƯỢNG]]</f>
        <v>0</v>
      </c>
      <c r="I12" s="28">
        <v>-70000000</v>
      </c>
      <c r="J12" s="28">
        <f>J11+Cty_Binh_Minh[[#This Row],[THÀNH TIỀN]]-Cty_Binh_Minh[[#This Row],[THANH TOÁN]]</f>
        <v>-135217921</v>
      </c>
      <c r="K12" s="27"/>
    </row>
    <row r="13" spans="1:11" x14ac:dyDescent="0.25">
      <c r="A13" s="25">
        <v>8261</v>
      </c>
      <c r="B13" s="30">
        <v>46100</v>
      </c>
      <c r="C13" s="26" t="s">
        <v>49</v>
      </c>
      <c r="D13" s="38" t="s">
        <v>17</v>
      </c>
      <c r="E13" s="26" t="s">
        <v>136</v>
      </c>
      <c r="F13" s="28">
        <v>1116</v>
      </c>
      <c r="G13" s="28"/>
      <c r="H13" s="28">
        <f>Cty_Binh_Minh[[#This Row],[ĐƠN GIÁ]]*Cty_Binh_Minh[[#This Row],[SỐ LƯỢNG]]</f>
        <v>0</v>
      </c>
      <c r="I13" s="28"/>
      <c r="J13" s="28">
        <f>J12+Cty_Binh_Minh[[#This Row],[THÀNH TIỀN]]-Cty_Binh_Minh[[#This Row],[THANH TOÁN]]</f>
        <v>-135217921</v>
      </c>
      <c r="K13" s="27"/>
    </row>
    <row r="14" spans="1:11" x14ac:dyDescent="0.25">
      <c r="A14" s="25">
        <v>8471</v>
      </c>
      <c r="B14" s="30">
        <v>46101</v>
      </c>
      <c r="C14" s="26" t="s">
        <v>84</v>
      </c>
      <c r="D14" s="38" t="s">
        <v>1105</v>
      </c>
      <c r="E14" s="26" t="s">
        <v>1316</v>
      </c>
      <c r="F14" s="28">
        <v>220</v>
      </c>
      <c r="G14" s="28">
        <v>-1800</v>
      </c>
      <c r="H14" s="28">
        <f>Cty_Binh_Minh[[#This Row],[ĐƠN GIÁ]]*Cty_Binh_Minh[[#This Row],[SỐ LƯỢNG]]</f>
        <v>-396000</v>
      </c>
      <c r="I14" s="28"/>
      <c r="J14" s="28">
        <f>J13+Cty_Binh_Minh[[#This Row],[THÀNH TIỀN]]-Cty_Binh_Minh[[#This Row],[THANH TOÁN]]</f>
        <v>-135613921</v>
      </c>
      <c r="K14" s="27"/>
    </row>
    <row r="15" spans="1:11" x14ac:dyDescent="0.25">
      <c r="A15" s="22">
        <v>8477</v>
      </c>
      <c r="B15" s="29">
        <v>46101</v>
      </c>
      <c r="C15" s="23" t="s">
        <v>692</v>
      </c>
      <c r="D15" s="37" t="s">
        <v>68</v>
      </c>
      <c r="E15" s="23" t="s">
        <v>1318</v>
      </c>
      <c r="F15" s="31">
        <v>586</v>
      </c>
      <c r="G15" s="31">
        <v>-41500</v>
      </c>
      <c r="H15" s="31">
        <f>Cty_Binh_Minh[[#This Row],[ĐƠN GIÁ]]*Cty_Binh_Minh[[#This Row],[SỐ LƯỢNG]]</f>
        <v>-24319000</v>
      </c>
      <c r="I15" s="31"/>
      <c r="J15" s="31">
        <f>J14+Cty_Binh_Minh[[#This Row],[THÀNH TIỀN]]-Cty_Binh_Minh[[#This Row],[THANH TOÁN]]</f>
        <v>-159932921</v>
      </c>
      <c r="K15" s="24"/>
    </row>
    <row r="16" spans="1:11" x14ac:dyDescent="0.25">
      <c r="A16" s="22"/>
      <c r="B16" s="29">
        <v>46101</v>
      </c>
      <c r="C16" s="23" t="s">
        <v>2214</v>
      </c>
      <c r="D16" s="37" t="s">
        <v>22</v>
      </c>
      <c r="E16" s="23" t="s">
        <v>83</v>
      </c>
      <c r="F16" s="31">
        <v>0</v>
      </c>
      <c r="G16" s="31"/>
      <c r="H16" s="31">
        <f>Cty_Binh_Minh[[#This Row],[ĐƠN GIÁ]]*Cty_Binh_Minh[[#This Row],[SỐ LƯỢNG]]</f>
        <v>0</v>
      </c>
      <c r="I16" s="31">
        <v>-135235000</v>
      </c>
      <c r="J16" s="31">
        <f>J15+Cty_Binh_Minh[[#This Row],[THÀNH TIỀN]]-Cty_Binh_Minh[[#This Row],[THANH TOÁN]]</f>
        <v>-24697921</v>
      </c>
      <c r="K16" s="24"/>
    </row>
    <row r="17" spans="1:11" x14ac:dyDescent="0.25">
      <c r="A17" s="22">
        <v>8493</v>
      </c>
      <c r="B17" s="29">
        <v>46102</v>
      </c>
      <c r="C17" s="23" t="s">
        <v>692</v>
      </c>
      <c r="D17" s="37" t="s">
        <v>68</v>
      </c>
      <c r="E17" s="23" t="s">
        <v>1317</v>
      </c>
      <c r="F17" s="31">
        <v>464</v>
      </c>
      <c r="G17" s="31">
        <v>-41500</v>
      </c>
      <c r="H17" s="31">
        <f>Cty_Binh_Minh[[#This Row],[ĐƠN GIÁ]]*Cty_Binh_Minh[[#This Row],[SỐ LƯỢNG]]</f>
        <v>-19256000</v>
      </c>
      <c r="I17" s="31"/>
      <c r="J17" s="31">
        <f>J16+Cty_Binh_Minh[[#This Row],[THÀNH TIỀN]]-Cty_Binh_Minh[[#This Row],[THANH TOÁN]]</f>
        <v>-43953921</v>
      </c>
      <c r="K17" s="24"/>
    </row>
    <row r="18" spans="1:11" x14ac:dyDescent="0.25">
      <c r="A18" s="22">
        <v>8511</v>
      </c>
      <c r="B18" s="29">
        <v>46104</v>
      </c>
      <c r="C18" s="23" t="s">
        <v>692</v>
      </c>
      <c r="D18" s="37" t="s">
        <v>1319</v>
      </c>
      <c r="E18" s="23" t="s">
        <v>1320</v>
      </c>
      <c r="F18" s="31">
        <v>113</v>
      </c>
      <c r="G18" s="31">
        <v>-41500</v>
      </c>
      <c r="H18" s="31">
        <f>Cty_Binh_Minh[[#This Row],[ĐƠN GIÁ]]*Cty_Binh_Minh[[#This Row],[SỐ LƯỢNG]]</f>
        <v>-4689500</v>
      </c>
      <c r="I18" s="31"/>
      <c r="J18" s="31">
        <f>J17+Cty_Binh_Minh[[#This Row],[THÀNH TIỀN]]-Cty_Binh_Minh[[#This Row],[THANH TOÁN]]</f>
        <v>-48643421</v>
      </c>
      <c r="K18" s="24"/>
    </row>
    <row r="19" spans="1:11" x14ac:dyDescent="0.25">
      <c r="A19" s="22">
        <v>8511</v>
      </c>
      <c r="B19" s="29">
        <v>46104</v>
      </c>
      <c r="C19" s="23" t="s">
        <v>692</v>
      </c>
      <c r="D19" s="37" t="s">
        <v>1319</v>
      </c>
      <c r="E19" s="23" t="s">
        <v>1321</v>
      </c>
      <c r="F19" s="31">
        <v>440</v>
      </c>
      <c r="G19" s="31">
        <v>-41500</v>
      </c>
      <c r="H19" s="31">
        <f>Cty_Binh_Minh[[#This Row],[ĐƠN GIÁ]]*Cty_Binh_Minh[[#This Row],[SỐ LƯỢNG]]</f>
        <v>-18260000</v>
      </c>
      <c r="I19" s="31"/>
      <c r="J19" s="31">
        <f>J18+Cty_Binh_Minh[[#This Row],[THÀNH TIỀN]]-Cty_Binh_Minh[[#This Row],[THANH TOÁN]]</f>
        <v>-66903421</v>
      </c>
      <c r="K19" s="24"/>
    </row>
    <row r="20" spans="1:11" x14ac:dyDescent="0.25">
      <c r="A20" s="22">
        <v>8468</v>
      </c>
      <c r="B20" s="29">
        <v>46113</v>
      </c>
      <c r="C20" s="23" t="s">
        <v>13</v>
      </c>
      <c r="D20" s="37" t="s">
        <v>26</v>
      </c>
      <c r="E20" s="23" t="s">
        <v>62</v>
      </c>
      <c r="F20" s="31">
        <v>7198</v>
      </c>
      <c r="G20" s="31">
        <v>34500</v>
      </c>
      <c r="H20" s="31">
        <f>Cty_Binh_Minh[[#This Row],[ĐƠN GIÁ]]*Cty_Binh_Minh[[#This Row],[SỐ LƯỢNG]]</f>
        <v>248331000</v>
      </c>
      <c r="I20" s="31"/>
      <c r="J20" s="31">
        <f>J19+Cty_Binh_Minh[[#This Row],[THÀNH TIỀN]]-Cty_Binh_Minh[[#This Row],[THANH TOÁN]]</f>
        <v>181427579</v>
      </c>
      <c r="K20" s="24"/>
    </row>
    <row r="21" spans="1:11" x14ac:dyDescent="0.25">
      <c r="A21" s="22">
        <v>8543</v>
      </c>
      <c r="B21" s="29">
        <v>46116</v>
      </c>
      <c r="C21" s="23" t="s">
        <v>13</v>
      </c>
      <c r="D21" s="37" t="s">
        <v>26</v>
      </c>
      <c r="E21" s="23" t="s">
        <v>78</v>
      </c>
      <c r="F21" s="31">
        <v>2285</v>
      </c>
      <c r="G21" s="31">
        <v>35000</v>
      </c>
      <c r="H21" s="31">
        <f>Cty_Binh_Minh[[#This Row],[ĐƠN GIÁ]]*Cty_Binh_Minh[[#This Row],[SỐ LƯỢNG]]</f>
        <v>79975000</v>
      </c>
      <c r="I21" s="31"/>
      <c r="J21" s="31">
        <f>J20+Cty_Binh_Minh[[#This Row],[THÀNH TIỀN]]-Cty_Binh_Minh[[#This Row],[THANH TOÁN]]</f>
        <v>261402579</v>
      </c>
      <c r="K21" s="24"/>
    </row>
    <row r="22" spans="1:11" x14ac:dyDescent="0.25">
      <c r="A22" s="22">
        <v>8547</v>
      </c>
      <c r="B22" s="29">
        <v>46116</v>
      </c>
      <c r="C22" s="23" t="s">
        <v>13</v>
      </c>
      <c r="D22" s="37" t="s">
        <v>26</v>
      </c>
      <c r="E22" s="23" t="s">
        <v>62</v>
      </c>
      <c r="F22" s="31">
        <v>5427</v>
      </c>
      <c r="G22" s="31">
        <v>34500</v>
      </c>
      <c r="H22" s="31">
        <f>Cty_Binh_Minh[[#This Row],[ĐƠN GIÁ]]*Cty_Binh_Minh[[#This Row],[SỐ LƯỢNG]]</f>
        <v>187231500</v>
      </c>
      <c r="I22" s="31"/>
      <c r="J22" s="31">
        <f>J21+Cty_Binh_Minh[[#This Row],[THÀNH TIỀN]]-Cty_Binh_Minh[[#This Row],[THANH TOÁN]]</f>
        <v>448634079</v>
      </c>
      <c r="K22" s="24"/>
    </row>
    <row r="23" spans="1:11" x14ac:dyDescent="0.25">
      <c r="A23" s="22">
        <v>8807</v>
      </c>
      <c r="B23" s="29">
        <v>46128</v>
      </c>
      <c r="C23" s="23" t="s">
        <v>49</v>
      </c>
      <c r="D23" s="37" t="s">
        <v>442</v>
      </c>
      <c r="E23" s="23" t="s">
        <v>1322</v>
      </c>
      <c r="F23" s="31">
        <v>4970</v>
      </c>
      <c r="G23" s="31"/>
      <c r="H23" s="31">
        <f>Cty_Binh_Minh[[#This Row],[ĐƠN GIÁ]]*Cty_Binh_Minh[[#This Row],[SỐ LƯỢNG]]</f>
        <v>0</v>
      </c>
      <c r="I23" s="31"/>
      <c r="J23" s="31">
        <f>J22+Cty_Binh_Minh[[#This Row],[THÀNH TIỀN]]-Cty_Binh_Minh[[#This Row],[THANH TOÁN]]</f>
        <v>448634079</v>
      </c>
      <c r="K23" s="24" t="s">
        <v>1323</v>
      </c>
    </row>
    <row r="24" spans="1:11" x14ac:dyDescent="0.25">
      <c r="A24" s="22">
        <v>8876</v>
      </c>
      <c r="B24" s="29">
        <v>46129</v>
      </c>
      <c r="C24" s="23" t="s">
        <v>84</v>
      </c>
      <c r="D24" s="37" t="s">
        <v>109</v>
      </c>
      <c r="E24" s="23" t="s">
        <v>1324</v>
      </c>
      <c r="F24" s="31">
        <v>1364</v>
      </c>
      <c r="G24" s="31">
        <v>-500</v>
      </c>
      <c r="H24" s="31">
        <f>Cty_Binh_Minh[[#This Row],[ĐƠN GIÁ]]*Cty_Binh_Minh[[#This Row],[SỐ LƯỢNG]]</f>
        <v>-682000</v>
      </c>
      <c r="I24" s="31"/>
      <c r="J24" s="31">
        <f>J23+Cty_Binh_Minh[[#This Row],[THÀNH TIỀN]]-Cty_Binh_Minh[[#This Row],[THANH TOÁN]]</f>
        <v>447952079</v>
      </c>
      <c r="K24" s="24"/>
    </row>
    <row r="25" spans="1:11" x14ac:dyDescent="0.25">
      <c r="A25" s="22">
        <v>8876</v>
      </c>
      <c r="B25" s="29">
        <v>46129</v>
      </c>
      <c r="C25" s="23" t="s">
        <v>84</v>
      </c>
      <c r="D25" s="37" t="s">
        <v>109</v>
      </c>
      <c r="E25" s="23" t="s">
        <v>1324</v>
      </c>
      <c r="F25" s="31">
        <v>3602</v>
      </c>
      <c r="G25" s="31">
        <v>-500</v>
      </c>
      <c r="H25" s="31">
        <f>Cty_Binh_Minh[[#This Row],[ĐƠN GIÁ]]*Cty_Binh_Minh[[#This Row],[SỐ LƯỢNG]]</f>
        <v>-1801000</v>
      </c>
      <c r="I25" s="31"/>
      <c r="J25" s="31">
        <f>J24+Cty_Binh_Minh[[#This Row],[THÀNH TIỀN]]-Cty_Binh_Minh[[#This Row],[THANH TOÁN]]</f>
        <v>446151079</v>
      </c>
      <c r="K25" s="24"/>
    </row>
    <row r="26" spans="1:11" x14ac:dyDescent="0.25">
      <c r="A26" s="22"/>
      <c r="B26" s="29">
        <v>46133</v>
      </c>
      <c r="C26" s="23" t="s">
        <v>2214</v>
      </c>
      <c r="D26" s="37" t="s">
        <v>22</v>
      </c>
      <c r="E26" s="23" t="s">
        <v>2067</v>
      </c>
      <c r="F26" s="31">
        <v>0</v>
      </c>
      <c r="G26" s="31"/>
      <c r="H26" s="31">
        <f>Cty_Binh_Minh[[#This Row],[ĐƠN GIÁ]]*Cty_Binh_Minh[[#This Row],[SỐ LƯỢNG]]</f>
        <v>0</v>
      </c>
      <c r="I26" s="31">
        <v>-2483000</v>
      </c>
      <c r="J26" s="31">
        <f>J25+Cty_Binh_Minh[[#This Row],[THÀNH TIỀN]]-Cty_Binh_Minh[[#This Row],[THANH TOÁN]]</f>
        <v>448634079</v>
      </c>
      <c r="K26" s="24"/>
    </row>
    <row r="27" spans="1:11" x14ac:dyDescent="0.25">
      <c r="A27" s="22">
        <v>8958</v>
      </c>
      <c r="B27" s="29">
        <v>46135</v>
      </c>
      <c r="C27" s="23" t="s">
        <v>692</v>
      </c>
      <c r="D27" s="37" t="s">
        <v>1325</v>
      </c>
      <c r="E27" s="23" t="s">
        <v>1326</v>
      </c>
      <c r="F27" s="31">
        <v>608</v>
      </c>
      <c r="G27" s="31">
        <v>-37000</v>
      </c>
      <c r="H27" s="31">
        <f>Cty_Binh_Minh[[#This Row],[ĐƠN GIÁ]]*Cty_Binh_Minh[[#This Row],[SỐ LƯỢNG]]</f>
        <v>-22496000</v>
      </c>
      <c r="I27" s="31"/>
      <c r="J27" s="31">
        <f>J26+Cty_Binh_Minh[[#This Row],[THÀNH TIỀN]]-Cty_Binh_Minh[[#This Row],[THANH TOÁN]]</f>
        <v>426138079</v>
      </c>
      <c r="K27" s="24"/>
    </row>
    <row r="28" spans="1:11" x14ac:dyDescent="0.25">
      <c r="A28" s="22">
        <v>8964</v>
      </c>
      <c r="B28" s="29">
        <v>46135</v>
      </c>
      <c r="C28" s="23" t="s">
        <v>692</v>
      </c>
      <c r="D28" s="37" t="s">
        <v>1325</v>
      </c>
      <c r="E28" s="23" t="s">
        <v>1327</v>
      </c>
      <c r="F28" s="31">
        <v>2006</v>
      </c>
      <c r="G28" s="31">
        <v>-36500</v>
      </c>
      <c r="H28" s="31">
        <f>Cty_Binh_Minh[[#This Row],[ĐƠN GIÁ]]*Cty_Binh_Minh[[#This Row],[SỐ LƯỢNG]]</f>
        <v>-73219000</v>
      </c>
      <c r="I28" s="31"/>
      <c r="J28" s="31">
        <f>J27+Cty_Binh_Minh[[#This Row],[THÀNH TIỀN]]-Cty_Binh_Minh[[#This Row],[THANH TOÁN]]</f>
        <v>352919079</v>
      </c>
      <c r="K28" s="24"/>
    </row>
    <row r="29" spans="1:11" x14ac:dyDescent="0.25">
      <c r="A29" s="22">
        <v>8977</v>
      </c>
      <c r="B29" s="29">
        <v>46136</v>
      </c>
      <c r="C29" s="23" t="s">
        <v>692</v>
      </c>
      <c r="D29" s="37" t="s">
        <v>1328</v>
      </c>
      <c r="E29" s="23" t="s">
        <v>915</v>
      </c>
      <c r="F29" s="31">
        <v>824</v>
      </c>
      <c r="G29" s="31">
        <v>-36500</v>
      </c>
      <c r="H29" s="31">
        <f>Cty_Binh_Minh[[#This Row],[ĐƠN GIÁ]]*Cty_Binh_Minh[[#This Row],[SỐ LƯỢNG]]</f>
        <v>-30076000</v>
      </c>
      <c r="I29" s="31"/>
      <c r="J29" s="31">
        <f>J28+Cty_Binh_Minh[[#This Row],[THÀNH TIỀN]]-Cty_Binh_Minh[[#This Row],[THANH TOÁN]]</f>
        <v>322843079</v>
      </c>
      <c r="K29" s="24"/>
    </row>
    <row r="30" spans="1:11" x14ac:dyDescent="0.25">
      <c r="A30" s="22"/>
      <c r="B30" s="29">
        <v>46137</v>
      </c>
      <c r="C30" s="23" t="s">
        <v>21</v>
      </c>
      <c r="D30" s="37" t="s">
        <v>22</v>
      </c>
      <c r="E30" s="23" t="s">
        <v>83</v>
      </c>
      <c r="F30" s="31">
        <v>0</v>
      </c>
      <c r="G30" s="31"/>
      <c r="H30" s="31">
        <f>Cty_Binh_Minh[[#This Row],[ĐƠN GIÁ]]*Cty_Binh_Minh[[#This Row],[SỐ LƯỢNG]]</f>
        <v>0</v>
      </c>
      <c r="I30" s="31">
        <v>100000000</v>
      </c>
      <c r="J30" s="31">
        <f>J29+Cty_Binh_Minh[[#This Row],[THÀNH TIỀN]]-Cty_Binh_Minh[[#This Row],[THANH TOÁN]]</f>
        <v>222843079</v>
      </c>
      <c r="K30" s="24"/>
    </row>
    <row r="31" spans="1:11" x14ac:dyDescent="0.25">
      <c r="A31" s="22">
        <v>9017</v>
      </c>
      <c r="B31" s="29">
        <v>46137</v>
      </c>
      <c r="C31" s="23" t="s">
        <v>13</v>
      </c>
      <c r="D31" s="37" t="s">
        <v>45</v>
      </c>
      <c r="E31" s="23" t="s">
        <v>1832</v>
      </c>
      <c r="F31" s="31">
        <v>416</v>
      </c>
      <c r="G31" s="31">
        <v>34500</v>
      </c>
      <c r="H31" s="31">
        <f>Cty_Binh_Minh[[#This Row],[ĐƠN GIÁ]]*Cty_Binh_Minh[[#This Row],[SỐ LƯỢNG]]</f>
        <v>14352000</v>
      </c>
      <c r="I31" s="31"/>
      <c r="J31" s="31">
        <f>J30+Cty_Binh_Minh[[#This Row],[THÀNH TIỀN]]-Cty_Binh_Minh[[#This Row],[THANH TOÁN]]</f>
        <v>237195079</v>
      </c>
      <c r="K31" s="24"/>
    </row>
    <row r="32" spans="1:11" x14ac:dyDescent="0.25">
      <c r="A32" s="22">
        <v>9012</v>
      </c>
      <c r="B32" s="29">
        <v>46139</v>
      </c>
      <c r="C32" s="23" t="s">
        <v>692</v>
      </c>
      <c r="D32" s="37" t="s">
        <v>68</v>
      </c>
      <c r="E32" s="23" t="s">
        <v>1329</v>
      </c>
      <c r="F32" s="31">
        <v>242</v>
      </c>
      <c r="G32" s="31">
        <v>-41000</v>
      </c>
      <c r="H32" s="31">
        <f>Cty_Binh_Minh[[#This Row],[ĐƠN GIÁ]]*Cty_Binh_Minh[[#This Row],[SỐ LƯỢNG]]</f>
        <v>-9922000</v>
      </c>
      <c r="I32" s="31"/>
      <c r="J32" s="31">
        <f>J31+Cty_Binh_Minh[[#This Row],[THÀNH TIỀN]]-Cty_Binh_Minh[[#This Row],[THANH TOÁN]]</f>
        <v>227273079</v>
      </c>
      <c r="K32" s="24"/>
    </row>
    <row r="33" spans="1:11" x14ac:dyDescent="0.25">
      <c r="A33" s="22">
        <v>9012</v>
      </c>
      <c r="B33" s="29">
        <v>46139</v>
      </c>
      <c r="C33" s="23" t="s">
        <v>692</v>
      </c>
      <c r="D33" s="37" t="s">
        <v>68</v>
      </c>
      <c r="E33" s="23" t="s">
        <v>1330</v>
      </c>
      <c r="F33" s="31">
        <v>686</v>
      </c>
      <c r="G33" s="31">
        <v>-36500</v>
      </c>
      <c r="H33" s="31">
        <f>Cty_Binh_Minh[[#This Row],[ĐƠN GIÁ]]*Cty_Binh_Minh[[#This Row],[SỐ LƯỢNG]]</f>
        <v>-25039000</v>
      </c>
      <c r="I33" s="31"/>
      <c r="J33" s="31">
        <f>J32+Cty_Binh_Minh[[#This Row],[THÀNH TIỀN]]-Cty_Binh_Minh[[#This Row],[THANH TOÁN]]</f>
        <v>202234079</v>
      </c>
      <c r="K33" s="24"/>
    </row>
    <row r="34" spans="1:11" x14ac:dyDescent="0.25">
      <c r="A34" s="22"/>
      <c r="B34" s="29">
        <v>46139</v>
      </c>
      <c r="C34" s="23" t="s">
        <v>2214</v>
      </c>
      <c r="D34" s="37" t="s">
        <v>22</v>
      </c>
      <c r="E34" s="23"/>
      <c r="F34" s="31">
        <v>0</v>
      </c>
      <c r="G34" s="31"/>
      <c r="H34" s="31">
        <f>Cty_Binh_Minh[[#This Row],[ĐƠN GIÁ]]*Cty_Binh_Minh[[#This Row],[SỐ LƯỢNG]]</f>
        <v>0</v>
      </c>
      <c r="I34" s="31">
        <v>31682000</v>
      </c>
      <c r="J34" s="31">
        <f>J33+Cty_Binh_Minh[[#This Row],[THÀNH TIỀN]]-Cty_Binh_Minh[[#This Row],[THANH TOÁN]]</f>
        <v>170552079</v>
      </c>
      <c r="K34" s="24"/>
    </row>
    <row r="35" spans="1:11" x14ac:dyDescent="0.25">
      <c r="A35" s="22">
        <v>9020</v>
      </c>
      <c r="B35" s="29">
        <v>46140</v>
      </c>
      <c r="C35" s="23" t="s">
        <v>692</v>
      </c>
      <c r="D35" s="37" t="s">
        <v>68</v>
      </c>
      <c r="E35" s="23" t="s">
        <v>1331</v>
      </c>
      <c r="F35" s="31">
        <v>225</v>
      </c>
      <c r="G35" s="31">
        <v>-41000</v>
      </c>
      <c r="H35" s="31">
        <f>Cty_Binh_Minh[[#This Row],[ĐƠN GIÁ]]*Cty_Binh_Minh[[#This Row],[SỐ LƯỢNG]]</f>
        <v>-9225000</v>
      </c>
      <c r="I35" s="31"/>
      <c r="J35" s="31">
        <f>J34+Cty_Binh_Minh[[#This Row],[THÀNH TIỀN]]-Cty_Binh_Minh[[#This Row],[THANH TOÁN]]</f>
        <v>161327079</v>
      </c>
      <c r="K35" s="24"/>
    </row>
    <row r="36" spans="1:11" x14ac:dyDescent="0.25">
      <c r="A36" s="22">
        <v>9157</v>
      </c>
      <c r="B36" s="29">
        <v>46153</v>
      </c>
      <c r="C36" s="23" t="s">
        <v>692</v>
      </c>
      <c r="D36" s="37" t="s">
        <v>135</v>
      </c>
      <c r="E36" s="23" t="s">
        <v>915</v>
      </c>
      <c r="F36" s="31">
        <v>1052</v>
      </c>
      <c r="G36" s="31">
        <v>-37000</v>
      </c>
      <c r="H36" s="31">
        <f>Cty_Binh_Minh[[#This Row],[ĐƠN GIÁ]]*Cty_Binh_Minh[[#This Row],[SỐ LƯỢNG]]</f>
        <v>-38924000</v>
      </c>
      <c r="I36" s="31"/>
      <c r="J36" s="31">
        <f>J35+Cty_Binh_Minh[[#This Row],[THÀNH TIỀN]]-Cty_Binh_Minh[[#This Row],[THANH TOÁN]]</f>
        <v>122403079</v>
      </c>
      <c r="K36" s="24"/>
    </row>
    <row r="37" spans="1:11" x14ac:dyDescent="0.25">
      <c r="A37" s="22">
        <v>9157</v>
      </c>
      <c r="B37" s="29">
        <v>46153</v>
      </c>
      <c r="C37" s="23" t="s">
        <v>692</v>
      </c>
      <c r="D37" s="37" t="s">
        <v>103</v>
      </c>
      <c r="E37" s="23" t="s">
        <v>2021</v>
      </c>
      <c r="F37" s="31">
        <v>1107</v>
      </c>
      <c r="G37" s="31">
        <v>-37000</v>
      </c>
      <c r="H37" s="31">
        <f>Cty_Binh_Minh[[#This Row],[ĐƠN GIÁ]]*Cty_Binh_Minh[[#This Row],[SỐ LƯỢNG]]</f>
        <v>-40959000</v>
      </c>
      <c r="I37" s="31"/>
      <c r="J37" s="31">
        <f>J36+Cty_Binh_Minh[[#This Row],[THÀNH TIỀN]]-Cty_Binh_Minh[[#This Row],[THANH TOÁN]]</f>
        <v>81444079</v>
      </c>
      <c r="K37" s="24"/>
    </row>
    <row r="38" spans="1:11" x14ac:dyDescent="0.25">
      <c r="A38" s="22">
        <v>9157</v>
      </c>
      <c r="B38" s="29">
        <v>46153</v>
      </c>
      <c r="C38" s="23" t="s">
        <v>692</v>
      </c>
      <c r="D38" s="37" t="s">
        <v>68</v>
      </c>
      <c r="E38" s="23" t="s">
        <v>1321</v>
      </c>
      <c r="F38" s="31">
        <v>258</v>
      </c>
      <c r="G38" s="31">
        <v>-42000</v>
      </c>
      <c r="H38" s="31">
        <f>Cty_Binh_Minh[[#This Row],[ĐƠN GIÁ]]*Cty_Binh_Minh[[#This Row],[SỐ LƯỢNG]]</f>
        <v>-10836000</v>
      </c>
      <c r="I38" s="31"/>
      <c r="J38" s="31">
        <f>J37+Cty_Binh_Minh[[#This Row],[THÀNH TIỀN]]-Cty_Binh_Minh[[#This Row],[THANH TOÁN]]</f>
        <v>70608079</v>
      </c>
      <c r="K38" s="24"/>
    </row>
    <row r="39" spans="1:11" x14ac:dyDescent="0.25">
      <c r="A39" s="22">
        <v>9183</v>
      </c>
      <c r="B39" s="29">
        <v>46155</v>
      </c>
      <c r="C39" s="23" t="s">
        <v>692</v>
      </c>
      <c r="D39" s="37" t="s">
        <v>1325</v>
      </c>
      <c r="E39" s="23" t="s">
        <v>2135</v>
      </c>
      <c r="F39" s="31">
        <v>536</v>
      </c>
      <c r="G39" s="31">
        <v>-37000</v>
      </c>
      <c r="H39" s="31">
        <f>Cty_Binh_Minh[[#This Row],[ĐƠN GIÁ]]*Cty_Binh_Minh[[#This Row],[SỐ LƯỢNG]]</f>
        <v>-19832000</v>
      </c>
      <c r="I39" s="31"/>
      <c r="J39" s="31">
        <f>J38+Cty_Binh_Minh[[#This Row],[THÀNH TIỀN]]-Cty_Binh_Minh[[#This Row],[THANH TOÁN]]</f>
        <v>50776079</v>
      </c>
      <c r="K39" s="24"/>
    </row>
    <row r="40" spans="1:11" x14ac:dyDescent="0.25">
      <c r="A40" s="22">
        <v>9374</v>
      </c>
      <c r="B40" s="29">
        <v>46156</v>
      </c>
      <c r="C40" s="23" t="s">
        <v>13</v>
      </c>
      <c r="D40" s="37" t="s">
        <v>109</v>
      </c>
      <c r="E40" s="23" t="s">
        <v>202</v>
      </c>
      <c r="F40" s="31">
        <v>5136</v>
      </c>
      <c r="G40" s="31">
        <v>61500</v>
      </c>
      <c r="H40" s="31">
        <f>Cty_Binh_Minh[[#This Row],[ĐƠN GIÁ]]*Cty_Binh_Minh[[#This Row],[SỐ LƯỢNG]]</f>
        <v>315864000</v>
      </c>
      <c r="I40" s="31"/>
      <c r="J40" s="31">
        <f>J39+Cty_Binh_Minh[[#This Row],[THÀNH TIỀN]]-Cty_Binh_Minh[[#This Row],[THANH TOÁN]]</f>
        <v>366640079</v>
      </c>
      <c r="K40" s="24"/>
    </row>
    <row r="41" spans="1:11" x14ac:dyDescent="0.25">
      <c r="A41" s="22">
        <v>9418</v>
      </c>
      <c r="B41" s="29">
        <v>46157</v>
      </c>
      <c r="C41" s="23" t="s">
        <v>49</v>
      </c>
      <c r="D41" s="37" t="s">
        <v>17</v>
      </c>
      <c r="E41" s="23" t="s">
        <v>134</v>
      </c>
      <c r="F41" s="31">
        <v>1230</v>
      </c>
      <c r="G41" s="31"/>
      <c r="H41" s="31">
        <f>Cty_Binh_Minh[[#This Row],[ĐƠN GIÁ]]*Cty_Binh_Minh[[#This Row],[SỐ LƯỢNG]]</f>
        <v>0</v>
      </c>
      <c r="I41" s="31"/>
      <c r="J41" s="31">
        <f>J40+Cty_Binh_Minh[[#This Row],[THÀNH TIỀN]]-Cty_Binh_Minh[[#This Row],[THANH TOÁN]]</f>
        <v>366640079</v>
      </c>
      <c r="K41" s="24" t="s">
        <v>2132</v>
      </c>
    </row>
    <row r="42" spans="1:11" x14ac:dyDescent="0.25">
      <c r="A42" s="22">
        <v>9237</v>
      </c>
      <c r="B42" s="29">
        <v>46158</v>
      </c>
      <c r="C42" s="23" t="s">
        <v>692</v>
      </c>
      <c r="D42" s="37" t="s">
        <v>103</v>
      </c>
      <c r="E42" s="23" t="s">
        <v>2195</v>
      </c>
      <c r="F42" s="31">
        <v>292</v>
      </c>
      <c r="G42" s="31">
        <v>-37000</v>
      </c>
      <c r="H42" s="31">
        <f>Cty_Binh_Minh[[#This Row],[ĐƠN GIÁ]]*Cty_Binh_Minh[[#This Row],[SỐ LƯỢNG]]</f>
        <v>-10804000</v>
      </c>
      <c r="I42" s="31"/>
      <c r="J42" s="31">
        <f>J41+Cty_Binh_Minh[[#This Row],[THÀNH TIỀN]]-Cty_Binh_Minh[[#This Row],[THANH TOÁN]]</f>
        <v>355836079</v>
      </c>
      <c r="K42" s="24"/>
    </row>
    <row r="43" spans="1:11" x14ac:dyDescent="0.25">
      <c r="A43" s="25">
        <v>9238</v>
      </c>
      <c r="B43" s="30">
        <v>46158</v>
      </c>
      <c r="C43" s="26" t="s">
        <v>692</v>
      </c>
      <c r="D43" s="38" t="s">
        <v>135</v>
      </c>
      <c r="E43" s="26" t="s">
        <v>2196</v>
      </c>
      <c r="F43" s="28">
        <v>214</v>
      </c>
      <c r="G43" s="28">
        <v>-37000</v>
      </c>
      <c r="H43" s="28">
        <f>Cty_Binh_Minh[[#This Row],[ĐƠN GIÁ]]*Cty_Binh_Minh[[#This Row],[SỐ LƯỢNG]]</f>
        <v>-7918000</v>
      </c>
      <c r="I43" s="28"/>
      <c r="J43" s="28">
        <f>J42+Cty_Binh_Minh[[#This Row],[THÀNH TIỀN]]-Cty_Binh_Minh[[#This Row],[THANH TOÁN]]</f>
        <v>347918079</v>
      </c>
      <c r="K43" s="27"/>
    </row>
    <row r="44" spans="1:11" x14ac:dyDescent="0.25">
      <c r="A44" s="25">
        <v>9236</v>
      </c>
      <c r="B44" s="30">
        <v>46158</v>
      </c>
      <c r="C44" s="26" t="s">
        <v>692</v>
      </c>
      <c r="D44" s="38" t="s">
        <v>103</v>
      </c>
      <c r="E44" s="26" t="s">
        <v>2197</v>
      </c>
      <c r="F44" s="28">
        <v>996</v>
      </c>
      <c r="G44" s="28">
        <v>-37000</v>
      </c>
      <c r="H44" s="28">
        <f>Cty_Binh_Minh[[#This Row],[ĐƠN GIÁ]]*Cty_Binh_Minh[[#This Row],[SỐ LƯỢNG]]</f>
        <v>-36852000</v>
      </c>
      <c r="I44" s="28"/>
      <c r="J44" s="28">
        <f>J43+Cty_Binh_Minh[[#This Row],[THÀNH TIỀN]]-Cty_Binh_Minh[[#This Row],[THANH TOÁN]]</f>
        <v>311066079</v>
      </c>
      <c r="K44" s="27"/>
    </row>
    <row r="45" spans="1:11" x14ac:dyDescent="0.25">
      <c r="A45" s="25">
        <v>9240</v>
      </c>
      <c r="B45" s="30">
        <v>46158</v>
      </c>
      <c r="C45" s="26" t="s">
        <v>692</v>
      </c>
      <c r="D45" s="38" t="s">
        <v>68</v>
      </c>
      <c r="E45" s="26" t="s">
        <v>2198</v>
      </c>
      <c r="F45" s="28">
        <v>2452</v>
      </c>
      <c r="G45" s="28">
        <v>-40500</v>
      </c>
      <c r="H45" s="28">
        <f>Cty_Binh_Minh[[#This Row],[ĐƠN GIÁ]]*Cty_Binh_Minh[[#This Row],[SỐ LƯỢNG]]</f>
        <v>-99306000</v>
      </c>
      <c r="I45" s="28"/>
      <c r="J45" s="28">
        <f>J44+Cty_Binh_Minh[[#This Row],[THÀNH TIỀN]]-Cty_Binh_Minh[[#This Row],[THANH TOÁN]]</f>
        <v>211760079</v>
      </c>
      <c r="K45" s="27"/>
    </row>
    <row r="46" spans="1:11" x14ac:dyDescent="0.25">
      <c r="A46" s="25">
        <v>9276</v>
      </c>
      <c r="B46" s="30">
        <v>46161</v>
      </c>
      <c r="C46" s="26" t="s">
        <v>692</v>
      </c>
      <c r="D46" s="38" t="s">
        <v>103</v>
      </c>
      <c r="E46" s="26" t="s">
        <v>2239</v>
      </c>
      <c r="F46" s="28">
        <v>1012</v>
      </c>
      <c r="G46" s="28">
        <v>-37000</v>
      </c>
      <c r="H46" s="28">
        <f>Cty_Binh_Minh[[#This Row],[ĐƠN GIÁ]]*Cty_Binh_Minh[[#This Row],[SỐ LƯỢNG]]</f>
        <v>-37444000</v>
      </c>
      <c r="I46" s="28"/>
      <c r="J46" s="28">
        <f>J45+Cty_Binh_Minh[[#This Row],[THÀNH TIỀN]]-Cty_Binh_Minh[[#This Row],[THANH TOÁN]]</f>
        <v>174316079</v>
      </c>
      <c r="K46" s="27"/>
    </row>
    <row r="47" spans="1:11" x14ac:dyDescent="0.25">
      <c r="A47" s="25">
        <v>9327</v>
      </c>
      <c r="B47" s="30">
        <v>46164</v>
      </c>
      <c r="C47" s="26" t="s">
        <v>692</v>
      </c>
      <c r="D47" s="38" t="s">
        <v>68</v>
      </c>
      <c r="E47" s="26" t="s">
        <v>2289</v>
      </c>
      <c r="F47" s="28">
        <v>292</v>
      </c>
      <c r="G47" s="28">
        <v>-41000</v>
      </c>
      <c r="H47" s="28">
        <f>Cty_Binh_Minh[[#This Row],[ĐƠN GIÁ]]*Cty_Binh_Minh[[#This Row],[SỐ LƯỢNG]]</f>
        <v>-11972000</v>
      </c>
      <c r="I47" s="28"/>
      <c r="J47" s="28">
        <f>J46+Cty_Binh_Minh[[#This Row],[THÀNH TIỀN]]-Cty_Binh_Minh[[#This Row],[THANH TOÁN]]</f>
        <v>162344079</v>
      </c>
      <c r="K47" s="27"/>
    </row>
    <row r="48" spans="1:11" x14ac:dyDescent="0.25">
      <c r="A48" s="25">
        <v>9327</v>
      </c>
      <c r="B48" s="30">
        <v>46164</v>
      </c>
      <c r="C48" s="26" t="s">
        <v>692</v>
      </c>
      <c r="D48" s="38" t="s">
        <v>68</v>
      </c>
      <c r="E48" s="26" t="s">
        <v>2290</v>
      </c>
      <c r="F48" s="28">
        <v>490</v>
      </c>
      <c r="G48" s="28">
        <v>-41000</v>
      </c>
      <c r="H48" s="28">
        <f>Cty_Binh_Minh[[#This Row],[ĐƠN GIÁ]]*Cty_Binh_Minh[[#This Row],[SỐ LƯỢNG]]</f>
        <v>-20090000</v>
      </c>
      <c r="I48" s="28"/>
      <c r="J48" s="28">
        <f>J47+Cty_Binh_Minh[[#This Row],[THÀNH TIỀN]]-Cty_Binh_Minh[[#This Row],[THANH TOÁN]]</f>
        <v>142254079</v>
      </c>
      <c r="K48" s="27"/>
    </row>
    <row r="49" spans="1:11" x14ac:dyDescent="0.25">
      <c r="A49" s="25">
        <v>9327</v>
      </c>
      <c r="B49" s="30">
        <v>46164</v>
      </c>
      <c r="C49" s="26" t="s">
        <v>692</v>
      </c>
      <c r="D49" s="38" t="s">
        <v>1105</v>
      </c>
      <c r="E49" s="26" t="s">
        <v>343</v>
      </c>
      <c r="F49" s="28">
        <v>684</v>
      </c>
      <c r="G49" s="28">
        <v>-65000</v>
      </c>
      <c r="H49" s="28">
        <f>Cty_Binh_Minh[[#This Row],[ĐƠN GIÁ]]*Cty_Binh_Minh[[#This Row],[SỐ LƯỢNG]]</f>
        <v>-44460000</v>
      </c>
      <c r="I49" s="28"/>
      <c r="J49" s="28">
        <f>J48+Cty_Binh_Minh[[#This Row],[THÀNH TIỀN]]-Cty_Binh_Minh[[#This Row],[THANH TOÁN]]</f>
        <v>97794079</v>
      </c>
      <c r="K49" s="27"/>
    </row>
    <row r="50" spans="1:11" x14ac:dyDescent="0.25">
      <c r="A50" s="22"/>
      <c r="B50" s="29">
        <v>46146</v>
      </c>
      <c r="C50" s="23" t="s">
        <v>21</v>
      </c>
      <c r="D50" s="37" t="s">
        <v>22</v>
      </c>
      <c r="E50" s="23" t="s">
        <v>83</v>
      </c>
      <c r="F50" s="31">
        <v>0</v>
      </c>
      <c r="G50" s="31"/>
      <c r="H50" s="31">
        <f>Cty_Binh_Minh[[#This Row],[ĐƠN GIÁ]]*Cty_Binh_Minh[[#This Row],[SỐ LƯỢNG]]</f>
        <v>0</v>
      </c>
      <c r="I50" s="31">
        <v>14352166</v>
      </c>
      <c r="J50" s="31">
        <f>J49+Cty_Binh_Minh[[#This Row],[THÀNH TIỀN]]-Cty_Binh_Minh[[#This Row],[THANH TOÁN]]</f>
        <v>83441913</v>
      </c>
      <c r="K50" s="24"/>
    </row>
    <row r="51" spans="1:11" x14ac:dyDescent="0.25">
      <c r="A51" s="22"/>
      <c r="B51" s="29">
        <v>46149</v>
      </c>
      <c r="C51" s="23" t="s">
        <v>21</v>
      </c>
      <c r="D51" s="37" t="s">
        <v>22</v>
      </c>
      <c r="E51" s="23" t="s">
        <v>83</v>
      </c>
      <c r="F51" s="31">
        <v>0</v>
      </c>
      <c r="G51" s="31"/>
      <c r="H51" s="31">
        <f>Cty_Binh_Minh[[#This Row],[ĐƠN GIÁ]]*Cty_Binh_Minh[[#This Row],[SỐ LƯỢNG]]</f>
        <v>0</v>
      </c>
      <c r="I51" s="31">
        <v>25440617</v>
      </c>
      <c r="J51" s="31">
        <f>J50+Cty_Binh_Minh[[#This Row],[THÀNH TIỀN]]-Cty_Binh_Minh[[#This Row],[THANH TOÁN]]</f>
        <v>58001296</v>
      </c>
      <c r="K51" s="24"/>
    </row>
    <row r="52" spans="1:11" x14ac:dyDescent="0.25">
      <c r="A52" s="22"/>
      <c r="B52" s="29">
        <v>46155</v>
      </c>
      <c r="C52" s="23" t="s">
        <v>21</v>
      </c>
      <c r="D52" s="37" t="s">
        <v>22</v>
      </c>
      <c r="E52" s="23" t="s">
        <v>83</v>
      </c>
      <c r="F52" s="31">
        <v>0</v>
      </c>
      <c r="G52" s="31"/>
      <c r="H52" s="31">
        <f>Cty_Binh_Minh[[#This Row],[ĐƠN GIÁ]]*Cty_Binh_Minh[[#This Row],[SỐ LƯỢNG]]</f>
        <v>0</v>
      </c>
      <c r="I52" s="31">
        <v>70000000</v>
      </c>
      <c r="J52" s="31">
        <f>J51+Cty_Binh_Minh[[#This Row],[THÀNH TIỀN]]-Cty_Binh_Minh[[#This Row],[THANH TOÁN]]</f>
        <v>-11998704</v>
      </c>
      <c r="K52" s="24"/>
    </row>
    <row r="53" spans="1:11" x14ac:dyDescent="0.25">
      <c r="A53" s="22"/>
      <c r="B53" s="29">
        <v>46160</v>
      </c>
      <c r="C53" s="23" t="s">
        <v>21</v>
      </c>
      <c r="D53" s="37" t="s">
        <v>22</v>
      </c>
      <c r="E53" s="23" t="s">
        <v>83</v>
      </c>
      <c r="F53" s="31">
        <v>0</v>
      </c>
      <c r="G53" s="31"/>
      <c r="H53" s="31">
        <f>Cty_Binh_Minh[[#This Row],[ĐƠN GIÁ]]*Cty_Binh_Minh[[#This Row],[SỐ LƯỢNG]]</f>
        <v>0</v>
      </c>
      <c r="I53" s="31">
        <v>52000000</v>
      </c>
      <c r="J53" s="31">
        <f>J52+Cty_Binh_Minh[[#This Row],[THÀNH TIỀN]]-Cty_Binh_Minh[[#This Row],[THANH TOÁN]]</f>
        <v>-63998704</v>
      </c>
      <c r="K53" s="24"/>
    </row>
    <row r="54" spans="1:11" x14ac:dyDescent="0.25">
      <c r="A54" s="22">
        <v>9593</v>
      </c>
      <c r="B54" s="29">
        <v>46167</v>
      </c>
      <c r="C54" s="23" t="s">
        <v>13</v>
      </c>
      <c r="D54" s="37" t="s">
        <v>43</v>
      </c>
      <c r="E54" s="23" t="s">
        <v>230</v>
      </c>
      <c r="F54" s="31">
        <v>460</v>
      </c>
      <c r="G54" s="31">
        <v>68000</v>
      </c>
      <c r="H54" s="31">
        <f>Cty_Binh_Minh[[#This Row],[ĐƠN GIÁ]]*Cty_Binh_Minh[[#This Row],[SỐ LƯỢNG]]</f>
        <v>31280000</v>
      </c>
      <c r="I54" s="31"/>
      <c r="J54" s="31">
        <f>J53+Cty_Binh_Minh[[#This Row],[THÀNH TIỀN]]-Cty_Binh_Minh[[#This Row],[THANH TOÁN]]</f>
        <v>-32718704</v>
      </c>
      <c r="K54" s="24"/>
    </row>
    <row r="55" spans="1:11" x14ac:dyDescent="0.25">
      <c r="A55" s="25">
        <v>9423</v>
      </c>
      <c r="B55" s="30">
        <v>46171</v>
      </c>
      <c r="C55" s="26" t="s">
        <v>692</v>
      </c>
      <c r="D55" s="38" t="s">
        <v>1325</v>
      </c>
      <c r="E55" s="26" t="s">
        <v>2519</v>
      </c>
      <c r="F55" s="28">
        <v>390</v>
      </c>
      <c r="G55" s="28">
        <v>-37500</v>
      </c>
      <c r="H55" s="28">
        <f>Cty_Binh_Minh[[#This Row],[ĐƠN GIÁ]]*Cty_Binh_Minh[[#This Row],[SỐ LƯỢNG]]</f>
        <v>-14625000</v>
      </c>
      <c r="I55" s="28"/>
      <c r="J55" s="28">
        <f>J54+Cty_Binh_Minh[[#This Row],[THÀNH TIỀN]]-Cty_Binh_Minh[[#This Row],[THANH TOÁN]]</f>
        <v>-47343704</v>
      </c>
      <c r="K55" s="27"/>
    </row>
    <row r="56" spans="1:11" x14ac:dyDescent="0.25">
      <c r="A56" s="22"/>
      <c r="B56" s="29">
        <v>46171</v>
      </c>
      <c r="C56" s="23" t="s">
        <v>21</v>
      </c>
      <c r="D56" s="37" t="s">
        <v>22</v>
      </c>
      <c r="E56" s="23" t="s">
        <v>83</v>
      </c>
      <c r="F56" s="31">
        <v>0</v>
      </c>
      <c r="G56" s="31"/>
      <c r="H56" s="31">
        <f>Cty_Binh_Minh[[#This Row],[ĐƠN GIÁ]]*Cty_Binh_Minh[[#This Row],[SỐ LƯỢNG]]</f>
        <v>0</v>
      </c>
      <c r="I56" s="31">
        <v>31279908</v>
      </c>
      <c r="J56" s="31">
        <f>J55+Cty_Binh_Minh[[#This Row],[THÀNH TIỀN]]-Cty_Binh_Minh[[#This Row],[THANH TOÁN]]</f>
        <v>-78623612</v>
      </c>
      <c r="K56" s="24"/>
    </row>
    <row r="57" spans="1:11" x14ac:dyDescent="0.25">
      <c r="A57" s="25">
        <v>9465</v>
      </c>
      <c r="B57" s="30">
        <v>46175</v>
      </c>
      <c r="C57" s="26" t="s">
        <v>692</v>
      </c>
      <c r="D57" s="38" t="s">
        <v>1319</v>
      </c>
      <c r="E57" s="26" t="s">
        <v>2559</v>
      </c>
      <c r="F57" s="28">
        <v>1018</v>
      </c>
      <c r="G57" s="28">
        <v>-41000</v>
      </c>
      <c r="H57" s="28">
        <f>Cty_Binh_Minh[[#This Row],[ĐƠN GIÁ]]*Cty_Binh_Minh[[#This Row],[SỐ LƯỢNG]]</f>
        <v>-41738000</v>
      </c>
      <c r="I57" s="28"/>
      <c r="J57" s="28">
        <f>J56+Cty_Binh_Minh[[#This Row],[THÀNH TIỀN]]-Cty_Binh_Minh[[#This Row],[THANH TOÁN]]</f>
        <v>-120361612</v>
      </c>
      <c r="K57" s="27"/>
    </row>
    <row r="58" spans="1:11" x14ac:dyDescent="0.25">
      <c r="A58" s="22">
        <v>7644</v>
      </c>
      <c r="B58" s="29">
        <v>46065</v>
      </c>
      <c r="C58" s="23" t="s">
        <v>49</v>
      </c>
      <c r="D58" s="37" t="s">
        <v>442</v>
      </c>
      <c r="E58" s="23" t="s">
        <v>1322</v>
      </c>
      <c r="F58" s="31">
        <v>7564</v>
      </c>
      <c r="G58" s="31"/>
      <c r="H58" s="31">
        <f>Cty_Binh_Minh[[#This Row],[ĐƠN GIÁ]]*Cty_Binh_Minh[[#This Row],[SỐ LƯỢNG]]</f>
        <v>0</v>
      </c>
      <c r="I58" s="31"/>
      <c r="J58" s="31">
        <f>J57+Cty_Binh_Minh[[#This Row],[THÀNH TIỀN]]-Cty_Binh_Minh[[#This Row],[THANH TOÁN]]</f>
        <v>-120361612</v>
      </c>
      <c r="K58" s="24"/>
    </row>
    <row r="59" spans="1:11" x14ac:dyDescent="0.25">
      <c r="A59" s="22">
        <v>7678</v>
      </c>
      <c r="B59" s="29">
        <v>46077</v>
      </c>
      <c r="C59" s="23" t="s">
        <v>49</v>
      </c>
      <c r="D59" s="37" t="s">
        <v>317</v>
      </c>
      <c r="E59" s="23" t="s">
        <v>136</v>
      </c>
      <c r="F59" s="31">
        <v>356</v>
      </c>
      <c r="G59" s="31"/>
      <c r="H59" s="31">
        <f>Cty_Binh_Minh[[#This Row],[ĐƠN GIÁ]]*Cty_Binh_Minh[[#This Row],[SỐ LƯỢNG]]</f>
        <v>0</v>
      </c>
      <c r="I59" s="31"/>
      <c r="J59" s="31">
        <f>J58+Cty_Binh_Minh[[#This Row],[THÀNH TIỀN]]-Cty_Binh_Minh[[#This Row],[THANH TOÁN]]</f>
        <v>-120361612</v>
      </c>
      <c r="K59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4EAF1E-A1EC-436F-A8AC-AA05FA3A33CB}">
  <sheetPr codeName="Sheet129"/>
  <dimension ref="A5:K16"/>
  <sheetViews>
    <sheetView workbookViewId="0"/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282742000</v>
      </c>
    </row>
    <row r="6" spans="1:11" ht="22.5" x14ac:dyDescent="0.25">
      <c r="D6" s="34" t="s">
        <v>1332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A_Cuong_Rua[[#This Row],[ĐƠN GIÁ]]*A_Cuong_Rua[[#This Row],[SỐ LƯỢNG]]</f>
        <v>0</v>
      </c>
      <c r="I10" s="31"/>
      <c r="J10" s="31">
        <v>297436000</v>
      </c>
      <c r="K10" s="24"/>
    </row>
    <row r="11" spans="1:11" x14ac:dyDescent="0.25">
      <c r="A11" s="22">
        <v>8263</v>
      </c>
      <c r="B11" s="29">
        <v>46100</v>
      </c>
      <c r="C11" s="23" t="s">
        <v>13</v>
      </c>
      <c r="D11" s="37" t="s">
        <v>109</v>
      </c>
      <c r="E11" s="23" t="s">
        <v>1333</v>
      </c>
      <c r="F11" s="31">
        <v>2036</v>
      </c>
      <c r="G11" s="31">
        <v>55000</v>
      </c>
      <c r="H11" s="31">
        <f>A_Cuong_Rua[[#This Row],[ĐƠN GIÁ]]*A_Cuong_Rua[[#This Row],[SỐ LƯỢNG]]</f>
        <v>111980000</v>
      </c>
      <c r="I11" s="31"/>
      <c r="J11" s="31">
        <f>J10+A_Cuong_Rua[[#This Row],[THÀNH TIỀN]]-A_Cuong_Rua[[#This Row],[THANH TOÁN]]</f>
        <v>409416000</v>
      </c>
      <c r="K11" s="24"/>
    </row>
    <row r="12" spans="1:11" x14ac:dyDescent="0.25">
      <c r="A12" s="22">
        <v>8290</v>
      </c>
      <c r="B12" s="29">
        <v>46102</v>
      </c>
      <c r="C12" s="23" t="s">
        <v>13</v>
      </c>
      <c r="D12" s="37" t="s">
        <v>109</v>
      </c>
      <c r="E12" s="23" t="s">
        <v>1334</v>
      </c>
      <c r="F12" s="31">
        <v>276</v>
      </c>
      <c r="G12" s="31">
        <v>56000</v>
      </c>
      <c r="H12" s="31">
        <f>A_Cuong_Rua[[#This Row],[ĐƠN GIÁ]]*A_Cuong_Rua[[#This Row],[SỐ LƯỢNG]]</f>
        <v>15456000</v>
      </c>
      <c r="I12" s="31"/>
      <c r="J12" s="31">
        <f>J11+A_Cuong_Rua[[#This Row],[THÀNH TIỀN]]-A_Cuong_Rua[[#This Row],[THANH TOÁN]]</f>
        <v>424872000</v>
      </c>
      <c r="K12" s="24"/>
    </row>
    <row r="13" spans="1:11" x14ac:dyDescent="0.25">
      <c r="A13" s="22"/>
      <c r="B13" s="29">
        <v>46118</v>
      </c>
      <c r="C13" s="23" t="s">
        <v>21</v>
      </c>
      <c r="D13" s="37" t="s">
        <v>24</v>
      </c>
      <c r="E13" s="23"/>
      <c r="F13" s="31">
        <v>0</v>
      </c>
      <c r="G13" s="31"/>
      <c r="H13" s="31">
        <f>A_Cuong_Rua[[#This Row],[ĐƠN GIÁ]]*A_Cuong_Rua[[#This Row],[SỐ LƯỢNG]]</f>
        <v>0</v>
      </c>
      <c r="I13" s="31">
        <v>150000000</v>
      </c>
      <c r="J13" s="31">
        <f>J12+A_Cuong_Rua[[#This Row],[THÀNH TIỀN]]-A_Cuong_Rua[[#This Row],[THANH TOÁN]]</f>
        <v>274872000</v>
      </c>
      <c r="K13" s="24"/>
    </row>
    <row r="14" spans="1:11" x14ac:dyDescent="0.25">
      <c r="A14" s="22"/>
      <c r="B14" s="29">
        <v>46151</v>
      </c>
      <c r="C14" s="23" t="s">
        <v>21</v>
      </c>
      <c r="D14" s="37" t="s">
        <v>24</v>
      </c>
      <c r="E14" s="23"/>
      <c r="F14" s="31">
        <v>0</v>
      </c>
      <c r="G14" s="31"/>
      <c r="H14" s="31">
        <f>A_Cuong_Rua[[#This Row],[ĐƠN GIÁ]]*A_Cuong_Rua[[#This Row],[SỐ LƯỢNG]]</f>
        <v>0</v>
      </c>
      <c r="I14" s="31">
        <v>174766000</v>
      </c>
      <c r="J14" s="31">
        <f>J13+A_Cuong_Rua[[#This Row],[THÀNH TIỀN]]-A_Cuong_Rua[[#This Row],[THANH TOÁN]]</f>
        <v>100106000</v>
      </c>
      <c r="K14" s="24"/>
    </row>
    <row r="15" spans="1:11" x14ac:dyDescent="0.25">
      <c r="A15" s="22">
        <v>9563</v>
      </c>
      <c r="B15" s="29">
        <v>46165</v>
      </c>
      <c r="C15" s="23" t="s">
        <v>13</v>
      </c>
      <c r="D15" s="37" t="s">
        <v>109</v>
      </c>
      <c r="E15" s="23" t="s">
        <v>946</v>
      </c>
      <c r="F15" s="31">
        <v>2916</v>
      </c>
      <c r="G15" s="31">
        <v>61000</v>
      </c>
      <c r="H15" s="31">
        <f>A_Cuong_Rua[[#This Row],[ĐƠN GIÁ]]*A_Cuong_Rua[[#This Row],[SỐ LƯỢNG]]</f>
        <v>177876000</v>
      </c>
      <c r="I15" s="31"/>
      <c r="J15" s="31">
        <f>J14+A_Cuong_Rua[[#This Row],[THÀNH TIỀN]]-A_Cuong_Rua[[#This Row],[THANH TOÁN]]</f>
        <v>277982000</v>
      </c>
      <c r="K15" s="24" t="s">
        <v>42</v>
      </c>
    </row>
    <row r="16" spans="1:11" x14ac:dyDescent="0.25">
      <c r="A16" s="22">
        <v>9743</v>
      </c>
      <c r="B16" s="29">
        <v>46174</v>
      </c>
      <c r="C16" s="23" t="s">
        <v>13</v>
      </c>
      <c r="D16" s="37" t="s">
        <v>411</v>
      </c>
      <c r="E16" s="23" t="s">
        <v>835</v>
      </c>
      <c r="F16" s="31">
        <v>136</v>
      </c>
      <c r="G16" s="31">
        <v>35000</v>
      </c>
      <c r="H16" s="31">
        <f>A_Cuong_Rua[[#This Row],[ĐƠN GIÁ]]*A_Cuong_Rua[[#This Row],[SỐ LƯỢNG]]</f>
        <v>4760000</v>
      </c>
      <c r="I16" s="31"/>
      <c r="J16" s="31">
        <f>J15+A_Cuong_Rua[[#This Row],[THÀNH TIỀN]]-A_Cuong_Rua[[#This Row],[THANH TOÁN]]</f>
        <v>282742000</v>
      </c>
      <c r="K16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E7B27-3FE9-4DCD-8254-69387F03DB0B}">
  <sheetPr codeName="Sheet130"/>
  <dimension ref="A5:K16"/>
  <sheetViews>
    <sheetView workbookViewId="0"/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483338000</v>
      </c>
    </row>
    <row r="6" spans="1:11" ht="22.5" x14ac:dyDescent="0.25">
      <c r="D6" s="34" t="s">
        <v>1335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Cty_Visco_Hai_Phong[[#This Row],[ĐƠN GIÁ]]*Cty_Visco_Hai_Phong[[#This Row],[SỐ LƯỢNG]]</f>
        <v>0</v>
      </c>
      <c r="I10" s="31"/>
      <c r="J10" s="31">
        <v>0</v>
      </c>
      <c r="K10" s="24"/>
    </row>
    <row r="11" spans="1:11" x14ac:dyDescent="0.25">
      <c r="A11" s="22">
        <v>8269</v>
      </c>
      <c r="B11" s="29">
        <v>46101</v>
      </c>
      <c r="C11" s="23" t="s">
        <v>13</v>
      </c>
      <c r="D11" s="37" t="s">
        <v>17</v>
      </c>
      <c r="E11" s="23" t="s">
        <v>1336</v>
      </c>
      <c r="F11" s="31">
        <v>1836</v>
      </c>
      <c r="G11" s="31">
        <v>66000</v>
      </c>
      <c r="H11" s="31">
        <f>Cty_Visco_Hai_Phong[[#This Row],[ĐƠN GIÁ]]*Cty_Visco_Hai_Phong[[#This Row],[SỐ LƯỢNG]]</f>
        <v>121176000</v>
      </c>
      <c r="I11" s="31"/>
      <c r="J11" s="31">
        <f>J10+Cty_Visco_Hai_Phong[[#This Row],[THÀNH TIỀN]]-Cty_Visco_Hai_Phong[[#This Row],[THANH TOÁN]]</f>
        <v>121176000</v>
      </c>
      <c r="K11" s="24"/>
    </row>
    <row r="12" spans="1:11" x14ac:dyDescent="0.25">
      <c r="A12" s="22"/>
      <c r="B12" s="29">
        <v>46134</v>
      </c>
      <c r="C12" s="23" t="s">
        <v>21</v>
      </c>
      <c r="D12" s="37" t="s">
        <v>22</v>
      </c>
      <c r="E12" s="23" t="s">
        <v>83</v>
      </c>
      <c r="F12" s="31">
        <v>0</v>
      </c>
      <c r="G12" s="31"/>
      <c r="H12" s="31">
        <f>Cty_Visco_Hai_Phong[[#This Row],[ĐƠN GIÁ]]*Cty_Visco_Hai_Phong[[#This Row],[SỐ LƯỢNG]]</f>
        <v>0</v>
      </c>
      <c r="I12" s="31">
        <v>121176000</v>
      </c>
      <c r="J12" s="31">
        <f>J11+Cty_Visco_Hai_Phong[[#This Row],[THÀNH TIỀN]]-Cty_Visco_Hai_Phong[[#This Row],[THANH TOÁN]]</f>
        <v>0</v>
      </c>
      <c r="K12" s="24"/>
    </row>
    <row r="13" spans="1:11" x14ac:dyDescent="0.25">
      <c r="A13" s="22">
        <v>9737</v>
      </c>
      <c r="B13" s="29">
        <v>46174</v>
      </c>
      <c r="C13" s="23" t="s">
        <v>13</v>
      </c>
      <c r="D13" s="37" t="s">
        <v>290</v>
      </c>
      <c r="E13" s="23" t="s">
        <v>25</v>
      </c>
      <c r="F13" s="31">
        <v>1866</v>
      </c>
      <c r="G13" s="31">
        <v>67000</v>
      </c>
      <c r="H13" s="31">
        <f>Cty_Visco_Hai_Phong[[#This Row],[ĐƠN GIÁ]]*Cty_Visco_Hai_Phong[[#This Row],[SỐ LƯỢNG]]</f>
        <v>125022000</v>
      </c>
      <c r="I13" s="31"/>
      <c r="J13" s="31">
        <f>J12+Cty_Visco_Hai_Phong[[#This Row],[THÀNH TIỀN]]-Cty_Visco_Hai_Phong[[#This Row],[THANH TOÁN]]</f>
        <v>125022000</v>
      </c>
      <c r="K13" s="24"/>
    </row>
    <row r="14" spans="1:11" x14ac:dyDescent="0.25">
      <c r="A14" s="22">
        <v>9737</v>
      </c>
      <c r="B14" s="29">
        <v>46174</v>
      </c>
      <c r="C14" s="23" t="s">
        <v>13</v>
      </c>
      <c r="D14" s="37" t="s">
        <v>290</v>
      </c>
      <c r="E14" s="23" t="s">
        <v>33</v>
      </c>
      <c r="F14" s="31">
        <v>1874</v>
      </c>
      <c r="G14" s="31">
        <v>67000</v>
      </c>
      <c r="H14" s="31">
        <f>Cty_Visco_Hai_Phong[[#This Row],[ĐƠN GIÁ]]*Cty_Visco_Hai_Phong[[#This Row],[SỐ LƯỢNG]]</f>
        <v>125558000</v>
      </c>
      <c r="I14" s="31"/>
      <c r="J14" s="31">
        <f>J13+Cty_Visco_Hai_Phong[[#This Row],[THÀNH TIỀN]]-Cty_Visco_Hai_Phong[[#This Row],[THANH TOÁN]]</f>
        <v>250580000</v>
      </c>
      <c r="K14" s="24"/>
    </row>
    <row r="15" spans="1:11" x14ac:dyDescent="0.25">
      <c r="A15" s="22">
        <v>9737</v>
      </c>
      <c r="B15" s="29">
        <v>46174</v>
      </c>
      <c r="C15" s="23" t="s">
        <v>13</v>
      </c>
      <c r="D15" s="37" t="s">
        <v>290</v>
      </c>
      <c r="E15" s="23" t="s">
        <v>40</v>
      </c>
      <c r="F15" s="31">
        <v>2360</v>
      </c>
      <c r="G15" s="31">
        <v>67000</v>
      </c>
      <c r="H15" s="31">
        <f>Cty_Visco_Hai_Phong[[#This Row],[ĐƠN GIÁ]]*Cty_Visco_Hai_Phong[[#This Row],[SỐ LƯỢNG]]</f>
        <v>158120000</v>
      </c>
      <c r="I15" s="31"/>
      <c r="J15" s="31">
        <f>J14+Cty_Visco_Hai_Phong[[#This Row],[THÀNH TIỀN]]-Cty_Visco_Hai_Phong[[#This Row],[THANH TOÁN]]</f>
        <v>408700000</v>
      </c>
      <c r="K15" s="24"/>
    </row>
    <row r="16" spans="1:11" x14ac:dyDescent="0.25">
      <c r="A16" s="22">
        <v>9737</v>
      </c>
      <c r="B16" s="29">
        <v>46174</v>
      </c>
      <c r="C16" s="23" t="s">
        <v>13</v>
      </c>
      <c r="D16" s="37" t="s">
        <v>290</v>
      </c>
      <c r="E16" s="23" t="s">
        <v>46</v>
      </c>
      <c r="F16" s="31">
        <v>1114</v>
      </c>
      <c r="G16" s="31">
        <v>67000</v>
      </c>
      <c r="H16" s="31">
        <f>Cty_Visco_Hai_Phong[[#This Row],[ĐƠN GIÁ]]*Cty_Visco_Hai_Phong[[#This Row],[SỐ LƯỢNG]]</f>
        <v>74638000</v>
      </c>
      <c r="I16" s="31"/>
      <c r="J16" s="31">
        <f>J15+Cty_Visco_Hai_Phong[[#This Row],[THÀNH TIỀN]]-Cty_Visco_Hai_Phong[[#This Row],[THANH TOÁN]]</f>
        <v>483338000</v>
      </c>
      <c r="K16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4486C-991F-4CA8-9040-E399BE8FEE51}">
  <sheetPr codeName="Sheet131"/>
  <dimension ref="A5:K30"/>
  <sheetViews>
    <sheetView workbookViewId="0">
      <selection activeCell="D23" sqref="D23:H23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747637166</v>
      </c>
    </row>
    <row r="6" spans="1:11" ht="22.5" x14ac:dyDescent="0.25">
      <c r="D6" s="34" t="s">
        <v>1337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Cty_Thai_Hung_Phu_Tho[[#This Row],[ĐƠN GIÁ]]*Cty_Thai_Hung_Phu_Tho[[#This Row],[SỐ LƯỢNG]]</f>
        <v>0</v>
      </c>
      <c r="I10" s="31"/>
      <c r="J10" s="31">
        <v>0</v>
      </c>
      <c r="K10" s="24"/>
    </row>
    <row r="11" spans="1:11" x14ac:dyDescent="0.25">
      <c r="A11" s="22">
        <v>8277</v>
      </c>
      <c r="B11" s="29">
        <v>46101</v>
      </c>
      <c r="C11" s="23" t="s">
        <v>13</v>
      </c>
      <c r="D11" s="37" t="s">
        <v>17</v>
      </c>
      <c r="E11" s="23" t="s">
        <v>1338</v>
      </c>
      <c r="F11" s="31">
        <v>8904</v>
      </c>
      <c r="G11" s="31">
        <v>56000</v>
      </c>
      <c r="H11" s="31">
        <f>Cty_Thai_Hung_Phu_Tho[[#This Row],[ĐƠN GIÁ]]*Cty_Thai_Hung_Phu_Tho[[#This Row],[SỐ LƯỢNG]]</f>
        <v>498624000</v>
      </c>
      <c r="I11" s="31"/>
      <c r="J11" s="31">
        <f>J10+Cty_Thai_Hung_Phu_Tho[[#This Row],[THÀNH TIỀN]]-Cty_Thai_Hung_Phu_Tho[[#This Row],[THANH TOÁN]]</f>
        <v>498624000</v>
      </c>
      <c r="K11" s="24"/>
    </row>
    <row r="12" spans="1:11" x14ac:dyDescent="0.25">
      <c r="A12" s="25">
        <v>8288</v>
      </c>
      <c r="B12" s="30">
        <v>46102</v>
      </c>
      <c r="C12" s="26" t="s">
        <v>13</v>
      </c>
      <c r="D12" s="38" t="s">
        <v>17</v>
      </c>
      <c r="E12" s="26" t="s">
        <v>1339</v>
      </c>
      <c r="F12" s="28">
        <v>8782</v>
      </c>
      <c r="G12" s="28">
        <v>56000</v>
      </c>
      <c r="H12" s="28">
        <f>Cty_Thai_Hung_Phu_Tho[[#This Row],[ĐƠN GIÁ]]*Cty_Thai_Hung_Phu_Tho[[#This Row],[SỐ LƯỢNG]]</f>
        <v>491792000</v>
      </c>
      <c r="I12" s="28"/>
      <c r="J12" s="28">
        <f>J11+Cty_Thai_Hung_Phu_Tho[[#This Row],[THÀNH TIỀN]]-Cty_Thai_Hung_Phu_Tho[[#This Row],[THANH TOÁN]]</f>
        <v>990416000</v>
      </c>
      <c r="K12" s="27"/>
    </row>
    <row r="13" spans="1:11" x14ac:dyDescent="0.25">
      <c r="A13" s="25">
        <v>8297</v>
      </c>
      <c r="B13" s="30">
        <v>46102</v>
      </c>
      <c r="C13" s="26" t="s">
        <v>13</v>
      </c>
      <c r="D13" s="38" t="s">
        <v>17</v>
      </c>
      <c r="E13" s="26" t="s">
        <v>1340</v>
      </c>
      <c r="F13" s="28">
        <v>6715</v>
      </c>
      <c r="G13" s="28">
        <v>56000</v>
      </c>
      <c r="H13" s="28">
        <f>Cty_Thai_Hung_Phu_Tho[[#This Row],[ĐƠN GIÁ]]*Cty_Thai_Hung_Phu_Tho[[#This Row],[SỐ LƯỢNG]]</f>
        <v>376040000</v>
      </c>
      <c r="I13" s="28"/>
      <c r="J13" s="28">
        <f>J12+Cty_Thai_Hung_Phu_Tho[[#This Row],[THÀNH TIỀN]]-Cty_Thai_Hung_Phu_Tho[[#This Row],[THANH TOÁN]]</f>
        <v>1366456000</v>
      </c>
      <c r="K13" s="27"/>
    </row>
    <row r="14" spans="1:11" x14ac:dyDescent="0.25">
      <c r="A14" s="25"/>
      <c r="B14" s="30">
        <v>46105</v>
      </c>
      <c r="C14" s="26" t="s">
        <v>21</v>
      </c>
      <c r="D14" s="38" t="s">
        <v>22</v>
      </c>
      <c r="E14" s="26" t="s">
        <v>83</v>
      </c>
      <c r="F14" s="28">
        <v>0</v>
      </c>
      <c r="G14" s="28">
        <v>0</v>
      </c>
      <c r="H14" s="28">
        <f>Cty_Thai_Hung_Phu_Tho[[#This Row],[ĐƠN GIÁ]]*Cty_Thai_Hung_Phu_Tho[[#This Row],[SỐ LƯỢNG]]</f>
        <v>0</v>
      </c>
      <c r="I14" s="28">
        <v>1366453560</v>
      </c>
      <c r="J14" s="28">
        <f>J13+Cty_Thai_Hung_Phu_Tho[[#This Row],[THÀNH TIỀN]]-Cty_Thai_Hung_Phu_Tho[[#This Row],[THANH TOÁN]]</f>
        <v>2440</v>
      </c>
      <c r="K14" s="27"/>
    </row>
    <row r="15" spans="1:11" x14ac:dyDescent="0.25">
      <c r="A15" s="22">
        <v>8693</v>
      </c>
      <c r="B15" s="29">
        <v>46123</v>
      </c>
      <c r="C15" s="23" t="s">
        <v>13</v>
      </c>
      <c r="D15" s="37" t="s">
        <v>135</v>
      </c>
      <c r="E15" s="23" t="s">
        <v>1094</v>
      </c>
      <c r="F15" s="31">
        <v>1548</v>
      </c>
      <c r="G15" s="31">
        <v>39000</v>
      </c>
      <c r="H15" s="31">
        <f>Cty_Thai_Hung_Phu_Tho[[#This Row],[ĐƠN GIÁ]]*Cty_Thai_Hung_Phu_Tho[[#This Row],[SỐ LƯỢNG]]</f>
        <v>60372000</v>
      </c>
      <c r="I15" s="31"/>
      <c r="J15" s="31">
        <f>J14+Cty_Thai_Hung_Phu_Tho[[#This Row],[THÀNH TIỀN]]-Cty_Thai_Hung_Phu_Tho[[#This Row],[THANH TOÁN]]</f>
        <v>60374440</v>
      </c>
      <c r="K15" s="24"/>
    </row>
    <row r="16" spans="1:11" x14ac:dyDescent="0.25">
      <c r="A16" s="22"/>
      <c r="B16" s="29">
        <v>46128</v>
      </c>
      <c r="C16" s="23" t="s">
        <v>21</v>
      </c>
      <c r="D16" s="37" t="s">
        <v>22</v>
      </c>
      <c r="E16" s="23" t="s">
        <v>83</v>
      </c>
      <c r="F16" s="31">
        <v>0</v>
      </c>
      <c r="G16" s="31"/>
      <c r="H16" s="31">
        <f>Cty_Thai_Hung_Phu_Tho[[#This Row],[ĐƠN GIÁ]]*Cty_Thai_Hung_Phu_Tho[[#This Row],[SỐ LƯỢNG]]</f>
        <v>0</v>
      </c>
      <c r="I16" s="31">
        <v>60372774</v>
      </c>
      <c r="J16" s="31">
        <f>J15+Cty_Thai_Hung_Phu_Tho[[#This Row],[THÀNH TIỀN]]-Cty_Thai_Hung_Phu_Tho[[#This Row],[THANH TOÁN]]</f>
        <v>1666</v>
      </c>
      <c r="K16" s="24"/>
    </row>
    <row r="17" spans="1:11" x14ac:dyDescent="0.25">
      <c r="A17" s="22">
        <v>9211</v>
      </c>
      <c r="B17" s="29">
        <v>46148</v>
      </c>
      <c r="C17" s="23" t="s">
        <v>13</v>
      </c>
      <c r="D17" s="37" t="s">
        <v>135</v>
      </c>
      <c r="E17" s="23" t="s">
        <v>146</v>
      </c>
      <c r="F17" s="31">
        <v>652</v>
      </c>
      <c r="G17" s="31">
        <v>37000</v>
      </c>
      <c r="H17" s="31">
        <f>Cty_Thai_Hung_Phu_Tho[[#This Row],[ĐƠN GIÁ]]*Cty_Thai_Hung_Phu_Tho[[#This Row],[SỐ LƯỢNG]]</f>
        <v>24124000</v>
      </c>
      <c r="I17" s="31"/>
      <c r="J17" s="31">
        <f>J16+Cty_Thai_Hung_Phu_Tho[[#This Row],[THÀNH TIỀN]]-Cty_Thai_Hung_Phu_Tho[[#This Row],[THANH TOÁN]]</f>
        <v>24125666</v>
      </c>
      <c r="K17" s="24"/>
    </row>
    <row r="18" spans="1:11" x14ac:dyDescent="0.25">
      <c r="A18" s="22">
        <v>9211</v>
      </c>
      <c r="B18" s="29">
        <v>46148</v>
      </c>
      <c r="C18" s="23" t="s">
        <v>13</v>
      </c>
      <c r="D18" s="37" t="s">
        <v>135</v>
      </c>
      <c r="E18" s="23" t="s">
        <v>41</v>
      </c>
      <c r="F18" s="31">
        <v>606</v>
      </c>
      <c r="G18" s="31">
        <v>37000</v>
      </c>
      <c r="H18" s="31">
        <f>Cty_Thai_Hung_Phu_Tho[[#This Row],[ĐƠN GIÁ]]*Cty_Thai_Hung_Phu_Tho[[#This Row],[SỐ LƯỢNG]]</f>
        <v>22422000</v>
      </c>
      <c r="I18" s="31"/>
      <c r="J18" s="31">
        <f>J17+Cty_Thai_Hung_Phu_Tho[[#This Row],[THÀNH TIỀN]]-Cty_Thai_Hung_Phu_Tho[[#This Row],[THANH TOÁN]]</f>
        <v>46547666</v>
      </c>
      <c r="K18" s="24"/>
    </row>
    <row r="19" spans="1:11" x14ac:dyDescent="0.25">
      <c r="A19" s="22">
        <v>9211</v>
      </c>
      <c r="B19" s="29">
        <v>46148</v>
      </c>
      <c r="C19" s="23" t="s">
        <v>13</v>
      </c>
      <c r="D19" s="37" t="s">
        <v>17</v>
      </c>
      <c r="E19" s="23" t="s">
        <v>136</v>
      </c>
      <c r="F19" s="31">
        <v>1297</v>
      </c>
      <c r="G19" s="31">
        <v>61500</v>
      </c>
      <c r="H19" s="31">
        <f>Cty_Thai_Hung_Phu_Tho[[#This Row],[ĐƠN GIÁ]]*Cty_Thai_Hung_Phu_Tho[[#This Row],[SỐ LƯỢNG]]</f>
        <v>79765500</v>
      </c>
      <c r="I19" s="31"/>
      <c r="J19" s="31">
        <f>J18+Cty_Thai_Hung_Phu_Tho[[#This Row],[THÀNH TIỀN]]-Cty_Thai_Hung_Phu_Tho[[#This Row],[THANH TOÁN]]</f>
        <v>126313166</v>
      </c>
      <c r="K19" s="24"/>
    </row>
    <row r="20" spans="1:11" x14ac:dyDescent="0.25">
      <c r="A20" s="22">
        <v>9392</v>
      </c>
      <c r="B20" s="29">
        <v>46157</v>
      </c>
      <c r="C20" s="23" t="s">
        <v>13</v>
      </c>
      <c r="D20" s="37" t="s">
        <v>17</v>
      </c>
      <c r="E20" s="23" t="s">
        <v>842</v>
      </c>
      <c r="F20" s="31">
        <v>3748</v>
      </c>
      <c r="G20" s="31">
        <v>66000</v>
      </c>
      <c r="H20" s="31">
        <f>Cty_Thai_Hung_Phu_Tho[[#This Row],[ĐƠN GIÁ]]*Cty_Thai_Hung_Phu_Tho[[#This Row],[SỐ LƯỢNG]]</f>
        <v>247368000</v>
      </c>
      <c r="I20" s="31"/>
      <c r="J20" s="31">
        <f>J19+Cty_Thai_Hung_Phu_Tho[[#This Row],[THÀNH TIỀN]]-Cty_Thai_Hung_Phu_Tho[[#This Row],[THANH TOÁN]]</f>
        <v>373681166</v>
      </c>
      <c r="K20" s="24"/>
    </row>
    <row r="21" spans="1:11" x14ac:dyDescent="0.25">
      <c r="A21" s="22">
        <v>9392</v>
      </c>
      <c r="B21" s="29">
        <v>46157</v>
      </c>
      <c r="C21" s="23" t="s">
        <v>13</v>
      </c>
      <c r="D21" s="37" t="s">
        <v>17</v>
      </c>
      <c r="E21" s="23" t="s">
        <v>891</v>
      </c>
      <c r="F21" s="31">
        <v>4282</v>
      </c>
      <c r="G21" s="31">
        <v>66000</v>
      </c>
      <c r="H21" s="31">
        <f>Cty_Thai_Hung_Phu_Tho[[#This Row],[ĐƠN GIÁ]]*Cty_Thai_Hung_Phu_Tho[[#This Row],[SỐ LƯỢNG]]</f>
        <v>282612000</v>
      </c>
      <c r="I21" s="31"/>
      <c r="J21" s="31">
        <f>J20+Cty_Thai_Hung_Phu_Tho[[#This Row],[THÀNH TIỀN]]-Cty_Thai_Hung_Phu_Tho[[#This Row],[THANH TOÁN]]</f>
        <v>656293166</v>
      </c>
      <c r="K21" s="24"/>
    </row>
    <row r="22" spans="1:11" x14ac:dyDescent="0.25">
      <c r="A22" s="22">
        <v>9437</v>
      </c>
      <c r="B22" s="29">
        <v>46158</v>
      </c>
      <c r="C22" s="23" t="s">
        <v>13</v>
      </c>
      <c r="D22" s="37" t="s">
        <v>17</v>
      </c>
      <c r="E22" s="23" t="s">
        <v>41</v>
      </c>
      <c r="F22" s="31">
        <v>1329</v>
      </c>
      <c r="G22" s="31">
        <v>62000</v>
      </c>
      <c r="H22" s="31">
        <f>Cty_Thai_Hung_Phu_Tho[[#This Row],[ĐƠN GIÁ]]*Cty_Thai_Hung_Phu_Tho[[#This Row],[SỐ LƯỢNG]]</f>
        <v>82398000</v>
      </c>
      <c r="I22" s="31"/>
      <c r="J22" s="31">
        <f>J21+Cty_Thai_Hung_Phu_Tho[[#This Row],[THÀNH TIỀN]]-Cty_Thai_Hung_Phu_Tho[[#This Row],[THANH TOÁN]]</f>
        <v>738691166</v>
      </c>
      <c r="K22" s="24"/>
    </row>
    <row r="23" spans="1:11" x14ac:dyDescent="0.25">
      <c r="A23" s="22">
        <v>9437</v>
      </c>
      <c r="B23" s="29">
        <v>46158</v>
      </c>
      <c r="C23" s="23" t="s">
        <v>13</v>
      </c>
      <c r="D23" s="37" t="s">
        <v>26</v>
      </c>
      <c r="E23" s="23" t="s">
        <v>146</v>
      </c>
      <c r="F23" s="31">
        <v>306</v>
      </c>
      <c r="G23" s="31">
        <v>32000</v>
      </c>
      <c r="H23" s="31">
        <f>Cty_Thai_Hung_Phu_Tho[[#This Row],[ĐƠN GIÁ]]*Cty_Thai_Hung_Phu_Tho[[#This Row],[SỐ LƯỢNG]]</f>
        <v>9792000</v>
      </c>
      <c r="I23" s="31"/>
      <c r="J23" s="31">
        <f>J22+Cty_Thai_Hung_Phu_Tho[[#This Row],[THÀNH TIỀN]]-Cty_Thai_Hung_Phu_Tho[[#This Row],[THANH TOÁN]]</f>
        <v>748483166</v>
      </c>
      <c r="K23" s="24"/>
    </row>
    <row r="24" spans="1:11" x14ac:dyDescent="0.25">
      <c r="A24" s="22">
        <v>9437</v>
      </c>
      <c r="B24" s="29">
        <v>46158</v>
      </c>
      <c r="C24" s="23" t="s">
        <v>13</v>
      </c>
      <c r="D24" s="37" t="s">
        <v>17</v>
      </c>
      <c r="E24" s="23" t="s">
        <v>62</v>
      </c>
      <c r="F24" s="31">
        <v>432</v>
      </c>
      <c r="G24" s="31">
        <v>62500</v>
      </c>
      <c r="H24" s="31">
        <f>Cty_Thai_Hung_Phu_Tho[[#This Row],[ĐƠN GIÁ]]*Cty_Thai_Hung_Phu_Tho[[#This Row],[SỐ LƯỢNG]]</f>
        <v>27000000</v>
      </c>
      <c r="I24" s="31"/>
      <c r="J24" s="31">
        <f>J23+Cty_Thai_Hung_Phu_Tho[[#This Row],[THÀNH TIỀN]]-Cty_Thai_Hung_Phu_Tho[[#This Row],[THANH TOÁN]]</f>
        <v>775483166</v>
      </c>
      <c r="K24" s="24"/>
    </row>
    <row r="25" spans="1:11" x14ac:dyDescent="0.25">
      <c r="A25" s="22">
        <v>9469</v>
      </c>
      <c r="B25" s="29">
        <v>46161</v>
      </c>
      <c r="C25" s="23" t="s">
        <v>13</v>
      </c>
      <c r="D25" s="37" t="s">
        <v>17</v>
      </c>
      <c r="E25" s="23" t="s">
        <v>842</v>
      </c>
      <c r="F25" s="31">
        <v>3791</v>
      </c>
      <c r="G25" s="31">
        <v>66000</v>
      </c>
      <c r="H25" s="31">
        <f>Cty_Thai_Hung_Phu_Tho[[#This Row],[ĐƠN GIÁ]]*Cty_Thai_Hung_Phu_Tho[[#This Row],[SỐ LƯỢNG]]</f>
        <v>250206000</v>
      </c>
      <c r="I25" s="31"/>
      <c r="J25" s="31">
        <f>J24+Cty_Thai_Hung_Phu_Tho[[#This Row],[THÀNH TIỀN]]-Cty_Thai_Hung_Phu_Tho[[#This Row],[THANH TOÁN]]</f>
        <v>1025689166</v>
      </c>
      <c r="K25" s="24"/>
    </row>
    <row r="26" spans="1:11" x14ac:dyDescent="0.25">
      <c r="A26" s="22">
        <v>9469</v>
      </c>
      <c r="B26" s="29">
        <v>46161</v>
      </c>
      <c r="C26" s="23" t="s">
        <v>13</v>
      </c>
      <c r="D26" s="37" t="s">
        <v>17</v>
      </c>
      <c r="E26" s="23" t="s">
        <v>891</v>
      </c>
      <c r="F26" s="31">
        <v>4140</v>
      </c>
      <c r="G26" s="31">
        <v>66000</v>
      </c>
      <c r="H26" s="31">
        <f>Cty_Thai_Hung_Phu_Tho[[#This Row],[ĐƠN GIÁ]]*Cty_Thai_Hung_Phu_Tho[[#This Row],[SỐ LƯỢNG]]</f>
        <v>273240000</v>
      </c>
      <c r="I26" s="31"/>
      <c r="J26" s="31">
        <f>J25+Cty_Thai_Hung_Phu_Tho[[#This Row],[THÀNH TIỀN]]-Cty_Thai_Hung_Phu_Tho[[#This Row],[THANH TOÁN]]</f>
        <v>1298929166</v>
      </c>
      <c r="K26" s="24"/>
    </row>
    <row r="27" spans="1:11" x14ac:dyDescent="0.25">
      <c r="A27" s="22"/>
      <c r="B27" s="29">
        <v>46164</v>
      </c>
      <c r="C27" s="23" t="s">
        <v>21</v>
      </c>
      <c r="D27" s="37" t="s">
        <v>22</v>
      </c>
      <c r="E27" s="23" t="s">
        <v>261</v>
      </c>
      <c r="F27" s="31">
        <v>0</v>
      </c>
      <c r="G27" s="31"/>
      <c r="H27" s="31">
        <f>Cty_Thai_Hung_Phu_Tho[[#This Row],[ĐƠN GIÁ]]*Cty_Thai_Hung_Phu_Tho[[#This Row],[SỐ LƯỢNG]]</f>
        <v>0</v>
      </c>
      <c r="I27" s="31">
        <v>200000000</v>
      </c>
      <c r="J27" s="31">
        <f>J26+Cty_Thai_Hung_Phu_Tho[[#This Row],[THÀNH TIỀN]]-Cty_Thai_Hung_Phu_Tho[[#This Row],[THANH TOÁN]]</f>
        <v>1098929166</v>
      </c>
      <c r="K27" s="24"/>
    </row>
    <row r="28" spans="1:11" x14ac:dyDescent="0.25">
      <c r="A28" s="22">
        <v>9605</v>
      </c>
      <c r="B28" s="29">
        <v>46167</v>
      </c>
      <c r="C28" s="23" t="s">
        <v>13</v>
      </c>
      <c r="D28" s="37" t="s">
        <v>103</v>
      </c>
      <c r="E28" s="23" t="s">
        <v>2340</v>
      </c>
      <c r="F28" s="31">
        <v>1560</v>
      </c>
      <c r="G28" s="31">
        <v>37500</v>
      </c>
      <c r="H28" s="31">
        <f>Cty_Thai_Hung_Phu_Tho[[#This Row],[ĐƠN GIÁ]]*Cty_Thai_Hung_Phu_Tho[[#This Row],[SỐ LƯỢNG]]</f>
        <v>58500000</v>
      </c>
      <c r="I28" s="31"/>
      <c r="J28" s="31">
        <f>J27+Cty_Thai_Hung_Phu_Tho[[#This Row],[THÀNH TIỀN]]-Cty_Thai_Hung_Phu_Tho[[#This Row],[THANH TOÁN]]</f>
        <v>1157429166</v>
      </c>
      <c r="K28" s="24"/>
    </row>
    <row r="29" spans="1:11" x14ac:dyDescent="0.25">
      <c r="A29" s="22">
        <v>9605</v>
      </c>
      <c r="B29" s="29">
        <v>46167</v>
      </c>
      <c r="C29" s="23" t="s">
        <v>426</v>
      </c>
      <c r="D29" s="37" t="s">
        <v>26</v>
      </c>
      <c r="E29" s="23" t="s">
        <v>146</v>
      </c>
      <c r="F29" s="31">
        <v>306</v>
      </c>
      <c r="G29" s="31">
        <v>-32000</v>
      </c>
      <c r="H29" s="31">
        <f>Cty_Thai_Hung_Phu_Tho[[#This Row],[ĐƠN GIÁ]]*Cty_Thai_Hung_Phu_Tho[[#This Row],[SỐ LƯỢNG]]</f>
        <v>-9792000</v>
      </c>
      <c r="I29" s="31"/>
      <c r="J29" s="31">
        <f>J28+Cty_Thai_Hung_Phu_Tho[[#This Row],[THÀNH TIỀN]]-Cty_Thai_Hung_Phu_Tho[[#This Row],[THANH TOÁN]]</f>
        <v>1147637166</v>
      </c>
      <c r="K29" s="24"/>
    </row>
    <row r="30" spans="1:11" x14ac:dyDescent="0.25">
      <c r="A30" s="22"/>
      <c r="B30" s="29">
        <v>46170</v>
      </c>
      <c r="C30" s="23" t="s">
        <v>21</v>
      </c>
      <c r="D30" s="37" t="s">
        <v>22</v>
      </c>
      <c r="E30" s="23" t="s">
        <v>83</v>
      </c>
      <c r="F30" s="31">
        <v>0</v>
      </c>
      <c r="G30" s="31"/>
      <c r="H30" s="31">
        <f>Cty_Thai_Hung_Phu_Tho[[#This Row],[ĐƠN GIÁ]]*Cty_Thai_Hung_Phu_Tho[[#This Row],[SỐ LƯỢNG]]</f>
        <v>0</v>
      </c>
      <c r="I30" s="31">
        <v>400000000</v>
      </c>
      <c r="J30" s="31">
        <f>J29+Cty_Thai_Hung_Phu_Tho[[#This Row],[THÀNH TIỀN]]-Cty_Thai_Hung_Phu_Tho[[#This Row],[THANH TOÁN]]</f>
        <v>747637166</v>
      </c>
      <c r="K30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68F0D1-5674-4F0D-BED9-15E8E987440C}">
  <sheetPr codeName="Sheet132"/>
  <dimension ref="A5:K57"/>
  <sheetViews>
    <sheetView topLeftCell="A13" workbookViewId="0">
      <selection activeCell="F45" sqref="F45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814326500</v>
      </c>
    </row>
    <row r="6" spans="1:11" ht="22.5" x14ac:dyDescent="0.25">
      <c r="D6" s="34" t="s">
        <v>1341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Cty_Cuong_Thu_ND[[#This Row],[ĐƠN GIÁ]]*Cty_Cuong_Thu_ND[[#This Row],[SỐ LƯỢNG]]</f>
        <v>0</v>
      </c>
      <c r="I10" s="31"/>
      <c r="J10" s="31">
        <v>0</v>
      </c>
      <c r="K10" s="24"/>
    </row>
    <row r="11" spans="1:11" x14ac:dyDescent="0.25">
      <c r="A11" s="22">
        <v>8282</v>
      </c>
      <c r="B11" s="29">
        <v>46101</v>
      </c>
      <c r="C11" s="23" t="s">
        <v>13</v>
      </c>
      <c r="D11" s="37" t="s">
        <v>14</v>
      </c>
      <c r="E11" s="23" t="s">
        <v>62</v>
      </c>
      <c r="F11" s="31">
        <v>516</v>
      </c>
      <c r="G11" s="31">
        <v>43000</v>
      </c>
      <c r="H11" s="31">
        <f>Cty_Cuong_Thu_ND[[#This Row],[ĐƠN GIÁ]]*Cty_Cuong_Thu_ND[[#This Row],[SỐ LƯỢNG]]</f>
        <v>22188000</v>
      </c>
      <c r="I11" s="31"/>
      <c r="J11" s="31">
        <f>J10+Cty_Cuong_Thu_ND[[#This Row],[THÀNH TIỀN]]-Cty_Cuong_Thu_ND[[#This Row],[THANH TOÁN]]</f>
        <v>22188000</v>
      </c>
      <c r="K11" s="24"/>
    </row>
    <row r="12" spans="1:11" x14ac:dyDescent="0.25">
      <c r="A12" s="22">
        <v>8282</v>
      </c>
      <c r="B12" s="29">
        <v>46101</v>
      </c>
      <c r="C12" s="23" t="s">
        <v>13</v>
      </c>
      <c r="D12" s="37" t="s">
        <v>43</v>
      </c>
      <c r="E12" s="23" t="s">
        <v>141</v>
      </c>
      <c r="F12" s="31">
        <v>565</v>
      </c>
      <c r="G12" s="31">
        <v>58500</v>
      </c>
      <c r="H12" s="31">
        <f>Cty_Cuong_Thu_ND[[#This Row],[ĐƠN GIÁ]]*Cty_Cuong_Thu_ND[[#This Row],[SỐ LƯỢNG]]</f>
        <v>33052500</v>
      </c>
      <c r="I12" s="31"/>
      <c r="J12" s="31">
        <f>J11+Cty_Cuong_Thu_ND[[#This Row],[THÀNH TIỀN]]-Cty_Cuong_Thu_ND[[#This Row],[THANH TOÁN]]</f>
        <v>55240500</v>
      </c>
      <c r="K12" s="24"/>
    </row>
    <row r="13" spans="1:11" x14ac:dyDescent="0.25">
      <c r="A13" s="22">
        <v>8282</v>
      </c>
      <c r="B13" s="29">
        <v>46101</v>
      </c>
      <c r="C13" s="23" t="s">
        <v>13</v>
      </c>
      <c r="D13" s="38" t="s">
        <v>43</v>
      </c>
      <c r="E13" s="26" t="s">
        <v>246</v>
      </c>
      <c r="F13" s="28">
        <v>841</v>
      </c>
      <c r="G13" s="28">
        <v>62000</v>
      </c>
      <c r="H13" s="28">
        <f>Cty_Cuong_Thu_ND[[#This Row],[ĐƠN GIÁ]]*Cty_Cuong_Thu_ND[[#This Row],[SỐ LƯỢNG]]</f>
        <v>52142000</v>
      </c>
      <c r="I13" s="28"/>
      <c r="J13" s="28">
        <f>J12+Cty_Cuong_Thu_ND[[#This Row],[THÀNH TIỀN]]-Cty_Cuong_Thu_ND[[#This Row],[THANH TOÁN]]</f>
        <v>107382500</v>
      </c>
      <c r="K13" s="27"/>
    </row>
    <row r="14" spans="1:11" x14ac:dyDescent="0.25">
      <c r="A14" s="22">
        <v>8282</v>
      </c>
      <c r="B14" s="29">
        <v>46101</v>
      </c>
      <c r="C14" s="23" t="s">
        <v>13</v>
      </c>
      <c r="D14" s="38" t="s">
        <v>109</v>
      </c>
      <c r="E14" s="26" t="s">
        <v>1342</v>
      </c>
      <c r="F14" s="28">
        <v>290</v>
      </c>
      <c r="G14" s="28">
        <v>58000</v>
      </c>
      <c r="H14" s="28">
        <f>Cty_Cuong_Thu_ND[[#This Row],[ĐƠN GIÁ]]*Cty_Cuong_Thu_ND[[#This Row],[SỐ LƯỢNG]]</f>
        <v>16820000</v>
      </c>
      <c r="I14" s="28"/>
      <c r="J14" s="28">
        <f>J13+Cty_Cuong_Thu_ND[[#This Row],[THÀNH TIỀN]]-Cty_Cuong_Thu_ND[[#This Row],[THANH TOÁN]]</f>
        <v>124202500</v>
      </c>
      <c r="K14" s="27"/>
    </row>
    <row r="15" spans="1:11" x14ac:dyDescent="0.25">
      <c r="A15" s="22">
        <v>8282</v>
      </c>
      <c r="B15" s="29">
        <v>46101</v>
      </c>
      <c r="C15" s="23" t="s">
        <v>13</v>
      </c>
      <c r="D15" s="38" t="s">
        <v>109</v>
      </c>
      <c r="E15" s="23" t="s">
        <v>1343</v>
      </c>
      <c r="F15" s="31">
        <v>426</v>
      </c>
      <c r="G15" s="31">
        <v>58000</v>
      </c>
      <c r="H15" s="31">
        <f>Cty_Cuong_Thu_ND[[#This Row],[ĐƠN GIÁ]]*Cty_Cuong_Thu_ND[[#This Row],[SỐ LƯỢNG]]</f>
        <v>24708000</v>
      </c>
      <c r="I15" s="31"/>
      <c r="J15" s="31">
        <f>J14+Cty_Cuong_Thu_ND[[#This Row],[THÀNH TIỀN]]-Cty_Cuong_Thu_ND[[#This Row],[THANH TOÁN]]</f>
        <v>148910500</v>
      </c>
      <c r="K15" s="24"/>
    </row>
    <row r="16" spans="1:11" x14ac:dyDescent="0.25">
      <c r="A16" s="22">
        <v>8282</v>
      </c>
      <c r="B16" s="29">
        <v>46101</v>
      </c>
      <c r="C16" s="23" t="s">
        <v>13</v>
      </c>
      <c r="D16" s="38" t="s">
        <v>109</v>
      </c>
      <c r="E16" s="23" t="s">
        <v>1344</v>
      </c>
      <c r="F16" s="31">
        <v>292</v>
      </c>
      <c r="G16" s="31">
        <v>58000</v>
      </c>
      <c r="H16" s="31">
        <f>Cty_Cuong_Thu_ND[[#This Row],[ĐƠN GIÁ]]*Cty_Cuong_Thu_ND[[#This Row],[SỐ LƯỢNG]]</f>
        <v>16936000</v>
      </c>
      <c r="I16" s="31"/>
      <c r="J16" s="31">
        <f>J15+Cty_Cuong_Thu_ND[[#This Row],[THÀNH TIỀN]]-Cty_Cuong_Thu_ND[[#This Row],[THANH TOÁN]]</f>
        <v>165846500</v>
      </c>
      <c r="K16" s="24"/>
    </row>
    <row r="17" spans="1:11" x14ac:dyDescent="0.25">
      <c r="A17" s="22">
        <v>8282</v>
      </c>
      <c r="B17" s="29">
        <v>46101</v>
      </c>
      <c r="C17" s="23" t="s">
        <v>13</v>
      </c>
      <c r="D17" s="38" t="s">
        <v>109</v>
      </c>
      <c r="E17" s="23" t="s">
        <v>1345</v>
      </c>
      <c r="F17" s="31">
        <v>360</v>
      </c>
      <c r="G17" s="31">
        <v>58000</v>
      </c>
      <c r="H17" s="31">
        <f>Cty_Cuong_Thu_ND[[#This Row],[ĐƠN GIÁ]]*Cty_Cuong_Thu_ND[[#This Row],[SỐ LƯỢNG]]</f>
        <v>20880000</v>
      </c>
      <c r="I17" s="31"/>
      <c r="J17" s="31">
        <f>J16+Cty_Cuong_Thu_ND[[#This Row],[THÀNH TIỀN]]-Cty_Cuong_Thu_ND[[#This Row],[THANH TOÁN]]</f>
        <v>186726500</v>
      </c>
      <c r="K17" s="24"/>
    </row>
    <row r="18" spans="1:11" x14ac:dyDescent="0.25">
      <c r="A18" s="25">
        <v>8283</v>
      </c>
      <c r="B18" s="30">
        <v>46101</v>
      </c>
      <c r="C18" s="26" t="s">
        <v>13</v>
      </c>
      <c r="D18" s="38" t="s">
        <v>36</v>
      </c>
      <c r="E18" s="26" t="s">
        <v>1346</v>
      </c>
      <c r="F18" s="28">
        <v>422</v>
      </c>
      <c r="G18" s="28">
        <v>60000</v>
      </c>
      <c r="H18" s="28">
        <f>Cty_Cuong_Thu_ND[[#This Row],[ĐƠN GIÁ]]*Cty_Cuong_Thu_ND[[#This Row],[SỐ LƯỢNG]]</f>
        <v>25320000</v>
      </c>
      <c r="I18" s="28"/>
      <c r="J18" s="28">
        <f>J17+Cty_Cuong_Thu_ND[[#This Row],[THÀNH TIỀN]]-Cty_Cuong_Thu_ND[[#This Row],[THANH TOÁN]]</f>
        <v>212046500</v>
      </c>
      <c r="K18" s="27"/>
    </row>
    <row r="19" spans="1:11" x14ac:dyDescent="0.25">
      <c r="A19" s="25">
        <v>8283</v>
      </c>
      <c r="B19" s="30">
        <v>46101</v>
      </c>
      <c r="C19" s="26" t="s">
        <v>13</v>
      </c>
      <c r="D19" s="38" t="s">
        <v>36</v>
      </c>
      <c r="E19" s="26" t="s">
        <v>1347</v>
      </c>
      <c r="F19" s="28">
        <v>551</v>
      </c>
      <c r="G19" s="28">
        <v>59500</v>
      </c>
      <c r="H19" s="28">
        <f>Cty_Cuong_Thu_ND[[#This Row],[ĐƠN GIÁ]]*Cty_Cuong_Thu_ND[[#This Row],[SỐ LƯỢNG]]</f>
        <v>32784500</v>
      </c>
      <c r="I19" s="28"/>
      <c r="J19" s="28">
        <f>J18+Cty_Cuong_Thu_ND[[#This Row],[THÀNH TIỀN]]-Cty_Cuong_Thu_ND[[#This Row],[THANH TOÁN]]</f>
        <v>244831000</v>
      </c>
      <c r="K19" s="27"/>
    </row>
    <row r="20" spans="1:11" x14ac:dyDescent="0.25">
      <c r="A20" s="25">
        <v>8283</v>
      </c>
      <c r="B20" s="30">
        <v>46101</v>
      </c>
      <c r="C20" s="26" t="s">
        <v>13</v>
      </c>
      <c r="D20" s="38" t="s">
        <v>50</v>
      </c>
      <c r="E20" s="26" t="s">
        <v>1348</v>
      </c>
      <c r="F20" s="28">
        <v>382</v>
      </c>
      <c r="G20" s="28">
        <v>58500</v>
      </c>
      <c r="H20" s="28">
        <f>Cty_Cuong_Thu_ND[[#This Row],[ĐƠN GIÁ]]*Cty_Cuong_Thu_ND[[#This Row],[SỐ LƯỢNG]]</f>
        <v>22347000</v>
      </c>
      <c r="I20" s="28"/>
      <c r="J20" s="28">
        <f>J19+Cty_Cuong_Thu_ND[[#This Row],[THÀNH TIỀN]]-Cty_Cuong_Thu_ND[[#This Row],[THANH TOÁN]]</f>
        <v>267178000</v>
      </c>
      <c r="K20" s="27"/>
    </row>
    <row r="21" spans="1:11" x14ac:dyDescent="0.25">
      <c r="A21" s="22">
        <v>8511</v>
      </c>
      <c r="B21" s="29">
        <v>46114</v>
      </c>
      <c r="C21" s="23" t="s">
        <v>13</v>
      </c>
      <c r="D21" s="37" t="s">
        <v>26</v>
      </c>
      <c r="E21" s="23" t="s">
        <v>65</v>
      </c>
      <c r="F21" s="31">
        <v>545</v>
      </c>
      <c r="G21" s="31">
        <v>36500</v>
      </c>
      <c r="H21" s="31">
        <f>Cty_Cuong_Thu_ND[[#This Row],[ĐƠN GIÁ]]*Cty_Cuong_Thu_ND[[#This Row],[SỐ LƯỢNG]]</f>
        <v>19892500</v>
      </c>
      <c r="I21" s="31"/>
      <c r="J21" s="31">
        <f>J20+Cty_Cuong_Thu_ND[[#This Row],[THÀNH TIỀN]]-Cty_Cuong_Thu_ND[[#This Row],[THANH TOÁN]]</f>
        <v>287070500</v>
      </c>
      <c r="K21" s="24"/>
    </row>
    <row r="22" spans="1:11" x14ac:dyDescent="0.25">
      <c r="A22" s="22">
        <v>8511</v>
      </c>
      <c r="B22" s="29">
        <v>46114</v>
      </c>
      <c r="C22" s="23" t="s">
        <v>13</v>
      </c>
      <c r="D22" s="37" t="s">
        <v>26</v>
      </c>
      <c r="E22" s="23" t="s">
        <v>136</v>
      </c>
      <c r="F22" s="31">
        <v>630</v>
      </c>
      <c r="G22" s="31">
        <v>36000</v>
      </c>
      <c r="H22" s="31">
        <f>Cty_Cuong_Thu_ND[[#This Row],[ĐƠN GIÁ]]*Cty_Cuong_Thu_ND[[#This Row],[SỐ LƯỢNG]]</f>
        <v>22680000</v>
      </c>
      <c r="I22" s="31"/>
      <c r="J22" s="31">
        <f>J21+Cty_Cuong_Thu_ND[[#This Row],[THÀNH TIỀN]]-Cty_Cuong_Thu_ND[[#This Row],[THANH TOÁN]]</f>
        <v>309750500</v>
      </c>
      <c r="K22" s="24"/>
    </row>
    <row r="23" spans="1:11" x14ac:dyDescent="0.25">
      <c r="A23" s="22">
        <v>8511</v>
      </c>
      <c r="B23" s="29">
        <v>46114</v>
      </c>
      <c r="C23" s="23" t="s">
        <v>13</v>
      </c>
      <c r="D23" s="37" t="s">
        <v>17</v>
      </c>
      <c r="E23" s="23" t="s">
        <v>25</v>
      </c>
      <c r="F23" s="31">
        <v>1688</v>
      </c>
      <c r="G23" s="31">
        <v>66500</v>
      </c>
      <c r="H23" s="31">
        <f>Cty_Cuong_Thu_ND[[#This Row],[ĐƠN GIÁ]]*Cty_Cuong_Thu_ND[[#This Row],[SỐ LƯỢNG]]</f>
        <v>112252000</v>
      </c>
      <c r="I23" s="31"/>
      <c r="J23" s="31">
        <f>J22+Cty_Cuong_Thu_ND[[#This Row],[THÀNH TIỀN]]-Cty_Cuong_Thu_ND[[#This Row],[THANH TOÁN]]</f>
        <v>422002500</v>
      </c>
      <c r="K23" s="24"/>
    </row>
    <row r="24" spans="1:11" x14ac:dyDescent="0.25">
      <c r="A24" s="22">
        <v>8511</v>
      </c>
      <c r="B24" s="29">
        <v>46114</v>
      </c>
      <c r="C24" s="23" t="s">
        <v>13</v>
      </c>
      <c r="D24" s="37" t="s">
        <v>17</v>
      </c>
      <c r="E24" s="23" t="s">
        <v>31</v>
      </c>
      <c r="F24" s="31">
        <v>1362</v>
      </c>
      <c r="G24" s="31">
        <v>66500</v>
      </c>
      <c r="H24" s="31">
        <f>Cty_Cuong_Thu_ND[[#This Row],[ĐƠN GIÁ]]*Cty_Cuong_Thu_ND[[#This Row],[SỐ LƯỢNG]]</f>
        <v>90573000</v>
      </c>
      <c r="I24" s="31"/>
      <c r="J24" s="31">
        <f>J23+Cty_Cuong_Thu_ND[[#This Row],[THÀNH TIỀN]]-Cty_Cuong_Thu_ND[[#This Row],[THANH TOÁN]]</f>
        <v>512575500</v>
      </c>
      <c r="K24" s="24"/>
    </row>
    <row r="25" spans="1:11" x14ac:dyDescent="0.25">
      <c r="A25" s="22">
        <v>8511</v>
      </c>
      <c r="B25" s="29">
        <v>46114</v>
      </c>
      <c r="C25" s="23" t="s">
        <v>13</v>
      </c>
      <c r="D25" s="37" t="s">
        <v>17</v>
      </c>
      <c r="E25" s="23" t="s">
        <v>429</v>
      </c>
      <c r="F25" s="31">
        <v>2084</v>
      </c>
      <c r="G25" s="31">
        <v>58000</v>
      </c>
      <c r="H25" s="31">
        <f>Cty_Cuong_Thu_ND[[#This Row],[ĐƠN GIÁ]]*Cty_Cuong_Thu_ND[[#This Row],[SỐ LƯỢNG]]</f>
        <v>120872000</v>
      </c>
      <c r="I25" s="31"/>
      <c r="J25" s="31">
        <f>J24+Cty_Cuong_Thu_ND[[#This Row],[THÀNH TIỀN]]-Cty_Cuong_Thu_ND[[#This Row],[THANH TOÁN]]</f>
        <v>633447500</v>
      </c>
      <c r="K25" s="24" t="s">
        <v>184</v>
      </c>
    </row>
    <row r="26" spans="1:11" x14ac:dyDescent="0.25">
      <c r="A26" s="22">
        <v>8656</v>
      </c>
      <c r="B26" s="29">
        <v>46121</v>
      </c>
      <c r="C26" s="23" t="s">
        <v>13</v>
      </c>
      <c r="D26" s="37" t="s">
        <v>26</v>
      </c>
      <c r="E26" s="23" t="s">
        <v>149</v>
      </c>
      <c r="F26" s="31">
        <v>608</v>
      </c>
      <c r="G26" s="31">
        <v>36000</v>
      </c>
      <c r="H26" s="31">
        <f>Cty_Cuong_Thu_ND[[#This Row],[ĐƠN GIÁ]]*Cty_Cuong_Thu_ND[[#This Row],[SỐ LƯỢNG]]</f>
        <v>21888000</v>
      </c>
      <c r="I26" s="31"/>
      <c r="J26" s="31">
        <f>J25+Cty_Cuong_Thu_ND[[#This Row],[THÀNH TIỀN]]-Cty_Cuong_Thu_ND[[#This Row],[THANH TOÁN]]</f>
        <v>655335500</v>
      </c>
      <c r="K26" s="24"/>
    </row>
    <row r="27" spans="1:11" x14ac:dyDescent="0.25">
      <c r="A27" s="22"/>
      <c r="B27" s="29">
        <v>46119</v>
      </c>
      <c r="C27" s="23" t="s">
        <v>21</v>
      </c>
      <c r="D27" s="37" t="s">
        <v>22</v>
      </c>
      <c r="E27" s="23" t="s">
        <v>83</v>
      </c>
      <c r="F27" s="31">
        <v>0</v>
      </c>
      <c r="G27" s="31"/>
      <c r="H27" s="31">
        <f>Cty_Cuong_Thu_ND[[#This Row],[ĐƠN GIÁ]]*Cty_Cuong_Thu_ND[[#This Row],[SỐ LƯỢNG]]</f>
        <v>0</v>
      </c>
      <c r="I27" s="31">
        <v>70000000</v>
      </c>
      <c r="J27" s="31">
        <f>J26+Cty_Cuong_Thu_ND[[#This Row],[THÀNH TIỀN]]-Cty_Cuong_Thu_ND[[#This Row],[THANH TOÁN]]</f>
        <v>585335500</v>
      </c>
      <c r="K27" s="24"/>
    </row>
    <row r="28" spans="1:11" x14ac:dyDescent="0.25">
      <c r="A28" s="22"/>
      <c r="B28" s="29">
        <v>46125</v>
      </c>
      <c r="C28" s="23" t="s">
        <v>21</v>
      </c>
      <c r="D28" s="37" t="s">
        <v>22</v>
      </c>
      <c r="E28" s="23" t="s">
        <v>83</v>
      </c>
      <c r="F28" s="31">
        <v>0</v>
      </c>
      <c r="G28" s="31"/>
      <c r="H28" s="31">
        <f>Cty_Cuong_Thu_ND[[#This Row],[ĐƠN GIÁ]]*Cty_Cuong_Thu_ND[[#This Row],[SỐ LƯỢNG]]</f>
        <v>0</v>
      </c>
      <c r="I28" s="31">
        <v>100000000</v>
      </c>
      <c r="J28" s="31">
        <f>J27+Cty_Cuong_Thu_ND[[#This Row],[THÀNH TIỀN]]-Cty_Cuong_Thu_ND[[#This Row],[THANH TOÁN]]</f>
        <v>485335500</v>
      </c>
      <c r="K28" s="24"/>
    </row>
    <row r="29" spans="1:11" x14ac:dyDescent="0.25">
      <c r="A29" s="22"/>
      <c r="B29" s="29">
        <v>46128</v>
      </c>
      <c r="C29" s="23" t="s">
        <v>21</v>
      </c>
      <c r="D29" s="37" t="s">
        <v>22</v>
      </c>
      <c r="E29" s="23" t="s">
        <v>83</v>
      </c>
      <c r="F29" s="31">
        <v>0</v>
      </c>
      <c r="G29" s="31"/>
      <c r="H29" s="31">
        <f>Cty_Cuong_Thu_ND[[#This Row],[ĐƠN GIÁ]]*Cty_Cuong_Thu_ND[[#This Row],[SỐ LƯỢNG]]</f>
        <v>0</v>
      </c>
      <c r="I29" s="31">
        <v>100000000</v>
      </c>
      <c r="J29" s="31">
        <f>J28+Cty_Cuong_Thu_ND[[#This Row],[THÀNH TIỀN]]-Cty_Cuong_Thu_ND[[#This Row],[THANH TOÁN]]</f>
        <v>385335500</v>
      </c>
      <c r="K29" s="24"/>
    </row>
    <row r="30" spans="1:11" x14ac:dyDescent="0.25">
      <c r="A30" s="22">
        <v>9056</v>
      </c>
      <c r="B30" s="29">
        <v>46139</v>
      </c>
      <c r="C30" s="23" t="s">
        <v>13</v>
      </c>
      <c r="D30" s="37" t="s">
        <v>26</v>
      </c>
      <c r="E30" s="23" t="s">
        <v>40</v>
      </c>
      <c r="F30" s="31">
        <v>467</v>
      </c>
      <c r="G30" s="31">
        <v>38000</v>
      </c>
      <c r="H30" s="31">
        <f>Cty_Cuong_Thu_ND[[#This Row],[ĐƠN GIÁ]]*Cty_Cuong_Thu_ND[[#This Row],[SỐ LƯỢNG]]</f>
        <v>17746000</v>
      </c>
      <c r="I30" s="31"/>
      <c r="J30" s="31">
        <f>J29+Cty_Cuong_Thu_ND[[#This Row],[THÀNH TIỀN]]-Cty_Cuong_Thu_ND[[#This Row],[THANH TOÁN]]</f>
        <v>403081500</v>
      </c>
      <c r="K30" s="24"/>
    </row>
    <row r="31" spans="1:11" x14ac:dyDescent="0.25">
      <c r="A31" s="22">
        <v>9056</v>
      </c>
      <c r="B31" s="29">
        <v>46139</v>
      </c>
      <c r="C31" s="23" t="s">
        <v>13</v>
      </c>
      <c r="D31" s="37" t="s">
        <v>17</v>
      </c>
      <c r="E31" s="23" t="s">
        <v>40</v>
      </c>
      <c r="F31" s="31">
        <v>632</v>
      </c>
      <c r="G31" s="31">
        <v>68000</v>
      </c>
      <c r="H31" s="31">
        <f>Cty_Cuong_Thu_ND[[#This Row],[ĐƠN GIÁ]]*Cty_Cuong_Thu_ND[[#This Row],[SỐ LƯỢNG]]</f>
        <v>42976000</v>
      </c>
      <c r="I31" s="31"/>
      <c r="J31" s="31">
        <f>J30+Cty_Cuong_Thu_ND[[#This Row],[THÀNH TIỀN]]-Cty_Cuong_Thu_ND[[#This Row],[THANH TOÁN]]</f>
        <v>446057500</v>
      </c>
      <c r="K31" s="24"/>
    </row>
    <row r="32" spans="1:11" x14ac:dyDescent="0.25">
      <c r="A32" s="22">
        <v>9056</v>
      </c>
      <c r="B32" s="29">
        <v>46139</v>
      </c>
      <c r="C32" s="23" t="s">
        <v>13</v>
      </c>
      <c r="D32" s="37" t="s">
        <v>17</v>
      </c>
      <c r="E32" s="23" t="s">
        <v>33</v>
      </c>
      <c r="F32" s="31">
        <v>572</v>
      </c>
      <c r="G32" s="31">
        <v>67500</v>
      </c>
      <c r="H32" s="31">
        <f>Cty_Cuong_Thu_ND[[#This Row],[ĐƠN GIÁ]]*Cty_Cuong_Thu_ND[[#This Row],[SỐ LƯỢNG]]</f>
        <v>38610000</v>
      </c>
      <c r="I32" s="31"/>
      <c r="J32" s="31">
        <f>J31+Cty_Cuong_Thu_ND[[#This Row],[THÀNH TIỀN]]-Cty_Cuong_Thu_ND[[#This Row],[THANH TOÁN]]</f>
        <v>484667500</v>
      </c>
      <c r="K32" s="24"/>
    </row>
    <row r="33" spans="1:11" x14ac:dyDescent="0.25">
      <c r="A33" s="22">
        <v>9056</v>
      </c>
      <c r="B33" s="29">
        <v>46139</v>
      </c>
      <c r="C33" s="23" t="s">
        <v>13</v>
      </c>
      <c r="D33" s="37" t="s">
        <v>17</v>
      </c>
      <c r="E33" s="23" t="s">
        <v>251</v>
      </c>
      <c r="F33" s="31">
        <v>642</v>
      </c>
      <c r="G33" s="31">
        <v>65000</v>
      </c>
      <c r="H33" s="31">
        <f>Cty_Cuong_Thu_ND[[#This Row],[ĐƠN GIÁ]]*Cty_Cuong_Thu_ND[[#This Row],[SỐ LƯỢNG]]</f>
        <v>41730000</v>
      </c>
      <c r="I33" s="31"/>
      <c r="J33" s="31">
        <f>J32+Cty_Cuong_Thu_ND[[#This Row],[THÀNH TIỀN]]-Cty_Cuong_Thu_ND[[#This Row],[THANH TOÁN]]</f>
        <v>526397500</v>
      </c>
      <c r="K33" s="24"/>
    </row>
    <row r="34" spans="1:11" x14ac:dyDescent="0.25">
      <c r="A34" s="22">
        <v>9056</v>
      </c>
      <c r="B34" s="29">
        <v>46139</v>
      </c>
      <c r="C34" s="23" t="s">
        <v>13</v>
      </c>
      <c r="D34" s="37" t="s">
        <v>43</v>
      </c>
      <c r="E34" s="23" t="s">
        <v>154</v>
      </c>
      <c r="F34" s="31">
        <v>1030</v>
      </c>
      <c r="G34" s="31">
        <v>60000</v>
      </c>
      <c r="H34" s="31">
        <f>Cty_Cuong_Thu_ND[[#This Row],[ĐƠN GIÁ]]*Cty_Cuong_Thu_ND[[#This Row],[SỐ LƯỢNG]]</f>
        <v>61800000</v>
      </c>
      <c r="I34" s="31"/>
      <c r="J34" s="31">
        <f>J33+Cty_Cuong_Thu_ND[[#This Row],[THÀNH TIỀN]]-Cty_Cuong_Thu_ND[[#This Row],[THANH TOÁN]]</f>
        <v>588197500</v>
      </c>
      <c r="K34" s="24"/>
    </row>
    <row r="35" spans="1:11" x14ac:dyDescent="0.25">
      <c r="A35" s="22"/>
      <c r="B35" s="29">
        <v>46140</v>
      </c>
      <c r="C35" s="23" t="s">
        <v>21</v>
      </c>
      <c r="D35" s="37" t="s">
        <v>22</v>
      </c>
      <c r="E35" s="23" t="s">
        <v>261</v>
      </c>
      <c r="F35" s="31">
        <v>0</v>
      </c>
      <c r="G35" s="31"/>
      <c r="H35" s="31">
        <f>Cty_Cuong_Thu_ND[[#This Row],[ĐƠN GIÁ]]*Cty_Cuong_Thu_ND[[#This Row],[SỐ LƯỢNG]]</f>
        <v>0</v>
      </c>
      <c r="I35" s="31">
        <v>100000000</v>
      </c>
      <c r="J35" s="31">
        <f>J34+Cty_Cuong_Thu_ND[[#This Row],[THÀNH TIỀN]]-Cty_Cuong_Thu_ND[[#This Row],[THANH TOÁN]]</f>
        <v>488197500</v>
      </c>
      <c r="K35" s="24"/>
    </row>
    <row r="36" spans="1:11" x14ac:dyDescent="0.25">
      <c r="A36" s="22"/>
      <c r="B36" s="29">
        <v>46157</v>
      </c>
      <c r="C36" s="23" t="s">
        <v>21</v>
      </c>
      <c r="D36" s="37" t="s">
        <v>22</v>
      </c>
      <c r="E36" s="23" t="s">
        <v>2155</v>
      </c>
      <c r="F36" s="31">
        <v>0</v>
      </c>
      <c r="G36" s="31"/>
      <c r="H36" s="31">
        <f>Cty_Cuong_Thu_ND[[#This Row],[ĐƠN GIÁ]]*Cty_Cuong_Thu_ND[[#This Row],[SỐ LƯỢNG]]</f>
        <v>0</v>
      </c>
      <c r="I36" s="31">
        <v>100000000</v>
      </c>
      <c r="J36" s="31">
        <f>J35+Cty_Cuong_Thu_ND[[#This Row],[THÀNH TIỀN]]-Cty_Cuong_Thu_ND[[#This Row],[THANH TOÁN]]</f>
        <v>388197500</v>
      </c>
      <c r="K36" s="24"/>
    </row>
    <row r="37" spans="1:11" x14ac:dyDescent="0.25">
      <c r="A37" s="22">
        <v>9477</v>
      </c>
      <c r="B37" s="29">
        <v>46161</v>
      </c>
      <c r="C37" s="23" t="s">
        <v>13</v>
      </c>
      <c r="D37" s="37" t="s">
        <v>17</v>
      </c>
      <c r="E37" s="23" t="s">
        <v>25</v>
      </c>
      <c r="F37" s="31">
        <v>934</v>
      </c>
      <c r="G37" s="31">
        <v>69000</v>
      </c>
      <c r="H37" s="31">
        <f>Cty_Cuong_Thu_ND[[#This Row],[ĐƠN GIÁ]]*Cty_Cuong_Thu_ND[[#This Row],[SỐ LƯỢNG]]</f>
        <v>64446000</v>
      </c>
      <c r="I37" s="31"/>
      <c r="J37" s="31">
        <f>J36+Cty_Cuong_Thu_ND[[#This Row],[THÀNH TIỀN]]-Cty_Cuong_Thu_ND[[#This Row],[THANH TOÁN]]</f>
        <v>452643500</v>
      </c>
      <c r="K37" s="24">
        <v>935</v>
      </c>
    </row>
    <row r="38" spans="1:11" x14ac:dyDescent="0.25">
      <c r="A38" s="22">
        <v>9477</v>
      </c>
      <c r="B38" s="29">
        <v>46161</v>
      </c>
      <c r="C38" s="23" t="s">
        <v>13</v>
      </c>
      <c r="D38" s="37" t="s">
        <v>17</v>
      </c>
      <c r="E38" s="23" t="s">
        <v>33</v>
      </c>
      <c r="F38" s="31">
        <v>1474</v>
      </c>
      <c r="G38" s="31">
        <v>69000</v>
      </c>
      <c r="H38" s="31">
        <f>Cty_Cuong_Thu_ND[[#This Row],[ĐƠN GIÁ]]*Cty_Cuong_Thu_ND[[#This Row],[SỐ LƯỢNG]]</f>
        <v>101706000</v>
      </c>
      <c r="I38" s="31"/>
      <c r="J38" s="31">
        <f>J37+Cty_Cuong_Thu_ND[[#This Row],[THÀNH TIỀN]]-Cty_Cuong_Thu_ND[[#This Row],[THANH TOÁN]]</f>
        <v>554349500</v>
      </c>
      <c r="K38" s="24">
        <v>1476</v>
      </c>
    </row>
    <row r="39" spans="1:11" x14ac:dyDescent="0.25">
      <c r="A39" s="22">
        <v>9477</v>
      </c>
      <c r="B39" s="29">
        <v>46161</v>
      </c>
      <c r="C39" s="23" t="s">
        <v>13</v>
      </c>
      <c r="D39" s="37" t="s">
        <v>17</v>
      </c>
      <c r="E39" s="23" t="s">
        <v>46</v>
      </c>
      <c r="F39" s="31">
        <v>1102</v>
      </c>
      <c r="G39" s="31">
        <v>69000</v>
      </c>
      <c r="H39" s="31">
        <f>Cty_Cuong_Thu_ND[[#This Row],[ĐƠN GIÁ]]*Cty_Cuong_Thu_ND[[#This Row],[SỐ LƯỢNG]]</f>
        <v>76038000</v>
      </c>
      <c r="I39" s="31"/>
      <c r="J39" s="31">
        <f>J38+Cty_Cuong_Thu_ND[[#This Row],[THÀNH TIỀN]]-Cty_Cuong_Thu_ND[[#This Row],[THANH TOÁN]]</f>
        <v>630387500</v>
      </c>
      <c r="K39" s="24">
        <v>1105</v>
      </c>
    </row>
    <row r="40" spans="1:11" x14ac:dyDescent="0.25">
      <c r="A40" s="22">
        <v>9477</v>
      </c>
      <c r="B40" s="29">
        <v>46161</v>
      </c>
      <c r="C40" s="23" t="s">
        <v>13</v>
      </c>
      <c r="D40" s="37" t="s">
        <v>17</v>
      </c>
      <c r="E40" s="23" t="s">
        <v>78</v>
      </c>
      <c r="F40" s="31">
        <v>664</v>
      </c>
      <c r="G40" s="31">
        <v>69000</v>
      </c>
      <c r="H40" s="31">
        <f>Cty_Cuong_Thu_ND[[#This Row],[ĐƠN GIÁ]]*Cty_Cuong_Thu_ND[[#This Row],[SỐ LƯỢNG]]</f>
        <v>45816000</v>
      </c>
      <c r="I40" s="31"/>
      <c r="J40" s="31">
        <f>J39+Cty_Cuong_Thu_ND[[#This Row],[THÀNH TIỀN]]-Cty_Cuong_Thu_ND[[#This Row],[THANH TOÁN]]</f>
        <v>676203500</v>
      </c>
      <c r="K40" s="24">
        <v>664</v>
      </c>
    </row>
    <row r="41" spans="1:11" x14ac:dyDescent="0.25">
      <c r="A41" s="22">
        <v>9477</v>
      </c>
      <c r="B41" s="29">
        <v>46161</v>
      </c>
      <c r="C41" s="23" t="s">
        <v>13</v>
      </c>
      <c r="D41" s="37" t="s">
        <v>17</v>
      </c>
      <c r="E41" s="23" t="s">
        <v>154</v>
      </c>
      <c r="F41" s="31">
        <v>1016</v>
      </c>
      <c r="G41" s="31">
        <v>60000</v>
      </c>
      <c r="H41" s="31">
        <f>Cty_Cuong_Thu_ND[[#This Row],[ĐƠN GIÁ]]*Cty_Cuong_Thu_ND[[#This Row],[SỐ LƯỢNG]]</f>
        <v>60960000</v>
      </c>
      <c r="I41" s="31"/>
      <c r="J41" s="31">
        <f>J40+Cty_Cuong_Thu_ND[[#This Row],[THÀNH TIỀN]]-Cty_Cuong_Thu_ND[[#This Row],[THANH TOÁN]]</f>
        <v>737163500</v>
      </c>
      <c r="K41" s="24">
        <v>1020</v>
      </c>
    </row>
    <row r="42" spans="1:11" x14ac:dyDescent="0.25">
      <c r="A42" s="22">
        <v>9478</v>
      </c>
      <c r="B42" s="29">
        <v>46161</v>
      </c>
      <c r="C42" s="23" t="s">
        <v>13</v>
      </c>
      <c r="D42" s="37" t="s">
        <v>14</v>
      </c>
      <c r="E42" s="23" t="s">
        <v>41</v>
      </c>
      <c r="F42" s="31">
        <v>842</v>
      </c>
      <c r="G42" s="31">
        <v>42500</v>
      </c>
      <c r="H42" s="31">
        <f>Cty_Cuong_Thu_ND[[#This Row],[ĐƠN GIÁ]]*Cty_Cuong_Thu_ND[[#This Row],[SỐ LƯỢNG]]</f>
        <v>35785000</v>
      </c>
      <c r="I42" s="31"/>
      <c r="J42" s="31">
        <f>J41+Cty_Cuong_Thu_ND[[#This Row],[THÀNH TIỀN]]-Cty_Cuong_Thu_ND[[#This Row],[THANH TOÁN]]</f>
        <v>772948500</v>
      </c>
      <c r="K42" s="24"/>
    </row>
    <row r="43" spans="1:11" x14ac:dyDescent="0.25">
      <c r="A43" s="22">
        <v>9478</v>
      </c>
      <c r="B43" s="29">
        <v>46161</v>
      </c>
      <c r="C43" s="23" t="s">
        <v>13</v>
      </c>
      <c r="D43" s="37" t="s">
        <v>43</v>
      </c>
      <c r="E43" s="23" t="s">
        <v>1225</v>
      </c>
      <c r="F43" s="31">
        <v>736</v>
      </c>
      <c r="G43" s="31">
        <v>62000</v>
      </c>
      <c r="H43" s="31">
        <f>Cty_Cuong_Thu_ND[[#This Row],[ĐƠN GIÁ]]*Cty_Cuong_Thu_ND[[#This Row],[SỐ LƯỢNG]]</f>
        <v>45632000</v>
      </c>
      <c r="I43" s="31"/>
      <c r="J43" s="31">
        <f>J42+Cty_Cuong_Thu_ND[[#This Row],[THÀNH TIỀN]]-Cty_Cuong_Thu_ND[[#This Row],[THANH TOÁN]]</f>
        <v>818580500</v>
      </c>
      <c r="K43" s="24"/>
    </row>
    <row r="44" spans="1:11" x14ac:dyDescent="0.25">
      <c r="A44" s="22">
        <v>9478</v>
      </c>
      <c r="B44" s="29">
        <v>46161</v>
      </c>
      <c r="C44" s="23" t="s">
        <v>13</v>
      </c>
      <c r="D44" s="37" t="s">
        <v>26</v>
      </c>
      <c r="E44" s="23" t="s">
        <v>446</v>
      </c>
      <c r="F44" s="31">
        <v>651</v>
      </c>
      <c r="G44" s="31">
        <v>36000</v>
      </c>
      <c r="H44" s="31">
        <f>Cty_Cuong_Thu_ND[[#This Row],[ĐƠN GIÁ]]*Cty_Cuong_Thu_ND[[#This Row],[SỐ LƯỢNG]]</f>
        <v>23436000</v>
      </c>
      <c r="I44" s="31"/>
      <c r="J44" s="31">
        <f>J43+Cty_Cuong_Thu_ND[[#This Row],[THÀNH TIỀN]]-Cty_Cuong_Thu_ND[[#This Row],[THANH TOÁN]]</f>
        <v>842016500</v>
      </c>
      <c r="K44" s="24"/>
    </row>
    <row r="45" spans="1:11" x14ac:dyDescent="0.25">
      <c r="A45" s="22"/>
      <c r="B45" s="29">
        <v>46165</v>
      </c>
      <c r="C45" s="23" t="s">
        <v>21</v>
      </c>
      <c r="D45" s="37" t="s">
        <v>22</v>
      </c>
      <c r="E45" s="23" t="s">
        <v>261</v>
      </c>
      <c r="F45" s="31">
        <v>0</v>
      </c>
      <c r="G45" s="31"/>
      <c r="H45" s="31">
        <f>Cty_Cuong_Thu_ND[[#This Row],[ĐƠN GIÁ]]*Cty_Cuong_Thu_ND[[#This Row],[SỐ LƯỢNG]]</f>
        <v>0</v>
      </c>
      <c r="I45" s="31">
        <v>100000000</v>
      </c>
      <c r="J45" s="31">
        <f>J44+Cty_Cuong_Thu_ND[[#This Row],[THÀNH TIỀN]]-Cty_Cuong_Thu_ND[[#This Row],[THANH TOÁN]]</f>
        <v>742016500</v>
      </c>
      <c r="K45" s="24"/>
    </row>
    <row r="46" spans="1:11" x14ac:dyDescent="0.25">
      <c r="A46" s="22">
        <v>9704</v>
      </c>
      <c r="B46" s="29">
        <v>46175</v>
      </c>
      <c r="C46" s="23" t="s">
        <v>13</v>
      </c>
      <c r="D46" s="37" t="s">
        <v>43</v>
      </c>
      <c r="E46" s="23" t="s">
        <v>723</v>
      </c>
      <c r="F46" s="31">
        <v>252</v>
      </c>
      <c r="G46" s="31">
        <v>65000</v>
      </c>
      <c r="H46" s="31">
        <f>Cty_Cuong_Thu_ND[[#This Row],[ĐƠN GIÁ]]*Cty_Cuong_Thu_ND[[#This Row],[SỐ LƯỢNG]]</f>
        <v>16380000</v>
      </c>
      <c r="I46" s="31"/>
      <c r="J46" s="31">
        <f>J45+Cty_Cuong_Thu_ND[[#This Row],[THÀNH TIỀN]]-Cty_Cuong_Thu_ND[[#This Row],[THANH TOÁN]]</f>
        <v>758396500</v>
      </c>
      <c r="K46" s="24"/>
    </row>
    <row r="47" spans="1:11" x14ac:dyDescent="0.25">
      <c r="A47" s="22">
        <v>9704</v>
      </c>
      <c r="B47" s="29">
        <v>46175</v>
      </c>
      <c r="C47" s="23" t="s">
        <v>13</v>
      </c>
      <c r="D47" s="37" t="s">
        <v>43</v>
      </c>
      <c r="E47" s="23" t="s">
        <v>469</v>
      </c>
      <c r="F47" s="31">
        <v>799</v>
      </c>
      <c r="G47" s="31">
        <v>70000</v>
      </c>
      <c r="H47" s="31">
        <f>Cty_Cuong_Thu_ND[[#This Row],[ĐƠN GIÁ]]*Cty_Cuong_Thu_ND[[#This Row],[SỐ LƯỢNG]]</f>
        <v>55930000</v>
      </c>
      <c r="I47" s="31"/>
      <c r="J47" s="31">
        <f>J46+Cty_Cuong_Thu_ND[[#This Row],[THÀNH TIỀN]]-Cty_Cuong_Thu_ND[[#This Row],[THANH TOÁN]]</f>
        <v>814326500</v>
      </c>
      <c r="K47" s="24"/>
    </row>
    <row r="50" spans="7:9" x14ac:dyDescent="0.25">
      <c r="G50" s="35"/>
    </row>
    <row r="57" spans="7:9" x14ac:dyDescent="0.25">
      <c r="I57" s="35"/>
    </row>
  </sheetData>
  <phoneticPr fontId="9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BF504-50B1-4656-A78E-B217E86874FC}">
  <sheetPr codeName="Sheet133"/>
  <dimension ref="A5:K27"/>
  <sheetViews>
    <sheetView workbookViewId="0">
      <selection activeCell="A20" sqref="A20:J20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158721727</v>
      </c>
    </row>
    <row r="6" spans="1:11" ht="22.5" x14ac:dyDescent="0.25">
      <c r="D6" s="34" t="s">
        <v>1349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Cty_Anh_Thu[[#This Row],[ĐƠN GIÁ]]*Cty_Anh_Thu[[#This Row],[SỐ LƯỢNG]]</f>
        <v>0</v>
      </c>
      <c r="I10" s="31"/>
      <c r="J10" s="31">
        <v>30007982</v>
      </c>
      <c r="K10" s="24"/>
    </row>
    <row r="11" spans="1:11" x14ac:dyDescent="0.25">
      <c r="A11" s="22">
        <v>8294</v>
      </c>
      <c r="B11" s="29">
        <v>46102</v>
      </c>
      <c r="C11" s="23" t="s">
        <v>13</v>
      </c>
      <c r="D11" s="37" t="s">
        <v>43</v>
      </c>
      <c r="E11" s="23" t="s">
        <v>1350</v>
      </c>
      <c r="F11" s="31">
        <v>22</v>
      </c>
      <c r="G11" s="31">
        <v>68000</v>
      </c>
      <c r="H11" s="31">
        <f>Cty_Anh_Thu[[#This Row],[ĐƠN GIÁ]]*Cty_Anh_Thu[[#This Row],[SỐ LƯỢNG]]</f>
        <v>1496000</v>
      </c>
      <c r="I11" s="31"/>
      <c r="J11" s="31">
        <f>J10+Cty_Anh_Thu[[#This Row],[THÀNH TIỀN]]-Cty_Anh_Thu[[#This Row],[THANH TOÁN]]</f>
        <v>31503982</v>
      </c>
      <c r="K11" s="24"/>
    </row>
    <row r="12" spans="1:11" x14ac:dyDescent="0.25">
      <c r="A12" s="22">
        <v>8294</v>
      </c>
      <c r="B12" s="29">
        <v>46102</v>
      </c>
      <c r="C12" s="23" t="s">
        <v>13</v>
      </c>
      <c r="D12" s="37" t="s">
        <v>43</v>
      </c>
      <c r="E12" s="23" t="s">
        <v>145</v>
      </c>
      <c r="F12" s="31">
        <v>1029</v>
      </c>
      <c r="G12" s="31">
        <v>61000</v>
      </c>
      <c r="H12" s="31">
        <f>Cty_Anh_Thu[[#This Row],[ĐƠN GIÁ]]*Cty_Anh_Thu[[#This Row],[SỐ LƯỢNG]]</f>
        <v>62769000</v>
      </c>
      <c r="I12" s="31"/>
      <c r="J12" s="31">
        <f>J11+Cty_Anh_Thu[[#This Row],[THÀNH TIỀN]]-Cty_Anh_Thu[[#This Row],[THANH TOÁN]]</f>
        <v>94272982</v>
      </c>
      <c r="K12" s="24"/>
    </row>
    <row r="13" spans="1:11" x14ac:dyDescent="0.25">
      <c r="A13" s="22">
        <v>8294</v>
      </c>
      <c r="B13" s="29">
        <v>46102</v>
      </c>
      <c r="C13" s="23" t="s">
        <v>13</v>
      </c>
      <c r="D13" s="37" t="s">
        <v>270</v>
      </c>
      <c r="E13" s="23" t="s">
        <v>62</v>
      </c>
      <c r="F13" s="31">
        <v>58</v>
      </c>
      <c r="G13" s="31">
        <v>66000</v>
      </c>
      <c r="H13" s="31">
        <f>Cty_Anh_Thu[[#This Row],[ĐƠN GIÁ]]*Cty_Anh_Thu[[#This Row],[SỐ LƯỢNG]]</f>
        <v>3828000</v>
      </c>
      <c r="I13" s="31"/>
      <c r="J13" s="31">
        <f>J12+Cty_Anh_Thu[[#This Row],[THÀNH TIỀN]]-Cty_Anh_Thu[[#This Row],[THANH TOÁN]]</f>
        <v>98100982</v>
      </c>
      <c r="K13" s="24"/>
    </row>
    <row r="14" spans="1:11" x14ac:dyDescent="0.25">
      <c r="A14" s="25">
        <v>8310</v>
      </c>
      <c r="B14" s="30">
        <v>46105</v>
      </c>
      <c r="C14" s="26" t="s">
        <v>13</v>
      </c>
      <c r="D14" s="38" t="s">
        <v>50</v>
      </c>
      <c r="E14" s="26" t="s">
        <v>1351</v>
      </c>
      <c r="F14" s="28">
        <v>316</v>
      </c>
      <c r="G14" s="28">
        <v>58000</v>
      </c>
      <c r="H14" s="28">
        <f>Cty_Anh_Thu[[#This Row],[ĐƠN GIÁ]]*Cty_Anh_Thu[[#This Row],[SỐ LƯỢNG]]</f>
        <v>18328000</v>
      </c>
      <c r="I14" s="28"/>
      <c r="J14" s="28">
        <f>J13+Cty_Anh_Thu[[#This Row],[THÀNH TIỀN]]-Cty_Anh_Thu[[#This Row],[THANH TOÁN]]</f>
        <v>116428982</v>
      </c>
      <c r="K14" s="27"/>
    </row>
    <row r="15" spans="1:11" x14ac:dyDescent="0.25">
      <c r="A15" s="25"/>
      <c r="B15" s="30">
        <v>46090</v>
      </c>
      <c r="C15" s="26" t="s">
        <v>21</v>
      </c>
      <c r="D15" s="38" t="s">
        <v>22</v>
      </c>
      <c r="E15" s="26" t="s">
        <v>147</v>
      </c>
      <c r="F15" s="28">
        <v>0</v>
      </c>
      <c r="G15" s="28">
        <v>0</v>
      </c>
      <c r="H15" s="28">
        <f>Cty_Anh_Thu[[#This Row],[ĐƠN GIÁ]]*Cty_Anh_Thu[[#This Row],[SỐ LƯỢNG]]</f>
        <v>0</v>
      </c>
      <c r="I15" s="28">
        <v>30008000</v>
      </c>
      <c r="J15" s="28">
        <f>J14+Cty_Anh_Thu[[#This Row],[THÀNH TIỀN]]-Cty_Anh_Thu[[#This Row],[THANH TOÁN]]</f>
        <v>86420982</v>
      </c>
      <c r="K15" s="27"/>
    </row>
    <row r="16" spans="1:11" x14ac:dyDescent="0.25">
      <c r="A16" s="22">
        <v>8564</v>
      </c>
      <c r="B16" s="29">
        <v>46116</v>
      </c>
      <c r="C16" s="23" t="s">
        <v>13</v>
      </c>
      <c r="D16" s="37" t="s">
        <v>43</v>
      </c>
      <c r="E16" s="23" t="s">
        <v>78</v>
      </c>
      <c r="F16" s="31">
        <v>1534</v>
      </c>
      <c r="G16" s="31">
        <v>62500</v>
      </c>
      <c r="H16" s="31">
        <f>Cty_Anh_Thu[[#This Row],[ĐƠN GIÁ]]*Cty_Anh_Thu[[#This Row],[SỐ LƯỢNG]]</f>
        <v>95875000</v>
      </c>
      <c r="I16" s="31"/>
      <c r="J16" s="31">
        <f>J15+Cty_Anh_Thu[[#This Row],[THÀNH TIỀN]]-Cty_Anh_Thu[[#This Row],[THANH TOÁN]]</f>
        <v>182295982</v>
      </c>
      <c r="K16" s="24"/>
    </row>
    <row r="17" spans="1:11" x14ac:dyDescent="0.25">
      <c r="A17" s="22"/>
      <c r="B17" s="29">
        <v>46133</v>
      </c>
      <c r="C17" s="23" t="s">
        <v>21</v>
      </c>
      <c r="D17" s="37" t="s">
        <v>22</v>
      </c>
      <c r="E17" s="23" t="s">
        <v>47</v>
      </c>
      <c r="F17" s="31">
        <v>0</v>
      </c>
      <c r="G17" s="31"/>
      <c r="H17" s="31">
        <f>Cty_Anh_Thu[[#This Row],[ĐƠN GIÁ]]*Cty_Anh_Thu[[#This Row],[SỐ LƯỢNG]]</f>
        <v>0</v>
      </c>
      <c r="I17" s="31">
        <v>816000</v>
      </c>
      <c r="J17" s="31">
        <f>J16+Cty_Anh_Thu[[#This Row],[THÀNH TIỀN]]-Cty_Anh_Thu[[#This Row],[THANH TOÁN]]</f>
        <v>181479982</v>
      </c>
      <c r="K17" s="24"/>
    </row>
    <row r="18" spans="1:11" x14ac:dyDescent="0.25">
      <c r="A18" s="22">
        <v>8911</v>
      </c>
      <c r="B18" s="29">
        <v>46132</v>
      </c>
      <c r="C18" s="23" t="s">
        <v>13</v>
      </c>
      <c r="D18" s="37" t="s">
        <v>17</v>
      </c>
      <c r="E18" s="23" t="s">
        <v>230</v>
      </c>
      <c r="F18" s="31">
        <v>12</v>
      </c>
      <c r="G18" s="31">
        <v>68000</v>
      </c>
      <c r="H18" s="31">
        <f>Cty_Anh_Thu[[#This Row],[ĐƠN GIÁ]]*Cty_Anh_Thu[[#This Row],[SỐ LƯỢNG]]</f>
        <v>816000</v>
      </c>
      <c r="I18" s="31"/>
      <c r="J18" s="31">
        <f>J17+Cty_Anh_Thu[[#This Row],[THÀNH TIỀN]]-Cty_Anh_Thu[[#This Row],[THANH TOÁN]]</f>
        <v>182295982</v>
      </c>
      <c r="K18" s="24"/>
    </row>
    <row r="19" spans="1:11" x14ac:dyDescent="0.25">
      <c r="A19" s="22"/>
      <c r="B19" s="29">
        <v>46134</v>
      </c>
      <c r="C19" s="23" t="s">
        <v>21</v>
      </c>
      <c r="D19" s="37" t="s">
        <v>22</v>
      </c>
      <c r="E19" s="23" t="s">
        <v>261</v>
      </c>
      <c r="F19" s="31">
        <v>0</v>
      </c>
      <c r="G19" s="31"/>
      <c r="H19" s="31">
        <f>Cty_Anh_Thu[[#This Row],[ĐƠN GIÁ]]*Cty_Anh_Thu[[#This Row],[SỐ LƯỢNG]]</f>
        <v>0</v>
      </c>
      <c r="I19" s="31">
        <v>68093000</v>
      </c>
      <c r="J19" s="31">
        <f>J18+Cty_Anh_Thu[[#This Row],[THÀNH TIỀN]]-Cty_Anh_Thu[[#This Row],[THANH TOÁN]]</f>
        <v>114202982</v>
      </c>
      <c r="K19" s="24"/>
    </row>
    <row r="20" spans="1:11" x14ac:dyDescent="0.25">
      <c r="A20" s="22"/>
      <c r="B20" s="29">
        <v>46137</v>
      </c>
      <c r="C20" s="23" t="s">
        <v>21</v>
      </c>
      <c r="D20" s="37" t="s">
        <v>22</v>
      </c>
      <c r="E20" s="23" t="s">
        <v>261</v>
      </c>
      <c r="F20" s="31">
        <v>0</v>
      </c>
      <c r="G20" s="31"/>
      <c r="H20" s="31">
        <f>Cty_Anh_Thu[[#This Row],[ĐƠN GIÁ]]*Cty_Anh_Thu[[#This Row],[SỐ LƯỢNG]]</f>
        <v>0</v>
      </c>
      <c r="I20" s="31">
        <v>18327905</v>
      </c>
      <c r="J20" s="31">
        <f>J19+Cty_Anh_Thu[[#This Row],[THÀNH TIỀN]]-Cty_Anh_Thu[[#This Row],[THANH TOÁN]]</f>
        <v>95875077</v>
      </c>
      <c r="K20" s="24"/>
    </row>
    <row r="21" spans="1:11" x14ac:dyDescent="0.25">
      <c r="A21" s="22">
        <v>9167</v>
      </c>
      <c r="B21" s="29">
        <v>46147</v>
      </c>
      <c r="C21" s="23" t="s">
        <v>13</v>
      </c>
      <c r="D21" s="37" t="s">
        <v>50</v>
      </c>
      <c r="E21" s="23" t="s">
        <v>1851</v>
      </c>
      <c r="F21" s="31">
        <v>242</v>
      </c>
      <c r="G21" s="31">
        <v>62000</v>
      </c>
      <c r="H21" s="31">
        <f>Cty_Anh_Thu[[#This Row],[ĐƠN GIÁ]]*Cty_Anh_Thu[[#This Row],[SỐ LƯỢNG]]</f>
        <v>15004000</v>
      </c>
      <c r="I21" s="31"/>
      <c r="J21" s="31">
        <f>J20+Cty_Anh_Thu[[#This Row],[THÀNH TIỀN]]-Cty_Anh_Thu[[#This Row],[THANH TOÁN]]</f>
        <v>110879077</v>
      </c>
      <c r="K21" s="24"/>
    </row>
    <row r="22" spans="1:11" x14ac:dyDescent="0.25">
      <c r="A22" s="22"/>
      <c r="B22" s="29">
        <v>46147</v>
      </c>
      <c r="C22" s="23" t="s">
        <v>21</v>
      </c>
      <c r="D22" s="37" t="s">
        <v>22</v>
      </c>
      <c r="E22" s="23" t="s">
        <v>261</v>
      </c>
      <c r="F22" s="31">
        <v>0</v>
      </c>
      <c r="G22" s="31"/>
      <c r="H22" s="31">
        <f>Cty_Anh_Thu[[#This Row],[ĐƠN GIÁ]]*Cty_Anh_Thu[[#This Row],[SỐ LƯỢNG]]</f>
        <v>0</v>
      </c>
      <c r="I22" s="31">
        <v>95874350</v>
      </c>
      <c r="J22" s="31">
        <f>J21+Cty_Anh_Thu[[#This Row],[THÀNH TIỀN]]-Cty_Anh_Thu[[#This Row],[THANH TOÁN]]</f>
        <v>15004727</v>
      </c>
      <c r="K22" s="24"/>
    </row>
    <row r="23" spans="1:11" x14ac:dyDescent="0.25">
      <c r="A23" s="22">
        <v>9528</v>
      </c>
      <c r="B23" s="29">
        <v>46163</v>
      </c>
      <c r="C23" s="23" t="s">
        <v>13</v>
      </c>
      <c r="D23" s="37" t="s">
        <v>43</v>
      </c>
      <c r="E23" s="23" t="s">
        <v>2270</v>
      </c>
      <c r="F23" s="31">
        <v>835</v>
      </c>
      <c r="G23" s="31">
        <v>65000</v>
      </c>
      <c r="H23" s="31">
        <f>Cty_Anh_Thu[[#This Row],[ĐƠN GIÁ]]*Cty_Anh_Thu[[#This Row],[SỐ LƯỢNG]]</f>
        <v>54275000</v>
      </c>
      <c r="I23" s="31"/>
      <c r="J23" s="31">
        <f>J22+Cty_Anh_Thu[[#This Row],[THÀNH TIỀN]]-Cty_Anh_Thu[[#This Row],[THANH TOÁN]]</f>
        <v>69279727</v>
      </c>
      <c r="K23" s="24"/>
    </row>
    <row r="24" spans="1:11" x14ac:dyDescent="0.25">
      <c r="A24" s="22">
        <v>9572</v>
      </c>
      <c r="B24" s="29">
        <v>46165</v>
      </c>
      <c r="C24" s="23" t="s">
        <v>13</v>
      </c>
      <c r="D24" s="37" t="s">
        <v>170</v>
      </c>
      <c r="E24" s="23" t="s">
        <v>116</v>
      </c>
      <c r="F24" s="31">
        <v>72</v>
      </c>
      <c r="G24" s="31">
        <v>68000</v>
      </c>
      <c r="H24" s="31">
        <f>Cty_Anh_Thu[[#This Row],[ĐƠN GIÁ]]*Cty_Anh_Thu[[#This Row],[SỐ LƯỢNG]]</f>
        <v>4896000</v>
      </c>
      <c r="I24" s="31"/>
      <c r="J24" s="31">
        <f>J23+Cty_Anh_Thu[[#This Row],[THÀNH TIỀN]]-Cty_Anh_Thu[[#This Row],[THANH TOÁN]]</f>
        <v>74175727</v>
      </c>
      <c r="K24" s="24"/>
    </row>
    <row r="25" spans="1:11" x14ac:dyDescent="0.25">
      <c r="A25" s="22">
        <v>9601</v>
      </c>
      <c r="B25" s="29">
        <v>46168</v>
      </c>
      <c r="C25" s="23" t="s">
        <v>13</v>
      </c>
      <c r="D25" s="37" t="s">
        <v>50</v>
      </c>
      <c r="E25" s="23" t="s">
        <v>2356</v>
      </c>
      <c r="F25" s="31">
        <v>1090</v>
      </c>
      <c r="G25" s="31">
        <v>66000</v>
      </c>
      <c r="H25" s="31">
        <f>Cty_Anh_Thu[[#This Row],[ĐƠN GIÁ]]*Cty_Anh_Thu[[#This Row],[SỐ LƯỢNG]]</f>
        <v>71940000</v>
      </c>
      <c r="I25" s="31"/>
      <c r="J25" s="31">
        <f>J24+Cty_Anh_Thu[[#This Row],[THÀNH TIỀN]]-Cty_Anh_Thu[[#This Row],[THANH TOÁN]]</f>
        <v>146115727</v>
      </c>
      <c r="K25" s="24"/>
    </row>
    <row r="26" spans="1:11" x14ac:dyDescent="0.25">
      <c r="A26" s="22">
        <v>9601</v>
      </c>
      <c r="B26" s="29">
        <v>46168</v>
      </c>
      <c r="C26" s="23" t="s">
        <v>13</v>
      </c>
      <c r="D26" s="37" t="s">
        <v>50</v>
      </c>
      <c r="E26" s="23" t="s">
        <v>2357</v>
      </c>
      <c r="F26" s="31">
        <v>115</v>
      </c>
      <c r="G26" s="31">
        <v>66000</v>
      </c>
      <c r="H26" s="31">
        <f>Cty_Anh_Thu[[#This Row],[ĐƠN GIÁ]]*Cty_Anh_Thu[[#This Row],[SỐ LƯỢNG]]</f>
        <v>7590000</v>
      </c>
      <c r="I26" s="31"/>
      <c r="J26" s="31">
        <f>J25+Cty_Anh_Thu[[#This Row],[THÀNH TIỀN]]-Cty_Anh_Thu[[#This Row],[THANH TOÁN]]</f>
        <v>153705727</v>
      </c>
      <c r="K26" s="24"/>
    </row>
    <row r="27" spans="1:11" x14ac:dyDescent="0.25">
      <c r="A27" s="22">
        <v>9601</v>
      </c>
      <c r="B27" s="29">
        <v>46168</v>
      </c>
      <c r="C27" s="23" t="s">
        <v>13</v>
      </c>
      <c r="D27" s="37" t="s">
        <v>50</v>
      </c>
      <c r="E27" s="23" t="s">
        <v>2356</v>
      </c>
      <c r="F27" s="31">
        <v>76</v>
      </c>
      <c r="G27" s="31">
        <v>66000</v>
      </c>
      <c r="H27" s="31">
        <f>Cty_Anh_Thu[[#This Row],[ĐƠN GIÁ]]*Cty_Anh_Thu[[#This Row],[SỐ LƯỢNG]]</f>
        <v>5016000</v>
      </c>
      <c r="I27" s="31"/>
      <c r="J27" s="31">
        <f>J26+Cty_Anh_Thu[[#This Row],[THÀNH TIỀN]]-Cty_Anh_Thu[[#This Row],[THANH TOÁN]]</f>
        <v>158721727</v>
      </c>
      <c r="K27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4B9715-08D7-499C-B45B-F30783D3F734}">
  <sheetPr codeName="Sheet135"/>
  <dimension ref="A5:K17"/>
  <sheetViews>
    <sheetView workbookViewId="0">
      <selection activeCell="G13" sqref="G13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273465900</v>
      </c>
    </row>
    <row r="6" spans="1:11" ht="22.5" x14ac:dyDescent="0.25">
      <c r="D6" s="34" t="s">
        <v>1353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Cty_Minh_Phuong_Hoai_Duc[[#This Row],[ĐƠN GIÁ]]*Cty_Minh_Phuong_Hoai_Duc[[#This Row],[SỐ LƯỢNG]]</f>
        <v>0</v>
      </c>
      <c r="I10" s="31"/>
      <c r="J10" s="31">
        <v>-586172000</v>
      </c>
      <c r="K10" s="24"/>
    </row>
    <row r="11" spans="1:11" x14ac:dyDescent="0.25">
      <c r="A11" s="22">
        <v>8222</v>
      </c>
      <c r="B11" s="29">
        <v>46104</v>
      </c>
      <c r="C11" s="23" t="s">
        <v>1354</v>
      </c>
      <c r="D11" s="37" t="s">
        <v>169</v>
      </c>
      <c r="E11" s="23" t="s">
        <v>41</v>
      </c>
      <c r="F11" s="31">
        <v>5420</v>
      </c>
      <c r="G11" s="31">
        <v>36700</v>
      </c>
      <c r="H11" s="31">
        <f>Cty_Minh_Phuong_Hoai_Duc[[#This Row],[ĐƠN GIÁ]]*Cty_Minh_Phuong_Hoai_Duc[[#This Row],[SỐ LƯỢNG]]</f>
        <v>198914000</v>
      </c>
      <c r="I11" s="31"/>
      <c r="J11" s="31">
        <f>J10+Cty_Minh_Phuong_Hoai_Duc[[#This Row],[THÀNH TIỀN]]-Cty_Minh_Phuong_Hoai_Duc[[#This Row],[THANH TOÁN]]</f>
        <v>-387258000</v>
      </c>
      <c r="K11" s="24"/>
    </row>
    <row r="12" spans="1:11" x14ac:dyDescent="0.25">
      <c r="A12" s="22">
        <v>9105</v>
      </c>
      <c r="B12" s="29">
        <v>46141</v>
      </c>
      <c r="C12" s="23" t="s">
        <v>1354</v>
      </c>
      <c r="D12" s="37" t="s">
        <v>169</v>
      </c>
      <c r="E12" s="23" t="s">
        <v>136</v>
      </c>
      <c r="F12" s="31">
        <v>5367</v>
      </c>
      <c r="G12" s="31">
        <v>36700</v>
      </c>
      <c r="H12" s="31">
        <f>Cty_Minh_Phuong_Hoai_Duc[[#This Row],[ĐƠN GIÁ]]*Cty_Minh_Phuong_Hoai_Duc[[#This Row],[SỐ LƯỢNG]]</f>
        <v>196968900</v>
      </c>
      <c r="I12" s="31"/>
      <c r="J12" s="31">
        <f>J11+Cty_Minh_Phuong_Hoai_Duc[[#This Row],[THÀNH TIỀN]]-Cty_Minh_Phuong_Hoai_Duc[[#This Row],[THANH TOÁN]]</f>
        <v>-190289100</v>
      </c>
      <c r="K12" s="24"/>
    </row>
    <row r="13" spans="1:11" x14ac:dyDescent="0.25">
      <c r="A13" s="22">
        <v>9132</v>
      </c>
      <c r="B13" s="29">
        <v>46146</v>
      </c>
      <c r="C13" s="23" t="s">
        <v>13</v>
      </c>
      <c r="D13" s="37" t="s">
        <v>169</v>
      </c>
      <c r="E13" s="23" t="s">
        <v>41</v>
      </c>
      <c r="F13" s="31">
        <v>5078</v>
      </c>
      <c r="G13" s="31">
        <v>36700</v>
      </c>
      <c r="H13" s="31">
        <f>Cty_Minh_Phuong_Hoai_Duc[[#This Row],[ĐƠN GIÁ]]*Cty_Minh_Phuong_Hoai_Duc[[#This Row],[SỐ LƯỢNG]]</f>
        <v>186362600</v>
      </c>
      <c r="I13" s="31"/>
      <c r="J13" s="31">
        <f>J12+Cty_Minh_Phuong_Hoai_Duc[[#This Row],[THÀNH TIỀN]]-Cty_Minh_Phuong_Hoai_Duc[[#This Row],[THANH TOÁN]]</f>
        <v>-3926500</v>
      </c>
      <c r="K13" s="24"/>
    </row>
    <row r="14" spans="1:11" x14ac:dyDescent="0.25">
      <c r="A14" s="22">
        <v>9175</v>
      </c>
      <c r="B14" s="29">
        <v>46147</v>
      </c>
      <c r="C14" s="23" t="s">
        <v>13</v>
      </c>
      <c r="D14" s="37" t="s">
        <v>169</v>
      </c>
      <c r="E14" s="23" t="s">
        <v>146</v>
      </c>
      <c r="F14" s="31">
        <v>5352</v>
      </c>
      <c r="G14" s="31">
        <v>36700</v>
      </c>
      <c r="H14" s="31">
        <f>Cty_Minh_Phuong_Hoai_Duc[[#This Row],[ĐƠN GIÁ]]*Cty_Minh_Phuong_Hoai_Duc[[#This Row],[SỐ LƯỢNG]]</f>
        <v>196418400</v>
      </c>
      <c r="I14" s="31"/>
      <c r="J14" s="31">
        <f>J13+Cty_Minh_Phuong_Hoai_Duc[[#This Row],[THÀNH TIỀN]]-Cty_Minh_Phuong_Hoai_Duc[[#This Row],[THANH TOÁN]]</f>
        <v>192491900</v>
      </c>
      <c r="K14" s="24"/>
    </row>
    <row r="15" spans="1:11" x14ac:dyDescent="0.25">
      <c r="A15" s="22">
        <v>9175</v>
      </c>
      <c r="B15" s="29">
        <v>46147</v>
      </c>
      <c r="C15" s="23" t="s">
        <v>13</v>
      </c>
      <c r="D15" s="37" t="s">
        <v>150</v>
      </c>
      <c r="E15" s="23" t="s">
        <v>1046</v>
      </c>
      <c r="F15" s="31">
        <v>1402</v>
      </c>
      <c r="G15" s="31">
        <v>38000</v>
      </c>
      <c r="H15" s="31">
        <f>Cty_Minh_Phuong_Hoai_Duc[[#This Row],[ĐƠN GIÁ]]*Cty_Minh_Phuong_Hoai_Duc[[#This Row],[SỐ LƯỢNG]]</f>
        <v>53276000</v>
      </c>
      <c r="I15" s="31"/>
      <c r="J15" s="31">
        <f>J14+Cty_Minh_Phuong_Hoai_Duc[[#This Row],[THÀNH TIỀN]]-Cty_Minh_Phuong_Hoai_Duc[[#This Row],[THANH TOÁN]]</f>
        <v>245767900</v>
      </c>
      <c r="K15" s="24"/>
    </row>
    <row r="16" spans="1:11" x14ac:dyDescent="0.25">
      <c r="A16" s="22"/>
      <c r="B16" s="29">
        <v>46149</v>
      </c>
      <c r="C16" s="23" t="s">
        <v>21</v>
      </c>
      <c r="D16" s="37" t="s">
        <v>22</v>
      </c>
      <c r="E16" s="23" t="s">
        <v>261</v>
      </c>
      <c r="F16" s="31">
        <v>0</v>
      </c>
      <c r="G16" s="31"/>
      <c r="H16" s="31">
        <f>Cty_Minh_Phuong_Hoai_Duc[[#This Row],[ĐƠN GIÁ]]*Cty_Minh_Phuong_Hoai_Duc[[#This Row],[SỐ LƯỢNG]]</f>
        <v>0</v>
      </c>
      <c r="I16" s="31">
        <v>186362000</v>
      </c>
      <c r="J16" s="31">
        <f>J15+Cty_Minh_Phuong_Hoai_Duc[[#This Row],[THÀNH TIỀN]]-Cty_Minh_Phuong_Hoai_Duc[[#This Row],[THANH TOÁN]]</f>
        <v>59405900</v>
      </c>
      <c r="K16" s="24"/>
    </row>
    <row r="17" spans="1:11" x14ac:dyDescent="0.25">
      <c r="A17" s="22">
        <v>9708</v>
      </c>
      <c r="B17" s="29">
        <v>46172</v>
      </c>
      <c r="C17" s="23" t="s">
        <v>13</v>
      </c>
      <c r="D17" s="37" t="s">
        <v>169</v>
      </c>
      <c r="E17" s="23" t="s">
        <v>62</v>
      </c>
      <c r="F17" s="31">
        <v>5560</v>
      </c>
      <c r="G17" s="31">
        <v>38500</v>
      </c>
      <c r="H17" s="31">
        <f>Cty_Minh_Phuong_Hoai_Duc[[#This Row],[ĐƠN GIÁ]]*Cty_Minh_Phuong_Hoai_Duc[[#This Row],[SỐ LƯỢNG]]</f>
        <v>214060000</v>
      </c>
      <c r="I17" s="31"/>
      <c r="J17" s="31">
        <f>J16+Cty_Minh_Phuong_Hoai_Duc[[#This Row],[THÀNH TIỀN]]-Cty_Minh_Phuong_Hoai_Duc[[#This Row],[THANH TOÁN]]</f>
        <v>273465900</v>
      </c>
      <c r="K17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B74EF6-033C-4060-B25A-CF93A1D2CAEC}">
  <sheetPr codeName="Sheet136"/>
  <dimension ref="A5:K12"/>
  <sheetViews>
    <sheetView workbookViewId="0">
      <selection activeCell="I12" sqref="I12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0</v>
      </c>
    </row>
    <row r="6" spans="1:11" ht="22.5" x14ac:dyDescent="0.25">
      <c r="D6" s="34" t="s">
        <v>1355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Cty_Tien_Hung[[#This Row],[ĐƠN GIÁ]]*Cty_Tien_Hung[[#This Row],[SỐ LƯỢNG]]</f>
        <v>0</v>
      </c>
      <c r="I10" s="31"/>
      <c r="J10" s="31">
        <v>0</v>
      </c>
      <c r="K10" s="24"/>
    </row>
    <row r="11" spans="1:11" x14ac:dyDescent="0.25">
      <c r="A11" s="22">
        <v>8226</v>
      </c>
      <c r="B11" s="29">
        <v>46104</v>
      </c>
      <c r="C11" s="23" t="s">
        <v>13</v>
      </c>
      <c r="D11" s="37" t="s">
        <v>17</v>
      </c>
      <c r="E11" s="23" t="s">
        <v>41</v>
      </c>
      <c r="F11" s="31">
        <v>823</v>
      </c>
      <c r="G11" s="31">
        <v>61000</v>
      </c>
      <c r="H11" s="31">
        <f>Cty_Tien_Hung[[#This Row],[ĐƠN GIÁ]]*Cty_Tien_Hung[[#This Row],[SỐ LƯỢNG]]</f>
        <v>50203000</v>
      </c>
      <c r="I11" s="31">
        <v>3000</v>
      </c>
      <c r="J11" s="31">
        <f>J10+Cty_Tien_Hung[[#This Row],[THÀNH TIỀN]]-Cty_Tien_Hung[[#This Row],[THANH TOÁN]]</f>
        <v>50200000</v>
      </c>
      <c r="K11" s="24"/>
    </row>
    <row r="12" spans="1:11" x14ac:dyDescent="0.25">
      <c r="A12" s="22"/>
      <c r="B12" s="29">
        <v>46151</v>
      </c>
      <c r="C12" s="23" t="s">
        <v>21</v>
      </c>
      <c r="D12" s="37" t="s">
        <v>22</v>
      </c>
      <c r="E12" s="23" t="s">
        <v>147</v>
      </c>
      <c r="F12" s="31">
        <v>0</v>
      </c>
      <c r="G12" s="31"/>
      <c r="H12" s="31">
        <f>Cty_Tien_Hung[[#This Row],[ĐƠN GIÁ]]*Cty_Tien_Hung[[#This Row],[SỐ LƯỢNG]]</f>
        <v>0</v>
      </c>
      <c r="I12" s="31">
        <v>50200000</v>
      </c>
      <c r="J12" s="31">
        <f>J11+Cty_Tien_Hung[[#This Row],[THÀNH TIỀN]]-Cty_Tien_Hung[[#This Row],[THANH TOÁN]]</f>
        <v>0</v>
      </c>
      <c r="K12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A2E58-7E8F-41CA-B863-46DDA4F1F852}">
  <sheetPr codeName="Sheet137"/>
  <dimension ref="A5:K16"/>
  <sheetViews>
    <sheetView workbookViewId="0">
      <selection activeCell="I16" sqref="I16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0</v>
      </c>
    </row>
    <row r="6" spans="1:11" ht="22.5" x14ac:dyDescent="0.25">
      <c r="D6" s="34" t="s">
        <v>1356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Cty_INOX_Dien_Hoai[[#This Row],[ĐƠN GIÁ]]*Cty_INOX_Dien_Hoai[[#This Row],[SỐ LƯỢNG]]</f>
        <v>0</v>
      </c>
      <c r="I10" s="31"/>
      <c r="J10" s="31">
        <v>0</v>
      </c>
      <c r="K10" s="24"/>
    </row>
    <row r="11" spans="1:11" x14ac:dyDescent="0.25">
      <c r="A11" s="22">
        <v>8230</v>
      </c>
      <c r="B11" s="29">
        <v>46104</v>
      </c>
      <c r="C11" s="23" t="s">
        <v>13</v>
      </c>
      <c r="D11" s="37" t="s">
        <v>17</v>
      </c>
      <c r="E11" s="23" t="s">
        <v>33</v>
      </c>
      <c r="F11" s="31">
        <v>144</v>
      </c>
      <c r="G11" s="31">
        <v>65000</v>
      </c>
      <c r="H11" s="31">
        <f>Cty_INOX_Dien_Hoai[[#This Row],[ĐƠN GIÁ]]*Cty_INOX_Dien_Hoai[[#This Row],[SỐ LƯỢNG]]</f>
        <v>9360000</v>
      </c>
      <c r="I11" s="31"/>
      <c r="J11" s="31">
        <f>J10+Cty_INOX_Dien_Hoai[[#This Row],[THÀNH TIỀN]]-Cty_INOX_Dien_Hoai[[#This Row],[THANH TOÁN]]</f>
        <v>9360000</v>
      </c>
      <c r="K11" s="24"/>
    </row>
    <row r="12" spans="1:11" x14ac:dyDescent="0.25">
      <c r="A12" s="22">
        <v>8230</v>
      </c>
      <c r="B12" s="29">
        <v>46104</v>
      </c>
      <c r="C12" s="23" t="s">
        <v>13</v>
      </c>
      <c r="D12" s="37" t="s">
        <v>17</v>
      </c>
      <c r="E12" s="23" t="s">
        <v>62</v>
      </c>
      <c r="F12" s="31">
        <v>150</v>
      </c>
      <c r="G12" s="31">
        <v>63000</v>
      </c>
      <c r="H12" s="31">
        <f>Cty_INOX_Dien_Hoai[[#This Row],[ĐƠN GIÁ]]*Cty_INOX_Dien_Hoai[[#This Row],[SỐ LƯỢNG]]</f>
        <v>9450000</v>
      </c>
      <c r="I12" s="31"/>
      <c r="J12" s="31">
        <f>J11+Cty_INOX_Dien_Hoai[[#This Row],[THÀNH TIỀN]]-Cty_INOX_Dien_Hoai[[#This Row],[THANH TOÁN]]</f>
        <v>18810000</v>
      </c>
      <c r="K12" s="24"/>
    </row>
    <row r="13" spans="1:11" x14ac:dyDescent="0.25">
      <c r="A13" s="22">
        <v>8230</v>
      </c>
      <c r="B13" s="29">
        <v>46104</v>
      </c>
      <c r="C13" s="23" t="s">
        <v>13</v>
      </c>
      <c r="D13" s="38" t="s">
        <v>50</v>
      </c>
      <c r="E13" s="26" t="s">
        <v>1357</v>
      </c>
      <c r="F13" s="28">
        <v>94</v>
      </c>
      <c r="G13" s="28">
        <v>62000</v>
      </c>
      <c r="H13" s="28">
        <f>Cty_INOX_Dien_Hoai[[#This Row],[ĐƠN GIÁ]]*Cty_INOX_Dien_Hoai[[#This Row],[SỐ LƯỢNG]]</f>
        <v>5828000</v>
      </c>
      <c r="I13" s="28"/>
      <c r="J13" s="28">
        <f>J12+Cty_INOX_Dien_Hoai[[#This Row],[THÀNH TIỀN]]-Cty_INOX_Dien_Hoai[[#This Row],[THANH TOÁN]]</f>
        <v>24638000</v>
      </c>
      <c r="K13" s="27"/>
    </row>
    <row r="14" spans="1:11" x14ac:dyDescent="0.25">
      <c r="A14" s="22">
        <v>8525</v>
      </c>
      <c r="B14" s="29">
        <v>46115</v>
      </c>
      <c r="C14" s="23" t="s">
        <v>13</v>
      </c>
      <c r="D14" s="37" t="s">
        <v>150</v>
      </c>
      <c r="E14" s="23" t="s">
        <v>151</v>
      </c>
      <c r="F14" s="31">
        <v>172</v>
      </c>
      <c r="G14" s="31">
        <v>36000</v>
      </c>
      <c r="H14" s="31">
        <f>Cty_INOX_Dien_Hoai[[#This Row],[ĐƠN GIÁ]]*Cty_INOX_Dien_Hoai[[#This Row],[SỐ LƯỢNG]]</f>
        <v>6192000</v>
      </c>
      <c r="I14" s="31"/>
      <c r="J14" s="31">
        <f>J13+Cty_INOX_Dien_Hoai[[#This Row],[THÀNH TIỀN]]-Cty_INOX_Dien_Hoai[[#This Row],[THANH TOÁN]]</f>
        <v>30830000</v>
      </c>
      <c r="K14" s="24"/>
    </row>
    <row r="15" spans="1:11" x14ac:dyDescent="0.25">
      <c r="A15" s="22">
        <v>8525</v>
      </c>
      <c r="B15" s="29">
        <v>46115</v>
      </c>
      <c r="C15" s="23" t="s">
        <v>13</v>
      </c>
      <c r="D15" s="37" t="s">
        <v>17</v>
      </c>
      <c r="E15" s="23" t="s">
        <v>873</v>
      </c>
      <c r="F15" s="31">
        <v>318</v>
      </c>
      <c r="G15" s="31">
        <v>66500</v>
      </c>
      <c r="H15" s="31">
        <f>Cty_INOX_Dien_Hoai[[#This Row],[ĐƠN GIÁ]]*Cty_INOX_Dien_Hoai[[#This Row],[SỐ LƯỢNG]]</f>
        <v>21147000</v>
      </c>
      <c r="I15" s="31">
        <v>-178</v>
      </c>
      <c r="J15" s="31">
        <f>J14+Cty_INOX_Dien_Hoai[[#This Row],[THÀNH TIỀN]]-Cty_INOX_Dien_Hoai[[#This Row],[THANH TOÁN]]</f>
        <v>51977178</v>
      </c>
      <c r="K15" s="24"/>
    </row>
    <row r="16" spans="1:11" x14ac:dyDescent="0.25">
      <c r="A16" s="22"/>
      <c r="B16" s="29">
        <v>46133</v>
      </c>
      <c r="C16" s="23" t="s">
        <v>21</v>
      </c>
      <c r="D16" s="37" t="s">
        <v>22</v>
      </c>
      <c r="E16" s="23" t="s">
        <v>147</v>
      </c>
      <c r="F16" s="31">
        <v>0</v>
      </c>
      <c r="G16" s="31"/>
      <c r="H16" s="31">
        <f>Cty_INOX_Dien_Hoai[[#This Row],[ĐƠN GIÁ]]*Cty_INOX_Dien_Hoai[[#This Row],[SỐ LƯỢNG]]</f>
        <v>0</v>
      </c>
      <c r="I16" s="31">
        <v>51977178</v>
      </c>
      <c r="J16" s="31">
        <f>J15+Cty_INOX_Dien_Hoai[[#This Row],[THÀNH TIỀN]]-Cty_INOX_Dien_Hoai[[#This Row],[THANH TOÁN]]</f>
        <v>0</v>
      </c>
      <c r="K16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CED91D-06A6-4AF0-BD3A-EAE34FFE8377}">
  <sheetPr codeName="Sheet138"/>
  <dimension ref="A5:K15"/>
  <sheetViews>
    <sheetView workbookViewId="0"/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287096000</v>
      </c>
    </row>
    <row r="6" spans="1:11" ht="22.5" x14ac:dyDescent="0.25">
      <c r="D6" s="34" t="s">
        <v>1358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Cty_Duc_Thuan_HP[[#This Row],[ĐƠN GIÁ]]*Cty_Duc_Thuan_HP[[#This Row],[SỐ LƯỢNG]]</f>
        <v>0</v>
      </c>
      <c r="I10" s="31"/>
      <c r="J10" s="31">
        <v>0</v>
      </c>
      <c r="K10" s="24"/>
    </row>
    <row r="11" spans="1:11" x14ac:dyDescent="0.25">
      <c r="A11" s="22">
        <v>8239</v>
      </c>
      <c r="B11" s="29">
        <v>46105</v>
      </c>
      <c r="C11" s="23" t="s">
        <v>13</v>
      </c>
      <c r="D11" s="37" t="s">
        <v>17</v>
      </c>
      <c r="E11" s="23" t="s">
        <v>127</v>
      </c>
      <c r="F11" s="31">
        <v>1014</v>
      </c>
      <c r="G11" s="31">
        <f>60500+(60500*10%)</f>
        <v>66550</v>
      </c>
      <c r="H11" s="31">
        <f>Cty_Duc_Thuan_HP[[#This Row],[ĐƠN GIÁ]]*Cty_Duc_Thuan_HP[[#This Row],[SỐ LƯỢNG]]</f>
        <v>67481700</v>
      </c>
      <c r="I11" s="31"/>
      <c r="J11" s="31">
        <f>J10+Cty_Duc_Thuan_HP[[#This Row],[THÀNH TIỀN]]-Cty_Duc_Thuan_HP[[#This Row],[THANH TOÁN]]</f>
        <v>67481700</v>
      </c>
      <c r="K11" s="24"/>
    </row>
    <row r="12" spans="1:11" x14ac:dyDescent="0.25">
      <c r="A12" s="22">
        <v>8239</v>
      </c>
      <c r="B12" s="29">
        <v>46105</v>
      </c>
      <c r="C12" s="23" t="s">
        <v>13</v>
      </c>
      <c r="D12" s="37" t="s">
        <v>17</v>
      </c>
      <c r="E12" s="23" t="s">
        <v>919</v>
      </c>
      <c r="F12" s="31">
        <v>2274</v>
      </c>
      <c r="G12" s="31">
        <f>60500+(60500*10%)</f>
        <v>66550</v>
      </c>
      <c r="H12" s="31">
        <f>Cty_Duc_Thuan_HP[[#This Row],[ĐƠN GIÁ]]*Cty_Duc_Thuan_HP[[#This Row],[SỐ LƯỢNG]]</f>
        <v>151334700</v>
      </c>
      <c r="I12" s="31"/>
      <c r="J12" s="31">
        <f>J11+Cty_Duc_Thuan_HP[[#This Row],[THÀNH TIỀN]]-Cty_Duc_Thuan_HP[[#This Row],[THANH TOÁN]]</f>
        <v>218816400</v>
      </c>
      <c r="K12" s="24"/>
    </row>
    <row r="13" spans="1:11" x14ac:dyDescent="0.25">
      <c r="A13" s="22"/>
      <c r="B13" s="29">
        <v>46136</v>
      </c>
      <c r="C13" s="23" t="s">
        <v>21</v>
      </c>
      <c r="D13" s="37" t="s">
        <v>22</v>
      </c>
      <c r="E13" s="23" t="s">
        <v>83</v>
      </c>
      <c r="F13" s="31">
        <v>0</v>
      </c>
      <c r="G13" s="31"/>
      <c r="H13" s="31">
        <f>Cty_Duc_Thuan_HP[[#This Row],[ĐƠN GIÁ]]*Cty_Duc_Thuan_HP[[#This Row],[SỐ LƯỢNG]]</f>
        <v>0</v>
      </c>
      <c r="I13" s="31">
        <v>218816400</v>
      </c>
      <c r="J13" s="31">
        <f>J12+Cty_Duc_Thuan_HP[[#This Row],[THÀNH TIỀN]]-Cty_Duc_Thuan_HP[[#This Row],[THANH TOÁN]]</f>
        <v>0</v>
      </c>
      <c r="K13" s="24"/>
    </row>
    <row r="14" spans="1:11" x14ac:dyDescent="0.25">
      <c r="A14" s="22">
        <v>9504</v>
      </c>
      <c r="B14" s="29">
        <v>46162</v>
      </c>
      <c r="C14" s="23" t="s">
        <v>13</v>
      </c>
      <c r="D14" s="37" t="s">
        <v>17</v>
      </c>
      <c r="E14" s="23" t="s">
        <v>38</v>
      </c>
      <c r="F14" s="31">
        <v>2656</v>
      </c>
      <c r="G14" s="31">
        <v>68000</v>
      </c>
      <c r="H14" s="31">
        <f>Cty_Duc_Thuan_HP[[#This Row],[ĐƠN GIÁ]]*Cty_Duc_Thuan_HP[[#This Row],[SỐ LƯỢNG]]</f>
        <v>180608000</v>
      </c>
      <c r="I14" s="31"/>
      <c r="J14" s="31">
        <f>J13+Cty_Duc_Thuan_HP[[#This Row],[THÀNH TIỀN]]-Cty_Duc_Thuan_HP[[#This Row],[THANH TOÁN]]</f>
        <v>180608000</v>
      </c>
      <c r="K14" s="24"/>
    </row>
    <row r="15" spans="1:11" x14ac:dyDescent="0.25">
      <c r="A15" s="22">
        <v>9504</v>
      </c>
      <c r="B15" s="29">
        <v>46162</v>
      </c>
      <c r="C15" s="23" t="s">
        <v>13</v>
      </c>
      <c r="D15" s="37" t="s">
        <v>17</v>
      </c>
      <c r="E15" s="23" t="s">
        <v>46</v>
      </c>
      <c r="F15" s="31">
        <v>1566</v>
      </c>
      <c r="G15" s="31">
        <v>68000</v>
      </c>
      <c r="H15" s="31">
        <f>Cty_Duc_Thuan_HP[[#This Row],[ĐƠN GIÁ]]*Cty_Duc_Thuan_HP[[#This Row],[SỐ LƯỢNG]]</f>
        <v>106488000</v>
      </c>
      <c r="I15" s="31"/>
      <c r="J15" s="31">
        <f>J14+Cty_Duc_Thuan_HP[[#This Row],[THÀNH TIỀN]]-Cty_Duc_Thuan_HP[[#This Row],[THANH TOÁN]]</f>
        <v>287096000</v>
      </c>
      <c r="K15" s="24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53AD89-4882-41D9-8EA8-D306795CF2FA}">
  <sheetPr codeName="Sheet139"/>
  <dimension ref="A5:K31"/>
  <sheetViews>
    <sheetView workbookViewId="0">
      <selection activeCell="J5" sqref="J5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21216248</v>
      </c>
    </row>
    <row r="6" spans="1:11" ht="22.5" x14ac:dyDescent="0.25">
      <c r="D6" s="34" t="s">
        <v>1359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Cty_Khanh_Tam_NA[[#This Row],[ĐƠN GIÁ]]*Cty_Khanh_Tam_NA[[#This Row],[SỐ LƯỢNG]]</f>
        <v>0</v>
      </c>
      <c r="I10" s="31"/>
      <c r="J10" s="31">
        <v>125310620</v>
      </c>
      <c r="K10" s="24"/>
    </row>
    <row r="11" spans="1:11" x14ac:dyDescent="0.25">
      <c r="A11" s="22"/>
      <c r="B11" s="29">
        <v>46083</v>
      </c>
      <c r="C11" s="23" t="s">
        <v>21</v>
      </c>
      <c r="D11" s="37" t="s">
        <v>22</v>
      </c>
      <c r="E11" s="23" t="s">
        <v>83</v>
      </c>
      <c r="F11" s="31">
        <v>0</v>
      </c>
      <c r="G11" s="31">
        <v>0</v>
      </c>
      <c r="H11" s="31">
        <f>Cty_Khanh_Tam_NA[[#This Row],[ĐƠN GIÁ]]*Cty_Khanh_Tam_NA[[#This Row],[SỐ LƯỢNG]]</f>
        <v>0</v>
      </c>
      <c r="I11" s="31">
        <v>125017000</v>
      </c>
      <c r="J11" s="31">
        <f>J10+Cty_Khanh_Tam_NA[[#This Row],[THÀNH TIỀN]]-Cty_Khanh_Tam_NA[[#This Row],[THANH TOÁN]]</f>
        <v>293620</v>
      </c>
      <c r="K11" s="24"/>
    </row>
    <row r="12" spans="1:11" x14ac:dyDescent="0.25">
      <c r="A12" s="22">
        <v>8243</v>
      </c>
      <c r="B12" s="29">
        <v>46105</v>
      </c>
      <c r="C12" s="23" t="s">
        <v>13</v>
      </c>
      <c r="D12" s="37" t="s">
        <v>43</v>
      </c>
      <c r="E12" s="23" t="s">
        <v>621</v>
      </c>
      <c r="F12" s="31">
        <v>50</v>
      </c>
      <c r="G12" s="31">
        <v>67000</v>
      </c>
      <c r="H12" s="31">
        <f>Cty_Khanh_Tam_NA[[#This Row],[ĐƠN GIÁ]]*Cty_Khanh_Tam_NA[[#This Row],[SỐ LƯỢNG]]</f>
        <v>3350000</v>
      </c>
      <c r="I12" s="31"/>
      <c r="J12" s="31">
        <f>J11+Cty_Khanh_Tam_NA[[#This Row],[THÀNH TIỀN]]-Cty_Khanh_Tam_NA[[#This Row],[THANH TOÁN]]</f>
        <v>3643620</v>
      </c>
      <c r="K12" s="24"/>
    </row>
    <row r="13" spans="1:11" x14ac:dyDescent="0.25">
      <c r="A13" s="22">
        <v>8243</v>
      </c>
      <c r="B13" s="29">
        <v>46105</v>
      </c>
      <c r="C13" s="23" t="s">
        <v>13</v>
      </c>
      <c r="D13" s="37" t="s">
        <v>43</v>
      </c>
      <c r="E13" s="23" t="s">
        <v>40</v>
      </c>
      <c r="F13" s="31">
        <v>80</v>
      </c>
      <c r="G13" s="31">
        <v>65000</v>
      </c>
      <c r="H13" s="31">
        <f>Cty_Khanh_Tam_NA[[#This Row],[ĐƠN GIÁ]]*Cty_Khanh_Tam_NA[[#This Row],[SỐ LƯỢNG]]</f>
        <v>5200000</v>
      </c>
      <c r="I13" s="31"/>
      <c r="J13" s="31">
        <f>J12+Cty_Khanh_Tam_NA[[#This Row],[THÀNH TIỀN]]-Cty_Khanh_Tam_NA[[#This Row],[THANH TOÁN]]</f>
        <v>8843620</v>
      </c>
      <c r="K13" s="24"/>
    </row>
    <row r="14" spans="1:11" x14ac:dyDescent="0.25">
      <c r="A14" s="22">
        <v>8243</v>
      </c>
      <c r="B14" s="29">
        <v>46105</v>
      </c>
      <c r="C14" s="23" t="s">
        <v>13</v>
      </c>
      <c r="D14" s="38" t="s">
        <v>43</v>
      </c>
      <c r="E14" s="26" t="s">
        <v>230</v>
      </c>
      <c r="F14" s="28">
        <v>62</v>
      </c>
      <c r="G14" s="28">
        <v>67000</v>
      </c>
      <c r="H14" s="28">
        <f>Cty_Khanh_Tam_NA[[#This Row],[ĐƠN GIÁ]]*Cty_Khanh_Tam_NA[[#This Row],[SỐ LƯỢNG]]</f>
        <v>4154000</v>
      </c>
      <c r="I14" s="28"/>
      <c r="J14" s="28">
        <f>J13+Cty_Khanh_Tam_NA[[#This Row],[THÀNH TIỀN]]-Cty_Khanh_Tam_NA[[#This Row],[THANH TOÁN]]</f>
        <v>12997620</v>
      </c>
      <c r="K14" s="27"/>
    </row>
    <row r="15" spans="1:11" x14ac:dyDescent="0.25">
      <c r="A15" s="22">
        <v>8243</v>
      </c>
      <c r="B15" s="29">
        <v>46105</v>
      </c>
      <c r="C15" s="23" t="s">
        <v>13</v>
      </c>
      <c r="D15" s="38" t="s">
        <v>17</v>
      </c>
      <c r="E15" s="23" t="s">
        <v>469</v>
      </c>
      <c r="F15" s="31">
        <v>66</v>
      </c>
      <c r="G15" s="31">
        <v>67000</v>
      </c>
      <c r="H15" s="31">
        <f>Cty_Khanh_Tam_NA[[#This Row],[ĐƠN GIÁ]]*Cty_Khanh_Tam_NA[[#This Row],[SỐ LƯỢNG]]</f>
        <v>4422000</v>
      </c>
      <c r="I15" s="31"/>
      <c r="J15" s="31">
        <f>J14+Cty_Khanh_Tam_NA[[#This Row],[THÀNH TIỀN]]-Cty_Khanh_Tam_NA[[#This Row],[THANH TOÁN]]</f>
        <v>17419620</v>
      </c>
      <c r="K15" s="24"/>
    </row>
    <row r="16" spans="1:11" x14ac:dyDescent="0.25">
      <c r="A16" s="22">
        <v>8243</v>
      </c>
      <c r="B16" s="29">
        <v>46105</v>
      </c>
      <c r="C16" s="23" t="s">
        <v>13</v>
      </c>
      <c r="D16" s="38" t="s">
        <v>17</v>
      </c>
      <c r="E16" s="23" t="s">
        <v>621</v>
      </c>
      <c r="F16" s="31">
        <v>50</v>
      </c>
      <c r="G16" s="31">
        <v>69000</v>
      </c>
      <c r="H16" s="31">
        <f>Cty_Khanh_Tam_NA[[#This Row],[ĐƠN GIÁ]]*Cty_Khanh_Tam_NA[[#This Row],[SỐ LƯỢNG]]</f>
        <v>3450000</v>
      </c>
      <c r="I16" s="31"/>
      <c r="J16" s="31">
        <f>J15+Cty_Khanh_Tam_NA[[#This Row],[THÀNH TIỀN]]-Cty_Khanh_Tam_NA[[#This Row],[THANH TOÁN]]</f>
        <v>20869620</v>
      </c>
      <c r="K16" s="24"/>
    </row>
    <row r="17" spans="1:11" x14ac:dyDescent="0.25">
      <c r="A17" s="22">
        <v>8243</v>
      </c>
      <c r="B17" s="29">
        <v>46105</v>
      </c>
      <c r="C17" s="23" t="s">
        <v>13</v>
      </c>
      <c r="D17" s="38" t="s">
        <v>17</v>
      </c>
      <c r="E17" s="23" t="s">
        <v>40</v>
      </c>
      <c r="F17" s="31">
        <v>84</v>
      </c>
      <c r="G17" s="31">
        <v>67000</v>
      </c>
      <c r="H17" s="31">
        <f>Cty_Khanh_Tam_NA[[#This Row],[ĐƠN GIÁ]]*Cty_Khanh_Tam_NA[[#This Row],[SỐ LƯỢNG]]</f>
        <v>5628000</v>
      </c>
      <c r="I17" s="31"/>
      <c r="J17" s="31">
        <f>J16+Cty_Khanh_Tam_NA[[#This Row],[THÀNH TIỀN]]-Cty_Khanh_Tam_NA[[#This Row],[THANH TOÁN]]</f>
        <v>26497620</v>
      </c>
      <c r="K17" s="24"/>
    </row>
    <row r="18" spans="1:11" x14ac:dyDescent="0.25">
      <c r="A18" s="22">
        <v>8243</v>
      </c>
      <c r="B18" s="29">
        <v>46105</v>
      </c>
      <c r="C18" s="23" t="s">
        <v>13</v>
      </c>
      <c r="D18" s="38" t="s">
        <v>17</v>
      </c>
      <c r="E18" s="26" t="s">
        <v>230</v>
      </c>
      <c r="F18" s="28">
        <v>62</v>
      </c>
      <c r="G18" s="28">
        <v>69000</v>
      </c>
      <c r="H18" s="28">
        <f>Cty_Khanh_Tam_NA[[#This Row],[ĐƠN GIÁ]]*Cty_Khanh_Tam_NA[[#This Row],[SỐ LƯỢNG]]</f>
        <v>4278000</v>
      </c>
      <c r="I18" s="28"/>
      <c r="J18" s="28">
        <f>J17+Cty_Khanh_Tam_NA[[#This Row],[THÀNH TIỀN]]-Cty_Khanh_Tam_NA[[#This Row],[THANH TOÁN]]</f>
        <v>30775620</v>
      </c>
      <c r="K18" s="27"/>
    </row>
    <row r="19" spans="1:11" x14ac:dyDescent="0.25">
      <c r="A19" s="22">
        <v>8243</v>
      </c>
      <c r="B19" s="29">
        <v>46105</v>
      </c>
      <c r="C19" s="23" t="s">
        <v>13</v>
      </c>
      <c r="D19" s="38" t="s">
        <v>50</v>
      </c>
      <c r="E19" s="26" t="s">
        <v>1360</v>
      </c>
      <c r="F19" s="28">
        <v>244</v>
      </c>
      <c r="G19" s="28">
        <v>63000</v>
      </c>
      <c r="H19" s="28">
        <f>Cty_Khanh_Tam_NA[[#This Row],[ĐƠN GIÁ]]*Cty_Khanh_Tam_NA[[#This Row],[SỐ LƯỢNG]]</f>
        <v>15372000</v>
      </c>
      <c r="I19" s="28"/>
      <c r="J19" s="28">
        <f>J18+Cty_Khanh_Tam_NA[[#This Row],[THÀNH TIỀN]]-Cty_Khanh_Tam_NA[[#This Row],[THANH TOÁN]]</f>
        <v>46147620</v>
      </c>
      <c r="K19" s="27"/>
    </row>
    <row r="20" spans="1:11" x14ac:dyDescent="0.25">
      <c r="A20" s="25">
        <v>8243</v>
      </c>
      <c r="B20" s="30">
        <v>46105</v>
      </c>
      <c r="C20" s="26" t="s">
        <v>13</v>
      </c>
      <c r="D20" s="38" t="s">
        <v>317</v>
      </c>
      <c r="E20" s="26" t="s">
        <v>1360</v>
      </c>
      <c r="F20" s="28">
        <v>244</v>
      </c>
      <c r="G20" s="28">
        <v>65000</v>
      </c>
      <c r="H20" s="28">
        <f>Cty_Khanh_Tam_NA[[#This Row],[ĐƠN GIÁ]]*Cty_Khanh_Tam_NA[[#This Row],[SỐ LƯỢNG]]</f>
        <v>15860000</v>
      </c>
      <c r="I20" s="28">
        <v>200000</v>
      </c>
      <c r="J20" s="28">
        <f>J19+Cty_Khanh_Tam_NA[[#This Row],[THÀNH TIỀN]]-Cty_Khanh_Tam_NA[[#This Row],[THANH TOÁN]]</f>
        <v>61807620</v>
      </c>
      <c r="K20" s="27" t="s">
        <v>1361</v>
      </c>
    </row>
    <row r="21" spans="1:11" x14ac:dyDescent="0.25">
      <c r="A21" s="25">
        <v>8421</v>
      </c>
      <c r="B21" s="30">
        <v>46111</v>
      </c>
      <c r="C21" s="26" t="s">
        <v>13</v>
      </c>
      <c r="D21" s="38" t="s">
        <v>50</v>
      </c>
      <c r="E21" s="23" t="s">
        <v>1362</v>
      </c>
      <c r="F21" s="31">
        <v>210</v>
      </c>
      <c r="G21" s="31">
        <v>61000</v>
      </c>
      <c r="H21" s="31">
        <f>Cty_Khanh_Tam_NA[[#This Row],[ĐƠN GIÁ]]*Cty_Khanh_Tam_NA[[#This Row],[SỐ LƯỢNG]]</f>
        <v>12810000</v>
      </c>
      <c r="I21" s="31"/>
      <c r="J21" s="31">
        <f>J20+Cty_Khanh_Tam_NA[[#This Row],[THÀNH TIỀN]]-Cty_Khanh_Tam_NA[[#This Row],[THANH TOÁN]]</f>
        <v>74617620</v>
      </c>
      <c r="K21" s="24"/>
    </row>
    <row r="22" spans="1:11" x14ac:dyDescent="0.25">
      <c r="A22" s="25">
        <v>8421</v>
      </c>
      <c r="B22" s="30">
        <v>46111</v>
      </c>
      <c r="C22" s="26" t="s">
        <v>13</v>
      </c>
      <c r="D22" s="38" t="s">
        <v>50</v>
      </c>
      <c r="E22" s="23" t="s">
        <v>1363</v>
      </c>
      <c r="F22" s="31">
        <v>290</v>
      </c>
      <c r="G22" s="31">
        <v>59000</v>
      </c>
      <c r="H22" s="31">
        <f>Cty_Khanh_Tam_NA[[#This Row],[ĐƠN GIÁ]]*Cty_Khanh_Tam_NA[[#This Row],[SỐ LƯỢNG]]</f>
        <v>17110000</v>
      </c>
      <c r="I22" s="31"/>
      <c r="J22" s="31">
        <f>J21+Cty_Khanh_Tam_NA[[#This Row],[THÀNH TIỀN]]-Cty_Khanh_Tam_NA[[#This Row],[THANH TOÁN]]</f>
        <v>91727620</v>
      </c>
      <c r="K22" s="24"/>
    </row>
    <row r="23" spans="1:11" x14ac:dyDescent="0.25">
      <c r="A23" s="25">
        <v>8421</v>
      </c>
      <c r="B23" s="30">
        <v>46111</v>
      </c>
      <c r="C23" s="26" t="s">
        <v>13</v>
      </c>
      <c r="D23" s="38" t="s">
        <v>50</v>
      </c>
      <c r="E23" s="23" t="s">
        <v>1364</v>
      </c>
      <c r="F23" s="31">
        <v>60</v>
      </c>
      <c r="G23" s="31">
        <v>64000</v>
      </c>
      <c r="H23" s="31">
        <f>Cty_Khanh_Tam_NA[[#This Row],[ĐƠN GIÁ]]*Cty_Khanh_Tam_NA[[#This Row],[SỐ LƯỢNG]]</f>
        <v>3840000</v>
      </c>
      <c r="I23" s="31"/>
      <c r="J23" s="31">
        <f>J22+Cty_Khanh_Tam_NA[[#This Row],[THÀNH TIỀN]]-Cty_Khanh_Tam_NA[[#This Row],[THANH TOÁN]]</f>
        <v>95567620</v>
      </c>
      <c r="K23" s="24"/>
    </row>
    <row r="24" spans="1:11" ht="31.5" x14ac:dyDescent="0.25">
      <c r="A24" s="25">
        <v>8421</v>
      </c>
      <c r="B24" s="30">
        <v>46111</v>
      </c>
      <c r="C24" s="26" t="s">
        <v>13</v>
      </c>
      <c r="D24" s="38" t="s">
        <v>50</v>
      </c>
      <c r="E24" s="68" t="s">
        <v>1365</v>
      </c>
      <c r="F24" s="31">
        <v>588</v>
      </c>
      <c r="G24" s="31">
        <v>61000</v>
      </c>
      <c r="H24" s="31">
        <f>Cty_Khanh_Tam_NA[[#This Row],[ĐƠN GIÁ]]*Cty_Khanh_Tam_NA[[#This Row],[SỐ LƯỢNG]]</f>
        <v>35868000</v>
      </c>
      <c r="I24" s="31"/>
      <c r="J24" s="31">
        <f>J23+Cty_Khanh_Tam_NA[[#This Row],[THÀNH TIỀN]]-Cty_Khanh_Tam_NA[[#This Row],[THANH TOÁN]]</f>
        <v>131435620</v>
      </c>
      <c r="K24" s="24"/>
    </row>
    <row r="25" spans="1:11" x14ac:dyDescent="0.25">
      <c r="A25" s="25">
        <v>8421</v>
      </c>
      <c r="B25" s="30">
        <v>46111</v>
      </c>
      <c r="C25" s="23" t="s">
        <v>13</v>
      </c>
      <c r="D25" s="38" t="s">
        <v>1263</v>
      </c>
      <c r="E25" s="23" t="s">
        <v>1366</v>
      </c>
      <c r="F25" s="31">
        <v>140</v>
      </c>
      <c r="G25" s="31">
        <v>64000</v>
      </c>
      <c r="H25" s="31">
        <f>Cty_Khanh_Tam_NA[[#This Row],[ĐƠN GIÁ]]*Cty_Khanh_Tam_NA[[#This Row],[SỐ LƯỢNG]]</f>
        <v>8960000</v>
      </c>
      <c r="I25" s="31"/>
      <c r="J25" s="31">
        <f>J24+Cty_Khanh_Tam_NA[[#This Row],[THÀNH TIỀN]]-Cty_Khanh_Tam_NA[[#This Row],[THANH TOÁN]]</f>
        <v>140395620</v>
      </c>
      <c r="K25" s="24"/>
    </row>
    <row r="26" spans="1:11" x14ac:dyDescent="0.25">
      <c r="A26" s="25">
        <v>8421</v>
      </c>
      <c r="B26" s="30">
        <v>46111</v>
      </c>
      <c r="C26" s="26" t="s">
        <v>84</v>
      </c>
      <c r="D26" s="38" t="s">
        <v>1263</v>
      </c>
      <c r="E26" s="26" t="s">
        <v>1366</v>
      </c>
      <c r="F26" s="28">
        <v>140</v>
      </c>
      <c r="G26" s="28">
        <v>2000</v>
      </c>
      <c r="H26" s="28">
        <f>Cty_Khanh_Tam_NA[[#This Row],[ĐƠN GIÁ]]*Cty_Khanh_Tam_NA[[#This Row],[SỐ LƯỢNG]]</f>
        <v>280000</v>
      </c>
      <c r="I26" s="28"/>
      <c r="J26" s="28">
        <f>J25+Cty_Khanh_Tam_NA[[#This Row],[THÀNH TIỀN]]-Cty_Khanh_Tam_NA[[#This Row],[THANH TOÁN]]</f>
        <v>140675620</v>
      </c>
      <c r="K26" s="27"/>
    </row>
    <row r="27" spans="1:11" x14ac:dyDescent="0.25">
      <c r="A27" s="22"/>
      <c r="B27" s="29">
        <v>46119</v>
      </c>
      <c r="C27" s="23" t="s">
        <v>21</v>
      </c>
      <c r="D27" s="37" t="s">
        <v>22</v>
      </c>
      <c r="E27" s="23" t="s">
        <v>83</v>
      </c>
      <c r="F27" s="31">
        <v>0</v>
      </c>
      <c r="G27" s="31"/>
      <c r="H27" s="31">
        <f>Cty_Khanh_Tam_NA[[#This Row],[ĐƠN GIÁ]]*Cty_Khanh_Tam_NA[[#This Row],[SỐ LƯỢNG]]</f>
        <v>0</v>
      </c>
      <c r="I27" s="31">
        <v>61713022</v>
      </c>
      <c r="J27" s="31">
        <f>J26+Cty_Khanh_Tam_NA[[#This Row],[THÀNH TIỀN]]-Cty_Khanh_Tam_NA[[#This Row],[THANH TOÁN]]</f>
        <v>78962598</v>
      </c>
      <c r="K27" s="24"/>
    </row>
    <row r="28" spans="1:11" x14ac:dyDescent="0.25">
      <c r="A28" s="22"/>
      <c r="B28" s="29">
        <v>46128</v>
      </c>
      <c r="C28" s="23" t="s">
        <v>21</v>
      </c>
      <c r="D28" s="37" t="s">
        <v>22</v>
      </c>
      <c r="E28" s="23" t="s">
        <v>83</v>
      </c>
      <c r="F28" s="31">
        <v>0</v>
      </c>
      <c r="G28" s="31"/>
      <c r="H28" s="31">
        <f>Cty_Khanh_Tam_NA[[#This Row],[ĐƠN GIÁ]]*Cty_Khanh_Tam_NA[[#This Row],[SỐ LƯỢNG]]</f>
        <v>0</v>
      </c>
      <c r="I28" s="31">
        <v>78868350</v>
      </c>
      <c r="J28" s="31">
        <f>J27+Cty_Khanh_Tam_NA[[#This Row],[THÀNH TIỀN]]-Cty_Khanh_Tam_NA[[#This Row],[THANH TOÁN]]</f>
        <v>94248</v>
      </c>
      <c r="K28" s="24"/>
    </row>
    <row r="29" spans="1:11" x14ac:dyDescent="0.25">
      <c r="A29" s="22">
        <v>9679</v>
      </c>
      <c r="B29" s="29">
        <v>46170</v>
      </c>
      <c r="C29" s="23" t="s">
        <v>13</v>
      </c>
      <c r="D29" s="37" t="s">
        <v>252</v>
      </c>
      <c r="E29" s="23" t="s">
        <v>41</v>
      </c>
      <c r="F29" s="31">
        <v>156</v>
      </c>
      <c r="G29" s="31">
        <v>39500</v>
      </c>
      <c r="H29" s="31">
        <f>Cty_Khanh_Tam_NA[[#This Row],[ĐƠN GIÁ]]*Cty_Khanh_Tam_NA[[#This Row],[SỐ LƯỢNG]]</f>
        <v>6162000</v>
      </c>
      <c r="I29" s="31"/>
      <c r="J29" s="31">
        <f>J28+Cty_Khanh_Tam_NA[[#This Row],[THÀNH TIỀN]]-Cty_Khanh_Tam_NA[[#This Row],[THANH TOÁN]]</f>
        <v>6256248</v>
      </c>
      <c r="K29" s="24"/>
    </row>
    <row r="30" spans="1:11" x14ac:dyDescent="0.25">
      <c r="A30" s="22">
        <v>9679</v>
      </c>
      <c r="B30" s="29">
        <v>46170</v>
      </c>
      <c r="C30" s="23" t="s">
        <v>13</v>
      </c>
      <c r="D30" s="37" t="s">
        <v>17</v>
      </c>
      <c r="E30" s="23" t="s">
        <v>46</v>
      </c>
      <c r="F30" s="31">
        <v>220</v>
      </c>
      <c r="G30" s="31">
        <v>68000</v>
      </c>
      <c r="H30" s="31">
        <f>Cty_Khanh_Tam_NA[[#This Row],[ĐƠN GIÁ]]*Cty_Khanh_Tam_NA[[#This Row],[SỐ LƯỢNG]]</f>
        <v>14960000</v>
      </c>
      <c r="I30" s="31"/>
      <c r="J30" s="31">
        <f>J29+Cty_Khanh_Tam_NA[[#This Row],[THÀNH TIỀN]]-Cty_Khanh_Tam_NA[[#This Row],[THANH TOÁN]]</f>
        <v>21216248</v>
      </c>
      <c r="K30" s="24"/>
    </row>
    <row r="31" spans="1:11" x14ac:dyDescent="0.25">
      <c r="A31" s="22"/>
      <c r="B31" s="29">
        <v>46175</v>
      </c>
      <c r="C31" s="23" t="s">
        <v>21</v>
      </c>
      <c r="D31" s="37" t="s">
        <v>22</v>
      </c>
      <c r="E31" s="23" t="s">
        <v>147</v>
      </c>
      <c r="F31" s="31">
        <v>0</v>
      </c>
      <c r="G31" s="31"/>
      <c r="H31" s="31">
        <f>Cty_Khanh_Tam_NA[[#This Row],[ĐƠN GIÁ]]*Cty_Khanh_Tam_NA[[#This Row],[SỐ LƯỢNG]]</f>
        <v>0</v>
      </c>
      <c r="I31" s="31">
        <v>21121650</v>
      </c>
      <c r="J31" s="31">
        <f>J30+Cty_Khanh_Tam_NA[[#This Row],[THÀNH TIỀN]]-Cty_Khanh_Tam_NA[[#This Row],[THANH TOÁN]]</f>
        <v>94598</v>
      </c>
      <c r="K31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16B6D-E290-4F01-A973-3BF243482DF6}">
  <sheetPr codeName="Sheet140"/>
  <dimension ref="A5:K17"/>
  <sheetViews>
    <sheetView workbookViewId="0">
      <selection activeCell="I17" sqref="I17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0</v>
      </c>
    </row>
    <row r="6" spans="1:11" ht="22.5" x14ac:dyDescent="0.25">
      <c r="D6" s="34" t="s">
        <v>1367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Cty_Dat_Linh[[#This Row],[ĐƠN GIÁ]]*Cty_Dat_Linh[[#This Row],[SỐ LƯỢNG]]</f>
        <v>0</v>
      </c>
      <c r="I10" s="31"/>
      <c r="J10" s="31">
        <v>0</v>
      </c>
      <c r="K10" s="24"/>
    </row>
    <row r="11" spans="1:11" x14ac:dyDescent="0.25">
      <c r="A11" s="22">
        <v>8305</v>
      </c>
      <c r="B11" s="29">
        <v>46105</v>
      </c>
      <c r="C11" s="23" t="s">
        <v>13</v>
      </c>
      <c r="D11" s="37" t="s">
        <v>169</v>
      </c>
      <c r="E11" s="23" t="s">
        <v>1368</v>
      </c>
      <c r="F11" s="31">
        <v>414</v>
      </c>
      <c r="G11" s="31">
        <v>38000</v>
      </c>
      <c r="H11" s="31">
        <f>Cty_Dat_Linh[[#This Row],[ĐƠN GIÁ]]*Cty_Dat_Linh[[#This Row],[SỐ LƯỢNG]]</f>
        <v>15732000</v>
      </c>
      <c r="I11" s="31"/>
      <c r="J11" s="31">
        <f>J10+Cty_Dat_Linh[[#This Row],[THÀNH TIỀN]]-Cty_Dat_Linh[[#This Row],[THANH TOÁN]]</f>
        <v>15732000</v>
      </c>
      <c r="K11" s="24"/>
    </row>
    <row r="12" spans="1:11" x14ac:dyDescent="0.25">
      <c r="A12" s="22">
        <v>8305</v>
      </c>
      <c r="B12" s="29">
        <v>46105</v>
      </c>
      <c r="C12" s="23" t="s">
        <v>13</v>
      </c>
      <c r="D12" s="37" t="s">
        <v>17</v>
      </c>
      <c r="E12" s="23" t="s">
        <v>1369</v>
      </c>
      <c r="F12" s="31">
        <v>374</v>
      </c>
      <c r="G12" s="31">
        <v>62000</v>
      </c>
      <c r="H12" s="31">
        <f>Cty_Dat_Linh[[#This Row],[ĐƠN GIÁ]]*Cty_Dat_Linh[[#This Row],[SỐ LƯỢNG]]</f>
        <v>23188000</v>
      </c>
      <c r="I12" s="31"/>
      <c r="J12" s="31">
        <f>J11+Cty_Dat_Linh[[#This Row],[THÀNH TIỀN]]-Cty_Dat_Linh[[#This Row],[THANH TOÁN]]</f>
        <v>38920000</v>
      </c>
      <c r="K12" s="24"/>
    </row>
    <row r="13" spans="1:11" x14ac:dyDescent="0.25">
      <c r="A13" s="25"/>
      <c r="B13" s="30">
        <v>46105</v>
      </c>
      <c r="C13" s="26" t="s">
        <v>21</v>
      </c>
      <c r="D13" s="38" t="s">
        <v>22</v>
      </c>
      <c r="E13" s="26" t="s">
        <v>261</v>
      </c>
      <c r="F13" s="28">
        <v>0</v>
      </c>
      <c r="G13" s="28">
        <v>0</v>
      </c>
      <c r="H13" s="28">
        <f>Cty_Dat_Linh[[#This Row],[ĐƠN GIÁ]]*Cty_Dat_Linh[[#This Row],[SỐ LƯỢNG]]</f>
        <v>0</v>
      </c>
      <c r="I13" s="28">
        <v>5000000</v>
      </c>
      <c r="J13" s="28">
        <f>J12+Cty_Dat_Linh[[#This Row],[THÀNH TIỀN]]-Cty_Dat_Linh[[#This Row],[THANH TOÁN]]</f>
        <v>33920000</v>
      </c>
      <c r="K13" s="27"/>
    </row>
    <row r="14" spans="1:11" x14ac:dyDescent="0.25">
      <c r="A14" s="25"/>
      <c r="B14" s="30">
        <v>46106</v>
      </c>
      <c r="C14" s="26" t="s">
        <v>21</v>
      </c>
      <c r="D14" s="38" t="s">
        <v>22</v>
      </c>
      <c r="E14" s="26" t="s">
        <v>261</v>
      </c>
      <c r="F14" s="28">
        <v>0</v>
      </c>
      <c r="G14" s="28">
        <v>0</v>
      </c>
      <c r="H14" s="28">
        <f>Cty_Dat_Linh[[#This Row],[ĐƠN GIÁ]]*Cty_Dat_Linh[[#This Row],[SỐ LƯỢNG]]</f>
        <v>0</v>
      </c>
      <c r="I14" s="28">
        <v>33919943</v>
      </c>
      <c r="J14" s="28">
        <f>J13+Cty_Dat_Linh[[#This Row],[THÀNH TIỀN]]-Cty_Dat_Linh[[#This Row],[THANH TOÁN]]</f>
        <v>57</v>
      </c>
      <c r="K14" s="27"/>
    </row>
    <row r="15" spans="1:11" x14ac:dyDescent="0.25">
      <c r="A15" s="22">
        <v>8617</v>
      </c>
      <c r="B15" s="29">
        <v>46119</v>
      </c>
      <c r="C15" s="23" t="s">
        <v>13</v>
      </c>
      <c r="D15" s="37" t="s">
        <v>26</v>
      </c>
      <c r="E15" s="23" t="s">
        <v>62</v>
      </c>
      <c r="F15" s="31">
        <v>1080</v>
      </c>
      <c r="G15" s="31">
        <v>35000</v>
      </c>
      <c r="H15" s="31">
        <f>Cty_Dat_Linh[[#This Row],[ĐƠN GIÁ]]*Cty_Dat_Linh[[#This Row],[SỐ LƯỢNG]]</f>
        <v>37800000</v>
      </c>
      <c r="I15" s="31"/>
      <c r="J15" s="31">
        <f>J14+Cty_Dat_Linh[[#This Row],[THÀNH TIỀN]]-Cty_Dat_Linh[[#This Row],[THANH TOÁN]]</f>
        <v>37800057</v>
      </c>
      <c r="K15" s="24"/>
    </row>
    <row r="16" spans="1:11" x14ac:dyDescent="0.25">
      <c r="A16" s="22">
        <v>8617</v>
      </c>
      <c r="B16" s="29">
        <v>46119</v>
      </c>
      <c r="C16" s="23" t="s">
        <v>13</v>
      </c>
      <c r="D16" s="37" t="s">
        <v>26</v>
      </c>
      <c r="E16" s="23" t="s">
        <v>40</v>
      </c>
      <c r="F16" s="31">
        <v>276</v>
      </c>
      <c r="G16" s="31">
        <v>36000</v>
      </c>
      <c r="H16" s="31">
        <f>Cty_Dat_Linh[[#This Row],[ĐƠN GIÁ]]*Cty_Dat_Linh[[#This Row],[SỐ LƯỢNG]]</f>
        <v>9936000</v>
      </c>
      <c r="I16" s="31">
        <v>57</v>
      </c>
      <c r="J16" s="31">
        <f>J15+Cty_Dat_Linh[[#This Row],[THÀNH TIỀN]]-Cty_Dat_Linh[[#This Row],[THANH TOÁN]]</f>
        <v>47736000</v>
      </c>
      <c r="K16" s="24"/>
    </row>
    <row r="17" spans="1:11" x14ac:dyDescent="0.25">
      <c r="A17" s="22"/>
      <c r="B17" s="29">
        <v>46119</v>
      </c>
      <c r="C17" s="23" t="s">
        <v>21</v>
      </c>
      <c r="D17" s="37" t="s">
        <v>22</v>
      </c>
      <c r="E17" s="23" t="s">
        <v>261</v>
      </c>
      <c r="F17" s="31">
        <v>0</v>
      </c>
      <c r="G17" s="31"/>
      <c r="H17" s="31">
        <f>Cty_Dat_Linh[[#This Row],[ĐƠN GIÁ]]*Cty_Dat_Linh[[#This Row],[SỐ LƯỢNG]]</f>
        <v>0</v>
      </c>
      <c r="I17" s="31">
        <v>47736000</v>
      </c>
      <c r="J17" s="31">
        <f>J16+Cty_Dat_Linh[[#This Row],[THÀNH TIỀN]]-Cty_Dat_Linh[[#This Row],[THANH TOÁN]]</f>
        <v>0</v>
      </c>
      <c r="K17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9CCB75-1175-4114-BB97-25713290E43F}">
  <sheetPr codeName="Sheet141"/>
  <dimension ref="A5:K18"/>
  <sheetViews>
    <sheetView workbookViewId="0">
      <selection activeCell="I13" sqref="I13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209389000</v>
      </c>
    </row>
    <row r="6" spans="1:11" ht="22.5" x14ac:dyDescent="0.25">
      <c r="D6" s="34" t="s">
        <v>1370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Cty_Quang_Phuong_Bac_Ninh[[#This Row],[ĐƠN GIÁ]]*Cty_Quang_Phuong_Bac_Ninh[[#This Row],[SỐ LƯỢNG]]</f>
        <v>0</v>
      </c>
      <c r="I10" s="31"/>
      <c r="J10" s="31">
        <v>0</v>
      </c>
      <c r="K10" s="24"/>
    </row>
    <row r="11" spans="1:11" x14ac:dyDescent="0.25">
      <c r="A11" s="22">
        <v>8314</v>
      </c>
      <c r="B11" s="29">
        <v>46106</v>
      </c>
      <c r="C11" s="23" t="s">
        <v>13</v>
      </c>
      <c r="D11" s="37" t="s">
        <v>26</v>
      </c>
      <c r="E11" s="23" t="s">
        <v>1371</v>
      </c>
      <c r="F11" s="31">
        <v>1609</v>
      </c>
      <c r="G11" s="31">
        <v>35000</v>
      </c>
      <c r="H11" s="31">
        <f>Cty_Quang_Phuong_Bac_Ninh[[#This Row],[ĐƠN GIÁ]]*Cty_Quang_Phuong_Bac_Ninh[[#This Row],[SỐ LƯỢNG]]</f>
        <v>56315000</v>
      </c>
      <c r="I11" s="31"/>
      <c r="J11" s="31">
        <f>J10+Cty_Quang_Phuong_Bac_Ninh[[#This Row],[THÀNH TIỀN]]-Cty_Quang_Phuong_Bac_Ninh[[#This Row],[THANH TOÁN]]</f>
        <v>56315000</v>
      </c>
      <c r="K11" s="24"/>
    </row>
    <row r="12" spans="1:11" x14ac:dyDescent="0.25">
      <c r="A12" s="22">
        <v>8554</v>
      </c>
      <c r="B12" s="29">
        <v>46116</v>
      </c>
      <c r="C12" s="23" t="s">
        <v>13</v>
      </c>
      <c r="D12" s="37" t="s">
        <v>135</v>
      </c>
      <c r="E12" s="23" t="s">
        <v>148</v>
      </c>
      <c r="F12" s="31">
        <v>5394</v>
      </c>
      <c r="G12" s="31">
        <v>37500</v>
      </c>
      <c r="H12" s="31">
        <f>Cty_Quang_Phuong_Bac_Ninh[[#This Row],[ĐƠN GIÁ]]*Cty_Quang_Phuong_Bac_Ninh[[#This Row],[SỐ LƯỢNG]]</f>
        <v>202275000</v>
      </c>
      <c r="I12" s="31">
        <v>-217</v>
      </c>
      <c r="J12" s="31">
        <f>J11+Cty_Quang_Phuong_Bac_Ninh[[#This Row],[THÀNH TIỀN]]-Cty_Quang_Phuong_Bac_Ninh[[#This Row],[THANH TOÁN]]</f>
        <v>258590217</v>
      </c>
      <c r="K12" s="24"/>
    </row>
    <row r="13" spans="1:11" x14ac:dyDescent="0.25">
      <c r="A13" s="22"/>
      <c r="B13" s="29">
        <v>46115</v>
      </c>
      <c r="C13" s="23" t="s">
        <v>21</v>
      </c>
      <c r="D13" s="37" t="s">
        <v>22</v>
      </c>
      <c r="E13" s="23" t="s">
        <v>83</v>
      </c>
      <c r="F13" s="31">
        <v>0</v>
      </c>
      <c r="G13" s="31"/>
      <c r="H13" s="31">
        <f>Cty_Quang_Phuong_Bac_Ninh[[#This Row],[ĐƠN GIÁ]]*Cty_Quang_Phuong_Bac_Ninh[[#This Row],[SỐ LƯỢNG]]</f>
        <v>0</v>
      </c>
      <c r="I13" s="31">
        <v>56314678</v>
      </c>
      <c r="J13" s="31">
        <f>J12+Cty_Quang_Phuong_Bac_Ninh[[#This Row],[THÀNH TIỀN]]-Cty_Quang_Phuong_Bac_Ninh[[#This Row],[THANH TOÁN]]</f>
        <v>202275539</v>
      </c>
      <c r="K13" s="24"/>
    </row>
    <row r="14" spans="1:11" x14ac:dyDescent="0.25">
      <c r="A14" s="22"/>
      <c r="B14" s="29">
        <v>46128</v>
      </c>
      <c r="C14" s="23" t="s">
        <v>21</v>
      </c>
      <c r="D14" s="37" t="s">
        <v>22</v>
      </c>
      <c r="E14" s="23" t="s">
        <v>83</v>
      </c>
      <c r="F14" s="31">
        <v>0</v>
      </c>
      <c r="G14" s="31"/>
      <c r="H14" s="31">
        <f>Cty_Quang_Phuong_Bac_Ninh[[#This Row],[ĐƠN GIÁ]]*Cty_Quang_Phuong_Bac_Ninh[[#This Row],[SỐ LƯỢNG]]</f>
        <v>0</v>
      </c>
      <c r="I14" s="31">
        <v>202275539</v>
      </c>
      <c r="J14" s="31">
        <f>J13+Cty_Quang_Phuong_Bac_Ninh[[#This Row],[THÀNH TIỀN]]-Cty_Quang_Phuong_Bac_Ninh[[#This Row],[THANH TOÁN]]</f>
        <v>0</v>
      </c>
      <c r="K14" s="24"/>
    </row>
    <row r="15" spans="1:11" x14ac:dyDescent="0.25">
      <c r="A15" s="22">
        <v>9694</v>
      </c>
      <c r="B15" s="29">
        <v>46171</v>
      </c>
      <c r="C15" s="23" t="s">
        <v>13</v>
      </c>
      <c r="D15" s="37" t="s">
        <v>43</v>
      </c>
      <c r="E15" s="23" t="s">
        <v>214</v>
      </c>
      <c r="F15" s="31">
        <v>1060</v>
      </c>
      <c r="G15" s="31">
        <v>56500</v>
      </c>
      <c r="H15" s="31">
        <f>Cty_Quang_Phuong_Bac_Ninh[[#This Row],[ĐƠN GIÁ]]*Cty_Quang_Phuong_Bac_Ninh[[#This Row],[SỐ LƯỢNG]]</f>
        <v>59890000</v>
      </c>
      <c r="I15" s="31"/>
      <c r="J15" s="31">
        <f>J14+Cty_Quang_Phuong_Bac_Ninh[[#This Row],[THÀNH TIỀN]]-Cty_Quang_Phuong_Bac_Ninh[[#This Row],[THANH TOÁN]]</f>
        <v>59890000</v>
      </c>
      <c r="K15" s="24"/>
    </row>
    <row r="16" spans="1:11" x14ac:dyDescent="0.25">
      <c r="A16" s="22">
        <v>9694</v>
      </c>
      <c r="B16" s="29">
        <v>46171</v>
      </c>
      <c r="C16" s="23" t="s">
        <v>13</v>
      </c>
      <c r="D16" s="37" t="s">
        <v>43</v>
      </c>
      <c r="E16" s="23" t="s">
        <v>283</v>
      </c>
      <c r="F16" s="31">
        <v>1064</v>
      </c>
      <c r="G16" s="31">
        <v>56500</v>
      </c>
      <c r="H16" s="31">
        <f>Cty_Quang_Phuong_Bac_Ninh[[#This Row],[ĐƠN GIÁ]]*Cty_Quang_Phuong_Bac_Ninh[[#This Row],[SỐ LƯỢNG]]</f>
        <v>60116000</v>
      </c>
      <c r="I16" s="31"/>
      <c r="J16" s="31">
        <f>J15+Cty_Quang_Phuong_Bac_Ninh[[#This Row],[THÀNH TIỀN]]-Cty_Quang_Phuong_Bac_Ninh[[#This Row],[THANH TOÁN]]</f>
        <v>120006000</v>
      </c>
      <c r="K16" s="24"/>
    </row>
    <row r="17" spans="1:11" x14ac:dyDescent="0.25">
      <c r="A17" s="22">
        <v>9694</v>
      </c>
      <c r="B17" s="29">
        <v>46171</v>
      </c>
      <c r="C17" s="23" t="s">
        <v>13</v>
      </c>
      <c r="D17" s="37" t="s">
        <v>43</v>
      </c>
      <c r="E17" s="23" t="s">
        <v>140</v>
      </c>
      <c r="F17" s="31">
        <v>1022</v>
      </c>
      <c r="G17" s="31">
        <v>56500</v>
      </c>
      <c r="H17" s="31">
        <f>Cty_Quang_Phuong_Bac_Ninh[[#This Row],[ĐƠN GIÁ]]*Cty_Quang_Phuong_Bac_Ninh[[#This Row],[SỐ LƯỢNG]]</f>
        <v>57743000</v>
      </c>
      <c r="I17" s="31"/>
      <c r="J17" s="31">
        <f>J16+Cty_Quang_Phuong_Bac_Ninh[[#This Row],[THÀNH TIỀN]]-Cty_Quang_Phuong_Bac_Ninh[[#This Row],[THANH TOÁN]]</f>
        <v>177749000</v>
      </c>
      <c r="K17" s="24"/>
    </row>
    <row r="18" spans="1:11" x14ac:dyDescent="0.25">
      <c r="A18" s="22">
        <v>9694</v>
      </c>
      <c r="B18" s="29">
        <v>46171</v>
      </c>
      <c r="C18" s="23" t="s">
        <v>13</v>
      </c>
      <c r="D18" s="37" t="s">
        <v>43</v>
      </c>
      <c r="E18" s="23" t="s">
        <v>203</v>
      </c>
      <c r="F18" s="31">
        <v>560</v>
      </c>
      <c r="G18" s="31">
        <v>56500</v>
      </c>
      <c r="H18" s="31">
        <f>Cty_Quang_Phuong_Bac_Ninh[[#This Row],[ĐƠN GIÁ]]*Cty_Quang_Phuong_Bac_Ninh[[#This Row],[SỐ LƯỢNG]]</f>
        <v>31640000</v>
      </c>
      <c r="I18" s="31"/>
      <c r="J18" s="31">
        <f>J17+Cty_Quang_Phuong_Bac_Ninh[[#This Row],[THÀNH TIỀN]]-Cty_Quang_Phuong_Bac_Ninh[[#This Row],[THANH TOÁN]]</f>
        <v>209389000</v>
      </c>
      <c r="K18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2467C-3338-48C8-A95C-D665738BCCBD}">
  <sheetPr codeName="Sheet143"/>
  <dimension ref="A5:K22"/>
  <sheetViews>
    <sheetView workbookViewId="0">
      <selection activeCell="G20" sqref="G20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111973263</v>
      </c>
    </row>
    <row r="6" spans="1:11" ht="22.5" x14ac:dyDescent="0.25">
      <c r="D6" s="34" t="s">
        <v>1373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C_Vui_HY[[#This Row],[ĐƠN GIÁ]]*C_Vui_HY[[#This Row],[SỐ LƯỢNG]]</f>
        <v>0</v>
      </c>
      <c r="I10" s="31"/>
      <c r="J10" s="31">
        <v>0</v>
      </c>
      <c r="K10" s="24"/>
    </row>
    <row r="11" spans="1:11" x14ac:dyDescent="0.25">
      <c r="A11" s="22">
        <v>8327</v>
      </c>
      <c r="B11" s="29">
        <v>46106</v>
      </c>
      <c r="C11" s="23" t="s">
        <v>13</v>
      </c>
      <c r="D11" s="37" t="s">
        <v>195</v>
      </c>
      <c r="E11" s="23" t="s">
        <v>1374</v>
      </c>
      <c r="F11" s="31">
        <v>1108</v>
      </c>
      <c r="G11" s="31">
        <v>28500</v>
      </c>
      <c r="H11" s="31">
        <f>C_Vui_HY[[#This Row],[ĐƠN GIÁ]]*C_Vui_HY[[#This Row],[SỐ LƯỢNG]]</f>
        <v>31578000</v>
      </c>
      <c r="I11" s="31"/>
      <c r="J11" s="31">
        <f>J10+C_Vui_HY[[#This Row],[THÀNH TIỀN]]-C_Vui_HY[[#This Row],[THANH TOÁN]]</f>
        <v>31578000</v>
      </c>
      <c r="K11" s="24"/>
    </row>
    <row r="12" spans="1:11" x14ac:dyDescent="0.25">
      <c r="A12" s="22">
        <v>8327</v>
      </c>
      <c r="B12" s="29">
        <v>46106</v>
      </c>
      <c r="C12" s="23" t="s">
        <v>13</v>
      </c>
      <c r="D12" s="37" t="s">
        <v>195</v>
      </c>
      <c r="E12" s="23" t="s">
        <v>1375</v>
      </c>
      <c r="F12" s="31">
        <v>160</v>
      </c>
      <c r="G12" s="31">
        <v>28500</v>
      </c>
      <c r="H12" s="31">
        <f>C_Vui_HY[[#This Row],[ĐƠN GIÁ]]*C_Vui_HY[[#This Row],[SỐ LƯỢNG]]</f>
        <v>4560000</v>
      </c>
      <c r="I12" s="31"/>
      <c r="J12" s="31">
        <f>J11+C_Vui_HY[[#This Row],[THÀNH TIỀN]]-C_Vui_HY[[#This Row],[THANH TOÁN]]</f>
        <v>36138000</v>
      </c>
      <c r="K12" s="24"/>
    </row>
    <row r="13" spans="1:11" x14ac:dyDescent="0.25">
      <c r="A13" s="22">
        <v>8327</v>
      </c>
      <c r="B13" s="29">
        <v>46106</v>
      </c>
      <c r="C13" s="23" t="s">
        <v>13</v>
      </c>
      <c r="D13" s="37" t="s">
        <v>195</v>
      </c>
      <c r="E13" s="23" t="s">
        <v>1376</v>
      </c>
      <c r="F13" s="31">
        <v>238</v>
      </c>
      <c r="G13" s="31">
        <v>32000</v>
      </c>
      <c r="H13" s="31">
        <f>C_Vui_HY[[#This Row],[ĐƠN GIÁ]]*C_Vui_HY[[#This Row],[SỐ LƯỢNG]]</f>
        <v>7616000</v>
      </c>
      <c r="I13" s="31">
        <v>43750000</v>
      </c>
      <c r="J13" s="31">
        <f>J12+C_Vui_HY[[#This Row],[THÀNH TIỀN]]-C_Vui_HY[[#This Row],[THANH TOÁN]]</f>
        <v>4000</v>
      </c>
      <c r="K13" s="24"/>
    </row>
    <row r="14" spans="1:11" x14ac:dyDescent="0.25">
      <c r="A14" s="22">
        <v>9304</v>
      </c>
      <c r="B14" s="29">
        <v>46153</v>
      </c>
      <c r="C14" s="23" t="s">
        <v>13</v>
      </c>
      <c r="D14" s="37" t="s">
        <v>150</v>
      </c>
      <c r="E14" s="23" t="s">
        <v>835</v>
      </c>
      <c r="F14" s="31">
        <v>2104</v>
      </c>
      <c r="G14" s="31">
        <v>35500</v>
      </c>
      <c r="H14" s="31">
        <f>C_Vui_HY[[#This Row],[ĐƠN GIÁ]]*C_Vui_HY[[#This Row],[SỐ LƯỢNG]]</f>
        <v>74692000</v>
      </c>
      <c r="I14" s="31"/>
      <c r="J14" s="31">
        <f>J13+C_Vui_HY[[#This Row],[THÀNH TIỀN]]-C_Vui_HY[[#This Row],[THANH TOÁN]]</f>
        <v>74696000</v>
      </c>
      <c r="K14" s="24"/>
    </row>
    <row r="15" spans="1:11" x14ac:dyDescent="0.25">
      <c r="A15" s="22">
        <v>9304</v>
      </c>
      <c r="B15" s="29">
        <v>46153</v>
      </c>
      <c r="C15" s="23" t="s">
        <v>13</v>
      </c>
      <c r="D15" s="37" t="s">
        <v>150</v>
      </c>
      <c r="E15" s="23" t="s">
        <v>110</v>
      </c>
      <c r="F15" s="31">
        <v>1340</v>
      </c>
      <c r="G15" s="31">
        <v>35500</v>
      </c>
      <c r="H15" s="31">
        <f>C_Vui_HY[[#This Row],[ĐƠN GIÁ]]*C_Vui_HY[[#This Row],[SỐ LƯỢNG]]</f>
        <v>47570000</v>
      </c>
      <c r="I15" s="31"/>
      <c r="J15" s="31">
        <f>J14+C_Vui_HY[[#This Row],[THÀNH TIỀN]]-C_Vui_HY[[#This Row],[THANH TOÁN]]</f>
        <v>122266000</v>
      </c>
      <c r="K15" s="24"/>
    </row>
    <row r="16" spans="1:11" x14ac:dyDescent="0.25">
      <c r="A16" s="22"/>
      <c r="B16" s="29">
        <v>46154</v>
      </c>
      <c r="C16" s="23" t="s">
        <v>21</v>
      </c>
      <c r="D16" s="37" t="s">
        <v>22</v>
      </c>
      <c r="E16" s="23" t="s">
        <v>261</v>
      </c>
      <c r="F16" s="31">
        <v>0</v>
      </c>
      <c r="G16" s="31"/>
      <c r="H16" s="31">
        <f>C_Vui_HY[[#This Row],[ĐƠN GIÁ]]*C_Vui_HY[[#This Row],[SỐ LƯỢNG]]</f>
        <v>0</v>
      </c>
      <c r="I16" s="31">
        <v>122263033</v>
      </c>
      <c r="J16" s="31">
        <f>J15+C_Vui_HY[[#This Row],[THÀNH TIỀN]]-C_Vui_HY[[#This Row],[THANH TOÁN]]</f>
        <v>2967</v>
      </c>
      <c r="K16" s="24"/>
    </row>
    <row r="17" spans="1:11" x14ac:dyDescent="0.25">
      <c r="A17" s="22">
        <v>9404</v>
      </c>
      <c r="B17" s="29">
        <v>46157</v>
      </c>
      <c r="C17" s="23" t="s">
        <v>13</v>
      </c>
      <c r="D17" s="37" t="s">
        <v>150</v>
      </c>
      <c r="E17" s="23" t="s">
        <v>110</v>
      </c>
      <c r="F17" s="31">
        <v>1294</v>
      </c>
      <c r="G17" s="31">
        <v>35500</v>
      </c>
      <c r="H17" s="31">
        <f>C_Vui_HY[[#This Row],[ĐƠN GIÁ]]*C_Vui_HY[[#This Row],[SỐ LƯỢNG]]</f>
        <v>45937000</v>
      </c>
      <c r="I17" s="31"/>
      <c r="J17" s="31">
        <f>J16+C_Vui_HY[[#This Row],[THÀNH TIỀN]]-C_Vui_HY[[#This Row],[THANH TOÁN]]</f>
        <v>45939967</v>
      </c>
      <c r="K17" s="24"/>
    </row>
    <row r="18" spans="1:11" x14ac:dyDescent="0.25">
      <c r="A18" s="22">
        <v>9547</v>
      </c>
      <c r="B18" s="29">
        <v>46164</v>
      </c>
      <c r="C18" s="23" t="s">
        <v>13</v>
      </c>
      <c r="D18" s="37" t="s">
        <v>54</v>
      </c>
      <c r="E18" s="23" t="s">
        <v>2279</v>
      </c>
      <c r="F18" s="31">
        <v>684</v>
      </c>
      <c r="G18" s="31">
        <v>35000</v>
      </c>
      <c r="H18" s="31">
        <f>C_Vui_HY[[#This Row],[ĐƠN GIÁ]]*C_Vui_HY[[#This Row],[SỐ LƯỢNG]]</f>
        <v>23940000</v>
      </c>
      <c r="I18" s="31"/>
      <c r="J18" s="31">
        <f>J17+C_Vui_HY[[#This Row],[THÀNH TIỀN]]-C_Vui_HY[[#This Row],[THANH TOÁN]]</f>
        <v>69879967</v>
      </c>
      <c r="K18" s="24"/>
    </row>
    <row r="19" spans="1:11" x14ac:dyDescent="0.25">
      <c r="A19" s="22">
        <v>9568</v>
      </c>
      <c r="B19" s="29">
        <v>46165</v>
      </c>
      <c r="C19" s="23" t="s">
        <v>13</v>
      </c>
      <c r="D19" s="37" t="s">
        <v>26</v>
      </c>
      <c r="E19" s="23" t="s">
        <v>62</v>
      </c>
      <c r="F19" s="31">
        <v>1132</v>
      </c>
      <c r="G19" s="31">
        <v>34500</v>
      </c>
      <c r="H19" s="31">
        <f>C_Vui_HY[[#This Row],[ĐƠN GIÁ]]*C_Vui_HY[[#This Row],[SỐ LƯỢNG]]</f>
        <v>39054000</v>
      </c>
      <c r="I19" s="31"/>
      <c r="J19" s="31">
        <f>J18+C_Vui_HY[[#This Row],[THÀNH TIỀN]]-C_Vui_HY[[#This Row],[THANH TOÁN]]</f>
        <v>108933967</v>
      </c>
      <c r="K19" s="24"/>
    </row>
    <row r="20" spans="1:11" x14ac:dyDescent="0.25">
      <c r="A20" s="25"/>
      <c r="B20" s="30">
        <v>46167</v>
      </c>
      <c r="C20" s="26" t="s">
        <v>21</v>
      </c>
      <c r="D20" s="38" t="s">
        <v>22</v>
      </c>
      <c r="E20" s="26" t="s">
        <v>261</v>
      </c>
      <c r="F20" s="28">
        <v>0</v>
      </c>
      <c r="G20" s="28"/>
      <c r="H20" s="28">
        <f>C_Vui_HY[[#This Row],[ĐƠN GIÁ]]*C_Vui_HY[[#This Row],[SỐ LƯỢNG]]</f>
        <v>0</v>
      </c>
      <c r="I20" s="28">
        <v>108931704</v>
      </c>
      <c r="J20" s="28">
        <f>J19+C_Vui_HY[[#This Row],[THÀNH TIỀN]]-C_Vui_HY[[#This Row],[THANH TOÁN]]</f>
        <v>2263</v>
      </c>
      <c r="K20" s="27"/>
    </row>
    <row r="21" spans="1:11" x14ac:dyDescent="0.25">
      <c r="A21" s="22">
        <v>9675</v>
      </c>
      <c r="B21" s="29">
        <v>46170</v>
      </c>
      <c r="C21" s="23" t="s">
        <v>13</v>
      </c>
      <c r="D21" s="37" t="s">
        <v>26</v>
      </c>
      <c r="E21" s="23" t="s">
        <v>62</v>
      </c>
      <c r="F21" s="31">
        <v>1750</v>
      </c>
      <c r="G21" s="31">
        <v>35000</v>
      </c>
      <c r="H21" s="31">
        <f>C_Vui_HY[[#This Row],[ĐƠN GIÁ]]*C_Vui_HY[[#This Row],[SỐ LƯỢNG]]</f>
        <v>61250000</v>
      </c>
      <c r="I21" s="31"/>
      <c r="J21" s="31">
        <f>J20+C_Vui_HY[[#This Row],[THÀNH TIỀN]]-C_Vui_HY[[#This Row],[THANH TOÁN]]</f>
        <v>61252263</v>
      </c>
      <c r="K21" s="24"/>
    </row>
    <row r="22" spans="1:11" x14ac:dyDescent="0.25">
      <c r="A22" s="22">
        <v>9675</v>
      </c>
      <c r="B22" s="29">
        <v>46170</v>
      </c>
      <c r="C22" s="23" t="s">
        <v>13</v>
      </c>
      <c r="D22" s="37" t="s">
        <v>26</v>
      </c>
      <c r="E22" s="23" t="s">
        <v>441</v>
      </c>
      <c r="F22" s="31">
        <v>1537</v>
      </c>
      <c r="G22" s="31">
        <v>33000</v>
      </c>
      <c r="H22" s="31">
        <f>C_Vui_HY[[#This Row],[ĐƠN GIÁ]]*C_Vui_HY[[#This Row],[SỐ LƯỢNG]]</f>
        <v>50721000</v>
      </c>
      <c r="I22" s="31"/>
      <c r="J22" s="31">
        <f>J21+C_Vui_HY[[#This Row],[THÀNH TIỀN]]-C_Vui_HY[[#This Row],[THANH TOÁN]]</f>
        <v>111973263</v>
      </c>
      <c r="K22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AD81-20AB-4F7D-8051-C9221953B289}">
  <sheetPr codeName="Sheet144"/>
  <dimension ref="A5:K19"/>
  <sheetViews>
    <sheetView workbookViewId="0">
      <selection activeCell="I14" sqref="I14:I16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0</v>
      </c>
    </row>
    <row r="6" spans="1:11" ht="22.5" x14ac:dyDescent="0.25">
      <c r="D6" s="34" t="s">
        <v>1959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E_Hoa_Khuon_Da_Thanh_Hoa[[#This Row],[ĐƠN GIÁ]]*E_Hoa_Khuon_Da_Thanh_Hoa[[#This Row],[SỐ LƯỢNG]]</f>
        <v>0</v>
      </c>
      <c r="I10" s="31"/>
      <c r="J10" s="31">
        <v>0</v>
      </c>
      <c r="K10" s="24"/>
    </row>
    <row r="11" spans="1:11" x14ac:dyDescent="0.25">
      <c r="A11" s="22">
        <v>8336</v>
      </c>
      <c r="B11" s="29">
        <v>46106</v>
      </c>
      <c r="C11" s="23" t="s">
        <v>13</v>
      </c>
      <c r="D11" s="37" t="s">
        <v>26</v>
      </c>
      <c r="E11" s="23" t="s">
        <v>416</v>
      </c>
      <c r="F11" s="31">
        <v>299</v>
      </c>
      <c r="G11" s="31">
        <v>34000</v>
      </c>
      <c r="H11" s="31">
        <f>E_Hoa_Khuon_Da_Thanh_Hoa[[#This Row],[ĐƠN GIÁ]]*E_Hoa_Khuon_Da_Thanh_Hoa[[#This Row],[SỐ LƯỢNG]]</f>
        <v>10166000</v>
      </c>
      <c r="I11" s="31"/>
      <c r="J11" s="31">
        <f>J10+E_Hoa_Khuon_Da_Thanh_Hoa[[#This Row],[THÀNH TIỀN]]-E_Hoa_Khuon_Da_Thanh_Hoa[[#This Row],[THANH TOÁN]]</f>
        <v>10166000</v>
      </c>
      <c r="K11" s="24"/>
    </row>
    <row r="12" spans="1:11" x14ac:dyDescent="0.25">
      <c r="A12" s="22">
        <v>8336</v>
      </c>
      <c r="B12" s="29">
        <v>46106</v>
      </c>
      <c r="C12" s="23" t="s">
        <v>13</v>
      </c>
      <c r="D12" s="37" t="s">
        <v>26</v>
      </c>
      <c r="E12" s="23" t="s">
        <v>41</v>
      </c>
      <c r="F12" s="31">
        <v>534</v>
      </c>
      <c r="G12" s="31">
        <v>34000</v>
      </c>
      <c r="H12" s="31">
        <f>E_Hoa_Khuon_Da_Thanh_Hoa[[#This Row],[ĐƠN GIÁ]]*E_Hoa_Khuon_Da_Thanh_Hoa[[#This Row],[SỐ LƯỢNG]]</f>
        <v>18156000</v>
      </c>
      <c r="I12" s="31"/>
      <c r="J12" s="31">
        <f>J11+E_Hoa_Khuon_Da_Thanh_Hoa[[#This Row],[THÀNH TIỀN]]-E_Hoa_Khuon_Da_Thanh_Hoa[[#This Row],[THANH TOÁN]]</f>
        <v>28322000</v>
      </c>
      <c r="K12" s="24"/>
    </row>
    <row r="13" spans="1:11" x14ac:dyDescent="0.25">
      <c r="A13" s="25"/>
      <c r="B13" s="30">
        <v>46106</v>
      </c>
      <c r="C13" s="26" t="s">
        <v>21</v>
      </c>
      <c r="D13" s="38" t="s">
        <v>24</v>
      </c>
      <c r="E13" s="26"/>
      <c r="F13" s="28">
        <v>0</v>
      </c>
      <c r="G13" s="28">
        <v>0</v>
      </c>
      <c r="H13" s="28">
        <f>E_Hoa_Khuon_Da_Thanh_Hoa[[#This Row],[ĐƠN GIÁ]]*E_Hoa_Khuon_Da_Thanh_Hoa[[#This Row],[SỐ LƯỢNG]]</f>
        <v>0</v>
      </c>
      <c r="I13" s="28">
        <v>28322000</v>
      </c>
      <c r="J13" s="28">
        <f>J12+E_Hoa_Khuon_Da_Thanh_Hoa[[#This Row],[THÀNH TIỀN]]-E_Hoa_Khuon_Da_Thanh_Hoa[[#This Row],[THANH TOÁN]]</f>
        <v>0</v>
      </c>
      <c r="K13" s="27"/>
    </row>
    <row r="14" spans="1:11" x14ac:dyDescent="0.25">
      <c r="A14" s="22">
        <v>8709</v>
      </c>
      <c r="B14" s="29">
        <v>46123</v>
      </c>
      <c r="C14" s="23" t="s">
        <v>13</v>
      </c>
      <c r="D14" s="37" t="s">
        <v>26</v>
      </c>
      <c r="E14" s="23" t="s">
        <v>403</v>
      </c>
      <c r="F14" s="31">
        <v>394</v>
      </c>
      <c r="G14" s="31">
        <v>34000</v>
      </c>
      <c r="H14" s="31">
        <f>E_Hoa_Khuon_Da_Thanh_Hoa[[#This Row],[ĐƠN GIÁ]]*E_Hoa_Khuon_Da_Thanh_Hoa[[#This Row],[SỐ LƯỢNG]]</f>
        <v>13396000</v>
      </c>
      <c r="I14" s="31">
        <v>13396000</v>
      </c>
      <c r="J14" s="31">
        <f>J13+E_Hoa_Khuon_Da_Thanh_Hoa[[#This Row],[THÀNH TIỀN]]-E_Hoa_Khuon_Da_Thanh_Hoa[[#This Row],[THANH TOÁN]]</f>
        <v>0</v>
      </c>
      <c r="K14" s="24"/>
    </row>
    <row r="15" spans="1:11" x14ac:dyDescent="0.25">
      <c r="A15" s="22">
        <v>8709</v>
      </c>
      <c r="B15" s="29">
        <v>46123</v>
      </c>
      <c r="C15" s="23" t="s">
        <v>13</v>
      </c>
      <c r="D15" s="37" t="s">
        <v>26</v>
      </c>
      <c r="E15" s="23" t="s">
        <v>404</v>
      </c>
      <c r="F15" s="31">
        <v>634</v>
      </c>
      <c r="G15" s="31">
        <v>34000</v>
      </c>
      <c r="H15" s="31">
        <f>E_Hoa_Khuon_Da_Thanh_Hoa[[#This Row],[ĐƠN GIÁ]]*E_Hoa_Khuon_Da_Thanh_Hoa[[#This Row],[SỐ LƯỢNG]]</f>
        <v>21556000</v>
      </c>
      <c r="I15" s="31">
        <v>21556000</v>
      </c>
      <c r="J15" s="31">
        <f>J14+E_Hoa_Khuon_Da_Thanh_Hoa[[#This Row],[THÀNH TIỀN]]-E_Hoa_Khuon_Da_Thanh_Hoa[[#This Row],[THANH TOÁN]]</f>
        <v>0</v>
      </c>
      <c r="K15" s="24"/>
    </row>
    <row r="16" spans="1:11" x14ac:dyDescent="0.25">
      <c r="A16" s="22">
        <v>8709</v>
      </c>
      <c r="B16" s="29">
        <v>46123</v>
      </c>
      <c r="C16" s="23" t="s">
        <v>13</v>
      </c>
      <c r="D16" s="37" t="s">
        <v>26</v>
      </c>
      <c r="E16" s="23" t="s">
        <v>62</v>
      </c>
      <c r="F16" s="31">
        <v>154</v>
      </c>
      <c r="G16" s="31">
        <v>34000</v>
      </c>
      <c r="H16" s="31">
        <f>E_Hoa_Khuon_Da_Thanh_Hoa[[#This Row],[ĐƠN GIÁ]]*E_Hoa_Khuon_Da_Thanh_Hoa[[#This Row],[SỐ LƯỢNG]]</f>
        <v>5236000</v>
      </c>
      <c r="I16" s="31">
        <v>5236000</v>
      </c>
      <c r="J16" s="31">
        <f>J15+E_Hoa_Khuon_Da_Thanh_Hoa[[#This Row],[THÀNH TIỀN]]-E_Hoa_Khuon_Da_Thanh_Hoa[[#This Row],[THANH TOÁN]]</f>
        <v>0</v>
      </c>
      <c r="K16" s="24"/>
    </row>
    <row r="17" spans="1:11" x14ac:dyDescent="0.25">
      <c r="A17" s="22">
        <v>9212</v>
      </c>
      <c r="B17" s="29">
        <v>46148</v>
      </c>
      <c r="C17" s="23" t="s">
        <v>13</v>
      </c>
      <c r="D17" s="37" t="s">
        <v>26</v>
      </c>
      <c r="E17" s="23" t="s">
        <v>1961</v>
      </c>
      <c r="F17" s="31">
        <v>308</v>
      </c>
      <c r="G17" s="31">
        <v>34000</v>
      </c>
      <c r="H17" s="31">
        <f>E_Hoa_Khuon_Da_Thanh_Hoa[[#This Row],[ĐƠN GIÁ]]*E_Hoa_Khuon_Da_Thanh_Hoa[[#This Row],[SỐ LƯỢNG]]</f>
        <v>10472000</v>
      </c>
      <c r="I17" s="31"/>
      <c r="J17" s="31">
        <f>J16+E_Hoa_Khuon_Da_Thanh_Hoa[[#This Row],[THÀNH TIỀN]]-E_Hoa_Khuon_Da_Thanh_Hoa[[#This Row],[THANH TOÁN]]</f>
        <v>10472000</v>
      </c>
      <c r="K17" s="24"/>
    </row>
    <row r="18" spans="1:11" x14ac:dyDescent="0.25">
      <c r="A18" s="22">
        <v>9212</v>
      </c>
      <c r="B18" s="29">
        <v>46148</v>
      </c>
      <c r="C18" s="23" t="s">
        <v>13</v>
      </c>
      <c r="D18" s="37" t="s">
        <v>26</v>
      </c>
      <c r="E18" s="23" t="s">
        <v>1962</v>
      </c>
      <c r="F18" s="31">
        <v>22</v>
      </c>
      <c r="G18" s="31">
        <v>34000</v>
      </c>
      <c r="H18" s="31">
        <f>E_Hoa_Khuon_Da_Thanh_Hoa[[#This Row],[ĐƠN GIÁ]]*E_Hoa_Khuon_Da_Thanh_Hoa[[#This Row],[SỐ LƯỢNG]]</f>
        <v>748000</v>
      </c>
      <c r="I18" s="31"/>
      <c r="J18" s="31">
        <f>J17+E_Hoa_Khuon_Da_Thanh_Hoa[[#This Row],[THÀNH TIỀN]]-E_Hoa_Khuon_Da_Thanh_Hoa[[#This Row],[THANH TOÁN]]</f>
        <v>11220000</v>
      </c>
      <c r="K18" s="24"/>
    </row>
    <row r="19" spans="1:11" x14ac:dyDescent="0.25">
      <c r="A19" s="22"/>
      <c r="B19" s="29">
        <v>46148</v>
      </c>
      <c r="C19" s="23" t="s">
        <v>21</v>
      </c>
      <c r="D19" s="37" t="s">
        <v>22</v>
      </c>
      <c r="E19" s="23" t="s">
        <v>726</v>
      </c>
      <c r="F19" s="31">
        <v>0</v>
      </c>
      <c r="G19" s="31"/>
      <c r="H19" s="31">
        <f>E_Hoa_Khuon_Da_Thanh_Hoa[[#This Row],[ĐƠN GIÁ]]*E_Hoa_Khuon_Da_Thanh_Hoa[[#This Row],[SỐ LƯỢNG]]</f>
        <v>0</v>
      </c>
      <c r="I19" s="31">
        <v>11220000</v>
      </c>
      <c r="J19" s="31">
        <f>J18+E_Hoa_Khuon_Da_Thanh_Hoa[[#This Row],[THÀNH TIỀN]]-E_Hoa_Khuon_Da_Thanh_Hoa[[#This Row],[THANH TOÁN]]</f>
        <v>0</v>
      </c>
      <c r="K19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55ACD-5E06-4E9F-B230-E2A86A0F475A}">
  <sheetPr codeName="Sheet145"/>
  <dimension ref="A5:K42"/>
  <sheetViews>
    <sheetView topLeftCell="A13" workbookViewId="0">
      <selection activeCell="A8" sqref="A8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1788951000</v>
      </c>
    </row>
    <row r="6" spans="1:11" ht="22.5" x14ac:dyDescent="0.25">
      <c r="D6" s="34" t="s">
        <v>1377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A_Thep_Cty_Thep_Titan[[#This Row],[ĐƠN GIÁ]]*A_Thep_Cty_Thep_Titan[[#This Row],[SỐ LƯỢNG]]</f>
        <v>0</v>
      </c>
      <c r="I10" s="31"/>
      <c r="J10" s="31">
        <v>59639000</v>
      </c>
      <c r="K10" s="24"/>
    </row>
    <row r="11" spans="1:11" x14ac:dyDescent="0.25">
      <c r="A11" s="22"/>
      <c r="B11" s="29">
        <v>46087</v>
      </c>
      <c r="C11" s="23" t="s">
        <v>21</v>
      </c>
      <c r="D11" s="37" t="s">
        <v>22</v>
      </c>
      <c r="E11" s="23" t="s">
        <v>261</v>
      </c>
      <c r="F11" s="31">
        <v>0</v>
      </c>
      <c r="G11" s="31">
        <v>0</v>
      </c>
      <c r="H11" s="31">
        <f>A_Thep_Cty_Thep_Titan[[#This Row],[ĐƠN GIÁ]]*A_Thep_Cty_Thep_Titan[[#This Row],[SỐ LƯỢNG]]</f>
        <v>0</v>
      </c>
      <c r="I11" s="31">
        <v>30000000</v>
      </c>
      <c r="J11" s="31">
        <f>J10+A_Thep_Cty_Thep_Titan[[#This Row],[THÀNH TIỀN]]-A_Thep_Cty_Thep_Titan[[#This Row],[THANH TOÁN]]</f>
        <v>29639000</v>
      </c>
      <c r="K11" s="24"/>
    </row>
    <row r="12" spans="1:11" x14ac:dyDescent="0.25">
      <c r="A12" s="22"/>
      <c r="B12" s="29">
        <v>46101</v>
      </c>
      <c r="C12" s="23" t="s">
        <v>21</v>
      </c>
      <c r="D12" s="37" t="s">
        <v>22</v>
      </c>
      <c r="E12" s="23" t="s">
        <v>261</v>
      </c>
      <c r="F12" s="31">
        <v>0</v>
      </c>
      <c r="G12" s="31">
        <v>0</v>
      </c>
      <c r="H12" s="31">
        <f>A_Thep_Cty_Thep_Titan[[#This Row],[ĐƠN GIÁ]]*A_Thep_Cty_Thep_Titan[[#This Row],[SỐ LƯỢNG]]</f>
        <v>0</v>
      </c>
      <c r="I12" s="31">
        <v>58808000</v>
      </c>
      <c r="J12" s="31">
        <f>J11+A_Thep_Cty_Thep_Titan[[#This Row],[THÀNH TIỀN]]-A_Thep_Cty_Thep_Titan[[#This Row],[THANH TOÁN]]</f>
        <v>-29169000</v>
      </c>
      <c r="K12" s="24"/>
    </row>
    <row r="13" spans="1:11" x14ac:dyDescent="0.25">
      <c r="A13" s="22">
        <v>8348</v>
      </c>
      <c r="B13" s="29">
        <v>46107</v>
      </c>
      <c r="C13" s="23" t="s">
        <v>13</v>
      </c>
      <c r="D13" s="37" t="s">
        <v>43</v>
      </c>
      <c r="E13" s="23" t="s">
        <v>1378</v>
      </c>
      <c r="F13" s="31">
        <v>9640</v>
      </c>
      <c r="G13" s="31">
        <v>55000</v>
      </c>
      <c r="H13" s="31">
        <f>A_Thep_Cty_Thep_Titan[[#This Row],[ĐƠN GIÁ]]*A_Thep_Cty_Thep_Titan[[#This Row],[SỐ LƯỢNG]]</f>
        <v>530200000</v>
      </c>
      <c r="I13" s="31"/>
      <c r="J13" s="31">
        <f>J12+A_Thep_Cty_Thep_Titan[[#This Row],[THÀNH TIỀN]]-A_Thep_Cty_Thep_Titan[[#This Row],[THANH TOÁN]]</f>
        <v>501031000</v>
      </c>
      <c r="K13" s="24"/>
    </row>
    <row r="14" spans="1:11" x14ac:dyDescent="0.25">
      <c r="A14" s="25">
        <v>8360</v>
      </c>
      <c r="B14" s="30">
        <v>46107</v>
      </c>
      <c r="C14" s="26" t="s">
        <v>13</v>
      </c>
      <c r="D14" s="38" t="s">
        <v>43</v>
      </c>
      <c r="E14" s="26" t="s">
        <v>1241</v>
      </c>
      <c r="F14" s="28">
        <v>6272</v>
      </c>
      <c r="G14" s="28">
        <v>55000</v>
      </c>
      <c r="H14" s="28">
        <f>A_Thep_Cty_Thep_Titan[[#This Row],[ĐƠN GIÁ]]*A_Thep_Cty_Thep_Titan[[#This Row],[SỐ LƯỢNG]]</f>
        <v>344960000</v>
      </c>
      <c r="I14" s="28"/>
      <c r="J14" s="28">
        <f>J13+A_Thep_Cty_Thep_Titan[[#This Row],[THÀNH TIỀN]]-A_Thep_Cty_Thep_Titan[[#This Row],[THANH TOÁN]]</f>
        <v>845991000</v>
      </c>
      <c r="K14" s="27"/>
    </row>
    <row r="15" spans="1:11" x14ac:dyDescent="0.25">
      <c r="A15" s="25">
        <v>8360</v>
      </c>
      <c r="B15" s="30">
        <v>46107</v>
      </c>
      <c r="C15" s="26" t="s">
        <v>13</v>
      </c>
      <c r="D15" s="38" t="s">
        <v>43</v>
      </c>
      <c r="E15" s="26" t="s">
        <v>1379</v>
      </c>
      <c r="F15" s="28">
        <v>3168</v>
      </c>
      <c r="G15" s="28">
        <v>55000</v>
      </c>
      <c r="H15" s="28">
        <f>A_Thep_Cty_Thep_Titan[[#This Row],[ĐƠN GIÁ]]*A_Thep_Cty_Thep_Titan[[#This Row],[SỐ LƯỢNG]]</f>
        <v>174240000</v>
      </c>
      <c r="I15" s="28"/>
      <c r="J15" s="28">
        <f>J14+A_Thep_Cty_Thep_Titan[[#This Row],[THÀNH TIỀN]]-A_Thep_Cty_Thep_Titan[[#This Row],[THANH TOÁN]]</f>
        <v>1020231000</v>
      </c>
      <c r="K15" s="27"/>
    </row>
    <row r="16" spans="1:11" x14ac:dyDescent="0.25">
      <c r="A16" s="25">
        <v>8365</v>
      </c>
      <c r="B16" s="30">
        <v>46108</v>
      </c>
      <c r="C16" s="26" t="s">
        <v>13</v>
      </c>
      <c r="D16" s="38" t="s">
        <v>43</v>
      </c>
      <c r="E16" s="26" t="s">
        <v>1380</v>
      </c>
      <c r="F16" s="28">
        <v>7774</v>
      </c>
      <c r="G16" s="28">
        <v>55000</v>
      </c>
      <c r="H16" s="28">
        <f>A_Thep_Cty_Thep_Titan[[#This Row],[ĐƠN GIÁ]]*A_Thep_Cty_Thep_Titan[[#This Row],[SỐ LƯỢNG]]</f>
        <v>427570000</v>
      </c>
      <c r="I16" s="28"/>
      <c r="J16" s="28">
        <f>J15+A_Thep_Cty_Thep_Titan[[#This Row],[THÀNH TIỀN]]-A_Thep_Cty_Thep_Titan[[#This Row],[THANH TOÁN]]</f>
        <v>1447801000</v>
      </c>
      <c r="K16" s="27"/>
    </row>
    <row r="17" spans="1:11" x14ac:dyDescent="0.25">
      <c r="A17" s="25">
        <v>8413</v>
      </c>
      <c r="B17" s="30">
        <v>46111</v>
      </c>
      <c r="C17" s="26" t="s">
        <v>13</v>
      </c>
      <c r="D17" s="38" t="s">
        <v>75</v>
      </c>
      <c r="E17" s="26" t="s">
        <v>1381</v>
      </c>
      <c r="F17" s="28">
        <v>1962</v>
      </c>
      <c r="G17" s="28">
        <v>38000</v>
      </c>
      <c r="H17" s="28">
        <f>A_Thep_Cty_Thep_Titan[[#This Row],[ĐƠN GIÁ]]*A_Thep_Cty_Thep_Titan[[#This Row],[SỐ LƯỢNG]]</f>
        <v>74556000</v>
      </c>
      <c r="I17" s="28"/>
      <c r="J17" s="28">
        <f>J16+A_Thep_Cty_Thep_Titan[[#This Row],[THÀNH TIỀN]]-A_Thep_Cty_Thep_Titan[[#This Row],[THANH TOÁN]]</f>
        <v>1522357000</v>
      </c>
      <c r="K17" s="27"/>
    </row>
    <row r="18" spans="1:11" x14ac:dyDescent="0.25">
      <c r="A18" s="25">
        <v>8439</v>
      </c>
      <c r="B18" s="30">
        <v>46112</v>
      </c>
      <c r="C18" s="26" t="s">
        <v>13</v>
      </c>
      <c r="D18" s="38" t="s">
        <v>50</v>
      </c>
      <c r="E18" s="26" t="s">
        <v>1382</v>
      </c>
      <c r="F18" s="28">
        <v>1230</v>
      </c>
      <c r="G18" s="28">
        <v>55000</v>
      </c>
      <c r="H18" s="28">
        <f>A_Thep_Cty_Thep_Titan[[#This Row],[ĐƠN GIÁ]]*A_Thep_Cty_Thep_Titan[[#This Row],[SỐ LƯỢNG]]</f>
        <v>67650000</v>
      </c>
      <c r="I18" s="28"/>
      <c r="J18" s="28">
        <f>J17+A_Thep_Cty_Thep_Titan[[#This Row],[THÀNH TIỀN]]-A_Thep_Cty_Thep_Titan[[#This Row],[THANH TOÁN]]</f>
        <v>1590007000</v>
      </c>
      <c r="K18" s="27"/>
    </row>
    <row r="19" spans="1:11" x14ac:dyDescent="0.25">
      <c r="A19" s="22">
        <v>8465</v>
      </c>
      <c r="B19" s="29">
        <v>46113</v>
      </c>
      <c r="C19" s="23" t="s">
        <v>13</v>
      </c>
      <c r="D19" s="37" t="s">
        <v>50</v>
      </c>
      <c r="E19" s="23" t="s">
        <v>1383</v>
      </c>
      <c r="F19" s="31">
        <v>1794</v>
      </c>
      <c r="G19" s="31">
        <v>55000</v>
      </c>
      <c r="H19" s="31">
        <f>A_Thep_Cty_Thep_Titan[[#This Row],[ĐƠN GIÁ]]*A_Thep_Cty_Thep_Titan[[#This Row],[SỐ LƯỢNG]]</f>
        <v>98670000</v>
      </c>
      <c r="I19" s="31"/>
      <c r="J19" s="31">
        <f>J18+A_Thep_Cty_Thep_Titan[[#This Row],[THÀNH TIỀN]]-A_Thep_Cty_Thep_Titan[[#This Row],[THANH TOÁN]]</f>
        <v>1688677000</v>
      </c>
      <c r="K19" s="24"/>
    </row>
    <row r="20" spans="1:11" x14ac:dyDescent="0.25">
      <c r="A20" s="22">
        <v>8507</v>
      </c>
      <c r="B20" s="29">
        <v>46114</v>
      </c>
      <c r="C20" s="23" t="s">
        <v>13</v>
      </c>
      <c r="D20" s="37" t="s">
        <v>50</v>
      </c>
      <c r="E20" s="23" t="s">
        <v>1384</v>
      </c>
      <c r="F20" s="31">
        <v>778</v>
      </c>
      <c r="G20" s="31">
        <v>55000</v>
      </c>
      <c r="H20" s="31">
        <f>A_Thep_Cty_Thep_Titan[[#This Row],[ĐƠN GIÁ]]*A_Thep_Cty_Thep_Titan[[#This Row],[SỐ LƯỢNG]]</f>
        <v>42790000</v>
      </c>
      <c r="I20" s="31"/>
      <c r="J20" s="31">
        <f>J19+A_Thep_Cty_Thep_Titan[[#This Row],[THÀNH TIỀN]]-A_Thep_Cty_Thep_Titan[[#This Row],[THANH TOÁN]]</f>
        <v>1731467000</v>
      </c>
      <c r="K20" s="24"/>
    </row>
    <row r="21" spans="1:11" x14ac:dyDescent="0.25">
      <c r="A21" s="22"/>
      <c r="B21" s="29">
        <v>46115</v>
      </c>
      <c r="C21" s="23" t="s">
        <v>21</v>
      </c>
      <c r="D21" s="37" t="s">
        <v>22</v>
      </c>
      <c r="E21" s="23" t="s">
        <v>261</v>
      </c>
      <c r="F21" s="31">
        <v>0</v>
      </c>
      <c r="G21" s="31"/>
      <c r="H21" s="31">
        <f>A_Thep_Cty_Thep_Titan[[#This Row],[ĐƠN GIÁ]]*A_Thep_Cty_Thep_Titan[[#This Row],[SỐ LƯỢNG]]</f>
        <v>0</v>
      </c>
      <c r="I21" s="31">
        <v>100000000</v>
      </c>
      <c r="J21" s="31">
        <f>J20+A_Thep_Cty_Thep_Titan[[#This Row],[THÀNH TIỀN]]-A_Thep_Cty_Thep_Titan[[#This Row],[THANH TOÁN]]</f>
        <v>1631467000</v>
      </c>
      <c r="K21" s="24"/>
    </row>
    <row r="22" spans="1:11" x14ac:dyDescent="0.25">
      <c r="A22" s="22">
        <v>8639</v>
      </c>
      <c r="B22" s="29">
        <v>46121</v>
      </c>
      <c r="C22" s="23" t="s">
        <v>13</v>
      </c>
      <c r="D22" s="37" t="s">
        <v>43</v>
      </c>
      <c r="E22" s="23" t="s">
        <v>44</v>
      </c>
      <c r="F22" s="31">
        <v>3270</v>
      </c>
      <c r="G22" s="31">
        <v>55000</v>
      </c>
      <c r="H22" s="31">
        <f>A_Thep_Cty_Thep_Titan[[#This Row],[ĐƠN GIÁ]]*A_Thep_Cty_Thep_Titan[[#This Row],[SỐ LƯỢNG]]</f>
        <v>179850000</v>
      </c>
      <c r="I22" s="31"/>
      <c r="J22" s="31">
        <f>J21+A_Thep_Cty_Thep_Titan[[#This Row],[THÀNH TIỀN]]-A_Thep_Cty_Thep_Titan[[#This Row],[THANH TOÁN]]</f>
        <v>1811317000</v>
      </c>
      <c r="K22" s="24"/>
    </row>
    <row r="23" spans="1:11" x14ac:dyDescent="0.25">
      <c r="A23" s="22">
        <v>8787</v>
      </c>
      <c r="B23" s="29">
        <v>46127</v>
      </c>
      <c r="C23" s="23" t="s">
        <v>13</v>
      </c>
      <c r="D23" s="37" t="s">
        <v>265</v>
      </c>
      <c r="E23" s="23" t="s">
        <v>1385</v>
      </c>
      <c r="F23" s="31">
        <v>994</v>
      </c>
      <c r="G23" s="31">
        <v>65000</v>
      </c>
      <c r="H23" s="31">
        <f>A_Thep_Cty_Thep_Titan[[#This Row],[ĐƠN GIÁ]]*A_Thep_Cty_Thep_Titan[[#This Row],[SỐ LƯỢNG]]</f>
        <v>64610000</v>
      </c>
      <c r="I23" s="31"/>
      <c r="J23" s="31">
        <f>J22+A_Thep_Cty_Thep_Titan[[#This Row],[THÀNH TIỀN]]-A_Thep_Cty_Thep_Titan[[#This Row],[THANH TOÁN]]</f>
        <v>1875927000</v>
      </c>
      <c r="K23" s="24"/>
    </row>
    <row r="24" spans="1:11" x14ac:dyDescent="0.25">
      <c r="A24" s="22">
        <v>8787</v>
      </c>
      <c r="B24" s="29">
        <v>46127</v>
      </c>
      <c r="C24" s="23" t="s">
        <v>13</v>
      </c>
      <c r="D24" s="37" t="s">
        <v>50</v>
      </c>
      <c r="E24" s="23" t="s">
        <v>1386</v>
      </c>
      <c r="F24" s="31">
        <v>3046</v>
      </c>
      <c r="G24" s="31">
        <v>55000</v>
      </c>
      <c r="H24" s="31">
        <f>A_Thep_Cty_Thep_Titan[[#This Row],[ĐƠN GIÁ]]*A_Thep_Cty_Thep_Titan[[#This Row],[SỐ LƯỢNG]]</f>
        <v>167530000</v>
      </c>
      <c r="I24" s="31"/>
      <c r="J24" s="31">
        <f>J23+A_Thep_Cty_Thep_Titan[[#This Row],[THÀNH TIỀN]]-A_Thep_Cty_Thep_Titan[[#This Row],[THANH TOÁN]]</f>
        <v>2043457000</v>
      </c>
      <c r="K24" s="24"/>
    </row>
    <row r="25" spans="1:11" x14ac:dyDescent="0.25">
      <c r="A25" s="22"/>
      <c r="B25" s="29">
        <v>46129</v>
      </c>
      <c r="C25" s="23" t="s">
        <v>21</v>
      </c>
      <c r="D25" s="37" t="s">
        <v>22</v>
      </c>
      <c r="E25" s="23" t="s">
        <v>261</v>
      </c>
      <c r="F25" s="31">
        <v>0</v>
      </c>
      <c r="G25" s="31"/>
      <c r="H25" s="31">
        <f>A_Thep_Cty_Thep_Titan[[#This Row],[ĐƠN GIÁ]]*A_Thep_Cty_Thep_Titan[[#This Row],[SỐ LƯỢNG]]</f>
        <v>0</v>
      </c>
      <c r="I25" s="31">
        <v>50000000</v>
      </c>
      <c r="J25" s="31">
        <f>J24+A_Thep_Cty_Thep_Titan[[#This Row],[THÀNH TIỀN]]-A_Thep_Cty_Thep_Titan[[#This Row],[THANH TOÁN]]</f>
        <v>1993457000</v>
      </c>
      <c r="K25" s="24"/>
    </row>
    <row r="26" spans="1:11" x14ac:dyDescent="0.25">
      <c r="A26" s="22">
        <v>8874</v>
      </c>
      <c r="B26" s="29">
        <v>46130</v>
      </c>
      <c r="C26" s="23" t="s">
        <v>13</v>
      </c>
      <c r="D26" s="37" t="s">
        <v>170</v>
      </c>
      <c r="E26" s="23" t="s">
        <v>1213</v>
      </c>
      <c r="F26" s="31">
        <v>436</v>
      </c>
      <c r="G26" s="31">
        <v>65000</v>
      </c>
      <c r="H26" s="31">
        <f>A_Thep_Cty_Thep_Titan[[#This Row],[ĐƠN GIÁ]]*A_Thep_Cty_Thep_Titan[[#This Row],[SỐ LƯỢNG]]</f>
        <v>28340000</v>
      </c>
      <c r="I26" s="31"/>
      <c r="J26" s="31">
        <f>J25+A_Thep_Cty_Thep_Titan[[#This Row],[THÀNH TIỀN]]-A_Thep_Cty_Thep_Titan[[#This Row],[THANH TOÁN]]</f>
        <v>2021797000</v>
      </c>
      <c r="K26" s="24"/>
    </row>
    <row r="27" spans="1:11" x14ac:dyDescent="0.25">
      <c r="A27" s="22"/>
      <c r="B27" s="29">
        <v>46133</v>
      </c>
      <c r="C27" s="23" t="s">
        <v>21</v>
      </c>
      <c r="D27" s="37" t="s">
        <v>22</v>
      </c>
      <c r="E27" s="23" t="s">
        <v>83</v>
      </c>
      <c r="F27" s="31">
        <v>0</v>
      </c>
      <c r="G27" s="31"/>
      <c r="H27" s="31">
        <f>A_Thep_Cty_Thep_Titan[[#This Row],[ĐƠN GIÁ]]*A_Thep_Cty_Thep_Titan[[#This Row],[SỐ LƯỢNG]]</f>
        <v>0</v>
      </c>
      <c r="I27" s="31">
        <v>1200000000</v>
      </c>
      <c r="J27" s="31">
        <f>J26+A_Thep_Cty_Thep_Titan[[#This Row],[THÀNH TIỀN]]-A_Thep_Cty_Thep_Titan[[#This Row],[THANH TOÁN]]</f>
        <v>821797000</v>
      </c>
      <c r="K27" s="24"/>
    </row>
    <row r="28" spans="1:11" x14ac:dyDescent="0.25">
      <c r="A28" s="22">
        <v>8932</v>
      </c>
      <c r="B28" s="29">
        <v>46133</v>
      </c>
      <c r="C28" s="23" t="s">
        <v>13</v>
      </c>
      <c r="D28" s="37" t="s">
        <v>43</v>
      </c>
      <c r="E28" s="23" t="s">
        <v>140</v>
      </c>
      <c r="F28" s="31">
        <v>11614</v>
      </c>
      <c r="G28" s="31">
        <v>55000</v>
      </c>
      <c r="H28" s="31">
        <f>A_Thep_Cty_Thep_Titan[[#This Row],[ĐƠN GIÁ]]*A_Thep_Cty_Thep_Titan[[#This Row],[SỐ LƯỢNG]]</f>
        <v>638770000</v>
      </c>
      <c r="I28" s="31"/>
      <c r="J28" s="31">
        <f>J27+A_Thep_Cty_Thep_Titan[[#This Row],[THÀNH TIỀN]]-A_Thep_Cty_Thep_Titan[[#This Row],[THANH TOÁN]]</f>
        <v>1460567000</v>
      </c>
      <c r="K28" s="24"/>
    </row>
    <row r="29" spans="1:11" x14ac:dyDescent="0.25">
      <c r="A29" s="22">
        <v>9092</v>
      </c>
      <c r="B29" s="29">
        <v>46140</v>
      </c>
      <c r="C29" s="23" t="s">
        <v>13</v>
      </c>
      <c r="D29" s="37" t="s">
        <v>43</v>
      </c>
      <c r="E29" s="23" t="s">
        <v>41</v>
      </c>
      <c r="F29" s="31">
        <v>391</v>
      </c>
      <c r="G29" s="31">
        <v>60000</v>
      </c>
      <c r="H29" s="31">
        <f>A_Thep_Cty_Thep_Titan[[#This Row],[ĐƠN GIÁ]]*A_Thep_Cty_Thep_Titan[[#This Row],[SỐ LƯỢNG]]</f>
        <v>23460000</v>
      </c>
      <c r="I29" s="31"/>
      <c r="J29" s="31">
        <f>J28+A_Thep_Cty_Thep_Titan[[#This Row],[THÀNH TIỀN]]-A_Thep_Cty_Thep_Titan[[#This Row],[THANH TOÁN]]</f>
        <v>1484027000</v>
      </c>
      <c r="K29" s="24"/>
    </row>
    <row r="30" spans="1:11" x14ac:dyDescent="0.25">
      <c r="A30" s="22">
        <v>9179</v>
      </c>
      <c r="B30" s="29">
        <v>46147</v>
      </c>
      <c r="C30" s="23" t="s">
        <v>13</v>
      </c>
      <c r="D30" s="37" t="s">
        <v>50</v>
      </c>
      <c r="E30" s="23" t="s">
        <v>1094</v>
      </c>
      <c r="F30" s="31">
        <v>992</v>
      </c>
      <c r="G30" s="31">
        <v>58500</v>
      </c>
      <c r="H30" s="31">
        <f>A_Thep_Cty_Thep_Titan[[#This Row],[ĐƠN GIÁ]]*A_Thep_Cty_Thep_Titan[[#This Row],[SỐ LƯỢNG]]</f>
        <v>58032000</v>
      </c>
      <c r="I30" s="31"/>
      <c r="J30" s="31">
        <f>J29+A_Thep_Cty_Thep_Titan[[#This Row],[THÀNH TIỀN]]-A_Thep_Cty_Thep_Titan[[#This Row],[THANH TOÁN]]</f>
        <v>1542059000</v>
      </c>
      <c r="K30" s="24"/>
    </row>
    <row r="31" spans="1:11" x14ac:dyDescent="0.25">
      <c r="A31" s="22">
        <v>9210</v>
      </c>
      <c r="B31" s="29">
        <v>46148</v>
      </c>
      <c r="C31" s="23" t="s">
        <v>13</v>
      </c>
      <c r="D31" s="37" t="s">
        <v>103</v>
      </c>
      <c r="E31" s="23" t="s">
        <v>1955</v>
      </c>
      <c r="F31" s="31">
        <v>656</v>
      </c>
      <c r="G31" s="31">
        <v>37000</v>
      </c>
      <c r="H31" s="31">
        <f>A_Thep_Cty_Thep_Titan[[#This Row],[ĐƠN GIÁ]]*A_Thep_Cty_Thep_Titan[[#This Row],[SỐ LƯỢNG]]</f>
        <v>24272000</v>
      </c>
      <c r="I31" s="31"/>
      <c r="J31" s="31">
        <f>J30+A_Thep_Cty_Thep_Titan[[#This Row],[THÀNH TIỀN]]-A_Thep_Cty_Thep_Titan[[#This Row],[THANH TOÁN]]</f>
        <v>1566331000</v>
      </c>
      <c r="K31" s="24"/>
    </row>
    <row r="32" spans="1:11" x14ac:dyDescent="0.25">
      <c r="A32" s="22">
        <v>9210</v>
      </c>
      <c r="B32" s="29">
        <v>46148</v>
      </c>
      <c r="C32" s="23" t="s">
        <v>13</v>
      </c>
      <c r="D32" s="37" t="s">
        <v>50</v>
      </c>
      <c r="E32" s="23" t="s">
        <v>1383</v>
      </c>
      <c r="F32" s="31">
        <v>2594</v>
      </c>
      <c r="G32" s="31">
        <v>55000</v>
      </c>
      <c r="H32" s="31">
        <f>A_Thep_Cty_Thep_Titan[[#This Row],[ĐƠN GIÁ]]*A_Thep_Cty_Thep_Titan[[#This Row],[SỐ LƯỢNG]]</f>
        <v>142670000</v>
      </c>
      <c r="I32" s="31"/>
      <c r="J32" s="31">
        <f>J31+A_Thep_Cty_Thep_Titan[[#This Row],[THÀNH TIỀN]]-A_Thep_Cty_Thep_Titan[[#This Row],[THANH TOÁN]]</f>
        <v>1709001000</v>
      </c>
      <c r="K32" s="24"/>
    </row>
    <row r="33" spans="1:11" x14ac:dyDescent="0.25">
      <c r="A33" s="25">
        <v>9234</v>
      </c>
      <c r="B33" s="30">
        <v>46149</v>
      </c>
      <c r="C33" s="26" t="s">
        <v>426</v>
      </c>
      <c r="D33" s="38" t="s">
        <v>43</v>
      </c>
      <c r="E33" s="26" t="s">
        <v>140</v>
      </c>
      <c r="F33" s="28">
        <v>5950</v>
      </c>
      <c r="G33" s="28"/>
      <c r="H33" s="28">
        <f>A_Thep_Cty_Thep_Titan[[#This Row],[ĐƠN GIÁ]]*A_Thep_Cty_Thep_Titan[[#This Row],[SỐ LƯỢNG]]</f>
        <v>0</v>
      </c>
      <c r="I33" s="28"/>
      <c r="J33" s="28">
        <f>J32+A_Thep_Cty_Thep_Titan[[#This Row],[THÀNH TIỀN]]-A_Thep_Cty_Thep_Titan[[#This Row],[THANH TOÁN]]</f>
        <v>1709001000</v>
      </c>
      <c r="K33" s="27"/>
    </row>
    <row r="34" spans="1:11" x14ac:dyDescent="0.25">
      <c r="A34" s="22"/>
      <c r="B34" s="29">
        <v>46150</v>
      </c>
      <c r="C34" s="23" t="s">
        <v>21</v>
      </c>
      <c r="D34" s="37" t="s">
        <v>22</v>
      </c>
      <c r="E34" s="23" t="s">
        <v>261</v>
      </c>
      <c r="F34" s="31">
        <v>0</v>
      </c>
      <c r="G34" s="31"/>
      <c r="H34" s="31">
        <f>A_Thep_Cty_Thep_Titan[[#This Row],[ĐƠN GIÁ]]*A_Thep_Cty_Thep_Titan[[#This Row],[SỐ LƯỢNG]]</f>
        <v>0</v>
      </c>
      <c r="I34" s="31">
        <v>100000000</v>
      </c>
      <c r="J34" s="31">
        <f>J33+A_Thep_Cty_Thep_Titan[[#This Row],[THÀNH TIỀN]]-A_Thep_Cty_Thep_Titan[[#This Row],[THANH TOÁN]]</f>
        <v>1609001000</v>
      </c>
      <c r="K34" s="24"/>
    </row>
    <row r="35" spans="1:11" x14ac:dyDescent="0.25">
      <c r="A35" s="22">
        <v>9339</v>
      </c>
      <c r="B35" s="29">
        <v>46154</v>
      </c>
      <c r="C35" s="23" t="s">
        <v>13</v>
      </c>
      <c r="D35" s="37" t="s">
        <v>170</v>
      </c>
      <c r="E35" s="23" t="s">
        <v>1213</v>
      </c>
      <c r="F35" s="31">
        <v>1326</v>
      </c>
      <c r="G35" s="31">
        <v>67500</v>
      </c>
      <c r="H35" s="31">
        <f>A_Thep_Cty_Thep_Titan[[#This Row],[ĐƠN GIÁ]]*A_Thep_Cty_Thep_Titan[[#This Row],[SỐ LƯỢNG]]</f>
        <v>89505000</v>
      </c>
      <c r="I35" s="31"/>
      <c r="J35" s="31">
        <f>J34+A_Thep_Cty_Thep_Titan[[#This Row],[THÀNH TIỀN]]-A_Thep_Cty_Thep_Titan[[#This Row],[THANH TOÁN]]</f>
        <v>1698506000</v>
      </c>
      <c r="K35" s="24"/>
    </row>
    <row r="36" spans="1:11" x14ac:dyDescent="0.25">
      <c r="A36" s="25"/>
      <c r="B36" s="30">
        <v>46157</v>
      </c>
      <c r="C36" s="26" t="s">
        <v>426</v>
      </c>
      <c r="D36" s="38" t="s">
        <v>43</v>
      </c>
      <c r="E36" s="26" t="s">
        <v>140</v>
      </c>
      <c r="F36" s="28">
        <v>1520</v>
      </c>
      <c r="G36" s="28">
        <v>-55000</v>
      </c>
      <c r="H36" s="28">
        <f>A_Thep_Cty_Thep_Titan[[#This Row],[ĐƠN GIÁ]]*A_Thep_Cty_Thep_Titan[[#This Row],[SỐ LƯỢNG]]</f>
        <v>-83600000</v>
      </c>
      <c r="I36" s="28"/>
      <c r="J36" s="28">
        <f>J35+A_Thep_Cty_Thep_Titan[[#This Row],[THÀNH TIỀN]]-A_Thep_Cty_Thep_Titan[[#This Row],[THANH TOÁN]]</f>
        <v>1614906000</v>
      </c>
      <c r="K36" s="27"/>
    </row>
    <row r="37" spans="1:11" x14ac:dyDescent="0.25">
      <c r="A37" s="22"/>
      <c r="B37" s="29">
        <v>46157</v>
      </c>
      <c r="C37" s="23" t="s">
        <v>21</v>
      </c>
      <c r="D37" s="37" t="s">
        <v>22</v>
      </c>
      <c r="E37" s="23" t="s">
        <v>2155</v>
      </c>
      <c r="F37" s="31">
        <v>0</v>
      </c>
      <c r="G37" s="31"/>
      <c r="H37" s="31">
        <f>A_Thep_Cty_Thep_Titan[[#This Row],[ĐƠN GIÁ]]*A_Thep_Cty_Thep_Titan[[#This Row],[SỐ LƯỢNG]]</f>
        <v>0</v>
      </c>
      <c r="I37" s="31">
        <v>100000000</v>
      </c>
      <c r="J37" s="31">
        <f>J36+A_Thep_Cty_Thep_Titan[[#This Row],[THÀNH TIỀN]]-A_Thep_Cty_Thep_Titan[[#This Row],[THANH TOÁN]]</f>
        <v>1514906000</v>
      </c>
      <c r="K37" s="24"/>
    </row>
    <row r="38" spans="1:11" x14ac:dyDescent="0.25">
      <c r="A38" s="22">
        <v>9468</v>
      </c>
      <c r="B38" s="29">
        <v>46160</v>
      </c>
      <c r="C38" s="23" t="s">
        <v>13</v>
      </c>
      <c r="D38" s="37" t="s">
        <v>43</v>
      </c>
      <c r="E38" s="23" t="s">
        <v>2209</v>
      </c>
      <c r="F38" s="31">
        <v>500</v>
      </c>
      <c r="G38" s="31">
        <v>55000</v>
      </c>
      <c r="H38" s="31">
        <f>A_Thep_Cty_Thep_Titan[[#This Row],[ĐƠN GIÁ]]*A_Thep_Cty_Thep_Titan[[#This Row],[SỐ LƯỢNG]]</f>
        <v>27500000</v>
      </c>
      <c r="I38" s="31"/>
      <c r="J38" s="31">
        <f>J37+A_Thep_Cty_Thep_Titan[[#This Row],[THÀNH TIỀN]]-A_Thep_Cty_Thep_Titan[[#This Row],[THANH TOÁN]]</f>
        <v>1542406000</v>
      </c>
      <c r="K38" s="24"/>
    </row>
    <row r="39" spans="1:11" x14ac:dyDescent="0.25">
      <c r="A39" s="22">
        <v>9508</v>
      </c>
      <c r="B39" s="29">
        <v>46162</v>
      </c>
      <c r="C39" s="23" t="s">
        <v>13</v>
      </c>
      <c r="D39" s="37" t="s">
        <v>50</v>
      </c>
      <c r="E39" s="23" t="s">
        <v>2236</v>
      </c>
      <c r="F39" s="31">
        <v>1494</v>
      </c>
      <c r="G39" s="31">
        <v>64500</v>
      </c>
      <c r="H39" s="31">
        <f>A_Thep_Cty_Thep_Titan[[#This Row],[ĐƠN GIÁ]]*A_Thep_Cty_Thep_Titan[[#This Row],[SỐ LƯỢNG]]</f>
        <v>96363000</v>
      </c>
      <c r="I39" s="31"/>
      <c r="J39" s="31">
        <f>J38+A_Thep_Cty_Thep_Titan[[#This Row],[THÀNH TIỀN]]-A_Thep_Cty_Thep_Titan[[#This Row],[THANH TOÁN]]</f>
        <v>1638769000</v>
      </c>
      <c r="K39" s="24"/>
    </row>
    <row r="40" spans="1:11" x14ac:dyDescent="0.25">
      <c r="A40" s="22">
        <v>9536</v>
      </c>
      <c r="B40" s="29">
        <v>46163</v>
      </c>
      <c r="C40" s="23" t="s">
        <v>13</v>
      </c>
      <c r="D40" s="37" t="s">
        <v>43</v>
      </c>
      <c r="E40" s="23" t="s">
        <v>44</v>
      </c>
      <c r="F40" s="31">
        <v>3894</v>
      </c>
      <c r="G40" s="31">
        <v>61000</v>
      </c>
      <c r="H40" s="31">
        <f>A_Thep_Cty_Thep_Titan[[#This Row],[ĐƠN GIÁ]]*A_Thep_Cty_Thep_Titan[[#This Row],[SỐ LƯỢNG]]</f>
        <v>237534000</v>
      </c>
      <c r="I40" s="31"/>
      <c r="J40" s="31">
        <f>J39+A_Thep_Cty_Thep_Titan[[#This Row],[THÀNH TIỀN]]-A_Thep_Cty_Thep_Titan[[#This Row],[THANH TOÁN]]</f>
        <v>1876303000</v>
      </c>
      <c r="K40" s="24"/>
    </row>
    <row r="41" spans="1:11" x14ac:dyDescent="0.25">
      <c r="A41" s="22"/>
      <c r="B41" s="29">
        <v>46164</v>
      </c>
      <c r="C41" s="23" t="s">
        <v>21</v>
      </c>
      <c r="D41" s="37" t="s">
        <v>22</v>
      </c>
      <c r="E41" s="23" t="s">
        <v>261</v>
      </c>
      <c r="F41" s="31">
        <v>0</v>
      </c>
      <c r="G41" s="31"/>
      <c r="H41" s="31">
        <f>A_Thep_Cty_Thep_Titan[[#This Row],[ĐƠN GIÁ]]*A_Thep_Cty_Thep_Titan[[#This Row],[SỐ LƯỢNG]]</f>
        <v>0</v>
      </c>
      <c r="I41" s="31">
        <v>100000000</v>
      </c>
      <c r="J41" s="31">
        <f>J40+A_Thep_Cty_Thep_Titan[[#This Row],[THÀNH TIỀN]]-A_Thep_Cty_Thep_Titan[[#This Row],[THANH TOÁN]]</f>
        <v>1776303000</v>
      </c>
      <c r="K41" s="24"/>
    </row>
    <row r="42" spans="1:11" x14ac:dyDescent="0.25">
      <c r="A42" s="22">
        <v>9664</v>
      </c>
      <c r="B42" s="29">
        <v>46170</v>
      </c>
      <c r="C42" s="23" t="s">
        <v>13</v>
      </c>
      <c r="D42" s="37" t="s">
        <v>54</v>
      </c>
      <c r="E42" s="23" t="s">
        <v>2498</v>
      </c>
      <c r="F42" s="31">
        <v>372</v>
      </c>
      <c r="G42" s="31">
        <v>34000</v>
      </c>
      <c r="H42" s="31">
        <f>A_Thep_Cty_Thep_Titan[[#This Row],[ĐƠN GIÁ]]*A_Thep_Cty_Thep_Titan[[#This Row],[SỐ LƯỢNG]]</f>
        <v>12648000</v>
      </c>
      <c r="I42" s="31"/>
      <c r="J42" s="31">
        <f>J41+A_Thep_Cty_Thep_Titan[[#This Row],[THÀNH TIỀN]]-A_Thep_Cty_Thep_Titan[[#This Row],[THANH TOÁN]]</f>
        <v>1788951000</v>
      </c>
      <c r="K42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BF8171-1090-4760-8B87-CDCC91C59CC5}">
  <sheetPr codeName="Sheet146"/>
  <dimension ref="A5:K22"/>
  <sheetViews>
    <sheetView workbookViewId="0">
      <selection activeCell="G14" sqref="G14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44139404</v>
      </c>
    </row>
    <row r="6" spans="1:11" ht="22.5" x14ac:dyDescent="0.25">
      <c r="D6" s="34" t="s">
        <v>1387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CH_Phu_Ly[[#This Row],[ĐƠN GIÁ]]*CH_Phu_Ly[[#This Row],[SỐ LƯỢNG]]</f>
        <v>0</v>
      </c>
      <c r="I10" s="31"/>
      <c r="J10" s="31">
        <v>0</v>
      </c>
      <c r="K10" s="24"/>
    </row>
    <row r="11" spans="1:11" x14ac:dyDescent="0.25">
      <c r="A11" s="22"/>
      <c r="B11" s="29">
        <v>46106</v>
      </c>
      <c r="C11" s="23" t="s">
        <v>21</v>
      </c>
      <c r="D11" s="37" t="s">
        <v>22</v>
      </c>
      <c r="E11" s="23" t="s">
        <v>23</v>
      </c>
      <c r="F11" s="31">
        <v>0</v>
      </c>
      <c r="G11" s="31">
        <v>0</v>
      </c>
      <c r="H11" s="31">
        <f>CH_Phu_Ly[[#This Row],[ĐƠN GIÁ]]*CH_Phu_Ly[[#This Row],[SỐ LƯỢNG]]</f>
        <v>0</v>
      </c>
      <c r="I11" s="31">
        <v>7238000</v>
      </c>
      <c r="J11" s="31">
        <f>J10+CH_Phu_Ly[[#This Row],[THÀNH TIỀN]]-CH_Phu_Ly[[#This Row],[THANH TOÁN]]</f>
        <v>-7238000</v>
      </c>
      <c r="K11" s="24"/>
    </row>
    <row r="12" spans="1:11" x14ac:dyDescent="0.25">
      <c r="A12" s="22">
        <v>8367</v>
      </c>
      <c r="B12" s="29">
        <v>46108</v>
      </c>
      <c r="C12" s="23" t="s">
        <v>13</v>
      </c>
      <c r="D12" s="37" t="s">
        <v>43</v>
      </c>
      <c r="E12" s="23" t="s">
        <v>273</v>
      </c>
      <c r="F12" s="31">
        <v>486</v>
      </c>
      <c r="G12" s="31">
        <v>58000</v>
      </c>
      <c r="H12" s="31">
        <f>CH_Phu_Ly[[#This Row],[ĐƠN GIÁ]]*CH_Phu_Ly[[#This Row],[SỐ LƯỢNG]]</f>
        <v>28188000</v>
      </c>
      <c r="I12" s="31"/>
      <c r="J12" s="31">
        <f>J11+CH_Phu_Ly[[#This Row],[THÀNH TIỀN]]-CH_Phu_Ly[[#This Row],[THANH TOÁN]]</f>
        <v>20950000</v>
      </c>
      <c r="K12" s="24"/>
    </row>
    <row r="13" spans="1:11" x14ac:dyDescent="0.25">
      <c r="A13" s="22">
        <v>8367</v>
      </c>
      <c r="B13" s="29">
        <v>46108</v>
      </c>
      <c r="C13" s="23" t="s">
        <v>13</v>
      </c>
      <c r="D13" s="37" t="s">
        <v>26</v>
      </c>
      <c r="E13" s="23" t="s">
        <v>1388</v>
      </c>
      <c r="F13" s="31">
        <v>552</v>
      </c>
      <c r="G13" s="31">
        <v>34000</v>
      </c>
      <c r="H13" s="31">
        <f>CH_Phu_Ly[[#This Row],[ĐƠN GIÁ]]*CH_Phu_Ly[[#This Row],[SỐ LƯỢNG]]</f>
        <v>18768000</v>
      </c>
      <c r="I13" s="31"/>
      <c r="J13" s="31">
        <f>J12+CH_Phu_Ly[[#This Row],[THÀNH TIỀN]]-CH_Phu_Ly[[#This Row],[THANH TOÁN]]</f>
        <v>39718000</v>
      </c>
      <c r="K13" s="24"/>
    </row>
    <row r="14" spans="1:11" x14ac:dyDescent="0.25">
      <c r="A14" s="22">
        <v>8367</v>
      </c>
      <c r="B14" s="29">
        <v>46108</v>
      </c>
      <c r="C14" s="23" t="s">
        <v>13</v>
      </c>
      <c r="D14" s="37" t="s">
        <v>26</v>
      </c>
      <c r="E14" s="23" t="s">
        <v>258</v>
      </c>
      <c r="F14" s="31">
        <v>260</v>
      </c>
      <c r="G14" s="31">
        <v>34000</v>
      </c>
      <c r="H14" s="31">
        <f>CH_Phu_Ly[[#This Row],[ĐƠN GIÁ]]*CH_Phu_Ly[[#This Row],[SỐ LƯỢNG]]</f>
        <v>8840000</v>
      </c>
      <c r="I14" s="31"/>
      <c r="J14" s="31">
        <f>J13+CH_Phu_Ly[[#This Row],[THÀNH TIỀN]]-CH_Phu_Ly[[#This Row],[THANH TOÁN]]</f>
        <v>48558000</v>
      </c>
      <c r="K14" s="24"/>
    </row>
    <row r="15" spans="1:11" x14ac:dyDescent="0.25">
      <c r="A15" s="25">
        <v>8367</v>
      </c>
      <c r="B15" s="30">
        <v>46108</v>
      </c>
      <c r="C15" s="26" t="s">
        <v>13</v>
      </c>
      <c r="D15" s="38" t="s">
        <v>26</v>
      </c>
      <c r="E15" s="26" t="s">
        <v>62</v>
      </c>
      <c r="F15" s="28">
        <v>430</v>
      </c>
      <c r="G15" s="28">
        <v>34000</v>
      </c>
      <c r="H15" s="28">
        <f>CH_Phu_Ly[[#This Row],[ĐƠN GIÁ]]*CH_Phu_Ly[[#This Row],[SỐ LƯỢNG]]</f>
        <v>14620000</v>
      </c>
      <c r="I15" s="28"/>
      <c r="J15" s="28">
        <f>J14+CH_Phu_Ly[[#This Row],[THÀNH TIỀN]]-CH_Phu_Ly[[#This Row],[THANH TOÁN]]</f>
        <v>63178000</v>
      </c>
      <c r="K15" s="27"/>
    </row>
    <row r="16" spans="1:11" x14ac:dyDescent="0.25">
      <c r="A16" s="25"/>
      <c r="B16" s="30">
        <v>46109</v>
      </c>
      <c r="C16" s="26" t="s">
        <v>21</v>
      </c>
      <c r="D16" s="38" t="s">
        <v>260</v>
      </c>
      <c r="E16" s="26" t="s">
        <v>261</v>
      </c>
      <c r="F16" s="28">
        <v>0</v>
      </c>
      <c r="G16" s="28">
        <v>0</v>
      </c>
      <c r="H16" s="28">
        <f>CH_Phu_Ly[[#This Row],[ĐƠN GIÁ]]*CH_Phu_Ly[[#This Row],[SỐ LƯỢNG]]</f>
        <v>0</v>
      </c>
      <c r="I16" s="28">
        <v>30277736</v>
      </c>
      <c r="J16" s="28">
        <f>J15+CH_Phu_Ly[[#This Row],[THÀNH TIỀN]]-CH_Phu_Ly[[#This Row],[THANH TOÁN]]</f>
        <v>32900264</v>
      </c>
      <c r="K16" s="27"/>
    </row>
    <row r="17" spans="1:11" x14ac:dyDescent="0.25">
      <c r="A17" s="22"/>
      <c r="B17" s="29">
        <v>46115</v>
      </c>
      <c r="C17" s="23" t="s">
        <v>21</v>
      </c>
      <c r="D17" s="37" t="s">
        <v>22</v>
      </c>
      <c r="E17" s="23" t="s">
        <v>2067</v>
      </c>
      <c r="F17" s="31">
        <v>0</v>
      </c>
      <c r="G17" s="31"/>
      <c r="H17" s="31">
        <f>CH_Phu_Ly[[#This Row],[ĐƠN GIÁ]]*CH_Phu_Ly[[#This Row],[SỐ LƯỢNG]]</f>
        <v>0</v>
      </c>
      <c r="I17" s="31">
        <v>10000000</v>
      </c>
      <c r="J17" s="31">
        <f>J16+CH_Phu_Ly[[#This Row],[THÀNH TIỀN]]-CH_Phu_Ly[[#This Row],[THANH TOÁN]]</f>
        <v>22900264</v>
      </c>
      <c r="K17" s="24"/>
    </row>
    <row r="18" spans="1:11" x14ac:dyDescent="0.25">
      <c r="A18" s="22"/>
      <c r="B18" s="29">
        <v>46130</v>
      </c>
      <c r="C18" s="23" t="s">
        <v>21</v>
      </c>
      <c r="D18" s="37" t="s">
        <v>22</v>
      </c>
      <c r="E18" s="23" t="s">
        <v>261</v>
      </c>
      <c r="F18" s="31">
        <v>0</v>
      </c>
      <c r="G18" s="31"/>
      <c r="H18" s="31">
        <f>CH_Phu_Ly[[#This Row],[ĐƠN GIÁ]]*CH_Phu_Ly[[#This Row],[SỐ LƯỢNG]]</f>
        <v>0</v>
      </c>
      <c r="I18" s="31">
        <v>22956860</v>
      </c>
      <c r="J18" s="31">
        <f>J17+CH_Phu_Ly[[#This Row],[THÀNH TIỀN]]-CH_Phu_Ly[[#This Row],[THANH TOÁN]]</f>
        <v>-56596</v>
      </c>
      <c r="K18" s="24"/>
    </row>
    <row r="19" spans="1:11" x14ac:dyDescent="0.25">
      <c r="A19" s="22">
        <v>9202</v>
      </c>
      <c r="B19" s="29">
        <v>46148</v>
      </c>
      <c r="C19" s="23" t="s">
        <v>13</v>
      </c>
      <c r="D19" s="37" t="s">
        <v>26</v>
      </c>
      <c r="E19" s="23" t="s">
        <v>1953</v>
      </c>
      <c r="F19" s="31">
        <v>404</v>
      </c>
      <c r="G19" s="31">
        <v>35000</v>
      </c>
      <c r="H19" s="31">
        <f>CH_Phu_Ly[[#This Row],[ĐƠN GIÁ]]*CH_Phu_Ly[[#This Row],[SỐ LƯỢNG]]</f>
        <v>14140000</v>
      </c>
      <c r="I19" s="31"/>
      <c r="J19" s="31">
        <f>J18+CH_Phu_Ly[[#This Row],[THÀNH TIỀN]]-CH_Phu_Ly[[#This Row],[THANH TOÁN]]</f>
        <v>14083404</v>
      </c>
      <c r="K19" s="24"/>
    </row>
    <row r="20" spans="1:11" x14ac:dyDescent="0.25">
      <c r="A20" s="22">
        <v>9202</v>
      </c>
      <c r="B20" s="29">
        <v>46148</v>
      </c>
      <c r="C20" s="23" t="s">
        <v>13</v>
      </c>
      <c r="D20" s="37" t="s">
        <v>26</v>
      </c>
      <c r="E20" s="23" t="s">
        <v>33</v>
      </c>
      <c r="F20" s="31">
        <v>410</v>
      </c>
      <c r="G20" s="31">
        <v>34000</v>
      </c>
      <c r="H20" s="31">
        <f>CH_Phu_Ly[[#This Row],[ĐƠN GIÁ]]*CH_Phu_Ly[[#This Row],[SỐ LƯỢNG]]</f>
        <v>13940000</v>
      </c>
      <c r="I20" s="31"/>
      <c r="J20" s="31">
        <f>J19+CH_Phu_Ly[[#This Row],[THÀNH TIỀN]]-CH_Phu_Ly[[#This Row],[THANH TOÁN]]</f>
        <v>28023404</v>
      </c>
      <c r="K20" s="24"/>
    </row>
    <row r="21" spans="1:11" x14ac:dyDescent="0.25">
      <c r="A21" s="22">
        <v>9202</v>
      </c>
      <c r="B21" s="29">
        <v>46148</v>
      </c>
      <c r="C21" s="23" t="s">
        <v>13</v>
      </c>
      <c r="D21" s="37" t="s">
        <v>26</v>
      </c>
      <c r="E21" s="23" t="s">
        <v>62</v>
      </c>
      <c r="F21" s="31">
        <v>474</v>
      </c>
      <c r="G21" s="31">
        <v>34000</v>
      </c>
      <c r="H21" s="31">
        <f>CH_Phu_Ly[[#This Row],[ĐƠN GIÁ]]*CH_Phu_Ly[[#This Row],[SỐ LƯỢNG]]</f>
        <v>16116000</v>
      </c>
      <c r="I21" s="31"/>
      <c r="J21" s="31">
        <f>J20+CH_Phu_Ly[[#This Row],[THÀNH TIỀN]]-CH_Phu_Ly[[#This Row],[THANH TOÁN]]</f>
        <v>44139404</v>
      </c>
      <c r="K21" s="24"/>
    </row>
    <row r="22" spans="1:11" x14ac:dyDescent="0.25">
      <c r="A22" s="22"/>
      <c r="B22" s="29">
        <v>46170</v>
      </c>
      <c r="C22" s="23" t="s">
        <v>21</v>
      </c>
      <c r="D22" s="37" t="s">
        <v>260</v>
      </c>
      <c r="E22" s="23" t="s">
        <v>261</v>
      </c>
      <c r="F22" s="31">
        <v>0</v>
      </c>
      <c r="G22" s="31"/>
      <c r="H22" s="31">
        <f>CH_Phu_Ly[[#This Row],[ĐƠN GIÁ]]*CH_Phu_Ly[[#This Row],[SỐ LƯỢNG]]</f>
        <v>0</v>
      </c>
      <c r="I22" s="31">
        <v>15004000</v>
      </c>
      <c r="J22" s="31">
        <f>J21+CH_Phu_Ly[[#This Row],[THÀNH TIỀN]]-CH_Phu_Ly[[#This Row],[THANH TOÁN]]</f>
        <v>29135404</v>
      </c>
      <c r="K22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12761D-C2C3-4014-BEB7-BD2FF3BDD4A0}">
  <sheetPr codeName="Sheet147"/>
  <dimension ref="A5:K29"/>
  <sheetViews>
    <sheetView workbookViewId="0">
      <selection activeCell="G5" sqref="G5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1679293926</v>
      </c>
    </row>
    <row r="6" spans="1:11" ht="22.5" x14ac:dyDescent="0.25">
      <c r="D6" s="34" t="s">
        <v>1389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C_Dung_Cty_Viet_A[[#This Row],[ĐƠN GIÁ]]*C_Dung_Cty_Viet_A[[#This Row],[SỐ LƯỢNG]]</f>
        <v>0</v>
      </c>
      <c r="I10" s="31"/>
      <c r="J10" s="31">
        <v>1022748000</v>
      </c>
      <c r="K10" s="24"/>
    </row>
    <row r="11" spans="1:11" x14ac:dyDescent="0.25">
      <c r="A11" s="22"/>
      <c r="B11" s="29">
        <v>46090</v>
      </c>
      <c r="C11" s="23" t="s">
        <v>21</v>
      </c>
      <c r="D11" s="37" t="s">
        <v>260</v>
      </c>
      <c r="E11" s="23" t="s">
        <v>261</v>
      </c>
      <c r="F11" s="31">
        <v>0</v>
      </c>
      <c r="G11" s="31">
        <v>0</v>
      </c>
      <c r="H11" s="31">
        <f>C_Dung_Cty_Viet_A[[#This Row],[ĐƠN GIÁ]]*C_Dung_Cty_Viet_A[[#This Row],[SỐ LƯỢNG]]</f>
        <v>0</v>
      </c>
      <c r="I11" s="31">
        <v>100000000</v>
      </c>
      <c r="J11" s="31">
        <f>J10+C_Dung_Cty_Viet_A[[#This Row],[THÀNH TIỀN]]-C_Dung_Cty_Viet_A[[#This Row],[THANH TOÁN]]</f>
        <v>922748000</v>
      </c>
      <c r="K11" s="24"/>
    </row>
    <row r="12" spans="1:11" x14ac:dyDescent="0.25">
      <c r="A12" s="22"/>
      <c r="B12" s="29">
        <v>46097</v>
      </c>
      <c r="C12" s="23" t="s">
        <v>21</v>
      </c>
      <c r="D12" s="37" t="s">
        <v>260</v>
      </c>
      <c r="E12" s="23" t="s">
        <v>261</v>
      </c>
      <c r="F12" s="31">
        <v>0</v>
      </c>
      <c r="G12" s="31">
        <v>0</v>
      </c>
      <c r="H12" s="31">
        <f>C_Dung_Cty_Viet_A[[#This Row],[ĐƠN GIÁ]]*C_Dung_Cty_Viet_A[[#This Row],[SỐ LƯỢNG]]</f>
        <v>0</v>
      </c>
      <c r="I12" s="31">
        <v>100000000</v>
      </c>
      <c r="J12" s="31">
        <f>J11+C_Dung_Cty_Viet_A[[#This Row],[THÀNH TIỀN]]-C_Dung_Cty_Viet_A[[#This Row],[THANH TOÁN]]</f>
        <v>822748000</v>
      </c>
      <c r="K12" s="24"/>
    </row>
    <row r="13" spans="1:11" x14ac:dyDescent="0.25">
      <c r="A13" s="25"/>
      <c r="B13" s="30">
        <v>46104</v>
      </c>
      <c r="C13" s="26" t="s">
        <v>21</v>
      </c>
      <c r="D13" s="38" t="s">
        <v>260</v>
      </c>
      <c r="E13" s="26" t="s">
        <v>261</v>
      </c>
      <c r="F13" s="28">
        <v>0</v>
      </c>
      <c r="G13" s="28">
        <v>0</v>
      </c>
      <c r="H13" s="28">
        <f>C_Dung_Cty_Viet_A[[#This Row],[ĐƠN GIÁ]]*C_Dung_Cty_Viet_A[[#This Row],[SỐ LƯỢNG]]</f>
        <v>0</v>
      </c>
      <c r="I13" s="28">
        <v>100000000</v>
      </c>
      <c r="J13" s="28">
        <f>J12+C_Dung_Cty_Viet_A[[#This Row],[THÀNH TIỀN]]-C_Dung_Cty_Viet_A[[#This Row],[THANH TOÁN]]</f>
        <v>722748000</v>
      </c>
      <c r="K13" s="27"/>
    </row>
    <row r="14" spans="1:11" x14ac:dyDescent="0.25">
      <c r="A14" s="25">
        <v>8382</v>
      </c>
      <c r="B14" s="30">
        <v>46109</v>
      </c>
      <c r="C14" s="26" t="s">
        <v>13</v>
      </c>
      <c r="D14" s="38" t="s">
        <v>43</v>
      </c>
      <c r="E14" s="26" t="s">
        <v>146</v>
      </c>
      <c r="F14" s="28">
        <v>5584</v>
      </c>
      <c r="G14" s="28">
        <v>62500</v>
      </c>
      <c r="H14" s="28">
        <f>C_Dung_Cty_Viet_A[[#This Row],[ĐƠN GIÁ]]*C_Dung_Cty_Viet_A[[#This Row],[SỐ LƯỢNG]]</f>
        <v>349000000</v>
      </c>
      <c r="I14" s="28"/>
      <c r="J14" s="28">
        <f>J13+C_Dung_Cty_Viet_A[[#This Row],[THÀNH TIỀN]]-C_Dung_Cty_Viet_A[[#This Row],[THANH TOÁN]]</f>
        <v>1071748000</v>
      </c>
      <c r="K14" s="27"/>
    </row>
    <row r="15" spans="1:11" x14ac:dyDescent="0.25">
      <c r="A15" s="25">
        <v>8382</v>
      </c>
      <c r="B15" s="30">
        <v>46109</v>
      </c>
      <c r="C15" s="26" t="s">
        <v>13</v>
      </c>
      <c r="D15" s="38" t="s">
        <v>43</v>
      </c>
      <c r="E15" s="26" t="s">
        <v>273</v>
      </c>
      <c r="F15" s="28">
        <v>1090</v>
      </c>
      <c r="G15" s="28">
        <v>61500</v>
      </c>
      <c r="H15" s="28">
        <f>C_Dung_Cty_Viet_A[[#This Row],[ĐƠN GIÁ]]*C_Dung_Cty_Viet_A[[#This Row],[SỐ LƯỢNG]]</f>
        <v>67035000</v>
      </c>
      <c r="I15" s="28"/>
      <c r="J15" s="28">
        <f>J14+C_Dung_Cty_Viet_A[[#This Row],[THÀNH TIỀN]]-C_Dung_Cty_Viet_A[[#This Row],[THANH TOÁN]]</f>
        <v>1138783000</v>
      </c>
      <c r="K15" s="27"/>
    </row>
    <row r="16" spans="1:11" x14ac:dyDescent="0.25">
      <c r="A16" s="25"/>
      <c r="B16" s="30">
        <v>46111</v>
      </c>
      <c r="C16" s="26" t="s">
        <v>21</v>
      </c>
      <c r="D16" s="38" t="s">
        <v>260</v>
      </c>
      <c r="E16" s="26" t="s">
        <v>261</v>
      </c>
      <c r="F16" s="28">
        <v>0</v>
      </c>
      <c r="G16" s="28">
        <v>0</v>
      </c>
      <c r="H16" s="28">
        <f>C_Dung_Cty_Viet_A[[#This Row],[ĐƠN GIÁ]]*C_Dung_Cty_Viet_A[[#This Row],[SỐ LƯỢNG]]</f>
        <v>0</v>
      </c>
      <c r="I16" s="28">
        <v>100000000</v>
      </c>
      <c r="J16" s="28">
        <f>J15+C_Dung_Cty_Viet_A[[#This Row],[THÀNH TIỀN]]-C_Dung_Cty_Viet_A[[#This Row],[THANH TOÁN]]</f>
        <v>1038783000</v>
      </c>
      <c r="K16" s="27"/>
    </row>
    <row r="17" spans="1:11" x14ac:dyDescent="0.25">
      <c r="A17" s="25">
        <v>8448</v>
      </c>
      <c r="B17" s="30">
        <v>46112</v>
      </c>
      <c r="C17" s="26" t="s">
        <v>13</v>
      </c>
      <c r="D17" s="38" t="s">
        <v>17</v>
      </c>
      <c r="E17" s="26" t="s">
        <v>78</v>
      </c>
      <c r="F17" s="28">
        <v>3968</v>
      </c>
      <c r="G17" s="28">
        <v>66500</v>
      </c>
      <c r="H17" s="28">
        <f>C_Dung_Cty_Viet_A[[#This Row],[ĐƠN GIÁ]]*C_Dung_Cty_Viet_A[[#This Row],[SỐ LƯỢNG]]</f>
        <v>263872000</v>
      </c>
      <c r="I17" s="28"/>
      <c r="J17" s="28">
        <f>J16+C_Dung_Cty_Viet_A[[#This Row],[THÀNH TIỀN]]-C_Dung_Cty_Viet_A[[#This Row],[THANH TOÁN]]</f>
        <v>1302655000</v>
      </c>
      <c r="K17" s="27"/>
    </row>
    <row r="18" spans="1:11" x14ac:dyDescent="0.25">
      <c r="A18" s="22"/>
      <c r="B18" s="29">
        <v>46118</v>
      </c>
      <c r="C18" s="23" t="s">
        <v>21</v>
      </c>
      <c r="D18" s="37" t="s">
        <v>260</v>
      </c>
      <c r="E18" s="23" t="s">
        <v>261</v>
      </c>
      <c r="F18" s="31">
        <v>0</v>
      </c>
      <c r="G18" s="31"/>
      <c r="H18" s="31">
        <f>C_Dung_Cty_Viet_A[[#This Row],[ĐƠN GIÁ]]*C_Dung_Cty_Viet_A[[#This Row],[SỐ LƯỢNG]]</f>
        <v>0</v>
      </c>
      <c r="I18" s="31">
        <v>100000000</v>
      </c>
      <c r="J18" s="31">
        <f>J17+C_Dung_Cty_Viet_A[[#This Row],[THÀNH TIỀN]]-C_Dung_Cty_Viet_A[[#This Row],[THANH TOÁN]]</f>
        <v>1202655000</v>
      </c>
      <c r="K18" s="24"/>
    </row>
    <row r="19" spans="1:11" x14ac:dyDescent="0.25">
      <c r="A19" s="22">
        <v>8620</v>
      </c>
      <c r="B19" s="29">
        <v>46120</v>
      </c>
      <c r="C19" s="23" t="s">
        <v>13</v>
      </c>
      <c r="D19" s="37" t="s">
        <v>17</v>
      </c>
      <c r="E19" s="23" t="s">
        <v>78</v>
      </c>
      <c r="F19" s="31">
        <v>6013</v>
      </c>
      <c r="G19" s="31">
        <v>66500</v>
      </c>
      <c r="H19" s="31">
        <f>C_Dung_Cty_Viet_A[[#This Row],[ĐƠN GIÁ]]*C_Dung_Cty_Viet_A[[#This Row],[SỐ LƯỢNG]]</f>
        <v>399864500</v>
      </c>
      <c r="I19" s="31"/>
      <c r="J19" s="31">
        <f>J18+C_Dung_Cty_Viet_A[[#This Row],[THÀNH TIỀN]]-C_Dung_Cty_Viet_A[[#This Row],[THANH TOÁN]]</f>
        <v>1602519500</v>
      </c>
      <c r="K19" s="24"/>
    </row>
    <row r="20" spans="1:11" x14ac:dyDescent="0.25">
      <c r="A20" s="22"/>
      <c r="B20" s="29">
        <v>46125</v>
      </c>
      <c r="C20" s="23" t="s">
        <v>21</v>
      </c>
      <c r="D20" s="37" t="s">
        <v>260</v>
      </c>
      <c r="E20" s="23" t="s">
        <v>261</v>
      </c>
      <c r="F20" s="31">
        <v>0</v>
      </c>
      <c r="G20" s="31"/>
      <c r="H20" s="31">
        <f>C_Dung_Cty_Viet_A[[#This Row],[ĐƠN GIÁ]]*C_Dung_Cty_Viet_A[[#This Row],[SỐ LƯỢNG]]</f>
        <v>0</v>
      </c>
      <c r="I20" s="31">
        <v>100000000</v>
      </c>
      <c r="J20" s="31">
        <f>J19+C_Dung_Cty_Viet_A[[#This Row],[THÀNH TIỀN]]-C_Dung_Cty_Viet_A[[#This Row],[THANH TOÁN]]</f>
        <v>1502519500</v>
      </c>
      <c r="K20" s="24"/>
    </row>
    <row r="21" spans="1:11" x14ac:dyDescent="0.25">
      <c r="A21" s="22">
        <v>8785</v>
      </c>
      <c r="B21" s="29">
        <v>46127</v>
      </c>
      <c r="C21" s="23" t="s">
        <v>13</v>
      </c>
      <c r="D21" s="37" t="s">
        <v>1390</v>
      </c>
      <c r="E21" s="23" t="s">
        <v>621</v>
      </c>
      <c r="F21" s="31">
        <v>1967</v>
      </c>
      <c r="G21" s="31">
        <v>67000</v>
      </c>
      <c r="H21" s="31">
        <f>C_Dung_Cty_Viet_A[[#This Row],[ĐƠN GIÁ]]*C_Dung_Cty_Viet_A[[#This Row],[SỐ LƯỢNG]]</f>
        <v>131789000</v>
      </c>
      <c r="I21" s="31"/>
      <c r="J21" s="31">
        <f>J20+C_Dung_Cty_Viet_A[[#This Row],[THÀNH TIỀN]]-C_Dung_Cty_Viet_A[[#This Row],[THANH TOÁN]]</f>
        <v>1634308500</v>
      </c>
      <c r="K21" s="24"/>
    </row>
    <row r="22" spans="1:11" x14ac:dyDescent="0.25">
      <c r="A22" s="22"/>
      <c r="B22" s="29">
        <v>46132</v>
      </c>
      <c r="C22" s="23" t="s">
        <v>21</v>
      </c>
      <c r="D22" s="37" t="s">
        <v>260</v>
      </c>
      <c r="E22" s="23" t="s">
        <v>261</v>
      </c>
      <c r="F22" s="31">
        <v>0</v>
      </c>
      <c r="G22" s="31"/>
      <c r="H22" s="31">
        <f>C_Dung_Cty_Viet_A[[#This Row],[ĐƠN GIÁ]]*C_Dung_Cty_Viet_A[[#This Row],[SỐ LƯỢNG]]</f>
        <v>0</v>
      </c>
      <c r="I22" s="31">
        <v>100000000</v>
      </c>
      <c r="J22" s="31">
        <f>J21+C_Dung_Cty_Viet_A[[#This Row],[THÀNH TIỀN]]-C_Dung_Cty_Viet_A[[#This Row],[THANH TOÁN]]</f>
        <v>1534308500</v>
      </c>
      <c r="K22" s="24"/>
    </row>
    <row r="23" spans="1:11" x14ac:dyDescent="0.25">
      <c r="A23" s="22"/>
      <c r="B23" s="29">
        <v>46140</v>
      </c>
      <c r="C23" s="23" t="s">
        <v>21</v>
      </c>
      <c r="D23" s="37" t="s">
        <v>260</v>
      </c>
      <c r="E23" s="23" t="s">
        <v>261</v>
      </c>
      <c r="F23" s="31">
        <v>0</v>
      </c>
      <c r="G23" s="31"/>
      <c r="H23" s="31">
        <f>C_Dung_Cty_Viet_A[[#This Row],[ĐƠN GIÁ]]*C_Dung_Cty_Viet_A[[#This Row],[SỐ LƯỢNG]]</f>
        <v>0</v>
      </c>
      <c r="I23" s="31">
        <v>100000000</v>
      </c>
      <c r="J23" s="31">
        <f>J22+C_Dung_Cty_Viet_A[[#This Row],[THÀNH TIỀN]]-C_Dung_Cty_Viet_A[[#This Row],[THANH TOÁN]]</f>
        <v>1434308500</v>
      </c>
      <c r="K23" s="24"/>
    </row>
    <row r="24" spans="1:11" x14ac:dyDescent="0.25">
      <c r="A24" s="25"/>
      <c r="B24" s="30">
        <v>46148</v>
      </c>
      <c r="C24" s="26" t="s">
        <v>21</v>
      </c>
      <c r="D24" s="38" t="s">
        <v>260</v>
      </c>
      <c r="E24" s="26" t="s">
        <v>261</v>
      </c>
      <c r="F24" s="28">
        <v>0</v>
      </c>
      <c r="G24" s="28"/>
      <c r="H24" s="28">
        <f>C_Dung_Cty_Viet_A[[#This Row],[ĐƠN GIÁ]]*C_Dung_Cty_Viet_A[[#This Row],[SỐ LƯỢNG]]</f>
        <v>0</v>
      </c>
      <c r="I24" s="28">
        <v>108840074</v>
      </c>
      <c r="J24" s="28">
        <f>J23+C_Dung_Cty_Viet_A[[#This Row],[THÀNH TIỀN]]-C_Dung_Cty_Viet_A[[#This Row],[THANH TOÁN]]</f>
        <v>1325468426</v>
      </c>
      <c r="K24" s="27"/>
    </row>
    <row r="25" spans="1:11" x14ac:dyDescent="0.25">
      <c r="A25" s="22"/>
      <c r="B25" s="29">
        <v>46155</v>
      </c>
      <c r="C25" s="23" t="s">
        <v>21</v>
      </c>
      <c r="D25" s="37" t="s">
        <v>260</v>
      </c>
      <c r="E25" s="23" t="s">
        <v>261</v>
      </c>
      <c r="F25" s="31">
        <v>0</v>
      </c>
      <c r="G25" s="31"/>
      <c r="H25" s="31">
        <f>C_Dung_Cty_Viet_A[[#This Row],[ĐƠN GIÁ]]*C_Dung_Cty_Viet_A[[#This Row],[SỐ LƯỢNG]]</f>
        <v>0</v>
      </c>
      <c r="I25" s="31">
        <v>100000000</v>
      </c>
      <c r="J25" s="31">
        <f>J24+C_Dung_Cty_Viet_A[[#This Row],[THÀNH TIỀN]]-C_Dung_Cty_Viet_A[[#This Row],[THANH TOÁN]]</f>
        <v>1225468426</v>
      </c>
      <c r="K25" s="24"/>
    </row>
    <row r="26" spans="1:11" x14ac:dyDescent="0.25">
      <c r="A26" s="22">
        <v>9531</v>
      </c>
      <c r="B26" s="29">
        <v>46163</v>
      </c>
      <c r="C26" s="23" t="s">
        <v>13</v>
      </c>
      <c r="D26" s="37" t="s">
        <v>43</v>
      </c>
      <c r="E26" s="23" t="s">
        <v>136</v>
      </c>
      <c r="F26" s="31">
        <v>1800</v>
      </c>
      <c r="G26" s="31">
        <v>58500</v>
      </c>
      <c r="H26" s="31">
        <f>C_Dung_Cty_Viet_A[[#This Row],[ĐƠN GIÁ]]*C_Dung_Cty_Viet_A[[#This Row],[SỐ LƯỢNG]]</f>
        <v>105300000</v>
      </c>
      <c r="I26" s="31"/>
      <c r="J26" s="31">
        <f>J25+C_Dung_Cty_Viet_A[[#This Row],[THÀNH TIỀN]]-C_Dung_Cty_Viet_A[[#This Row],[THANH TOÁN]]</f>
        <v>1330768426</v>
      </c>
      <c r="K26" s="24"/>
    </row>
    <row r="27" spans="1:11" x14ac:dyDescent="0.25">
      <c r="A27" s="22">
        <v>9709</v>
      </c>
      <c r="B27" s="29">
        <v>46172</v>
      </c>
      <c r="C27" s="23" t="s">
        <v>13</v>
      </c>
      <c r="D27" s="37" t="s">
        <v>43</v>
      </c>
      <c r="E27" s="23" t="s">
        <v>136</v>
      </c>
      <c r="F27" s="31">
        <v>5321</v>
      </c>
      <c r="G27" s="31">
        <v>65500</v>
      </c>
      <c r="H27" s="31">
        <f>C_Dung_Cty_Viet_A[[#This Row],[ĐƠN GIÁ]]*C_Dung_Cty_Viet_A[[#This Row],[SỐ LƯỢNG]]</f>
        <v>348525500</v>
      </c>
      <c r="I27" s="31"/>
      <c r="J27" s="31">
        <f>J26+C_Dung_Cty_Viet_A[[#This Row],[THÀNH TIỀN]]-C_Dung_Cty_Viet_A[[#This Row],[THANH TOÁN]]</f>
        <v>1679293926</v>
      </c>
      <c r="K27" s="24"/>
    </row>
    <row r="28" spans="1:11" x14ac:dyDescent="0.25">
      <c r="A28" s="22"/>
      <c r="B28" s="29">
        <v>46162</v>
      </c>
      <c r="C28" s="23" t="s">
        <v>21</v>
      </c>
      <c r="D28" s="37" t="s">
        <v>260</v>
      </c>
      <c r="E28" s="23" t="s">
        <v>261</v>
      </c>
      <c r="F28" s="31">
        <v>0</v>
      </c>
      <c r="G28" s="31"/>
      <c r="H28" s="31">
        <f>C_Dung_Cty_Viet_A[[#This Row],[ĐƠN GIÁ]]*C_Dung_Cty_Viet_A[[#This Row],[SỐ LƯỢNG]]</f>
        <v>0</v>
      </c>
      <c r="I28" s="31">
        <v>100000000</v>
      </c>
      <c r="J28" s="31">
        <f>J27+C_Dung_Cty_Viet_A[[#This Row],[THÀNH TIỀN]]-C_Dung_Cty_Viet_A[[#This Row],[THANH TOÁN]]</f>
        <v>1579293926</v>
      </c>
      <c r="K28" s="24"/>
    </row>
    <row r="29" spans="1:11" x14ac:dyDescent="0.25">
      <c r="A29" s="22"/>
      <c r="B29" s="29">
        <v>46168</v>
      </c>
      <c r="C29" s="23" t="s">
        <v>21</v>
      </c>
      <c r="D29" s="37" t="s">
        <v>260</v>
      </c>
      <c r="E29" s="23" t="s">
        <v>261</v>
      </c>
      <c r="F29" s="31">
        <v>0</v>
      </c>
      <c r="G29" s="31"/>
      <c r="H29" s="31">
        <f>C_Dung_Cty_Viet_A[[#This Row],[ĐƠN GIÁ]]*C_Dung_Cty_Viet_A[[#This Row],[SỐ LƯỢNG]]</f>
        <v>0</v>
      </c>
      <c r="I29" s="31">
        <v>100000000</v>
      </c>
      <c r="J29" s="31">
        <f>J28+C_Dung_Cty_Viet_A[[#This Row],[THÀNH TIỀN]]-C_Dung_Cty_Viet_A[[#This Row],[THANH TOÁN]]</f>
        <v>1479293926</v>
      </c>
      <c r="K29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DC459B-7E7F-4FB5-8802-9DF3707914BA}">
  <sheetPr codeName="Sheet148"/>
  <dimension ref="A5:K13"/>
  <sheetViews>
    <sheetView workbookViewId="0">
      <selection activeCell="I13" sqref="I13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0</v>
      </c>
    </row>
    <row r="6" spans="1:11" ht="22.5" x14ac:dyDescent="0.25">
      <c r="D6" s="34" t="s">
        <v>1391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Cty_Thang_Long[[#This Row],[ĐƠN GIÁ]]*Cty_Thang_Long[[#This Row],[SỐ LƯỢNG]]</f>
        <v>0</v>
      </c>
      <c r="I10" s="31"/>
      <c r="J10" s="31">
        <v>0</v>
      </c>
      <c r="K10" s="24"/>
    </row>
    <row r="11" spans="1:11" x14ac:dyDescent="0.25">
      <c r="A11" s="22">
        <v>8388</v>
      </c>
      <c r="B11" s="29">
        <v>46109</v>
      </c>
      <c r="C11" s="23" t="s">
        <v>13</v>
      </c>
      <c r="D11" s="37" t="s">
        <v>26</v>
      </c>
      <c r="E11" s="23" t="s">
        <v>146</v>
      </c>
      <c r="F11" s="31">
        <v>2384</v>
      </c>
      <c r="G11" s="31">
        <v>36000</v>
      </c>
      <c r="H11" s="31">
        <f>Cty_Thang_Long[[#This Row],[ĐƠN GIÁ]]*Cty_Thang_Long[[#This Row],[SỐ LƯỢNG]]</f>
        <v>85824000</v>
      </c>
      <c r="I11" s="31"/>
      <c r="J11" s="31">
        <f>J10+Cty_Thang_Long[[#This Row],[THÀNH TIỀN]]-Cty_Thang_Long[[#This Row],[THANH TOÁN]]</f>
        <v>85824000</v>
      </c>
      <c r="K11" s="24"/>
    </row>
    <row r="12" spans="1:11" x14ac:dyDescent="0.25">
      <c r="A12" s="22">
        <v>8495</v>
      </c>
      <c r="B12" s="29">
        <v>46114</v>
      </c>
      <c r="C12" s="23" t="s">
        <v>13</v>
      </c>
      <c r="D12" s="37" t="s">
        <v>103</v>
      </c>
      <c r="E12" s="23" t="s">
        <v>1392</v>
      </c>
      <c r="F12" s="31">
        <v>1556</v>
      </c>
      <c r="G12" s="31">
        <v>37500</v>
      </c>
      <c r="H12" s="31">
        <f>Cty_Thang_Long[[#This Row],[ĐƠN GIÁ]]*Cty_Thang_Long[[#This Row],[SỐ LƯỢNG]]</f>
        <v>58350000</v>
      </c>
      <c r="I12" s="31">
        <v>559</v>
      </c>
      <c r="J12" s="31">
        <f>J11+Cty_Thang_Long[[#This Row],[THÀNH TIỀN]]-Cty_Thang_Long[[#This Row],[THANH TOÁN]]</f>
        <v>144173441</v>
      </c>
      <c r="K12" s="24"/>
    </row>
    <row r="13" spans="1:11" x14ac:dyDescent="0.25">
      <c r="A13" s="22"/>
      <c r="B13" s="29">
        <v>46141</v>
      </c>
      <c r="C13" s="23" t="s">
        <v>21</v>
      </c>
      <c r="D13" s="37" t="s">
        <v>22</v>
      </c>
      <c r="E13" s="23" t="s">
        <v>83</v>
      </c>
      <c r="F13" s="31">
        <v>0</v>
      </c>
      <c r="G13" s="31"/>
      <c r="H13" s="31">
        <f>Cty_Thang_Long[[#This Row],[ĐƠN GIÁ]]*Cty_Thang_Long[[#This Row],[SỐ LƯỢNG]]</f>
        <v>0</v>
      </c>
      <c r="I13" s="31">
        <v>144173441</v>
      </c>
      <c r="J13" s="31">
        <f>J12+Cty_Thang_Long[[#This Row],[THÀNH TIỀN]]-Cty_Thang_Long[[#This Row],[THANH TOÁN]]</f>
        <v>0</v>
      </c>
      <c r="K13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B6ED7-6AE4-4FD0-B6EF-92E7E013DB4A}">
  <sheetPr codeName="Sheet149"/>
  <dimension ref="A5:K20"/>
  <sheetViews>
    <sheetView workbookViewId="0">
      <selection activeCell="I19" sqref="I19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0</v>
      </c>
    </row>
    <row r="6" spans="1:11" ht="22.5" x14ac:dyDescent="0.25">
      <c r="D6" s="34" t="s">
        <v>1393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Cty_Tuan_Dat[[#This Row],[ĐƠN GIÁ]]*Cty_Tuan_Dat[[#This Row],[SỐ LƯỢNG]]</f>
        <v>0</v>
      </c>
      <c r="I10" s="31"/>
      <c r="J10" s="31">
        <v>0</v>
      </c>
      <c r="K10" s="24"/>
    </row>
    <row r="11" spans="1:11" x14ac:dyDescent="0.25">
      <c r="A11" s="22">
        <v>8393</v>
      </c>
      <c r="B11" s="29">
        <v>46109</v>
      </c>
      <c r="C11" s="23" t="s">
        <v>13</v>
      </c>
      <c r="D11" s="37" t="s">
        <v>50</v>
      </c>
      <c r="E11" s="23" t="s">
        <v>1394</v>
      </c>
      <c r="F11" s="31">
        <v>90</v>
      </c>
      <c r="G11" s="31">
        <v>58000</v>
      </c>
      <c r="H11" s="31">
        <f>Cty_Tuan_Dat[[#This Row],[ĐƠN GIÁ]]*Cty_Tuan_Dat[[#This Row],[SỐ LƯỢNG]]</f>
        <v>5220000</v>
      </c>
      <c r="I11" s="31"/>
      <c r="J11" s="31">
        <f>J10+Cty_Tuan_Dat[[#This Row],[THÀNH TIỀN]]-Cty_Tuan_Dat[[#This Row],[THANH TOÁN]]</f>
        <v>5220000</v>
      </c>
      <c r="K11" s="24"/>
    </row>
    <row r="12" spans="1:11" x14ac:dyDescent="0.25">
      <c r="A12" s="22"/>
      <c r="B12" s="29">
        <v>46112</v>
      </c>
      <c r="C12" s="23" t="s">
        <v>21</v>
      </c>
      <c r="D12" s="37" t="s">
        <v>22</v>
      </c>
      <c r="E12" s="23" t="s">
        <v>261</v>
      </c>
      <c r="F12" s="31">
        <v>0</v>
      </c>
      <c r="G12" s="31"/>
      <c r="H12" s="31">
        <f>Cty_Tuan_Dat[[#This Row],[ĐƠN GIÁ]]*Cty_Tuan_Dat[[#This Row],[SỐ LƯỢNG]]</f>
        <v>0</v>
      </c>
      <c r="I12" s="31">
        <v>5219979</v>
      </c>
      <c r="J12" s="31">
        <f>J11+Cty_Tuan_Dat[[#This Row],[THÀNH TIỀN]]-Cty_Tuan_Dat[[#This Row],[THANH TOÁN]]</f>
        <v>21</v>
      </c>
      <c r="K12" s="24"/>
    </row>
    <row r="13" spans="1:11" x14ac:dyDescent="0.25">
      <c r="A13" s="22">
        <v>8596</v>
      </c>
      <c r="B13" s="29">
        <v>46118</v>
      </c>
      <c r="C13" s="23" t="s">
        <v>13</v>
      </c>
      <c r="D13" s="37" t="s">
        <v>50</v>
      </c>
      <c r="E13" s="23" t="s">
        <v>1395</v>
      </c>
      <c r="F13" s="31">
        <v>140</v>
      </c>
      <c r="G13" s="31">
        <v>62000</v>
      </c>
      <c r="H13" s="31">
        <f>Cty_Tuan_Dat[[#This Row],[ĐƠN GIÁ]]*Cty_Tuan_Dat[[#This Row],[SỐ LƯỢNG]]</f>
        <v>8680000</v>
      </c>
      <c r="I13" s="31"/>
      <c r="J13" s="31">
        <f>J12+Cty_Tuan_Dat[[#This Row],[THÀNH TIỀN]]-Cty_Tuan_Dat[[#This Row],[THANH TOÁN]]</f>
        <v>8680021</v>
      </c>
      <c r="K13" s="24"/>
    </row>
    <row r="14" spans="1:11" x14ac:dyDescent="0.25">
      <c r="A14" s="22">
        <v>8596</v>
      </c>
      <c r="B14" s="29">
        <v>46118</v>
      </c>
      <c r="C14" s="23" t="s">
        <v>13</v>
      </c>
      <c r="D14" s="37" t="s">
        <v>50</v>
      </c>
      <c r="E14" s="23" t="s">
        <v>1127</v>
      </c>
      <c r="F14" s="31">
        <v>122</v>
      </c>
      <c r="G14" s="31">
        <v>61000</v>
      </c>
      <c r="H14" s="31">
        <f>Cty_Tuan_Dat[[#This Row],[ĐƠN GIÁ]]*Cty_Tuan_Dat[[#This Row],[SỐ LƯỢNG]]</f>
        <v>7442000</v>
      </c>
      <c r="I14" s="31"/>
      <c r="J14" s="31">
        <f>J13+Cty_Tuan_Dat[[#This Row],[THÀNH TIỀN]]-Cty_Tuan_Dat[[#This Row],[THANH TOÁN]]</f>
        <v>16122021</v>
      </c>
      <c r="K14" s="24"/>
    </row>
    <row r="15" spans="1:11" x14ac:dyDescent="0.25">
      <c r="A15" s="22">
        <v>8896</v>
      </c>
      <c r="B15" s="29">
        <v>46132</v>
      </c>
      <c r="C15" s="23" t="s">
        <v>13</v>
      </c>
      <c r="D15" s="37" t="s">
        <v>50</v>
      </c>
      <c r="E15" s="23" t="s">
        <v>1109</v>
      </c>
      <c r="F15" s="31">
        <v>176</v>
      </c>
      <c r="G15" s="31">
        <v>63000</v>
      </c>
      <c r="H15" s="31">
        <f>Cty_Tuan_Dat[[#This Row],[ĐƠN GIÁ]]*Cty_Tuan_Dat[[#This Row],[SỐ LƯỢNG]]</f>
        <v>11088000</v>
      </c>
      <c r="I15" s="31"/>
      <c r="J15" s="31">
        <f>J14+Cty_Tuan_Dat[[#This Row],[THÀNH TIỀN]]-Cty_Tuan_Dat[[#This Row],[THANH TOÁN]]</f>
        <v>27210021</v>
      </c>
      <c r="K15" s="24"/>
    </row>
    <row r="16" spans="1:11" x14ac:dyDescent="0.25">
      <c r="A16" s="22">
        <v>8896</v>
      </c>
      <c r="B16" s="29">
        <v>46132</v>
      </c>
      <c r="C16" s="23" t="s">
        <v>13</v>
      </c>
      <c r="D16" s="37" t="s">
        <v>50</v>
      </c>
      <c r="E16" s="23" t="s">
        <v>136</v>
      </c>
      <c r="F16" s="31">
        <v>118</v>
      </c>
      <c r="G16" s="31">
        <v>67000</v>
      </c>
      <c r="H16" s="31">
        <f>Cty_Tuan_Dat[[#This Row],[ĐƠN GIÁ]]*Cty_Tuan_Dat[[#This Row],[SỐ LƯỢNG]]</f>
        <v>7906000</v>
      </c>
      <c r="I16" s="31"/>
      <c r="J16" s="31">
        <f>J15+Cty_Tuan_Dat[[#This Row],[THÀNH TIỀN]]-Cty_Tuan_Dat[[#This Row],[THANH TOÁN]]</f>
        <v>35116021</v>
      </c>
      <c r="K16" s="24"/>
    </row>
    <row r="17" spans="1:11" x14ac:dyDescent="0.25">
      <c r="A17" s="22">
        <v>8896</v>
      </c>
      <c r="B17" s="29">
        <v>46132</v>
      </c>
      <c r="C17" s="23" t="s">
        <v>13</v>
      </c>
      <c r="D17" s="37" t="s">
        <v>170</v>
      </c>
      <c r="E17" s="23" t="s">
        <v>146</v>
      </c>
      <c r="F17" s="31">
        <v>132</v>
      </c>
      <c r="G17" s="31">
        <v>66000</v>
      </c>
      <c r="H17" s="31">
        <f>Cty_Tuan_Dat[[#This Row],[ĐƠN GIÁ]]*Cty_Tuan_Dat[[#This Row],[SỐ LƯỢNG]]</f>
        <v>8712000</v>
      </c>
      <c r="I17" s="31"/>
      <c r="J17" s="31">
        <f>J16+Cty_Tuan_Dat[[#This Row],[THÀNH TIỀN]]-Cty_Tuan_Dat[[#This Row],[THANH TOÁN]]</f>
        <v>43828021</v>
      </c>
      <c r="K17" s="24"/>
    </row>
    <row r="18" spans="1:11" x14ac:dyDescent="0.25">
      <c r="A18" s="22">
        <v>8896</v>
      </c>
      <c r="B18" s="29">
        <v>46132</v>
      </c>
      <c r="C18" s="23" t="s">
        <v>13</v>
      </c>
      <c r="D18" s="37" t="s">
        <v>169</v>
      </c>
      <c r="E18" s="23" t="s">
        <v>136</v>
      </c>
      <c r="F18" s="31">
        <v>132</v>
      </c>
      <c r="G18" s="31">
        <v>38500</v>
      </c>
      <c r="H18" s="31">
        <f>Cty_Tuan_Dat[[#This Row],[ĐƠN GIÁ]]*Cty_Tuan_Dat[[#This Row],[SỐ LƯỢNG]]</f>
        <v>5082000</v>
      </c>
      <c r="I18" s="31">
        <v>138</v>
      </c>
      <c r="J18" s="31">
        <f>J17+Cty_Tuan_Dat[[#This Row],[THÀNH TIỀN]]-Cty_Tuan_Dat[[#This Row],[THANH TOÁN]]</f>
        <v>48909883</v>
      </c>
      <c r="K18" s="24"/>
    </row>
    <row r="19" spans="1:11" x14ac:dyDescent="0.25">
      <c r="A19" s="22"/>
      <c r="B19" s="29">
        <v>46127</v>
      </c>
      <c r="C19" s="23" t="s">
        <v>21</v>
      </c>
      <c r="D19" s="37" t="s">
        <v>22</v>
      </c>
      <c r="E19" s="23" t="s">
        <v>261</v>
      </c>
      <c r="F19" s="31">
        <v>0</v>
      </c>
      <c r="G19" s="31"/>
      <c r="H19" s="31">
        <f>Cty_Tuan_Dat[[#This Row],[ĐƠN GIÁ]]*Cty_Tuan_Dat[[#This Row],[SỐ LƯỢNG]]</f>
        <v>0</v>
      </c>
      <c r="I19" s="31">
        <v>16121908</v>
      </c>
      <c r="J19" s="31">
        <f>J18+Cty_Tuan_Dat[[#This Row],[THÀNH TIỀN]]-Cty_Tuan_Dat[[#This Row],[THANH TOÁN]]</f>
        <v>32787975</v>
      </c>
      <c r="K19" s="24"/>
    </row>
    <row r="20" spans="1:11" x14ac:dyDescent="0.25">
      <c r="A20" s="22"/>
      <c r="B20" s="29">
        <v>46135</v>
      </c>
      <c r="C20" s="23" t="s">
        <v>21</v>
      </c>
      <c r="D20" s="37" t="s">
        <v>22</v>
      </c>
      <c r="E20" s="23" t="s">
        <v>261</v>
      </c>
      <c r="F20" s="31">
        <v>0</v>
      </c>
      <c r="G20" s="31"/>
      <c r="H20" s="31">
        <f>Cty_Tuan_Dat[[#This Row],[ĐƠN GIÁ]]*Cty_Tuan_Dat[[#This Row],[SỐ LƯỢNG]]</f>
        <v>0</v>
      </c>
      <c r="I20" s="31">
        <v>32787975</v>
      </c>
      <c r="J20" s="31">
        <f>J19+Cty_Tuan_Dat[[#This Row],[THÀNH TIỀN]]-Cty_Tuan_Dat[[#This Row],[THANH TOÁN]]</f>
        <v>0</v>
      </c>
      <c r="K20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6A743-4648-4FC9-95DF-229B9996C3A9}">
  <sheetPr codeName="Sheet150"/>
  <dimension ref="A5:K44"/>
  <sheetViews>
    <sheetView topLeftCell="A25" workbookViewId="0">
      <selection activeCell="G43" sqref="G43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-283437200</v>
      </c>
    </row>
    <row r="6" spans="1:11" ht="22.5" x14ac:dyDescent="0.25">
      <c r="D6" s="34" t="s">
        <v>1396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Cty_Sao_Viet[[#This Row],[ĐƠN GIÁ]]*Cty_Sao_Viet[[#This Row],[SỐ LƯỢNG]]</f>
        <v>0</v>
      </c>
      <c r="I10" s="31"/>
      <c r="J10" s="31">
        <v>0</v>
      </c>
      <c r="K10" s="24"/>
    </row>
    <row r="11" spans="1:11" x14ac:dyDescent="0.25">
      <c r="A11" s="22" t="s">
        <v>1398</v>
      </c>
      <c r="B11" s="29">
        <v>46095</v>
      </c>
      <c r="C11" s="23" t="s">
        <v>692</v>
      </c>
      <c r="D11" s="37" t="s">
        <v>109</v>
      </c>
      <c r="E11" s="23" t="s">
        <v>1399</v>
      </c>
      <c r="F11" s="31">
        <v>8734</v>
      </c>
      <c r="G11" s="31">
        <v>-57000</v>
      </c>
      <c r="H11" s="31">
        <f>Cty_Sao_Viet[[#This Row],[ĐƠN GIÁ]]*Cty_Sao_Viet[[#This Row],[SỐ LƯỢNG]]</f>
        <v>-497838000</v>
      </c>
      <c r="I11" s="31"/>
      <c r="J11" s="31">
        <f>J10+Cty_Sao_Viet[[#This Row],[THÀNH TIỀN]]-Cty_Sao_Viet[[#This Row],[THANH TOÁN]]</f>
        <v>-497838000</v>
      </c>
      <c r="K11" s="24"/>
    </row>
    <row r="12" spans="1:11" x14ac:dyDescent="0.25">
      <c r="A12" s="22" t="s">
        <v>1400</v>
      </c>
      <c r="B12" s="29">
        <v>46097</v>
      </c>
      <c r="C12" s="23" t="s">
        <v>692</v>
      </c>
      <c r="D12" s="37" t="s">
        <v>109</v>
      </c>
      <c r="E12" s="23" t="s">
        <v>1401</v>
      </c>
      <c r="F12" s="31">
        <v>2910</v>
      </c>
      <c r="G12" s="31">
        <v>-57000</v>
      </c>
      <c r="H12" s="31">
        <f>Cty_Sao_Viet[[#This Row],[ĐƠN GIÁ]]*Cty_Sao_Viet[[#This Row],[SỐ LƯỢNG]]</f>
        <v>-165870000</v>
      </c>
      <c r="I12" s="31"/>
      <c r="J12" s="31">
        <f>J11+Cty_Sao_Viet[[#This Row],[THÀNH TIỀN]]-Cty_Sao_Viet[[#This Row],[THANH TOÁN]]</f>
        <v>-663708000</v>
      </c>
      <c r="K12" s="24"/>
    </row>
    <row r="13" spans="1:11" x14ac:dyDescent="0.25">
      <c r="A13" s="25" t="s">
        <v>1400</v>
      </c>
      <c r="B13" s="30">
        <v>46097</v>
      </c>
      <c r="C13" s="26" t="s">
        <v>692</v>
      </c>
      <c r="D13" s="38" t="s">
        <v>109</v>
      </c>
      <c r="E13" s="26" t="s">
        <v>1399</v>
      </c>
      <c r="F13" s="28">
        <v>4368</v>
      </c>
      <c r="G13" s="28">
        <v>-57000</v>
      </c>
      <c r="H13" s="28">
        <f>Cty_Sao_Viet[[#This Row],[ĐƠN GIÁ]]*Cty_Sao_Viet[[#This Row],[SỐ LƯỢNG]]</f>
        <v>-248976000</v>
      </c>
      <c r="I13" s="28"/>
      <c r="J13" s="28">
        <f>J12+Cty_Sao_Viet[[#This Row],[THÀNH TIỀN]]-Cty_Sao_Viet[[#This Row],[THANH TOÁN]]</f>
        <v>-912684000</v>
      </c>
      <c r="K13" s="27"/>
    </row>
    <row r="14" spans="1:11" x14ac:dyDescent="0.25">
      <c r="A14" s="25" t="s">
        <v>1402</v>
      </c>
      <c r="B14" s="30">
        <v>46099</v>
      </c>
      <c r="C14" s="26" t="s">
        <v>692</v>
      </c>
      <c r="D14" s="38" t="s">
        <v>109</v>
      </c>
      <c r="E14" s="26" t="s">
        <v>1403</v>
      </c>
      <c r="F14" s="28">
        <v>526</v>
      </c>
      <c r="G14" s="28">
        <v>-68000</v>
      </c>
      <c r="H14" s="28">
        <f>Cty_Sao_Viet[[#This Row],[ĐƠN GIÁ]]*Cty_Sao_Viet[[#This Row],[SỐ LƯỢNG]]</f>
        <v>-35768000</v>
      </c>
      <c r="I14" s="28"/>
      <c r="J14" s="28">
        <f>J13+Cty_Sao_Viet[[#This Row],[THÀNH TIỀN]]-Cty_Sao_Viet[[#This Row],[THANH TOÁN]]</f>
        <v>-948452000</v>
      </c>
      <c r="K14" s="27"/>
    </row>
    <row r="15" spans="1:11" x14ac:dyDescent="0.25">
      <c r="A15" s="25" t="s">
        <v>1402</v>
      </c>
      <c r="B15" s="30">
        <v>46099</v>
      </c>
      <c r="C15" s="26" t="s">
        <v>692</v>
      </c>
      <c r="D15" s="37" t="s">
        <v>109</v>
      </c>
      <c r="E15" s="23" t="s">
        <v>1404</v>
      </c>
      <c r="F15" s="31">
        <v>602</v>
      </c>
      <c r="G15" s="31">
        <v>-68000</v>
      </c>
      <c r="H15" s="31">
        <f>Cty_Sao_Viet[[#This Row],[ĐƠN GIÁ]]*Cty_Sao_Viet[[#This Row],[SỐ LƯỢNG]]</f>
        <v>-40936000</v>
      </c>
      <c r="I15" s="31"/>
      <c r="J15" s="31">
        <f>J14+Cty_Sao_Viet[[#This Row],[THÀNH TIỀN]]-Cty_Sao_Viet[[#This Row],[THANH TOÁN]]</f>
        <v>-989388000</v>
      </c>
      <c r="K15" s="24"/>
    </row>
    <row r="16" spans="1:11" x14ac:dyDescent="0.25">
      <c r="A16" s="25">
        <v>8409</v>
      </c>
      <c r="B16" s="30">
        <v>46111</v>
      </c>
      <c r="C16" s="26" t="s">
        <v>49</v>
      </c>
      <c r="D16" s="38" t="s">
        <v>442</v>
      </c>
      <c r="E16" s="26" t="s">
        <v>1397</v>
      </c>
      <c r="F16" s="28">
        <v>12000</v>
      </c>
      <c r="G16" s="28"/>
      <c r="H16" s="28">
        <f>Cty_Sao_Viet[[#This Row],[ĐƠN GIÁ]]*Cty_Sao_Viet[[#This Row],[SỐ LƯỢNG]]</f>
        <v>0</v>
      </c>
      <c r="I16" s="28"/>
      <c r="J16" s="28">
        <f>J15+Cty_Sao_Viet[[#This Row],[THÀNH TIỀN]]-Cty_Sao_Viet[[#This Row],[THANH TOÁN]]</f>
        <v>-989388000</v>
      </c>
      <c r="K16" s="27"/>
    </row>
    <row r="17" spans="1:11" x14ac:dyDescent="0.25">
      <c r="A17" s="25">
        <v>8436</v>
      </c>
      <c r="B17" s="30">
        <v>46112</v>
      </c>
      <c r="C17" s="26" t="s">
        <v>49</v>
      </c>
      <c r="D17" s="37" t="s">
        <v>192</v>
      </c>
      <c r="E17" s="23" t="s">
        <v>40</v>
      </c>
      <c r="F17" s="31">
        <v>8052</v>
      </c>
      <c r="G17" s="31"/>
      <c r="H17" s="31">
        <f>Cty_Sao_Viet[[#This Row],[ĐƠN GIÁ]]*Cty_Sao_Viet[[#This Row],[SỐ LƯỢNG]]</f>
        <v>0</v>
      </c>
      <c r="I17" s="31"/>
      <c r="J17" s="31">
        <f>J16+Cty_Sao_Viet[[#This Row],[THÀNH TIỀN]]-Cty_Sao_Viet[[#This Row],[THANH TOÁN]]</f>
        <v>-989388000</v>
      </c>
      <c r="K17" s="24"/>
    </row>
    <row r="18" spans="1:11" x14ac:dyDescent="0.25">
      <c r="A18" s="22" t="s">
        <v>1405</v>
      </c>
      <c r="B18" s="29">
        <v>46112</v>
      </c>
      <c r="C18" s="23" t="s">
        <v>84</v>
      </c>
      <c r="D18" s="37" t="s">
        <v>27</v>
      </c>
      <c r="E18" s="23" t="s">
        <v>1406</v>
      </c>
      <c r="F18" s="31">
        <v>12000</v>
      </c>
      <c r="G18" s="31">
        <v>-500</v>
      </c>
      <c r="H18" s="31">
        <f>Cty_Sao_Viet[[#This Row],[ĐƠN GIÁ]]*Cty_Sao_Viet[[#This Row],[SỐ LƯỢNG]]</f>
        <v>-6000000</v>
      </c>
      <c r="I18" s="31"/>
      <c r="J18" s="31">
        <f>J17+Cty_Sao_Viet[[#This Row],[THÀNH TIỀN]]-Cty_Sao_Viet[[#This Row],[THANH TOÁN]]</f>
        <v>-995388000</v>
      </c>
      <c r="K18" s="24"/>
    </row>
    <row r="19" spans="1:11" x14ac:dyDescent="0.25">
      <c r="A19" s="22" t="s">
        <v>1407</v>
      </c>
      <c r="B19" s="29">
        <v>46118</v>
      </c>
      <c r="C19" s="23" t="s">
        <v>84</v>
      </c>
      <c r="D19" s="37" t="s">
        <v>77</v>
      </c>
      <c r="E19" s="23" t="s">
        <v>1408</v>
      </c>
      <c r="F19" s="31">
        <v>7644</v>
      </c>
      <c r="G19" s="31">
        <v>-600</v>
      </c>
      <c r="H19" s="31">
        <f>Cty_Sao_Viet[[#This Row],[ĐƠN GIÁ]]*Cty_Sao_Viet[[#This Row],[SỐ LƯỢNG]]</f>
        <v>-4586400</v>
      </c>
      <c r="I19" s="31"/>
      <c r="J19" s="31">
        <f>J18+Cty_Sao_Viet[[#This Row],[THÀNH TIỀN]]-Cty_Sao_Viet[[#This Row],[THANH TOÁN]]</f>
        <v>-999974400</v>
      </c>
      <c r="K19" s="24"/>
    </row>
    <row r="20" spans="1:11" x14ac:dyDescent="0.25">
      <c r="A20" s="22" t="s">
        <v>1407</v>
      </c>
      <c r="B20" s="29">
        <v>46118</v>
      </c>
      <c r="C20" s="23" t="s">
        <v>84</v>
      </c>
      <c r="D20" s="37" t="s">
        <v>77</v>
      </c>
      <c r="E20" s="23" t="s">
        <v>1409</v>
      </c>
      <c r="F20" s="31">
        <v>262</v>
      </c>
      <c r="G20" s="31">
        <v>-600</v>
      </c>
      <c r="H20" s="31">
        <f>Cty_Sao_Viet[[#This Row],[ĐƠN GIÁ]]*Cty_Sao_Viet[[#This Row],[SỐ LƯỢNG]]</f>
        <v>-157200</v>
      </c>
      <c r="I20" s="31"/>
      <c r="J20" s="31">
        <f>J19+Cty_Sao_Viet[[#This Row],[THÀNH TIỀN]]-Cty_Sao_Viet[[#This Row],[THANH TOÁN]]</f>
        <v>-1000131600</v>
      </c>
      <c r="K20" s="24"/>
    </row>
    <row r="21" spans="1:11" x14ac:dyDescent="0.25">
      <c r="A21" s="22" t="s">
        <v>1407</v>
      </c>
      <c r="B21" s="29">
        <v>46118</v>
      </c>
      <c r="C21" s="23" t="s">
        <v>84</v>
      </c>
      <c r="D21" s="37" t="s">
        <v>77</v>
      </c>
      <c r="E21" s="23" t="s">
        <v>415</v>
      </c>
      <c r="F21" s="31">
        <v>146</v>
      </c>
      <c r="G21" s="31">
        <v>-600</v>
      </c>
      <c r="H21" s="31">
        <f>Cty_Sao_Viet[[#This Row],[ĐƠN GIÁ]]*Cty_Sao_Viet[[#This Row],[SỐ LƯỢNG]]</f>
        <v>-87600</v>
      </c>
      <c r="I21" s="31"/>
      <c r="J21" s="31">
        <f>J20+Cty_Sao_Viet[[#This Row],[THÀNH TIỀN]]-Cty_Sao_Viet[[#This Row],[THANH TOÁN]]</f>
        <v>-1000219200</v>
      </c>
      <c r="K21" s="24"/>
    </row>
    <row r="22" spans="1:11" x14ac:dyDescent="0.25">
      <c r="A22" s="22">
        <v>8917</v>
      </c>
      <c r="B22" s="29">
        <v>46133</v>
      </c>
      <c r="C22" s="23" t="s">
        <v>49</v>
      </c>
      <c r="D22" s="37" t="s">
        <v>26</v>
      </c>
      <c r="E22" s="23" t="s">
        <v>214</v>
      </c>
      <c r="F22" s="31">
        <v>8006</v>
      </c>
      <c r="G22" s="31"/>
      <c r="H22" s="31">
        <f>Cty_Sao_Viet[[#This Row],[ĐƠN GIÁ]]*Cty_Sao_Viet[[#This Row],[SỐ LƯỢNG]]</f>
        <v>0</v>
      </c>
      <c r="I22" s="31"/>
      <c r="J22" s="31">
        <f>J21+Cty_Sao_Viet[[#This Row],[THÀNH TIỀN]]-Cty_Sao_Viet[[#This Row],[THANH TOÁN]]</f>
        <v>-1000219200</v>
      </c>
      <c r="K22" s="24" t="s">
        <v>1755</v>
      </c>
    </row>
    <row r="23" spans="1:11" x14ac:dyDescent="0.25">
      <c r="A23" s="22"/>
      <c r="B23" s="29">
        <v>46134</v>
      </c>
      <c r="C23" s="23" t="s">
        <v>2214</v>
      </c>
      <c r="D23" s="37" t="s">
        <v>24</v>
      </c>
      <c r="E23" s="23"/>
      <c r="F23" s="31">
        <v>0</v>
      </c>
      <c r="G23" s="31"/>
      <c r="H23" s="31">
        <f>Cty_Sao_Viet[[#This Row],[ĐƠN GIÁ]]*Cty_Sao_Viet[[#This Row],[SỐ LƯỢNG]]</f>
        <v>0</v>
      </c>
      <c r="I23" s="31">
        <v>-10830000</v>
      </c>
      <c r="J23" s="31">
        <f>J22+Cty_Sao_Viet[[#This Row],[THÀNH TIỀN]]-Cty_Sao_Viet[[#This Row],[THANH TOÁN]]</f>
        <v>-989389200</v>
      </c>
      <c r="K23" s="24"/>
    </row>
    <row r="24" spans="1:11" x14ac:dyDescent="0.25">
      <c r="A24" s="22" t="s">
        <v>1410</v>
      </c>
      <c r="B24" s="29">
        <v>46135</v>
      </c>
      <c r="C24" s="23" t="s">
        <v>84</v>
      </c>
      <c r="D24" s="37" t="s">
        <v>26</v>
      </c>
      <c r="E24" s="23" t="s">
        <v>214</v>
      </c>
      <c r="F24" s="31">
        <v>8004</v>
      </c>
      <c r="G24" s="31"/>
      <c r="H24" s="31">
        <f>Cty_Sao_Viet[[#This Row],[ĐƠN GIÁ]]*Cty_Sao_Viet[[#This Row],[SỐ LƯỢNG]]</f>
        <v>0</v>
      </c>
      <c r="I24" s="31"/>
      <c r="J24" s="31">
        <f>J23+Cty_Sao_Viet[[#This Row],[THÀNH TIỀN]]-Cty_Sao_Viet[[#This Row],[THANH TOÁN]]</f>
        <v>-989389200</v>
      </c>
      <c r="K24" s="24"/>
    </row>
    <row r="25" spans="1:11" x14ac:dyDescent="0.25">
      <c r="A25" s="22"/>
      <c r="B25" s="29">
        <v>46136</v>
      </c>
      <c r="C25" s="23" t="s">
        <v>2214</v>
      </c>
      <c r="D25" s="37" t="s">
        <v>22</v>
      </c>
      <c r="E25" s="23" t="s">
        <v>83</v>
      </c>
      <c r="F25" s="31">
        <v>0</v>
      </c>
      <c r="G25" s="31"/>
      <c r="H25" s="31">
        <f>Cty_Sao_Viet[[#This Row],[ĐƠN GIÁ]]*Cty_Sao_Viet[[#This Row],[SỐ LƯỢNG]]</f>
        <v>0</v>
      </c>
      <c r="I25" s="31">
        <v>-150000000</v>
      </c>
      <c r="J25" s="31">
        <f>J24+Cty_Sao_Viet[[#This Row],[THÀNH TIỀN]]-Cty_Sao_Viet[[#This Row],[THANH TOÁN]]</f>
        <v>-839389200</v>
      </c>
      <c r="K25" s="24"/>
    </row>
    <row r="26" spans="1:11" x14ac:dyDescent="0.25">
      <c r="A26" s="22">
        <v>9066</v>
      </c>
      <c r="B26" s="29">
        <v>46140</v>
      </c>
      <c r="C26" s="23" t="s">
        <v>49</v>
      </c>
      <c r="D26" s="37" t="s">
        <v>26</v>
      </c>
      <c r="E26" s="23" t="s">
        <v>283</v>
      </c>
      <c r="F26" s="31">
        <v>7342</v>
      </c>
      <c r="G26" s="31"/>
      <c r="H26" s="31">
        <f>Cty_Sao_Viet[[#This Row],[ĐƠN GIÁ]]*Cty_Sao_Viet[[#This Row],[SỐ LƯỢNG]]</f>
        <v>0</v>
      </c>
      <c r="I26" s="31"/>
      <c r="J26" s="31">
        <f>J25+Cty_Sao_Viet[[#This Row],[THÀNH TIỀN]]-Cty_Sao_Viet[[#This Row],[THANH TOÁN]]</f>
        <v>-839389200</v>
      </c>
      <c r="K26" s="24" t="s">
        <v>1856</v>
      </c>
    </row>
    <row r="27" spans="1:11" x14ac:dyDescent="0.25">
      <c r="A27" s="25"/>
      <c r="B27" s="30">
        <v>46146</v>
      </c>
      <c r="C27" s="26" t="s">
        <v>2214</v>
      </c>
      <c r="D27" s="38" t="s">
        <v>24</v>
      </c>
      <c r="E27" s="26"/>
      <c r="F27" s="28">
        <v>0</v>
      </c>
      <c r="G27" s="28"/>
      <c r="H27" s="28">
        <f>Cty_Sao_Viet[[#This Row],[ĐƠN GIÁ]]*Cty_Sao_Viet[[#This Row],[SỐ LƯỢNG]]</f>
        <v>0</v>
      </c>
      <c r="I27" s="28">
        <v>-1550000</v>
      </c>
      <c r="J27" s="28">
        <f>J26+Cty_Sao_Viet[[#This Row],[THÀNH TIỀN]]-Cty_Sao_Viet[[#This Row],[THANH TOÁN]]</f>
        <v>-837839200</v>
      </c>
      <c r="K27" s="27"/>
    </row>
    <row r="28" spans="1:11" x14ac:dyDescent="0.25">
      <c r="A28" s="71" t="s">
        <v>2169</v>
      </c>
      <c r="B28" s="72">
        <v>46146</v>
      </c>
      <c r="C28" s="73" t="s">
        <v>692</v>
      </c>
      <c r="D28" s="56" t="s">
        <v>26</v>
      </c>
      <c r="E28" s="73" t="s">
        <v>283</v>
      </c>
      <c r="F28" s="74">
        <v>7342</v>
      </c>
      <c r="G28" s="74"/>
      <c r="H28" s="74">
        <f>Cty_Sao_Viet[[#This Row],[ĐƠN GIÁ]]*Cty_Sao_Viet[[#This Row],[SỐ LƯỢNG]]</f>
        <v>0</v>
      </c>
      <c r="I28" s="74"/>
      <c r="J28" s="74">
        <f>J27+Cty_Sao_Viet[[#This Row],[THÀNH TIỀN]]-Cty_Sao_Viet[[#This Row],[THANH TOÁN]]</f>
        <v>-837839200</v>
      </c>
      <c r="K28" s="75"/>
    </row>
    <row r="29" spans="1:11" x14ac:dyDescent="0.25">
      <c r="A29" s="169"/>
      <c r="B29" s="170">
        <v>46153</v>
      </c>
      <c r="C29" s="171" t="s">
        <v>2214</v>
      </c>
      <c r="D29" s="172" t="s">
        <v>22</v>
      </c>
      <c r="E29" s="171" t="s">
        <v>83</v>
      </c>
      <c r="F29" s="173">
        <v>0</v>
      </c>
      <c r="G29" s="173"/>
      <c r="H29" s="173">
        <f>Cty_Sao_Viet[[#This Row],[ĐƠN GIÁ]]*Cty_Sao_Viet[[#This Row],[SỐ LƯỢNG]]</f>
        <v>0</v>
      </c>
      <c r="I29" s="173">
        <v>-150000000</v>
      </c>
      <c r="J29" s="173">
        <f>J28+Cty_Sao_Viet[[#This Row],[THÀNH TIỀN]]-Cty_Sao_Viet[[#This Row],[THANH TOÁN]]</f>
        <v>-687839200</v>
      </c>
      <c r="K29" s="174"/>
    </row>
    <row r="30" spans="1:11" x14ac:dyDescent="0.25">
      <c r="A30" s="169"/>
      <c r="B30" s="170">
        <v>46158</v>
      </c>
      <c r="C30" s="171" t="s">
        <v>2214</v>
      </c>
      <c r="D30" s="172" t="s">
        <v>22</v>
      </c>
      <c r="E30" s="171" t="s">
        <v>83</v>
      </c>
      <c r="F30" s="173">
        <v>0</v>
      </c>
      <c r="G30" s="173"/>
      <c r="H30" s="173">
        <f>Cty_Sao_Viet[[#This Row],[ĐƠN GIÁ]]*Cty_Sao_Viet[[#This Row],[SỐ LƯỢNG]]</f>
        <v>0</v>
      </c>
      <c r="I30" s="173">
        <v>-100000000</v>
      </c>
      <c r="J30" s="173">
        <f>J29+Cty_Sao_Viet[[#This Row],[THÀNH TIỀN]]-Cty_Sao_Viet[[#This Row],[THANH TOÁN]]</f>
        <v>-587839200</v>
      </c>
      <c r="K30" s="174"/>
    </row>
    <row r="31" spans="1:11" x14ac:dyDescent="0.25">
      <c r="A31" s="25"/>
      <c r="B31" s="30">
        <v>46164</v>
      </c>
      <c r="C31" s="26" t="s">
        <v>2214</v>
      </c>
      <c r="D31" s="38" t="s">
        <v>24</v>
      </c>
      <c r="E31" s="26"/>
      <c r="F31" s="28">
        <v>0</v>
      </c>
      <c r="G31" s="28"/>
      <c r="H31" s="28">
        <f>Cty_Sao_Viet[[#This Row],[ĐƠN GIÁ]]*Cty_Sao_Viet[[#This Row],[SỐ LƯỢNG]]</f>
        <v>0</v>
      </c>
      <c r="I31" s="28">
        <v>-4402000</v>
      </c>
      <c r="J31" s="28">
        <f>J30+Cty_Sao_Viet[[#This Row],[THÀNH TIỀN]]-Cty_Sao_Viet[[#This Row],[THANH TOÁN]]</f>
        <v>-583437200</v>
      </c>
      <c r="K31" s="27"/>
    </row>
    <row r="32" spans="1:11" x14ac:dyDescent="0.25">
      <c r="A32" s="22"/>
      <c r="B32" s="29">
        <v>46164</v>
      </c>
      <c r="C32" s="23" t="s">
        <v>2214</v>
      </c>
      <c r="D32" s="37" t="s">
        <v>22</v>
      </c>
      <c r="E32" s="23" t="s">
        <v>83</v>
      </c>
      <c r="F32" s="31">
        <v>0</v>
      </c>
      <c r="G32" s="31"/>
      <c r="H32" s="31">
        <f>Cty_Sao_Viet[[#This Row],[ĐƠN GIÁ]]*Cty_Sao_Viet[[#This Row],[SỐ LƯỢNG]]</f>
        <v>0</v>
      </c>
      <c r="I32" s="31">
        <v>-150000000</v>
      </c>
      <c r="J32" s="31">
        <f>J31+Cty_Sao_Viet[[#This Row],[THÀNH TIỀN]]-Cty_Sao_Viet[[#This Row],[THANH TOÁN]]</f>
        <v>-433437200</v>
      </c>
      <c r="K32" s="24"/>
    </row>
    <row r="33" spans="1:11" x14ac:dyDescent="0.25">
      <c r="A33" s="22">
        <v>7068</v>
      </c>
      <c r="B33" s="29">
        <v>46031</v>
      </c>
      <c r="C33" s="23" t="s">
        <v>49</v>
      </c>
      <c r="D33" s="37" t="s">
        <v>192</v>
      </c>
      <c r="E33" s="23" t="s">
        <v>2399</v>
      </c>
      <c r="F33" s="31">
        <v>5760</v>
      </c>
      <c r="G33" s="31"/>
      <c r="H33" s="31">
        <f>Cty_Sao_Viet[[#This Row],[ĐƠN GIÁ]]*Cty_Sao_Viet[[#This Row],[SỐ LƯỢNG]]</f>
        <v>0</v>
      </c>
      <c r="I33" s="31"/>
      <c r="J33" s="31">
        <f>J32+Cty_Sao_Viet[[#This Row],[THÀNH TIỀN]]-Cty_Sao_Viet[[#This Row],[THANH TOÁN]]</f>
        <v>-433437200</v>
      </c>
      <c r="K33" s="24"/>
    </row>
    <row r="34" spans="1:11" ht="31.5" x14ac:dyDescent="0.25">
      <c r="A34" s="22">
        <v>7077</v>
      </c>
      <c r="B34" s="29">
        <v>46031</v>
      </c>
      <c r="C34" s="23" t="s">
        <v>49</v>
      </c>
      <c r="D34" s="37" t="s">
        <v>442</v>
      </c>
      <c r="E34" s="23" t="s">
        <v>2403</v>
      </c>
      <c r="F34" s="31">
        <v>12042</v>
      </c>
      <c r="G34" s="31"/>
      <c r="H34" s="31">
        <f>Cty_Sao_Viet[[#This Row],[ĐƠN GIÁ]]*Cty_Sao_Viet[[#This Row],[SỐ LƯỢNG]]</f>
        <v>0</v>
      </c>
      <c r="I34" s="31"/>
      <c r="J34" s="31">
        <f>J33+Cty_Sao_Viet[[#This Row],[THÀNH TIỀN]]-Cty_Sao_Viet[[#This Row],[THANH TOÁN]]</f>
        <v>-433437200</v>
      </c>
      <c r="K34" s="133" t="s">
        <v>2404</v>
      </c>
    </row>
    <row r="35" spans="1:11" x14ac:dyDescent="0.25">
      <c r="A35" s="22">
        <v>7081</v>
      </c>
      <c r="B35" s="29">
        <v>46031</v>
      </c>
      <c r="C35" s="23" t="s">
        <v>49</v>
      </c>
      <c r="D35" s="37" t="s">
        <v>442</v>
      </c>
      <c r="E35" s="23" t="s">
        <v>2403</v>
      </c>
      <c r="F35" s="31">
        <v>11856</v>
      </c>
      <c r="G35" s="31"/>
      <c r="H35" s="31">
        <f>Cty_Sao_Viet[[#This Row],[ĐƠN GIÁ]]*Cty_Sao_Viet[[#This Row],[SỐ LƯỢNG]]</f>
        <v>0</v>
      </c>
      <c r="I35" s="31"/>
      <c r="J35" s="31">
        <f>J34+Cty_Sao_Viet[[#This Row],[THÀNH TIỀN]]-Cty_Sao_Viet[[#This Row],[THANH TOÁN]]</f>
        <v>-433437200</v>
      </c>
      <c r="K35" s="133"/>
    </row>
    <row r="36" spans="1:11" ht="31.5" x14ac:dyDescent="0.25">
      <c r="A36" s="22">
        <v>7118</v>
      </c>
      <c r="B36" s="29">
        <v>46034</v>
      </c>
      <c r="C36" s="23" t="s">
        <v>49</v>
      </c>
      <c r="D36" s="37" t="s">
        <v>442</v>
      </c>
      <c r="E36" s="23" t="s">
        <v>2411</v>
      </c>
      <c r="F36" s="31">
        <v>12038</v>
      </c>
      <c r="G36" s="31"/>
      <c r="H36" s="31">
        <f>Cty_Sao_Viet[[#This Row],[ĐƠN GIÁ]]*Cty_Sao_Viet[[#This Row],[SỐ LƯỢNG]]</f>
        <v>0</v>
      </c>
      <c r="I36" s="31"/>
      <c r="J36" s="31">
        <f>J35+Cty_Sao_Viet[[#This Row],[THÀNH TIỀN]]-Cty_Sao_Viet[[#This Row],[THANH TOÁN]]</f>
        <v>-433437200</v>
      </c>
      <c r="K36" s="133" t="s">
        <v>2412</v>
      </c>
    </row>
    <row r="37" spans="1:11" ht="31.5" x14ac:dyDescent="0.25">
      <c r="A37" s="22">
        <v>7118</v>
      </c>
      <c r="B37" s="29">
        <v>46034</v>
      </c>
      <c r="C37" s="23" t="s">
        <v>49</v>
      </c>
      <c r="D37" s="37" t="s">
        <v>442</v>
      </c>
      <c r="E37" s="23" t="s">
        <v>2413</v>
      </c>
      <c r="F37" s="31">
        <v>12066</v>
      </c>
      <c r="G37" s="31"/>
      <c r="H37" s="31">
        <f>Cty_Sao_Viet[[#This Row],[ĐƠN GIÁ]]*Cty_Sao_Viet[[#This Row],[SỐ LƯỢNG]]</f>
        <v>0</v>
      </c>
      <c r="I37" s="31"/>
      <c r="J37" s="31">
        <f>J36+Cty_Sao_Viet[[#This Row],[THÀNH TIỀN]]-Cty_Sao_Viet[[#This Row],[THANH TOÁN]]</f>
        <v>-433437200</v>
      </c>
      <c r="K37" s="133" t="s">
        <v>2414</v>
      </c>
    </row>
    <row r="38" spans="1:11" x14ac:dyDescent="0.25">
      <c r="A38" s="22">
        <v>7151</v>
      </c>
      <c r="B38" s="29">
        <v>46035</v>
      </c>
      <c r="C38" s="23" t="s">
        <v>49</v>
      </c>
      <c r="D38" s="37" t="s">
        <v>442</v>
      </c>
      <c r="E38" s="23" t="s">
        <v>1397</v>
      </c>
      <c r="F38" s="31">
        <v>12000</v>
      </c>
      <c r="G38" s="31"/>
      <c r="H38" s="31">
        <f>Cty_Sao_Viet[[#This Row],[ĐƠN GIÁ]]*Cty_Sao_Viet[[#This Row],[SỐ LƯỢNG]]</f>
        <v>0</v>
      </c>
      <c r="I38" s="31"/>
      <c r="J38" s="31">
        <f>J37+Cty_Sao_Viet[[#This Row],[THÀNH TIỀN]]-Cty_Sao_Viet[[#This Row],[THANH TOÁN]]</f>
        <v>-433437200</v>
      </c>
      <c r="K38" s="133"/>
    </row>
    <row r="39" spans="1:11" x14ac:dyDescent="0.25">
      <c r="A39" s="22">
        <v>7345</v>
      </c>
      <c r="B39" s="29">
        <v>46045</v>
      </c>
      <c r="C39" s="23" t="s">
        <v>49</v>
      </c>
      <c r="D39" s="37" t="s">
        <v>442</v>
      </c>
      <c r="E39" s="23" t="s">
        <v>2450</v>
      </c>
      <c r="F39" s="31">
        <v>11856</v>
      </c>
      <c r="G39" s="31"/>
      <c r="H39" s="31">
        <f>Cty_Sao_Viet[[#This Row],[ĐƠN GIÁ]]*Cty_Sao_Viet[[#This Row],[SỐ LƯỢNG]]</f>
        <v>0</v>
      </c>
      <c r="I39" s="31"/>
      <c r="J39" s="31">
        <f>J38+Cty_Sao_Viet[[#This Row],[THÀNH TIỀN]]-Cty_Sao_Viet[[#This Row],[THANH TOÁN]]</f>
        <v>-433437200</v>
      </c>
      <c r="K39" s="133" t="s">
        <v>2451</v>
      </c>
    </row>
    <row r="40" spans="1:11" x14ac:dyDescent="0.25">
      <c r="A40" s="22">
        <v>7390</v>
      </c>
      <c r="B40" s="29">
        <v>46048</v>
      </c>
      <c r="C40" s="23" t="s">
        <v>49</v>
      </c>
      <c r="D40" s="37" t="s">
        <v>442</v>
      </c>
      <c r="E40" s="23" t="s">
        <v>1322</v>
      </c>
      <c r="F40" s="31">
        <v>11524</v>
      </c>
      <c r="G40" s="31"/>
      <c r="H40" s="31">
        <f>Cty_Sao_Viet[[#This Row],[ĐƠN GIÁ]]*Cty_Sao_Viet[[#This Row],[SỐ LƯỢNG]]</f>
        <v>0</v>
      </c>
      <c r="I40" s="31"/>
      <c r="J40" s="31">
        <f>J39+Cty_Sao_Viet[[#This Row],[THÀNH TIỀN]]-Cty_Sao_Viet[[#This Row],[THANH TOÁN]]</f>
        <v>-433437200</v>
      </c>
      <c r="K40" s="133"/>
    </row>
    <row r="41" spans="1:11" x14ac:dyDescent="0.25">
      <c r="A41" s="71" t="s">
        <v>2495</v>
      </c>
      <c r="B41" s="72">
        <v>46169</v>
      </c>
      <c r="C41" s="73" t="s">
        <v>692</v>
      </c>
      <c r="D41" s="56" t="s">
        <v>2496</v>
      </c>
      <c r="E41" s="73" t="s">
        <v>2482</v>
      </c>
      <c r="F41" s="74">
        <v>1125</v>
      </c>
      <c r="G41" s="74"/>
      <c r="H41" s="74">
        <f>Cty_Sao_Viet[[#This Row],[ĐƠN GIÁ]]*Cty_Sao_Viet[[#This Row],[SỐ LƯỢNG]]</f>
        <v>0</v>
      </c>
      <c r="I41" s="74"/>
      <c r="J41" s="74">
        <f>J40+Cty_Sao_Viet[[#This Row],[THÀNH TIỀN]]-Cty_Sao_Viet[[#This Row],[THANH TOÁN]]</f>
        <v>-433437200</v>
      </c>
      <c r="K41" s="75"/>
    </row>
    <row r="42" spans="1:11" x14ac:dyDescent="0.25">
      <c r="A42" s="151"/>
      <c r="B42" s="152">
        <v>46171</v>
      </c>
      <c r="C42" s="55" t="s">
        <v>2214</v>
      </c>
      <c r="D42" s="149" t="s">
        <v>22</v>
      </c>
      <c r="E42" s="55" t="s">
        <v>83</v>
      </c>
      <c r="F42" s="57">
        <v>0</v>
      </c>
      <c r="G42" s="57"/>
      <c r="H42" s="57">
        <f>Cty_Sao_Viet[[#This Row],[ĐƠN GIÁ]]*Cty_Sao_Viet[[#This Row],[SỐ LƯỢNG]]</f>
        <v>0</v>
      </c>
      <c r="I42" s="57">
        <v>-150000000</v>
      </c>
      <c r="J42" s="57">
        <f>J41+Cty_Sao_Viet[[#This Row],[THÀNH TIỀN]]-Cty_Sao_Viet[[#This Row],[THANH TOÁN]]</f>
        <v>-283437200</v>
      </c>
      <c r="K42" s="58"/>
    </row>
    <row r="43" spans="1:11" x14ac:dyDescent="0.25">
      <c r="A43" s="22">
        <v>7500</v>
      </c>
      <c r="B43" s="29">
        <v>46055</v>
      </c>
      <c r="C43" s="23" t="s">
        <v>49</v>
      </c>
      <c r="D43" s="37" t="s">
        <v>270</v>
      </c>
      <c r="E43" s="23" t="s">
        <v>1322</v>
      </c>
      <c r="F43" s="31">
        <v>11524</v>
      </c>
      <c r="G43" s="31"/>
      <c r="H43" s="31">
        <f>Cty_Sao_Viet[[#This Row],[ĐƠN GIÁ]]*Cty_Sao_Viet[[#This Row],[SỐ LƯỢNG]]</f>
        <v>0</v>
      </c>
      <c r="I43" s="31"/>
      <c r="J43" s="31">
        <f>J42+Cty_Sao_Viet[[#This Row],[THÀNH TIỀN]]-Cty_Sao_Viet[[#This Row],[THANH TOÁN]]</f>
        <v>-283437200</v>
      </c>
      <c r="K43" s="24"/>
    </row>
    <row r="44" spans="1:11" x14ac:dyDescent="0.25">
      <c r="A44" s="22">
        <v>7611</v>
      </c>
      <c r="B44" s="29">
        <v>46062</v>
      </c>
      <c r="C44" s="23" t="s">
        <v>49</v>
      </c>
      <c r="D44" s="37" t="s">
        <v>442</v>
      </c>
      <c r="E44" s="23" t="s">
        <v>2565</v>
      </c>
      <c r="F44" s="31">
        <v>12860</v>
      </c>
      <c r="G44" s="31"/>
      <c r="H44" s="31">
        <f>Cty_Sao_Viet[[#This Row],[ĐƠN GIÁ]]*Cty_Sao_Viet[[#This Row],[SỐ LƯỢNG]]</f>
        <v>0</v>
      </c>
      <c r="I44" s="31"/>
      <c r="J44" s="31">
        <f>J43+Cty_Sao_Viet[[#This Row],[THÀNH TIỀN]]-Cty_Sao_Viet[[#This Row],[THANH TOÁN]]</f>
        <v>-283437200</v>
      </c>
      <c r="K44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0B1EF0-DD6D-4D5A-9ABD-C731169E6E92}">
  <sheetPr codeName="Sheet151"/>
  <dimension ref="A5:K17"/>
  <sheetViews>
    <sheetView workbookViewId="0">
      <selection activeCell="B16" sqref="B16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42000</v>
      </c>
    </row>
    <row r="6" spans="1:11" ht="22.5" x14ac:dyDescent="0.25">
      <c r="D6" s="34" t="s">
        <v>1411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>
        <v>46081</v>
      </c>
      <c r="C10" s="23" t="s">
        <v>12</v>
      </c>
      <c r="D10" s="37"/>
      <c r="E10" s="23"/>
      <c r="F10" s="31"/>
      <c r="G10" s="31"/>
      <c r="H10" s="31">
        <f>Cty_Hoang_Linh[[#This Row],[ĐƠN GIÁ]]*Cty_Hoang_Linh[[#This Row],[SỐ LƯỢNG]]</f>
        <v>0</v>
      </c>
      <c r="I10" s="31"/>
      <c r="J10" s="31">
        <v>0</v>
      </c>
      <c r="K10" s="24"/>
    </row>
    <row r="11" spans="1:11" x14ac:dyDescent="0.25">
      <c r="A11" s="22">
        <v>8411</v>
      </c>
      <c r="B11" s="29">
        <v>46111</v>
      </c>
      <c r="C11" s="23" t="s">
        <v>13</v>
      </c>
      <c r="D11" s="37" t="s">
        <v>26</v>
      </c>
      <c r="E11" s="23" t="s">
        <v>1412</v>
      </c>
      <c r="F11" s="31">
        <v>3352</v>
      </c>
      <c r="G11" s="31">
        <v>28500</v>
      </c>
      <c r="H11" s="31">
        <f>Cty_Hoang_Linh[[#This Row],[ĐƠN GIÁ]]*Cty_Hoang_Linh[[#This Row],[SỐ LƯỢNG]]</f>
        <v>95532000</v>
      </c>
      <c r="I11" s="31"/>
      <c r="J11" s="31">
        <f>J10+Cty_Hoang_Linh[[#This Row],[THÀNH TIỀN]]-Cty_Hoang_Linh[[#This Row],[THANH TOÁN]]</f>
        <v>95532000</v>
      </c>
      <c r="K11" s="24"/>
    </row>
    <row r="12" spans="1:11" x14ac:dyDescent="0.25">
      <c r="A12" s="22">
        <v>8411</v>
      </c>
      <c r="B12" s="29">
        <v>46111</v>
      </c>
      <c r="C12" s="23" t="s">
        <v>13</v>
      </c>
      <c r="D12" s="37" t="s">
        <v>26</v>
      </c>
      <c r="E12" s="23" t="s">
        <v>1413</v>
      </c>
      <c r="F12" s="31">
        <v>5918</v>
      </c>
      <c r="G12" s="31">
        <v>26500</v>
      </c>
      <c r="H12" s="31">
        <f>Cty_Hoang_Linh[[#This Row],[ĐƠN GIÁ]]*Cty_Hoang_Linh[[#This Row],[SỐ LƯỢNG]]</f>
        <v>156827000</v>
      </c>
      <c r="I12" s="31"/>
      <c r="J12" s="31">
        <f>J11+Cty_Hoang_Linh[[#This Row],[THÀNH TIỀN]]-Cty_Hoang_Linh[[#This Row],[THANH TOÁN]]</f>
        <v>252359000</v>
      </c>
      <c r="K12" s="24"/>
    </row>
    <row r="13" spans="1:11" x14ac:dyDescent="0.25">
      <c r="A13" s="25">
        <v>8412</v>
      </c>
      <c r="B13" s="30">
        <v>46111</v>
      </c>
      <c r="C13" s="26" t="s">
        <v>13</v>
      </c>
      <c r="D13" s="38" t="s">
        <v>77</v>
      </c>
      <c r="E13" s="26" t="s">
        <v>1414</v>
      </c>
      <c r="F13" s="28">
        <v>3384</v>
      </c>
      <c r="G13" s="28">
        <v>28500</v>
      </c>
      <c r="H13" s="28">
        <f>Cty_Hoang_Linh[[#This Row],[ĐƠN GIÁ]]*Cty_Hoang_Linh[[#This Row],[SỐ LƯỢNG]]</f>
        <v>96444000</v>
      </c>
      <c r="I13" s="28"/>
      <c r="J13" s="28">
        <f>J12+Cty_Hoang_Linh[[#This Row],[THÀNH TIỀN]]-Cty_Hoang_Linh[[#This Row],[THANH TOÁN]]</f>
        <v>348803000</v>
      </c>
      <c r="K13" s="27"/>
    </row>
    <row r="14" spans="1:11" x14ac:dyDescent="0.25">
      <c r="A14" s="22"/>
      <c r="B14" s="29">
        <v>46111</v>
      </c>
      <c r="C14" s="23" t="s">
        <v>21</v>
      </c>
      <c r="D14" s="37" t="s">
        <v>22</v>
      </c>
      <c r="E14" s="23" t="s">
        <v>727</v>
      </c>
      <c r="F14" s="31">
        <v>0</v>
      </c>
      <c r="G14" s="31"/>
      <c r="H14" s="31">
        <f>Cty_Hoang_Linh[[#This Row],[ĐƠN GIÁ]]*Cty_Hoang_Linh[[#This Row],[SỐ LƯỢNG]]</f>
        <v>0</v>
      </c>
      <c r="I14" s="31">
        <v>348800000</v>
      </c>
      <c r="J14" s="31">
        <f>J13+Cty_Hoang_Linh[[#This Row],[THÀNH TIỀN]]-Cty_Hoang_Linh[[#This Row],[THANH TOÁN]]</f>
        <v>3000</v>
      </c>
      <c r="K14" s="24"/>
    </row>
    <row r="15" spans="1:11" x14ac:dyDescent="0.25">
      <c r="A15" s="22">
        <v>8669</v>
      </c>
      <c r="B15" s="29">
        <v>46122</v>
      </c>
      <c r="C15" s="23" t="s">
        <v>13</v>
      </c>
      <c r="D15" s="37" t="s">
        <v>26</v>
      </c>
      <c r="E15" s="23" t="s">
        <v>806</v>
      </c>
      <c r="F15" s="31">
        <v>3656</v>
      </c>
      <c r="G15" s="31">
        <v>29000</v>
      </c>
      <c r="H15" s="31">
        <f>Cty_Hoang_Linh[[#This Row],[ĐƠN GIÁ]]*Cty_Hoang_Linh[[#This Row],[SỐ LƯỢNG]]</f>
        <v>106024000</v>
      </c>
      <c r="I15" s="31"/>
      <c r="J15" s="31">
        <f>J14+Cty_Hoang_Linh[[#This Row],[THÀNH TIỀN]]-Cty_Hoang_Linh[[#This Row],[THANH TOÁN]]</f>
        <v>106027000</v>
      </c>
      <c r="K15" s="24" t="s">
        <v>1415</v>
      </c>
    </row>
    <row r="16" spans="1:11" x14ac:dyDescent="0.25">
      <c r="A16" s="22">
        <v>8669</v>
      </c>
      <c r="B16" s="29">
        <v>46122</v>
      </c>
      <c r="C16" s="23" t="s">
        <v>13</v>
      </c>
      <c r="D16" s="37" t="s">
        <v>26</v>
      </c>
      <c r="E16" s="23" t="s">
        <v>1416</v>
      </c>
      <c r="F16" s="31">
        <v>135</v>
      </c>
      <c r="G16" s="31">
        <v>29000</v>
      </c>
      <c r="H16" s="31">
        <f>Cty_Hoang_Linh[[#This Row],[ĐƠN GIÁ]]*Cty_Hoang_Linh[[#This Row],[SỐ LƯỢNG]]</f>
        <v>3915000</v>
      </c>
      <c r="I16" s="31"/>
      <c r="J16" s="31">
        <f>J15+Cty_Hoang_Linh[[#This Row],[THÀNH TIỀN]]-Cty_Hoang_Linh[[#This Row],[THANH TOÁN]]</f>
        <v>109942000</v>
      </c>
      <c r="K16" s="24"/>
    </row>
    <row r="17" spans="1:11" x14ac:dyDescent="0.25">
      <c r="A17" s="25"/>
      <c r="B17" s="30">
        <v>46122</v>
      </c>
      <c r="C17" s="26" t="s">
        <v>21</v>
      </c>
      <c r="D17" s="38" t="s">
        <v>22</v>
      </c>
      <c r="E17" s="26" t="s">
        <v>726</v>
      </c>
      <c r="F17" s="28">
        <v>0</v>
      </c>
      <c r="G17" s="28"/>
      <c r="H17" s="28">
        <f>Cty_Hoang_Linh[[#This Row],[ĐƠN GIÁ]]*Cty_Hoang_Linh[[#This Row],[SỐ LƯỢNG]]</f>
        <v>0</v>
      </c>
      <c r="I17" s="28">
        <v>109900000</v>
      </c>
      <c r="J17" s="28">
        <f>J16+Cty_Hoang_Linh[[#This Row],[THÀNH TIỀN]]-Cty_Hoang_Linh[[#This Row],[THANH TOÁN]]</f>
        <v>42000</v>
      </c>
      <c r="K17" s="27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8848D-60A1-4F1D-84EB-19D2D37278AF}">
  <sheetPr codeName="Sheet152"/>
  <dimension ref="A5:K12"/>
  <sheetViews>
    <sheetView workbookViewId="0">
      <selection activeCell="D5" sqref="D5:D6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0</v>
      </c>
    </row>
    <row r="6" spans="1:11" ht="22.5" x14ac:dyDescent="0.25">
      <c r="D6" s="34" t="s">
        <v>1417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Cty_Thai_An_HY[[#This Row],[ĐƠN GIÁ]]*Cty_Thai_An_HY[[#This Row],[SỐ LƯỢNG]]</f>
        <v>0</v>
      </c>
      <c r="I10" s="31"/>
      <c r="J10" s="31">
        <v>0</v>
      </c>
      <c r="K10" s="24"/>
    </row>
    <row r="11" spans="1:11" x14ac:dyDescent="0.25">
      <c r="A11" s="22">
        <v>8444</v>
      </c>
      <c r="B11" s="29">
        <v>46112</v>
      </c>
      <c r="C11" s="23" t="s">
        <v>13</v>
      </c>
      <c r="D11" s="37" t="s">
        <v>45</v>
      </c>
      <c r="E11" s="23" t="s">
        <v>888</v>
      </c>
      <c r="F11" s="31">
        <v>5558</v>
      </c>
      <c r="G11" s="31">
        <v>34000</v>
      </c>
      <c r="H11" s="31">
        <f>Cty_Thai_An_HY[[#This Row],[ĐƠN GIÁ]]*Cty_Thai_An_HY[[#This Row],[SỐ LƯỢNG]]</f>
        <v>188972000</v>
      </c>
      <c r="I11" s="31"/>
      <c r="J11" s="31">
        <f>J10+Cty_Thai_An_HY[[#This Row],[THÀNH TIỀN]]-Cty_Thai_An_HY[[#This Row],[THANH TOÁN]]</f>
        <v>188972000</v>
      </c>
      <c r="K11" s="24"/>
    </row>
    <row r="12" spans="1:11" x14ac:dyDescent="0.25">
      <c r="A12" s="22"/>
      <c r="B12" s="29">
        <v>46141</v>
      </c>
      <c r="C12" s="23" t="s">
        <v>21</v>
      </c>
      <c r="D12" s="37" t="s">
        <v>24</v>
      </c>
      <c r="E12" s="23"/>
      <c r="F12" s="31">
        <v>0</v>
      </c>
      <c r="G12" s="31"/>
      <c r="H12" s="31">
        <f>Cty_Thai_An_HY[[#This Row],[ĐƠN GIÁ]]*Cty_Thai_An_HY[[#This Row],[SỐ LƯỢNG]]</f>
        <v>0</v>
      </c>
      <c r="I12" s="31">
        <v>188972000</v>
      </c>
      <c r="J12" s="31">
        <f>J11+Cty_Thai_An_HY[[#This Row],[THÀNH TIỀN]]-Cty_Thai_An_HY[[#This Row],[THANH TOÁN]]</f>
        <v>0</v>
      </c>
      <c r="K12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5B11A8-FE73-4D39-9A01-448B01A10844}">
  <sheetPr codeName="Sheet153"/>
  <dimension ref="A5:K12"/>
  <sheetViews>
    <sheetView workbookViewId="0">
      <selection activeCell="K5" sqref="K5"/>
    </sheetView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5000</v>
      </c>
    </row>
    <row r="6" spans="1:11" ht="22.5" x14ac:dyDescent="0.25">
      <c r="D6" s="34" t="s">
        <v>1418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Cty_Tu_Phuong_QB[[#This Row],[ĐƠN GIÁ]]*Cty_Tu_Phuong_QB[[#This Row],[SỐ LƯỢNG]]</f>
        <v>0</v>
      </c>
      <c r="I10" s="31"/>
      <c r="J10" s="31">
        <v>0</v>
      </c>
      <c r="K10" s="24"/>
    </row>
    <row r="11" spans="1:11" x14ac:dyDescent="0.25">
      <c r="A11" s="22">
        <v>8842</v>
      </c>
      <c r="B11" s="29">
        <v>46129</v>
      </c>
      <c r="C11" s="23" t="s">
        <v>13</v>
      </c>
      <c r="D11" s="37" t="s">
        <v>17</v>
      </c>
      <c r="E11" s="23" t="s">
        <v>46</v>
      </c>
      <c r="F11" s="31">
        <v>174</v>
      </c>
      <c r="G11" s="31">
        <v>67500</v>
      </c>
      <c r="H11" s="31">
        <f>Cty_Tu_Phuong_QB[[#This Row],[ĐƠN GIÁ]]*Cty_Tu_Phuong_QB[[#This Row],[SỐ LƯỢNG]]</f>
        <v>11745000</v>
      </c>
      <c r="I11" s="31"/>
      <c r="J11" s="31">
        <f>J10+Cty_Tu_Phuong_QB[[#This Row],[THÀNH TIỀN]]-Cty_Tu_Phuong_QB[[#This Row],[THANH TOÁN]]</f>
        <v>11745000</v>
      </c>
      <c r="K11" s="24"/>
    </row>
    <row r="12" spans="1:11" x14ac:dyDescent="0.25">
      <c r="A12" s="25"/>
      <c r="B12" s="30">
        <v>46136</v>
      </c>
      <c r="C12" s="26" t="s">
        <v>21</v>
      </c>
      <c r="D12" s="38" t="s">
        <v>22</v>
      </c>
      <c r="E12" s="26"/>
      <c r="F12" s="28">
        <v>0</v>
      </c>
      <c r="G12" s="28"/>
      <c r="H12" s="28">
        <f>Cty_Tu_Phuong_QB[[#This Row],[ĐƠN GIÁ]]*Cty_Tu_Phuong_QB[[#This Row],[SỐ LƯỢNG]]</f>
        <v>0</v>
      </c>
      <c r="I12" s="28">
        <v>11740000</v>
      </c>
      <c r="J12" s="28">
        <f>J11+Cty_Tu_Phuong_QB[[#This Row],[THÀNH TIỀN]]-Cty_Tu_Phuong_QB[[#This Row],[THANH TOÁN]]</f>
        <v>5000</v>
      </c>
      <c r="K12" s="27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7F84DC-AE64-4793-BD7D-30EBAEED1FC4}">
  <sheetPr codeName="Sheet154"/>
  <dimension ref="A5:K15"/>
  <sheetViews>
    <sheetView workbookViewId="0"/>
  </sheetViews>
  <sheetFormatPr defaultColWidth="9.140625" defaultRowHeight="15.75" x14ac:dyDescent="0.25"/>
  <cols>
    <col min="1" max="1" width="15.85546875" style="1" bestFit="1" customWidth="1"/>
    <col min="2" max="2" width="13.140625" style="1" bestFit="1" customWidth="1"/>
    <col min="3" max="3" width="16.42578125" style="1" bestFit="1" customWidth="1"/>
    <col min="4" max="4" width="19.28515625" style="1" customWidth="1"/>
    <col min="5" max="5" width="20.5703125" style="1" bestFit="1" customWidth="1"/>
    <col min="6" max="6" width="18.5703125" style="1" bestFit="1" customWidth="1"/>
    <col min="7" max="7" width="23.28515625" style="1" bestFit="1" customWidth="1"/>
    <col min="8" max="8" width="24.42578125" style="1" bestFit="1" customWidth="1"/>
    <col min="9" max="9" width="19.140625" style="1" bestFit="1" customWidth="1"/>
    <col min="10" max="10" width="15" style="1" bestFit="1" customWidth="1"/>
    <col min="11" max="11" width="16.140625" style="1" customWidth="1"/>
    <col min="12" max="14" width="9.140625" style="1"/>
    <col min="15" max="15" width="12.42578125" style="1" bestFit="1" customWidth="1"/>
    <col min="16" max="16384" width="9.140625" style="1"/>
  </cols>
  <sheetData>
    <row r="5" spans="1:11" ht="25.5" x14ac:dyDescent="0.25">
      <c r="D5" s="33" t="s">
        <v>0</v>
      </c>
      <c r="E5" s="33"/>
      <c r="F5" s="163">
        <v>1020000</v>
      </c>
    </row>
    <row r="6" spans="1:11" ht="22.5" x14ac:dyDescent="0.25">
      <c r="D6" s="34" t="s">
        <v>1419</v>
      </c>
      <c r="E6" s="34"/>
      <c r="F6" s="21"/>
    </row>
    <row r="9" spans="1:11" ht="37.5" x14ac:dyDescent="0.25">
      <c r="A9" s="10" t="s">
        <v>2</v>
      </c>
      <c r="B9" s="19" t="s">
        <v>3</v>
      </c>
      <c r="C9" s="11" t="s">
        <v>4</v>
      </c>
      <c r="D9" s="11" t="s">
        <v>5</v>
      </c>
      <c r="E9" s="11" t="s">
        <v>6</v>
      </c>
      <c r="F9" s="11" t="s">
        <v>7</v>
      </c>
      <c r="G9" s="11" t="s">
        <v>2011</v>
      </c>
      <c r="H9" s="11" t="s">
        <v>8</v>
      </c>
      <c r="I9" s="11" t="s">
        <v>9</v>
      </c>
      <c r="J9" s="13" t="s">
        <v>10</v>
      </c>
      <c r="K9" s="14" t="s">
        <v>11</v>
      </c>
    </row>
    <row r="10" spans="1:11" x14ac:dyDescent="0.25">
      <c r="A10" s="22"/>
      <c r="B10" s="29"/>
      <c r="C10" s="23" t="s">
        <v>12</v>
      </c>
      <c r="D10" s="37"/>
      <c r="E10" s="23"/>
      <c r="F10" s="31"/>
      <c r="G10" s="31"/>
      <c r="H10" s="31">
        <f>A_Khuyen_Ecopark[[#This Row],[ĐƠN GIÁ]]*A_Khuyen_Ecopark[[#This Row],[SỐ LƯỢNG]]</f>
        <v>0</v>
      </c>
      <c r="I10" s="31"/>
      <c r="J10" s="31">
        <v>0</v>
      </c>
      <c r="K10" s="24"/>
    </row>
    <row r="11" spans="1:11" x14ac:dyDescent="0.25">
      <c r="A11" s="22">
        <v>8447</v>
      </c>
      <c r="B11" s="29">
        <v>46112</v>
      </c>
      <c r="C11" s="23" t="s">
        <v>13</v>
      </c>
      <c r="D11" s="37" t="s">
        <v>26</v>
      </c>
      <c r="E11" s="23" t="s">
        <v>148</v>
      </c>
      <c r="F11" s="31">
        <v>2014</v>
      </c>
      <c r="G11" s="31">
        <v>35000</v>
      </c>
      <c r="H11" s="31">
        <f>A_Khuyen_Ecopark[[#This Row],[ĐƠN GIÁ]]*A_Khuyen_Ecopark[[#This Row],[SỐ LƯỢNG]]</f>
        <v>70490000</v>
      </c>
      <c r="I11" s="31"/>
      <c r="J11" s="31">
        <f>J10+A_Khuyen_Ecopark[[#This Row],[THÀNH TIỀN]]-A_Khuyen_Ecopark[[#This Row],[THANH TOÁN]]</f>
        <v>70490000</v>
      </c>
      <c r="K11" s="24"/>
    </row>
    <row r="12" spans="1:11" x14ac:dyDescent="0.25">
      <c r="A12" s="22"/>
      <c r="B12" s="29">
        <v>46123</v>
      </c>
      <c r="C12" s="23" t="s">
        <v>21</v>
      </c>
      <c r="D12" s="37" t="s">
        <v>22</v>
      </c>
      <c r="E12" s="23" t="s">
        <v>726</v>
      </c>
      <c r="F12" s="31">
        <v>0</v>
      </c>
      <c r="G12" s="31"/>
      <c r="H12" s="31">
        <f>A_Khuyen_Ecopark[[#This Row],[ĐƠN GIÁ]]*A_Khuyen_Ecopark[[#This Row],[SỐ LƯỢNG]]</f>
        <v>0</v>
      </c>
      <c r="I12" s="31">
        <v>70000000</v>
      </c>
      <c r="J12" s="31">
        <f>J11+A_Khuyen_Ecopark[[#This Row],[THÀNH TIỀN]]-A_Khuyen_Ecopark[[#This Row],[THANH TOÁN]]</f>
        <v>490000</v>
      </c>
      <c r="K12" s="24"/>
    </row>
    <row r="13" spans="1:11" x14ac:dyDescent="0.25">
      <c r="A13" s="22">
        <v>8922</v>
      </c>
      <c r="B13" s="29">
        <v>46133</v>
      </c>
      <c r="C13" s="23" t="s">
        <v>13</v>
      </c>
      <c r="D13" s="37" t="s">
        <v>26</v>
      </c>
      <c r="E13" s="23" t="s">
        <v>148</v>
      </c>
      <c r="F13" s="31">
        <v>578</v>
      </c>
      <c r="G13" s="31">
        <v>35000</v>
      </c>
      <c r="H13" s="31">
        <f>A_Khuyen_Ecopark[[#This Row],[ĐƠN GIÁ]]*A_Khuyen_Ecopark[[#This Row],[SỐ LƯỢNG]]</f>
        <v>20230000</v>
      </c>
      <c r="I13" s="31"/>
      <c r="J13" s="31">
        <f>J12+A_Khuyen_Ecopark[[#This Row],[THÀNH TIỀN]]-A_Khuyen_Ecopark[[#This Row],[THANH TOÁN]]</f>
        <v>20720000</v>
      </c>
      <c r="K13" s="24" t="s">
        <v>42</v>
      </c>
    </row>
    <row r="14" spans="1:11" x14ac:dyDescent="0.25">
      <c r="A14" s="22">
        <v>9071</v>
      </c>
      <c r="B14" s="29">
        <v>46140</v>
      </c>
      <c r="C14" s="23" t="s">
        <v>13</v>
      </c>
      <c r="D14" s="37" t="s">
        <v>26</v>
      </c>
      <c r="E14" s="23" t="s">
        <v>1857</v>
      </c>
      <c r="F14" s="31">
        <v>580</v>
      </c>
      <c r="G14" s="31">
        <v>35000</v>
      </c>
      <c r="H14" s="31">
        <f>A_Khuyen_Ecopark[[#This Row],[ĐƠN GIÁ]]*A_Khuyen_Ecopark[[#This Row],[SỐ LƯỢNG]]</f>
        <v>20300000</v>
      </c>
      <c r="I14" s="31"/>
      <c r="J14" s="31">
        <f>J13+A_Khuyen_Ecopark[[#This Row],[THÀNH TIỀN]]-A_Khuyen_Ecopark[[#This Row],[THANH TOÁN]]</f>
        <v>41020000</v>
      </c>
      <c r="K14" s="24"/>
    </row>
    <row r="15" spans="1:11" x14ac:dyDescent="0.25">
      <c r="A15" s="22"/>
      <c r="B15" s="29">
        <v>46146</v>
      </c>
      <c r="C15" s="23" t="s">
        <v>21</v>
      </c>
      <c r="D15" s="37" t="s">
        <v>22</v>
      </c>
      <c r="E15" s="23" t="s">
        <v>726</v>
      </c>
      <c r="F15" s="31">
        <v>0</v>
      </c>
      <c r="G15" s="31"/>
      <c r="H15" s="31">
        <f>A_Khuyen_Ecopark[[#This Row],[ĐƠN GIÁ]]*A_Khuyen_Ecopark[[#This Row],[SỐ LƯỢNG]]</f>
        <v>0</v>
      </c>
      <c r="I15" s="31">
        <v>40000000</v>
      </c>
      <c r="J15" s="31">
        <f>J14+A_Khuyen_Ecopark[[#This Row],[THÀNH TIỀN]]-A_Khuyen_Ecopark[[#This Row],[THANH TOÁN]]</f>
        <v>1020000</v>
      </c>
      <c r="K15" s="24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058D5-9060-4717-ACDD-533FF787E2C4}">
  <sheetPr codeName="Sheet84"/>
  <dimension ref="A5:K15"/>
  <sheetViews>
    <sheetView workbookViewId="0">
      <selection activeCell="I15" sqref="I15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0</v>
      </c>
    </row>
    <row r="6" spans="1:11" ht="22.5" x14ac:dyDescent="0.25">
      <c r="D6" s="84" t="s">
        <v>1901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>
        <v>46081</v>
      </c>
      <c r="C10" s="92" t="s">
        <v>12</v>
      </c>
      <c r="D10" s="93"/>
      <c r="E10" s="92"/>
      <c r="F10" s="94"/>
      <c r="G10" s="94"/>
      <c r="H10" s="94">
        <f>Cty_CN_Ha_Thanh[[#This Row],[ĐƠN GIÁ]]*Cty_CN_Ha_Thanh[[#This Row],[SỐ LƯỢNG]]</f>
        <v>0</v>
      </c>
      <c r="I10" s="94"/>
      <c r="J10" s="94">
        <v>0</v>
      </c>
      <c r="K10" s="95"/>
    </row>
    <row r="11" spans="1:11" x14ac:dyDescent="0.25">
      <c r="A11" s="90"/>
      <c r="B11" s="91">
        <v>46087</v>
      </c>
      <c r="C11" s="92" t="s">
        <v>692</v>
      </c>
      <c r="D11" s="93" t="s">
        <v>77</v>
      </c>
      <c r="E11" s="92" t="s">
        <v>339</v>
      </c>
      <c r="F11" s="94">
        <v>1993</v>
      </c>
      <c r="G11" s="94">
        <v>-30000</v>
      </c>
      <c r="H11" s="94">
        <f>Cty_CN_Ha_Thanh[[#This Row],[ĐƠN GIÁ]]*Cty_CN_Ha_Thanh[[#This Row],[SỐ LƯỢNG]]</f>
        <v>-59790000</v>
      </c>
      <c r="I11" s="94"/>
      <c r="J11" s="94">
        <f>J10+Cty_CN_Ha_Thanh[[#This Row],[THÀNH TIỀN]]-Cty_CN_Ha_Thanh[[#This Row],[THANH TOÁN]]</f>
        <v>-59790000</v>
      </c>
      <c r="K11" s="95"/>
    </row>
    <row r="12" spans="1:11" x14ac:dyDescent="0.25">
      <c r="A12" s="101"/>
      <c r="B12" s="102">
        <v>46094</v>
      </c>
      <c r="C12" s="103" t="s">
        <v>2214</v>
      </c>
      <c r="D12" s="104" t="s">
        <v>22</v>
      </c>
      <c r="E12" s="103" t="s">
        <v>83</v>
      </c>
      <c r="F12" s="105">
        <v>0</v>
      </c>
      <c r="G12" s="105"/>
      <c r="H12" s="105">
        <f>Cty_CN_Ha_Thanh[[#This Row],[ĐƠN GIÁ]]*Cty_CN_Ha_Thanh[[#This Row],[SỐ LƯỢNG]]</f>
        <v>0</v>
      </c>
      <c r="I12" s="105">
        <v>-59790598</v>
      </c>
      <c r="J12" s="105">
        <f>J11+Cty_CN_Ha_Thanh[[#This Row],[THÀNH TIỀN]]-Cty_CN_Ha_Thanh[[#This Row],[THANH TOÁN]]</f>
        <v>598</v>
      </c>
      <c r="K12" s="106"/>
    </row>
    <row r="13" spans="1:11" x14ac:dyDescent="0.25">
      <c r="A13" s="90"/>
      <c r="B13" s="91">
        <v>46097</v>
      </c>
      <c r="C13" s="92" t="s">
        <v>692</v>
      </c>
      <c r="D13" s="93" t="s">
        <v>77</v>
      </c>
      <c r="E13" s="92" t="s">
        <v>1420</v>
      </c>
      <c r="F13" s="94">
        <v>613</v>
      </c>
      <c r="G13" s="94">
        <v>-31000</v>
      </c>
      <c r="H13" s="94">
        <f>Cty_CN_Ha_Thanh[[#This Row],[ĐƠN GIÁ]]*Cty_CN_Ha_Thanh[[#This Row],[SỐ LƯỢNG]]</f>
        <v>-19003000</v>
      </c>
      <c r="I13" s="94"/>
      <c r="J13" s="94">
        <f>J12+Cty_CN_Ha_Thanh[[#This Row],[THÀNH TIỀN]]-Cty_CN_Ha_Thanh[[#This Row],[THANH TOÁN]]</f>
        <v>-19002402</v>
      </c>
      <c r="K13" s="95"/>
    </row>
    <row r="14" spans="1:11" x14ac:dyDescent="0.25">
      <c r="A14" s="90"/>
      <c r="B14" s="91">
        <v>46106</v>
      </c>
      <c r="C14" s="92" t="s">
        <v>692</v>
      </c>
      <c r="D14" s="93" t="s">
        <v>26</v>
      </c>
      <c r="E14" s="92" t="s">
        <v>1421</v>
      </c>
      <c r="F14" s="94">
        <v>2500</v>
      </c>
      <c r="G14" s="94">
        <v>-34000</v>
      </c>
      <c r="H14" s="94">
        <f>Cty_CN_Ha_Thanh[[#This Row],[ĐƠN GIÁ]]*Cty_CN_Ha_Thanh[[#This Row],[SỐ LƯỢNG]]</f>
        <v>-85000000</v>
      </c>
      <c r="I14" s="94">
        <v>471</v>
      </c>
      <c r="J14" s="94">
        <f>J13+Cty_CN_Ha_Thanh[[#This Row],[THÀNH TIỀN]]-Cty_CN_Ha_Thanh[[#This Row],[THANH TOÁN]]</f>
        <v>-104002873</v>
      </c>
      <c r="K14" s="95"/>
    </row>
    <row r="15" spans="1:11" x14ac:dyDescent="0.25">
      <c r="A15" s="101"/>
      <c r="B15" s="102">
        <v>46123</v>
      </c>
      <c r="C15" s="92" t="s">
        <v>2214</v>
      </c>
      <c r="D15" s="93" t="s">
        <v>22</v>
      </c>
      <c r="E15" s="92" t="s">
        <v>83</v>
      </c>
      <c r="F15" s="94">
        <v>0</v>
      </c>
      <c r="G15" s="105"/>
      <c r="H15" s="105">
        <f>Cty_CN_Ha_Thanh[[#This Row],[ĐƠN GIÁ]]*Cty_CN_Ha_Thanh[[#This Row],[SỐ LƯỢNG]]</f>
        <v>0</v>
      </c>
      <c r="I15" s="105">
        <v>-104002873</v>
      </c>
      <c r="J15" s="105">
        <f>J14+Cty_CN_Ha_Thanh[[#This Row],[THÀNH TIỀN]]-Cty_CN_Ha_Thanh[[#This Row],[THANH TOÁN]]</f>
        <v>0</v>
      </c>
      <c r="K15" s="106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CA0341-3899-4F14-B5B6-BCA7A8FC1FC9}">
  <sheetPr codeName="Sheet134"/>
  <dimension ref="A5:K22"/>
  <sheetViews>
    <sheetView topLeftCell="A6" workbookViewId="0">
      <selection activeCell="G15" sqref="G15:H15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29999000</v>
      </c>
    </row>
    <row r="6" spans="1:11" ht="22.5" x14ac:dyDescent="0.25">
      <c r="D6" s="84" t="s">
        <v>1422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>
        <v>46081</v>
      </c>
      <c r="C10" s="92" t="s">
        <v>12</v>
      </c>
      <c r="D10" s="93"/>
      <c r="E10" s="92"/>
      <c r="F10" s="94"/>
      <c r="G10" s="94"/>
      <c r="H10" s="94">
        <f>Cty_An_Thinh[[#This Row],[ĐƠN GIÁ]]*Cty_An_Thinh[[#This Row],[SỐ LƯỢNG]]</f>
        <v>0</v>
      </c>
      <c r="I10" s="94"/>
      <c r="J10" s="94">
        <v>0</v>
      </c>
      <c r="K10" s="95"/>
    </row>
    <row r="11" spans="1:11" x14ac:dyDescent="0.25">
      <c r="A11" s="90"/>
      <c r="B11" s="91">
        <v>46090</v>
      </c>
      <c r="C11" s="92" t="s">
        <v>1423</v>
      </c>
      <c r="D11" s="93" t="s">
        <v>1424</v>
      </c>
      <c r="E11" s="92" t="s">
        <v>1425</v>
      </c>
      <c r="F11" s="94">
        <v>1</v>
      </c>
      <c r="G11" s="94">
        <v>30000000</v>
      </c>
      <c r="H11" s="94">
        <f>Cty_An_Thinh[[#This Row],[ĐƠN GIÁ]]*Cty_An_Thinh[[#This Row],[SỐ LƯỢNG]]</f>
        <v>30000000</v>
      </c>
      <c r="I11" s="94"/>
      <c r="J11" s="94">
        <f>J10+Cty_An_Thinh[[#This Row],[THÀNH TIỀN]]-Cty_An_Thinh[[#This Row],[THANH TOÁN]]</f>
        <v>30000000</v>
      </c>
      <c r="K11" s="95"/>
    </row>
    <row r="12" spans="1:11" x14ac:dyDescent="0.25">
      <c r="A12" s="101">
        <v>161</v>
      </c>
      <c r="B12" s="102">
        <v>46091</v>
      </c>
      <c r="C12" s="103" t="s">
        <v>692</v>
      </c>
      <c r="D12" s="104" t="s">
        <v>703</v>
      </c>
      <c r="E12" s="103" t="s">
        <v>1426</v>
      </c>
      <c r="F12" s="105">
        <v>3476</v>
      </c>
      <c r="G12" s="105">
        <v>-27500</v>
      </c>
      <c r="H12" s="105">
        <f>Cty_An_Thinh[[#This Row],[ĐƠN GIÁ]]*Cty_An_Thinh[[#This Row],[SỐ LƯỢNG]]</f>
        <v>-95590000</v>
      </c>
      <c r="I12" s="105"/>
      <c r="J12" s="105">
        <f>J11+Cty_An_Thinh[[#This Row],[THÀNH TIỀN]]-Cty_An_Thinh[[#This Row],[THANH TOÁN]]</f>
        <v>-65590000</v>
      </c>
      <c r="K12" s="106"/>
    </row>
    <row r="13" spans="1:11" x14ac:dyDescent="0.25">
      <c r="A13" s="101">
        <v>156</v>
      </c>
      <c r="B13" s="102">
        <v>46091</v>
      </c>
      <c r="C13" s="103" t="s">
        <v>692</v>
      </c>
      <c r="D13" s="104" t="s">
        <v>703</v>
      </c>
      <c r="E13" s="103" t="s">
        <v>1427</v>
      </c>
      <c r="F13" s="105">
        <v>1524</v>
      </c>
      <c r="G13" s="105">
        <v>-27500</v>
      </c>
      <c r="H13" s="105">
        <f>Cty_An_Thinh[[#This Row],[ĐƠN GIÁ]]*Cty_An_Thinh[[#This Row],[SỐ LƯỢNG]]</f>
        <v>-41910000</v>
      </c>
      <c r="I13" s="105"/>
      <c r="J13" s="105">
        <f>J12+Cty_An_Thinh[[#This Row],[THÀNH TIỀN]]-Cty_An_Thinh[[#This Row],[THANH TOÁN]]</f>
        <v>-107500000</v>
      </c>
      <c r="K13" s="106"/>
    </row>
    <row r="14" spans="1:11" x14ac:dyDescent="0.25">
      <c r="A14" s="90">
        <v>231</v>
      </c>
      <c r="B14" s="91">
        <v>46108</v>
      </c>
      <c r="C14" s="92" t="s">
        <v>84</v>
      </c>
      <c r="D14" s="93" t="s">
        <v>93</v>
      </c>
      <c r="E14" s="92" t="s">
        <v>443</v>
      </c>
      <c r="F14" s="94">
        <v>4882</v>
      </c>
      <c r="G14" s="94">
        <v>-500</v>
      </c>
      <c r="H14" s="94">
        <f>Cty_An_Thinh[[#This Row],[ĐƠN GIÁ]]*Cty_An_Thinh[[#This Row],[SỐ LƯỢNG]]</f>
        <v>-2441000</v>
      </c>
      <c r="I14" s="94"/>
      <c r="J14" s="94">
        <f>J13+Cty_An_Thinh[[#This Row],[THÀNH TIỀN]]-Cty_An_Thinh[[#This Row],[THANH TOÁN]]</f>
        <v>-109941000</v>
      </c>
      <c r="K14" s="95"/>
    </row>
    <row r="15" spans="1:11" x14ac:dyDescent="0.25">
      <c r="A15" s="90">
        <v>231</v>
      </c>
      <c r="B15" s="91">
        <v>46108</v>
      </c>
      <c r="C15" s="92" t="s">
        <v>84</v>
      </c>
      <c r="D15" s="93" t="s">
        <v>1428</v>
      </c>
      <c r="E15" s="92"/>
      <c r="F15" s="94">
        <v>1</v>
      </c>
      <c r="G15" s="94">
        <v>-1500000</v>
      </c>
      <c r="H15" s="94">
        <f>Cty_An_Thinh[[#This Row],[ĐƠN GIÁ]]*Cty_An_Thinh[[#This Row],[SỐ LƯỢNG]]</f>
        <v>-1500000</v>
      </c>
      <c r="I15" s="94"/>
      <c r="J15" s="94">
        <f>J14+Cty_An_Thinh[[#This Row],[THÀNH TIỀN]]-Cty_An_Thinh[[#This Row],[THANH TOÁN]]</f>
        <v>-111441000</v>
      </c>
      <c r="K15" s="95"/>
    </row>
    <row r="16" spans="1:11" x14ac:dyDescent="0.25">
      <c r="A16" s="90">
        <v>236</v>
      </c>
      <c r="B16" s="91">
        <v>46109</v>
      </c>
      <c r="C16" s="92" t="s">
        <v>84</v>
      </c>
      <c r="D16" s="93" t="s">
        <v>93</v>
      </c>
      <c r="E16" s="92" t="s">
        <v>1429</v>
      </c>
      <c r="F16" s="94">
        <v>1642</v>
      </c>
      <c r="G16" s="94">
        <v>-500</v>
      </c>
      <c r="H16" s="94">
        <f>Cty_An_Thinh[[#This Row],[ĐƠN GIÁ]]*Cty_An_Thinh[[#This Row],[SỐ LƯỢNG]]</f>
        <v>-821000</v>
      </c>
      <c r="I16" s="94"/>
      <c r="J16" s="94">
        <f>J15+Cty_An_Thinh[[#This Row],[THÀNH TIỀN]]-Cty_An_Thinh[[#This Row],[THANH TOÁN]]</f>
        <v>-112262000</v>
      </c>
      <c r="K16" s="95"/>
    </row>
    <row r="17" spans="1:11" x14ac:dyDescent="0.25">
      <c r="A17" s="90">
        <v>236</v>
      </c>
      <c r="B17" s="91">
        <v>46109</v>
      </c>
      <c r="C17" s="92" t="s">
        <v>84</v>
      </c>
      <c r="D17" s="93" t="s">
        <v>93</v>
      </c>
      <c r="E17" s="92" t="s">
        <v>1429</v>
      </c>
      <c r="F17" s="94">
        <v>3158</v>
      </c>
      <c r="G17" s="94">
        <v>-500</v>
      </c>
      <c r="H17" s="94">
        <f>Cty_An_Thinh[[#This Row],[ĐƠN GIÁ]]*Cty_An_Thinh[[#This Row],[SỐ LƯỢNG]]</f>
        <v>-1579000</v>
      </c>
      <c r="I17" s="94"/>
      <c r="J17" s="94">
        <f>J16+Cty_An_Thinh[[#This Row],[THÀNH TIỀN]]-Cty_An_Thinh[[#This Row],[THANH TOÁN]]</f>
        <v>-113841000</v>
      </c>
      <c r="K17" s="95"/>
    </row>
    <row r="18" spans="1:11" x14ac:dyDescent="0.25">
      <c r="A18" s="90"/>
      <c r="B18" s="91">
        <v>46109</v>
      </c>
      <c r="C18" s="92" t="s">
        <v>2214</v>
      </c>
      <c r="D18" s="93" t="s">
        <v>24</v>
      </c>
      <c r="E18" s="92"/>
      <c r="F18" s="94">
        <v>0</v>
      </c>
      <c r="G18" s="94"/>
      <c r="H18" s="94">
        <f>Cty_An_Thinh[[#This Row],[ĐƠN GIÁ]]*Cty_An_Thinh[[#This Row],[SỐ LƯỢNG]]</f>
        <v>0</v>
      </c>
      <c r="I18" s="94">
        <v>-6340000</v>
      </c>
      <c r="J18" s="94">
        <f>J17+Cty_An_Thinh[[#This Row],[THÀNH TIỀN]]-Cty_An_Thinh[[#This Row],[THANH TOÁN]]</f>
        <v>-107501000</v>
      </c>
      <c r="K18" s="95"/>
    </row>
    <row r="19" spans="1:11" x14ac:dyDescent="0.25">
      <c r="A19" s="90"/>
      <c r="B19" s="91">
        <v>46115</v>
      </c>
      <c r="C19" s="92" t="s">
        <v>2214</v>
      </c>
      <c r="D19" s="93" t="s">
        <v>22</v>
      </c>
      <c r="E19" s="92" t="s">
        <v>147</v>
      </c>
      <c r="F19" s="94">
        <v>0</v>
      </c>
      <c r="G19" s="94"/>
      <c r="H19" s="94">
        <f>Cty_An_Thinh[[#This Row],[ĐƠN GIÁ]]*Cty_An_Thinh[[#This Row],[SỐ LƯỢNG]]</f>
        <v>0</v>
      </c>
      <c r="I19" s="94">
        <v>-137500000</v>
      </c>
      <c r="J19" s="94">
        <f>J18+Cty_An_Thinh[[#This Row],[THÀNH TIỀN]]-Cty_An_Thinh[[#This Row],[THANH TOÁN]]</f>
        <v>29999000</v>
      </c>
      <c r="K19" s="95"/>
    </row>
    <row r="20" spans="1:11" x14ac:dyDescent="0.25">
      <c r="A20" s="90">
        <v>268</v>
      </c>
      <c r="B20" s="91">
        <v>46116</v>
      </c>
      <c r="C20" s="92" t="s">
        <v>426</v>
      </c>
      <c r="D20" s="93" t="s">
        <v>118</v>
      </c>
      <c r="E20" s="92" t="s">
        <v>682</v>
      </c>
      <c r="F20" s="94">
        <v>2254</v>
      </c>
      <c r="G20" s="94"/>
      <c r="H20" s="94">
        <f>Cty_An_Thinh[[#This Row],[ĐƠN GIÁ]]*Cty_An_Thinh[[#This Row],[SỐ LƯỢNG]]</f>
        <v>0</v>
      </c>
      <c r="I20" s="94"/>
      <c r="J20" s="94">
        <f>J19+Cty_An_Thinh[[#This Row],[THÀNH TIỀN]]-Cty_An_Thinh[[#This Row],[THANH TOÁN]]</f>
        <v>29999000</v>
      </c>
      <c r="K20" s="95"/>
    </row>
    <row r="21" spans="1:11" x14ac:dyDescent="0.25">
      <c r="A21" s="90">
        <v>270</v>
      </c>
      <c r="B21" s="91">
        <v>46116</v>
      </c>
      <c r="C21" s="92" t="s">
        <v>426</v>
      </c>
      <c r="D21" s="93" t="s">
        <v>93</v>
      </c>
      <c r="E21" s="92" t="s">
        <v>443</v>
      </c>
      <c r="F21" s="94">
        <v>7044</v>
      </c>
      <c r="G21" s="94"/>
      <c r="H21" s="94">
        <f>Cty_An_Thinh[[#This Row],[ĐƠN GIÁ]]*Cty_An_Thinh[[#This Row],[SỐ LƯỢNG]]</f>
        <v>0</v>
      </c>
      <c r="I21" s="94"/>
      <c r="J21" s="94">
        <f>J20+Cty_An_Thinh[[#This Row],[THÀNH TIỀN]]-Cty_An_Thinh[[#This Row],[THANH TOÁN]]</f>
        <v>29999000</v>
      </c>
      <c r="K21" s="95" t="s">
        <v>1430</v>
      </c>
    </row>
    <row r="22" spans="1:11" x14ac:dyDescent="0.25">
      <c r="A22" s="101">
        <v>270</v>
      </c>
      <c r="B22" s="102">
        <v>46116</v>
      </c>
      <c r="C22" s="103" t="s">
        <v>426</v>
      </c>
      <c r="D22" s="104" t="s">
        <v>93</v>
      </c>
      <c r="E22" s="103" t="s">
        <v>443</v>
      </c>
      <c r="F22" s="105">
        <v>11866</v>
      </c>
      <c r="G22" s="105"/>
      <c r="H22" s="105">
        <f>Cty_An_Thinh[[#This Row],[ĐƠN GIÁ]]*Cty_An_Thinh[[#This Row],[SỐ LƯỢNG]]</f>
        <v>0</v>
      </c>
      <c r="I22" s="105"/>
      <c r="J22" s="105">
        <f>J21+Cty_An_Thinh[[#This Row],[THÀNH TIỀN]]-Cty_An_Thinh[[#This Row],[THANH TOÁN]]</f>
        <v>29999000</v>
      </c>
      <c r="K22" s="106" t="s">
        <v>1431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CF32C-0CC1-4CF0-AED9-BBB00D6E1CAC}">
  <sheetPr codeName="Sheet161"/>
  <dimension ref="A5:K21"/>
  <sheetViews>
    <sheetView workbookViewId="0">
      <selection activeCell="E11" sqref="E11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-28534000</v>
      </c>
    </row>
    <row r="6" spans="1:11" ht="22.5" x14ac:dyDescent="0.25">
      <c r="D6" s="84" t="s">
        <v>1432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>
        <v>46081</v>
      </c>
      <c r="C10" s="92" t="s">
        <v>12</v>
      </c>
      <c r="D10" s="93"/>
      <c r="E10" s="92"/>
      <c r="F10" s="94"/>
      <c r="G10" s="94"/>
      <c r="H10" s="94">
        <f>Cty_Hung_Thinh[[#This Row],[ĐƠN GIÁ]]*Cty_Hung_Thinh[[#This Row],[SỐ LƯỢNG]]</f>
        <v>0</v>
      </c>
      <c r="I10" s="94"/>
      <c r="J10" s="94">
        <v>-7315000</v>
      </c>
      <c r="K10" s="95"/>
    </row>
    <row r="11" spans="1:11" x14ac:dyDescent="0.25">
      <c r="A11" s="101">
        <v>7440</v>
      </c>
      <c r="B11" s="102">
        <v>46093</v>
      </c>
      <c r="C11" s="103" t="s">
        <v>692</v>
      </c>
      <c r="D11" s="104" t="s">
        <v>1433</v>
      </c>
      <c r="E11" s="103" t="s">
        <v>1434</v>
      </c>
      <c r="F11" s="105">
        <v>115</v>
      </c>
      <c r="G11" s="105">
        <v>-185000</v>
      </c>
      <c r="H11" s="105">
        <f>Cty_Hung_Thinh[[#This Row],[ĐƠN GIÁ]]*Cty_Hung_Thinh[[#This Row],[SỐ LƯỢNG]]</f>
        <v>-21275000</v>
      </c>
      <c r="I11" s="105"/>
      <c r="J11" s="105">
        <f>J10+Cty_Hung_Thinh[[#This Row],[THÀNH TIỀN]]-Cty_Hung_Thinh[[#This Row],[THANH TOÁN]]</f>
        <v>-28590000</v>
      </c>
      <c r="K11" s="106"/>
    </row>
    <row r="12" spans="1:11" x14ac:dyDescent="0.25">
      <c r="A12" s="101">
        <v>7440</v>
      </c>
      <c r="B12" s="102">
        <v>46093</v>
      </c>
      <c r="C12" s="103" t="s">
        <v>692</v>
      </c>
      <c r="D12" s="93" t="s">
        <v>1435</v>
      </c>
      <c r="E12" s="92" t="s">
        <v>1436</v>
      </c>
      <c r="F12" s="94">
        <v>65</v>
      </c>
      <c r="G12" s="94">
        <v>-112000</v>
      </c>
      <c r="H12" s="94">
        <f>Cty_Hung_Thinh[[#This Row],[ĐƠN GIÁ]]*Cty_Hung_Thinh[[#This Row],[SỐ LƯỢNG]]</f>
        <v>-7280000</v>
      </c>
      <c r="I12" s="94"/>
      <c r="J12" s="94">
        <f>J11+Cty_Hung_Thinh[[#This Row],[THÀNH TIỀN]]-Cty_Hung_Thinh[[#This Row],[THANH TOÁN]]</f>
        <v>-35870000</v>
      </c>
      <c r="K12" s="95"/>
    </row>
    <row r="13" spans="1:11" x14ac:dyDescent="0.25">
      <c r="A13" s="101">
        <v>7509</v>
      </c>
      <c r="B13" s="102">
        <v>46098</v>
      </c>
      <c r="C13" s="103" t="s">
        <v>692</v>
      </c>
      <c r="D13" s="104" t="s">
        <v>1302</v>
      </c>
      <c r="E13" s="103" t="s">
        <v>1437</v>
      </c>
      <c r="F13" s="105">
        <v>93</v>
      </c>
      <c r="G13" s="105">
        <v>-122000</v>
      </c>
      <c r="H13" s="105">
        <f>Cty_Hung_Thinh[[#This Row],[ĐƠN GIÁ]]*Cty_Hung_Thinh[[#This Row],[SỐ LƯỢNG]]</f>
        <v>-11346000</v>
      </c>
      <c r="I13" s="105"/>
      <c r="J13" s="105">
        <f>J12+Cty_Hung_Thinh[[#This Row],[THÀNH TIỀN]]-Cty_Hung_Thinh[[#This Row],[THANH TOÁN]]</f>
        <v>-47216000</v>
      </c>
      <c r="K13" s="106"/>
    </row>
    <row r="14" spans="1:11" x14ac:dyDescent="0.25">
      <c r="A14" s="90">
        <v>7810</v>
      </c>
      <c r="B14" s="91">
        <v>46119</v>
      </c>
      <c r="C14" s="92" t="s">
        <v>692</v>
      </c>
      <c r="D14" s="93" t="s">
        <v>1435</v>
      </c>
      <c r="E14" s="92" t="s">
        <v>1438</v>
      </c>
      <c r="F14" s="94">
        <v>186</v>
      </c>
      <c r="G14" s="94">
        <v>-117000</v>
      </c>
      <c r="H14" s="94">
        <f>Cty_Hung_Thinh[[#This Row],[ĐƠN GIÁ]]*Cty_Hung_Thinh[[#This Row],[SỐ LƯỢNG]]</f>
        <v>-21762000</v>
      </c>
      <c r="I14" s="94"/>
      <c r="J14" s="94">
        <f>J13+Cty_Hung_Thinh[[#This Row],[THÀNH TIỀN]]-Cty_Hung_Thinh[[#This Row],[THANH TOÁN]]</f>
        <v>-68978000</v>
      </c>
      <c r="K14" s="95"/>
    </row>
    <row r="15" spans="1:11" x14ac:dyDescent="0.25">
      <c r="A15" s="90"/>
      <c r="B15" s="91">
        <v>46136</v>
      </c>
      <c r="C15" s="92" t="s">
        <v>654</v>
      </c>
      <c r="D15" s="93" t="s">
        <v>22</v>
      </c>
      <c r="E15" s="92" t="s">
        <v>83</v>
      </c>
      <c r="F15" s="94">
        <v>0</v>
      </c>
      <c r="G15" s="94"/>
      <c r="H15" s="94">
        <f>Cty_Hung_Thinh[[#This Row],[ĐƠN GIÁ]]*Cty_Hung_Thinh[[#This Row],[SỐ LƯỢNG]]</f>
        <v>0</v>
      </c>
      <c r="I15" s="94">
        <v>-68978000</v>
      </c>
      <c r="J15" s="94">
        <f>J14+Cty_Hung_Thinh[[#This Row],[THÀNH TIỀN]]-Cty_Hung_Thinh[[#This Row],[THANH TOÁN]]</f>
        <v>0</v>
      </c>
      <c r="K15" s="95"/>
    </row>
    <row r="16" spans="1:11" x14ac:dyDescent="0.25">
      <c r="A16" s="90">
        <v>8125</v>
      </c>
      <c r="B16" s="91">
        <v>46146</v>
      </c>
      <c r="C16" s="92" t="s">
        <v>692</v>
      </c>
      <c r="D16" s="93" t="s">
        <v>109</v>
      </c>
      <c r="E16" s="92" t="s">
        <v>2170</v>
      </c>
      <c r="F16" s="94">
        <v>578</v>
      </c>
      <c r="G16" s="94">
        <v>-69000</v>
      </c>
      <c r="H16" s="94">
        <f>Cty_Hung_Thinh[[#This Row],[ĐƠN GIÁ]]*Cty_Hung_Thinh[[#This Row],[SỐ LƯỢNG]]</f>
        <v>-39882000</v>
      </c>
      <c r="I16" s="94"/>
      <c r="J16" s="94">
        <f>J15+Cty_Hung_Thinh[[#This Row],[THÀNH TIỀN]]-Cty_Hung_Thinh[[#This Row],[THANH TOÁN]]</f>
        <v>-39882000</v>
      </c>
      <c r="K16" s="95"/>
    </row>
    <row r="17" spans="1:11" x14ac:dyDescent="0.25">
      <c r="A17" s="90">
        <v>8125</v>
      </c>
      <c r="B17" s="91">
        <v>46146</v>
      </c>
      <c r="C17" s="92" t="s">
        <v>692</v>
      </c>
      <c r="D17" s="93" t="s">
        <v>1951</v>
      </c>
      <c r="E17" s="92" t="s">
        <v>2171</v>
      </c>
      <c r="F17" s="94">
        <v>71</v>
      </c>
      <c r="G17" s="94">
        <v>-112000</v>
      </c>
      <c r="H17" s="94">
        <f>Cty_Hung_Thinh[[#This Row],[ĐƠN GIÁ]]*Cty_Hung_Thinh[[#This Row],[SỐ LƯỢNG]]</f>
        <v>-7952000</v>
      </c>
      <c r="I17" s="94"/>
      <c r="J17" s="94">
        <f>J16+Cty_Hung_Thinh[[#This Row],[THÀNH TIỀN]]-Cty_Hung_Thinh[[#This Row],[THANH TOÁN]]</f>
        <v>-47834000</v>
      </c>
      <c r="K17" s="95"/>
    </row>
    <row r="18" spans="1:11" x14ac:dyDescent="0.25">
      <c r="A18" s="101">
        <v>8256</v>
      </c>
      <c r="B18" s="102">
        <v>46155</v>
      </c>
      <c r="C18" s="103" t="s">
        <v>692</v>
      </c>
      <c r="D18" s="104" t="s">
        <v>109</v>
      </c>
      <c r="E18" s="103" t="s">
        <v>835</v>
      </c>
      <c r="F18" s="105">
        <v>585</v>
      </c>
      <c r="G18" s="105">
        <v>-62000</v>
      </c>
      <c r="H18" s="105">
        <f>Cty_Hung_Thinh[[#This Row],[ĐƠN GIÁ]]*Cty_Hung_Thinh[[#This Row],[SỐ LƯỢNG]]</f>
        <v>-36270000</v>
      </c>
      <c r="I18" s="105"/>
      <c r="J18" s="105">
        <f>J17+Cty_Hung_Thinh[[#This Row],[THÀNH TIỀN]]-Cty_Hung_Thinh[[#This Row],[THANH TOÁN]]</f>
        <v>-84104000</v>
      </c>
      <c r="K18" s="106"/>
    </row>
    <row r="19" spans="1:11" x14ac:dyDescent="0.25">
      <c r="A19" s="101">
        <v>8256</v>
      </c>
      <c r="B19" s="102">
        <v>46155</v>
      </c>
      <c r="C19" s="103" t="s">
        <v>692</v>
      </c>
      <c r="D19" s="93" t="s">
        <v>109</v>
      </c>
      <c r="E19" s="92" t="s">
        <v>390</v>
      </c>
      <c r="F19" s="94">
        <v>733</v>
      </c>
      <c r="G19" s="94">
        <v>-62000</v>
      </c>
      <c r="H19" s="94">
        <f>Cty_Hung_Thinh[[#This Row],[ĐƠN GIÁ]]*Cty_Hung_Thinh[[#This Row],[SỐ LƯỢNG]]</f>
        <v>-45446000</v>
      </c>
      <c r="I19" s="94"/>
      <c r="J19" s="94">
        <f>J18+Cty_Hung_Thinh[[#This Row],[THÀNH TIỀN]]-Cty_Hung_Thinh[[#This Row],[THANH TOÁN]]</f>
        <v>-129550000</v>
      </c>
      <c r="K19" s="95"/>
    </row>
    <row r="20" spans="1:11" x14ac:dyDescent="0.25">
      <c r="A20" s="90">
        <v>9576</v>
      </c>
      <c r="B20" s="91">
        <v>46165</v>
      </c>
      <c r="C20" s="92" t="s">
        <v>13</v>
      </c>
      <c r="D20" s="93" t="s">
        <v>17</v>
      </c>
      <c r="E20" s="92" t="s">
        <v>134</v>
      </c>
      <c r="F20" s="94">
        <v>1656</v>
      </c>
      <c r="G20" s="94">
        <v>61000</v>
      </c>
      <c r="H20" s="94">
        <f>Cty_Hung_Thinh[[#This Row],[ĐƠN GIÁ]]*Cty_Hung_Thinh[[#This Row],[SỐ LƯỢNG]]</f>
        <v>101016000</v>
      </c>
      <c r="I20" s="94"/>
      <c r="J20" s="94">
        <f>J19+Cty_Hung_Thinh[[#This Row],[THÀNH TIỀN]]-Cty_Hung_Thinh[[#This Row],[THANH TOÁN]]</f>
        <v>-28534000</v>
      </c>
      <c r="K20" s="95"/>
    </row>
    <row r="21" spans="1:11" x14ac:dyDescent="0.25">
      <c r="A21" s="90"/>
      <c r="B21" s="91">
        <v>46179</v>
      </c>
      <c r="C21" s="92" t="s">
        <v>2214</v>
      </c>
      <c r="D21" s="93" t="s">
        <v>22</v>
      </c>
      <c r="E21" s="92" t="s">
        <v>147</v>
      </c>
      <c r="F21" s="94">
        <v>0</v>
      </c>
      <c r="G21" s="94"/>
      <c r="H21" s="94">
        <f>Cty_Hung_Thinh[[#This Row],[ĐƠN GIÁ]]*Cty_Hung_Thinh[[#This Row],[SỐ LƯỢNG]]</f>
        <v>0</v>
      </c>
      <c r="I21" s="94">
        <v>-28534000</v>
      </c>
      <c r="J21" s="94">
        <f>J20+Cty_Hung_Thinh[[#This Row],[THÀNH TIỀN]]-Cty_Hung_Thinh[[#This Row],[THANH TOÁN]]</f>
        <v>0</v>
      </c>
      <c r="K21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34DCD-63D3-4C91-B92C-4EEDCA7400D5}">
  <sheetPr codeName="Sheet162"/>
  <dimension ref="A5:K27"/>
  <sheetViews>
    <sheetView workbookViewId="0">
      <selection activeCell="E32" sqref="E32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-1143499956</v>
      </c>
    </row>
    <row r="6" spans="1:11" ht="22.5" x14ac:dyDescent="0.25">
      <c r="D6" s="84" t="s">
        <v>1439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>
        <v>46081</v>
      </c>
      <c r="C10" s="92" t="s">
        <v>12</v>
      </c>
      <c r="D10" s="93"/>
      <c r="E10" s="92"/>
      <c r="F10" s="94"/>
      <c r="G10" s="94"/>
      <c r="H10" s="94">
        <f>Cty_Thep_568[[#This Row],[ĐƠN GIÁ]]*Cty_Thep_568[[#This Row],[SỐ LƯỢNG]]</f>
        <v>0</v>
      </c>
      <c r="I10" s="94"/>
      <c r="J10" s="94">
        <v>0</v>
      </c>
      <c r="K10" s="95"/>
    </row>
    <row r="11" spans="1:11" x14ac:dyDescent="0.25">
      <c r="A11" s="101">
        <v>1643</v>
      </c>
      <c r="B11" s="102">
        <v>46097</v>
      </c>
      <c r="C11" s="103" t="s">
        <v>692</v>
      </c>
      <c r="D11" s="104" t="s">
        <v>43</v>
      </c>
      <c r="E11" s="103" t="s">
        <v>254</v>
      </c>
      <c r="F11" s="105">
        <v>5230</v>
      </c>
      <c r="G11" s="105">
        <v>-56500</v>
      </c>
      <c r="H11" s="105">
        <f>Cty_Thep_568[[#This Row],[ĐƠN GIÁ]]*Cty_Thep_568[[#This Row],[SỐ LƯỢNG]]</f>
        <v>-295495000</v>
      </c>
      <c r="I11" s="105"/>
      <c r="J11" s="105">
        <f>J10+Cty_Thep_568[[#This Row],[THÀNH TIỀN]]-Cty_Thep_568[[#This Row],[THANH TOÁN]]</f>
        <v>-295495000</v>
      </c>
      <c r="K11" s="106"/>
    </row>
    <row r="12" spans="1:11" x14ac:dyDescent="0.25">
      <c r="A12" s="101">
        <v>1643</v>
      </c>
      <c r="B12" s="102">
        <v>46097</v>
      </c>
      <c r="C12" s="103" t="s">
        <v>692</v>
      </c>
      <c r="D12" s="104" t="s">
        <v>43</v>
      </c>
      <c r="E12" s="103" t="s">
        <v>254</v>
      </c>
      <c r="F12" s="94">
        <v>5235</v>
      </c>
      <c r="G12" s="94">
        <v>-56500</v>
      </c>
      <c r="H12" s="94">
        <f>Cty_Thep_568[[#This Row],[ĐƠN GIÁ]]*Cty_Thep_568[[#This Row],[SỐ LƯỢNG]]</f>
        <v>-295777500</v>
      </c>
      <c r="I12" s="94"/>
      <c r="J12" s="94">
        <f>J11+Cty_Thep_568[[#This Row],[THÀNH TIỀN]]-Cty_Thep_568[[#This Row],[THANH TOÁN]]</f>
        <v>-591272500</v>
      </c>
      <c r="K12" s="95"/>
    </row>
    <row r="13" spans="1:11" x14ac:dyDescent="0.25">
      <c r="A13" s="101">
        <v>1643</v>
      </c>
      <c r="B13" s="102">
        <v>46097</v>
      </c>
      <c r="C13" s="103" t="s">
        <v>692</v>
      </c>
      <c r="D13" s="104" t="s">
        <v>43</v>
      </c>
      <c r="E13" s="92" t="s">
        <v>441</v>
      </c>
      <c r="F13" s="94">
        <v>5177</v>
      </c>
      <c r="G13" s="94">
        <v>-57000</v>
      </c>
      <c r="H13" s="94">
        <f>Cty_Thep_568[[#This Row],[ĐƠN GIÁ]]*Cty_Thep_568[[#This Row],[SỐ LƯỢNG]]</f>
        <v>-295089000</v>
      </c>
      <c r="I13" s="94"/>
      <c r="J13" s="94">
        <f>J12+Cty_Thep_568[[#This Row],[THÀNH TIỀN]]-Cty_Thep_568[[#This Row],[THANH TOÁN]]</f>
        <v>-886361500</v>
      </c>
      <c r="K13" s="95"/>
    </row>
    <row r="14" spans="1:11" x14ac:dyDescent="0.25">
      <c r="A14" s="101">
        <v>1643</v>
      </c>
      <c r="B14" s="102">
        <v>46097</v>
      </c>
      <c r="C14" s="103" t="s">
        <v>692</v>
      </c>
      <c r="D14" s="104" t="s">
        <v>43</v>
      </c>
      <c r="E14" s="92" t="s">
        <v>441</v>
      </c>
      <c r="F14" s="94">
        <v>5396</v>
      </c>
      <c r="G14" s="94">
        <v>-57000</v>
      </c>
      <c r="H14" s="94">
        <f>Cty_Thep_568[[#This Row],[ĐƠN GIÁ]]*Cty_Thep_568[[#This Row],[SỐ LƯỢNG]]</f>
        <v>-307572000</v>
      </c>
      <c r="I14" s="94"/>
      <c r="J14" s="94">
        <f>J13+Cty_Thep_568[[#This Row],[THÀNH TIỀN]]-Cty_Thep_568[[#This Row],[THANH TOÁN]]</f>
        <v>-1193933500</v>
      </c>
      <c r="K14" s="95"/>
    </row>
    <row r="15" spans="1:11" x14ac:dyDescent="0.25">
      <c r="A15" s="101">
        <v>1643</v>
      </c>
      <c r="B15" s="102">
        <v>46097</v>
      </c>
      <c r="C15" s="103" t="s">
        <v>692</v>
      </c>
      <c r="D15" s="104" t="s">
        <v>43</v>
      </c>
      <c r="E15" s="92" t="s">
        <v>267</v>
      </c>
      <c r="F15" s="94">
        <v>4955</v>
      </c>
      <c r="G15" s="94">
        <v>-57500</v>
      </c>
      <c r="H15" s="94">
        <f>Cty_Thep_568[[#This Row],[ĐƠN GIÁ]]*Cty_Thep_568[[#This Row],[SỐ LƯỢNG]]</f>
        <v>-284912500</v>
      </c>
      <c r="I15" s="94"/>
      <c r="J15" s="94">
        <f>J14+Cty_Thep_568[[#This Row],[THÀNH TIỀN]]-Cty_Thep_568[[#This Row],[THANH TOÁN]]</f>
        <v>-1478846000</v>
      </c>
      <c r="K15" s="95"/>
    </row>
    <row r="16" spans="1:11" x14ac:dyDescent="0.25">
      <c r="A16" s="90">
        <v>1668</v>
      </c>
      <c r="B16" s="91">
        <v>46104</v>
      </c>
      <c r="C16" s="92" t="s">
        <v>692</v>
      </c>
      <c r="D16" s="93" t="s">
        <v>1440</v>
      </c>
      <c r="E16" s="92" t="s">
        <v>243</v>
      </c>
      <c r="F16" s="94">
        <v>5070</v>
      </c>
      <c r="G16" s="94">
        <v>-58500</v>
      </c>
      <c r="H16" s="94">
        <f>Cty_Thep_568[[#This Row],[ĐƠN GIÁ]]*Cty_Thep_568[[#This Row],[SỐ LƯỢNG]]</f>
        <v>-296595000</v>
      </c>
      <c r="I16" s="94"/>
      <c r="J16" s="94">
        <f>J15+Cty_Thep_568[[#This Row],[THÀNH TIỀN]]-Cty_Thep_568[[#This Row],[THANH TOÁN]]</f>
        <v>-1775441000</v>
      </c>
      <c r="K16" s="95"/>
    </row>
    <row r="17" spans="1:11" x14ac:dyDescent="0.25">
      <c r="A17" s="90">
        <v>1668</v>
      </c>
      <c r="B17" s="91">
        <v>46104</v>
      </c>
      <c r="C17" s="92" t="s">
        <v>692</v>
      </c>
      <c r="D17" s="93" t="s">
        <v>1440</v>
      </c>
      <c r="E17" s="92" t="s">
        <v>1441</v>
      </c>
      <c r="F17" s="94">
        <v>5692</v>
      </c>
      <c r="G17" s="94">
        <v>-57500</v>
      </c>
      <c r="H17" s="94">
        <f>Cty_Thep_568[[#This Row],[ĐƠN GIÁ]]*Cty_Thep_568[[#This Row],[SỐ LƯỢNG]]</f>
        <v>-327290000</v>
      </c>
      <c r="I17" s="94"/>
      <c r="J17" s="94">
        <f>J16+Cty_Thep_568[[#This Row],[THÀNH TIỀN]]-Cty_Thep_568[[#This Row],[THANH TOÁN]]</f>
        <v>-2102731000</v>
      </c>
      <c r="K17" s="95"/>
    </row>
    <row r="18" spans="1:11" x14ac:dyDescent="0.25">
      <c r="A18" s="90">
        <v>1668</v>
      </c>
      <c r="B18" s="91">
        <v>46104</v>
      </c>
      <c r="C18" s="92" t="s">
        <v>692</v>
      </c>
      <c r="D18" s="93" t="s">
        <v>1440</v>
      </c>
      <c r="E18" s="92" t="s">
        <v>254</v>
      </c>
      <c r="F18" s="94">
        <v>5040</v>
      </c>
      <c r="G18" s="94">
        <v>-56500</v>
      </c>
      <c r="H18" s="94">
        <f>Cty_Thep_568[[#This Row],[ĐƠN GIÁ]]*Cty_Thep_568[[#This Row],[SỐ LƯỢNG]]</f>
        <v>-284760000</v>
      </c>
      <c r="I18" s="94"/>
      <c r="J18" s="94">
        <f>J17+Cty_Thep_568[[#This Row],[THÀNH TIỀN]]-Cty_Thep_568[[#This Row],[THANH TOÁN]]</f>
        <v>-2387491000</v>
      </c>
      <c r="K18" s="95"/>
    </row>
    <row r="19" spans="1:11" x14ac:dyDescent="0.25">
      <c r="A19" s="90">
        <v>1668</v>
      </c>
      <c r="B19" s="91">
        <v>46104</v>
      </c>
      <c r="C19" s="92" t="s">
        <v>692</v>
      </c>
      <c r="D19" s="93" t="s">
        <v>1440</v>
      </c>
      <c r="E19" s="92" t="s">
        <v>915</v>
      </c>
      <c r="F19" s="94">
        <v>6878</v>
      </c>
      <c r="G19" s="94">
        <v>-56500</v>
      </c>
      <c r="H19" s="94">
        <f>Cty_Thep_568[[#This Row],[ĐƠN GIÁ]]*Cty_Thep_568[[#This Row],[SỐ LƯỢNG]]</f>
        <v>-388607000</v>
      </c>
      <c r="I19" s="94"/>
      <c r="J19" s="94">
        <f>J18+Cty_Thep_568[[#This Row],[THÀNH TIỀN]]-Cty_Thep_568[[#This Row],[THANH TOÁN]]</f>
        <v>-2776098000</v>
      </c>
      <c r="K19" s="95"/>
    </row>
    <row r="20" spans="1:11" x14ac:dyDescent="0.25">
      <c r="A20" s="90">
        <v>889</v>
      </c>
      <c r="B20" s="91">
        <v>46125</v>
      </c>
      <c r="C20" s="92" t="s">
        <v>692</v>
      </c>
      <c r="D20" s="93" t="s">
        <v>43</v>
      </c>
      <c r="E20" s="92" t="s">
        <v>915</v>
      </c>
      <c r="F20" s="94">
        <v>14641</v>
      </c>
      <c r="G20" s="94">
        <v>-56500</v>
      </c>
      <c r="H20" s="94">
        <f>Cty_Thep_568[[#This Row],[ĐƠN GIÁ]]*Cty_Thep_568[[#This Row],[SỐ LƯỢNG]]</f>
        <v>-827216500</v>
      </c>
      <c r="I20" s="94"/>
      <c r="J20" s="94">
        <f>J19+Cty_Thep_568[[#This Row],[THÀNH TIỀN]]-Cty_Thep_568[[#This Row],[THANH TOÁN]]</f>
        <v>-3603314500</v>
      </c>
      <c r="K20" s="95"/>
    </row>
    <row r="21" spans="1:11" x14ac:dyDescent="0.25">
      <c r="A21" s="90">
        <v>889</v>
      </c>
      <c r="B21" s="91">
        <v>46125</v>
      </c>
      <c r="C21" s="92" t="s">
        <v>692</v>
      </c>
      <c r="D21" s="93" t="s">
        <v>43</v>
      </c>
      <c r="E21" s="92" t="s">
        <v>254</v>
      </c>
      <c r="F21" s="94">
        <v>5275</v>
      </c>
      <c r="G21" s="94">
        <v>-56500</v>
      </c>
      <c r="H21" s="94">
        <f>Cty_Thep_568[[#This Row],[ĐƠN GIÁ]]*Cty_Thep_568[[#This Row],[SỐ LƯỢNG]]</f>
        <v>-298037500</v>
      </c>
      <c r="I21" s="94"/>
      <c r="J21" s="94">
        <f>J20+Cty_Thep_568[[#This Row],[THÀNH TIỀN]]-Cty_Thep_568[[#This Row],[THANH TOÁN]]</f>
        <v>-3901352000</v>
      </c>
      <c r="K21" s="95"/>
    </row>
    <row r="22" spans="1:11" x14ac:dyDescent="0.25">
      <c r="A22" s="90">
        <v>889</v>
      </c>
      <c r="B22" s="91">
        <v>46125</v>
      </c>
      <c r="C22" s="92" t="s">
        <v>692</v>
      </c>
      <c r="D22" s="93" t="s">
        <v>43</v>
      </c>
      <c r="E22" s="92" t="s">
        <v>243</v>
      </c>
      <c r="F22" s="94">
        <v>5170</v>
      </c>
      <c r="G22" s="94">
        <v>-58500</v>
      </c>
      <c r="H22" s="94">
        <f>Cty_Thep_568[[#This Row],[ĐƠN GIÁ]]*Cty_Thep_568[[#This Row],[SỐ LƯỢNG]]</f>
        <v>-302445000</v>
      </c>
      <c r="I22" s="94"/>
      <c r="J22" s="94">
        <f>J21+Cty_Thep_568[[#This Row],[THÀNH TIỀN]]-Cty_Thep_568[[#This Row],[THANH TOÁN]]</f>
        <v>-4203797000</v>
      </c>
      <c r="K22" s="95"/>
    </row>
    <row r="23" spans="1:11" x14ac:dyDescent="0.25">
      <c r="A23" s="101"/>
      <c r="B23" s="102">
        <v>46136</v>
      </c>
      <c r="C23" s="92" t="s">
        <v>2214</v>
      </c>
      <c r="D23" s="104" t="s">
        <v>22</v>
      </c>
      <c r="E23" s="103" t="s">
        <v>147</v>
      </c>
      <c r="F23" s="105">
        <v>0</v>
      </c>
      <c r="G23" s="105"/>
      <c r="H23" s="105">
        <f>Cty_Thep_568[[#This Row],[ĐƠN GIÁ]]*Cty_Thep_568[[#This Row],[SỐ LƯỢNG]]</f>
        <v>0</v>
      </c>
      <c r="I23" s="105">
        <v>-500000000</v>
      </c>
      <c r="J23" s="105">
        <f>J22+Cty_Thep_568[[#This Row],[THÀNH TIỀN]]-Cty_Thep_568[[#This Row],[THANH TOÁN]]</f>
        <v>-3703797000</v>
      </c>
      <c r="K23" s="106"/>
    </row>
    <row r="24" spans="1:11" x14ac:dyDescent="0.25">
      <c r="A24" s="90"/>
      <c r="B24" s="102">
        <v>46140</v>
      </c>
      <c r="C24" s="92" t="s">
        <v>2214</v>
      </c>
      <c r="D24" s="104" t="s">
        <v>22</v>
      </c>
      <c r="E24" s="103" t="s">
        <v>147</v>
      </c>
      <c r="F24" s="105">
        <v>0</v>
      </c>
      <c r="G24" s="94"/>
      <c r="H24" s="94">
        <f>Cty_Thep_568[[#This Row],[ĐƠN GIÁ]]*Cty_Thep_568[[#This Row],[SỐ LƯỢNG]]</f>
        <v>0</v>
      </c>
      <c r="I24" s="94">
        <v>-978849558</v>
      </c>
      <c r="J24" s="94">
        <f>J23+Cty_Thep_568[[#This Row],[THÀNH TIỀN]]-Cty_Thep_568[[#This Row],[THANH TOÁN]]</f>
        <v>-2724947442</v>
      </c>
      <c r="K24" s="95"/>
    </row>
    <row r="25" spans="1:11" x14ac:dyDescent="0.25">
      <c r="A25" s="90"/>
      <c r="B25" s="91">
        <v>46150</v>
      </c>
      <c r="C25" s="92" t="s">
        <v>2214</v>
      </c>
      <c r="D25" s="93" t="s">
        <v>22</v>
      </c>
      <c r="E25" s="92" t="s">
        <v>147</v>
      </c>
      <c r="F25" s="94">
        <v>0</v>
      </c>
      <c r="G25" s="94"/>
      <c r="H25" s="94">
        <f>Cty_Thep_568[[#This Row],[ĐƠN GIÁ]]*Cty_Thep_568[[#This Row],[SỐ LƯỢNG]]</f>
        <v>0</v>
      </c>
      <c r="I25" s="94">
        <v>-500000000</v>
      </c>
      <c r="J25" s="94">
        <f>J24+Cty_Thep_568[[#This Row],[THÀNH TIỀN]]-Cty_Thep_568[[#This Row],[THANH TOÁN]]</f>
        <v>-2224947442</v>
      </c>
      <c r="K25" s="95"/>
    </row>
    <row r="26" spans="1:11" x14ac:dyDescent="0.25">
      <c r="A26" s="90"/>
      <c r="B26" s="91">
        <v>46154</v>
      </c>
      <c r="C26" s="92" t="s">
        <v>2214</v>
      </c>
      <c r="D26" s="93" t="s">
        <v>22</v>
      </c>
      <c r="E26" s="92" t="s">
        <v>2134</v>
      </c>
      <c r="F26" s="94">
        <v>0</v>
      </c>
      <c r="G26" s="94"/>
      <c r="H26" s="94">
        <f>Cty_Thep_568[[#This Row],[ĐƠN GIÁ]]*Cty_Thep_568[[#This Row],[SỐ LƯỢNG]]</f>
        <v>0</v>
      </c>
      <c r="I26" s="94">
        <v>-797259486</v>
      </c>
      <c r="J26" s="94">
        <f>J25+Cty_Thep_568[[#This Row],[THÀNH TIỀN]]-Cty_Thep_568[[#This Row],[THANH TOÁN]]</f>
        <v>-1427687956</v>
      </c>
      <c r="K26" s="95"/>
    </row>
    <row r="27" spans="1:11" x14ac:dyDescent="0.25">
      <c r="A27" s="90"/>
      <c r="B27" s="91">
        <v>46172</v>
      </c>
      <c r="C27" s="92" t="s">
        <v>2214</v>
      </c>
      <c r="D27" s="93" t="s">
        <v>22</v>
      </c>
      <c r="E27" s="92" t="s">
        <v>83</v>
      </c>
      <c r="F27" s="94">
        <v>0</v>
      </c>
      <c r="G27" s="94"/>
      <c r="H27" s="94">
        <f>Cty_Thep_568[[#This Row],[ĐƠN GIÁ]]*Cty_Thep_568[[#This Row],[SỐ LƯỢNG]]</f>
        <v>0</v>
      </c>
      <c r="I27" s="94">
        <v>-284188000</v>
      </c>
      <c r="J27" s="94">
        <f>J26+Cty_Thep_568[[#This Row],[THÀNH TIỀN]]-Cty_Thep_568[[#This Row],[THANH TOÁN]]</f>
        <v>-1143499956</v>
      </c>
      <c r="K27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39CA67-CB15-4389-82BF-A1CFA4F7FCF9}">
  <sheetPr codeName="Sheet160"/>
  <dimension ref="A5:K20"/>
  <sheetViews>
    <sheetView workbookViewId="0">
      <selection activeCell="H18" sqref="H18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252994577</v>
      </c>
    </row>
    <row r="6" spans="1:11" ht="22.5" x14ac:dyDescent="0.25">
      <c r="D6" s="84" t="s">
        <v>1442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/>
      <c r="C10" s="92" t="s">
        <v>12</v>
      </c>
      <c r="D10" s="93"/>
      <c r="E10" s="92"/>
      <c r="F10" s="94"/>
      <c r="G10" s="94"/>
      <c r="H10" s="94">
        <f>Cty_Thinh_Hung_Quang[[#This Row],[ĐƠN GIÁ]]*Cty_Thinh_Hung_Quang[[#This Row],[SỐ LƯỢNG]]</f>
        <v>0</v>
      </c>
      <c r="I10" s="94"/>
      <c r="J10" s="94">
        <v>0</v>
      </c>
      <c r="K10" s="95"/>
    </row>
    <row r="11" spans="1:11" x14ac:dyDescent="0.25">
      <c r="A11" s="90">
        <v>8471</v>
      </c>
      <c r="B11" s="91">
        <v>46113</v>
      </c>
      <c r="C11" s="92" t="s">
        <v>13</v>
      </c>
      <c r="D11" s="93" t="s">
        <v>26</v>
      </c>
      <c r="E11" s="92" t="s">
        <v>1443</v>
      </c>
      <c r="F11" s="94">
        <v>2864</v>
      </c>
      <c r="G11" s="94">
        <v>38500</v>
      </c>
      <c r="H11" s="94">
        <f>Cty_Thinh_Hung_Quang[[#This Row],[ĐƠN GIÁ]]*Cty_Thinh_Hung_Quang[[#This Row],[SỐ LƯỢNG]]</f>
        <v>110264000</v>
      </c>
      <c r="I11" s="94"/>
      <c r="J11" s="94">
        <f>J10+Cty_Thinh_Hung_Quang[[#This Row],[THÀNH TIỀN]]-Cty_Thinh_Hung_Quang[[#This Row],[THANH TOÁN]]</f>
        <v>110264000</v>
      </c>
      <c r="K11" s="95"/>
    </row>
    <row r="12" spans="1:11" x14ac:dyDescent="0.25">
      <c r="A12" s="90">
        <v>8471</v>
      </c>
      <c r="B12" s="91">
        <v>46113</v>
      </c>
      <c r="C12" s="92" t="s">
        <v>13</v>
      </c>
      <c r="D12" s="93" t="s">
        <v>26</v>
      </c>
      <c r="E12" s="92" t="s">
        <v>78</v>
      </c>
      <c r="F12" s="94">
        <v>2216</v>
      </c>
      <c r="G12" s="94">
        <v>38500</v>
      </c>
      <c r="H12" s="94">
        <f>Cty_Thinh_Hung_Quang[[#This Row],[ĐƠN GIÁ]]*Cty_Thinh_Hung_Quang[[#This Row],[SỐ LƯỢNG]]</f>
        <v>85316000</v>
      </c>
      <c r="I12" s="94"/>
      <c r="J12" s="94">
        <f>J11+Cty_Thinh_Hung_Quang[[#This Row],[THÀNH TIỀN]]-Cty_Thinh_Hung_Quang[[#This Row],[THANH TOÁN]]</f>
        <v>195580000</v>
      </c>
      <c r="K12" s="95"/>
    </row>
    <row r="13" spans="1:11" x14ac:dyDescent="0.25">
      <c r="A13" s="90"/>
      <c r="B13" s="91">
        <v>46130</v>
      </c>
      <c r="C13" s="92" t="s">
        <v>21</v>
      </c>
      <c r="D13" s="93" t="s">
        <v>22</v>
      </c>
      <c r="E13" s="92" t="s">
        <v>147</v>
      </c>
      <c r="F13" s="94">
        <v>0</v>
      </c>
      <c r="G13" s="94"/>
      <c r="H13" s="94">
        <f>Cty_Thinh_Hung_Quang[[#This Row],[ĐƠN GIÁ]]*Cty_Thinh_Hung_Quang[[#This Row],[SỐ LƯỢNG]]</f>
        <v>0</v>
      </c>
      <c r="I13" s="94">
        <v>195580000</v>
      </c>
      <c r="J13" s="94">
        <f>J12+Cty_Thinh_Hung_Quang[[#This Row],[THÀNH TIỀN]]-Cty_Thinh_Hung_Quang[[#This Row],[THANH TOÁN]]</f>
        <v>0</v>
      </c>
      <c r="K13" s="95"/>
    </row>
    <row r="14" spans="1:11" x14ac:dyDescent="0.25">
      <c r="A14" s="90">
        <v>9189</v>
      </c>
      <c r="B14" s="91">
        <v>46148</v>
      </c>
      <c r="C14" s="92" t="s">
        <v>13</v>
      </c>
      <c r="D14" s="93" t="s">
        <v>703</v>
      </c>
      <c r="E14" s="92" t="s">
        <v>1947</v>
      </c>
      <c r="F14" s="94">
        <v>1346</v>
      </c>
      <c r="G14" s="94">
        <v>38000</v>
      </c>
      <c r="H14" s="94">
        <f>Cty_Thinh_Hung_Quang[[#This Row],[ĐƠN GIÁ]]*Cty_Thinh_Hung_Quang[[#This Row],[SỐ LƯỢNG]]</f>
        <v>51148000</v>
      </c>
      <c r="I14" s="94"/>
      <c r="J14" s="94">
        <f>J13+Cty_Thinh_Hung_Quang[[#This Row],[THÀNH TIỀN]]-Cty_Thinh_Hung_Quang[[#This Row],[THANH TOÁN]]</f>
        <v>51148000</v>
      </c>
      <c r="K14" s="95"/>
    </row>
    <row r="15" spans="1:11" x14ac:dyDescent="0.25">
      <c r="A15" s="90">
        <v>9460</v>
      </c>
      <c r="B15" s="91">
        <v>46160</v>
      </c>
      <c r="C15" s="92" t="s">
        <v>13</v>
      </c>
      <c r="D15" s="93" t="s">
        <v>26</v>
      </c>
      <c r="E15" s="92" t="s">
        <v>2217</v>
      </c>
      <c r="F15" s="94">
        <v>2992</v>
      </c>
      <c r="G15" s="94">
        <v>38000</v>
      </c>
      <c r="H15" s="94">
        <f>Cty_Thinh_Hung_Quang[[#This Row],[ĐƠN GIÁ]]*Cty_Thinh_Hung_Quang[[#This Row],[SỐ LƯỢNG]]</f>
        <v>113696000</v>
      </c>
      <c r="I15" s="94"/>
      <c r="J15" s="94">
        <f>J14+Cty_Thinh_Hung_Quang[[#This Row],[THÀNH TIỀN]]-Cty_Thinh_Hung_Quang[[#This Row],[THANH TOÁN]]</f>
        <v>164844000</v>
      </c>
      <c r="K15" s="95"/>
    </row>
    <row r="16" spans="1:11" x14ac:dyDescent="0.25">
      <c r="A16" s="90">
        <v>9460</v>
      </c>
      <c r="B16" s="91">
        <v>46160</v>
      </c>
      <c r="C16" s="92" t="s">
        <v>13</v>
      </c>
      <c r="D16" s="93" t="s">
        <v>26</v>
      </c>
      <c r="E16" s="92" t="s">
        <v>2218</v>
      </c>
      <c r="F16" s="94">
        <v>2078</v>
      </c>
      <c r="G16" s="94">
        <v>38000</v>
      </c>
      <c r="H16" s="94">
        <f>Cty_Thinh_Hung_Quang[[#This Row],[ĐƠN GIÁ]]*Cty_Thinh_Hung_Quang[[#This Row],[SỐ LƯỢNG]]</f>
        <v>78964000</v>
      </c>
      <c r="I16" s="94"/>
      <c r="J16" s="94">
        <f>J15+Cty_Thinh_Hung_Quang[[#This Row],[THÀNH TIỀN]]-Cty_Thinh_Hung_Quang[[#This Row],[THANH TOÁN]]</f>
        <v>243808000</v>
      </c>
      <c r="K16" s="95"/>
    </row>
    <row r="17" spans="1:11" x14ac:dyDescent="0.25">
      <c r="A17" s="90">
        <v>9460</v>
      </c>
      <c r="B17" s="91">
        <v>46160</v>
      </c>
      <c r="C17" s="92" t="s">
        <v>13</v>
      </c>
      <c r="D17" s="93" t="s">
        <v>26</v>
      </c>
      <c r="E17" s="92" t="s">
        <v>1760</v>
      </c>
      <c r="F17" s="94">
        <v>242</v>
      </c>
      <c r="G17" s="94">
        <v>38000</v>
      </c>
      <c r="H17" s="94">
        <f>Cty_Thinh_Hung_Quang[[#This Row],[ĐƠN GIÁ]]*Cty_Thinh_Hung_Quang[[#This Row],[SỐ LƯỢNG]]</f>
        <v>9196000</v>
      </c>
      <c r="I17" s="94"/>
      <c r="J17" s="94">
        <f>J16+Cty_Thinh_Hung_Quang[[#This Row],[THÀNH TIỀN]]-Cty_Thinh_Hung_Quang[[#This Row],[THANH TOÁN]]</f>
        <v>253004000</v>
      </c>
      <c r="K17" s="95"/>
    </row>
    <row r="18" spans="1:11" x14ac:dyDescent="0.25">
      <c r="A18" s="90">
        <v>9518</v>
      </c>
      <c r="B18" s="91">
        <v>46163</v>
      </c>
      <c r="C18" s="92" t="s">
        <v>13</v>
      </c>
      <c r="D18" s="93" t="s">
        <v>26</v>
      </c>
      <c r="E18" s="92" t="s">
        <v>78</v>
      </c>
      <c r="F18" s="94">
        <v>1155</v>
      </c>
      <c r="G18" s="94">
        <v>38000</v>
      </c>
      <c r="H18" s="94">
        <f>Cty_Thinh_Hung_Quang[[#This Row],[ĐƠN GIÁ]]*Cty_Thinh_Hung_Quang[[#This Row],[SỐ LƯỢNG]]</f>
        <v>43890000</v>
      </c>
      <c r="I18" s="94"/>
      <c r="J18" s="94">
        <f>J17+Cty_Thinh_Hung_Quang[[#This Row],[THÀNH TIỀN]]-Cty_Thinh_Hung_Quang[[#This Row],[THANH TOÁN]]</f>
        <v>296894000</v>
      </c>
      <c r="K18" s="95"/>
    </row>
    <row r="19" spans="1:11" x14ac:dyDescent="0.25">
      <c r="A19" s="90"/>
      <c r="B19" s="91">
        <v>46169</v>
      </c>
      <c r="C19" s="92" t="s">
        <v>21</v>
      </c>
      <c r="D19" s="93" t="s">
        <v>22</v>
      </c>
      <c r="E19" s="92" t="s">
        <v>147</v>
      </c>
      <c r="F19" s="94">
        <v>0</v>
      </c>
      <c r="G19" s="94"/>
      <c r="H19" s="94">
        <f>Cty_Thinh_Hung_Quang[[#This Row],[ĐƠN GIÁ]]*Cty_Thinh_Hung_Quang[[#This Row],[SỐ LƯỢNG]]</f>
        <v>0</v>
      </c>
      <c r="I19" s="94">
        <v>43899423</v>
      </c>
      <c r="J19" s="94">
        <f>J18+Cty_Thinh_Hung_Quang[[#This Row],[THÀNH TIỀN]]-Cty_Thinh_Hung_Quang[[#This Row],[THANH TOÁN]]</f>
        <v>252994577</v>
      </c>
      <c r="K19" s="95"/>
    </row>
    <row r="20" spans="1:11" x14ac:dyDescent="0.25">
      <c r="A20" s="90"/>
      <c r="B20" s="91">
        <v>46175</v>
      </c>
      <c r="C20" s="92" t="s">
        <v>21</v>
      </c>
      <c r="D20" s="93" t="s">
        <v>22</v>
      </c>
      <c r="E20" s="92" t="s">
        <v>147</v>
      </c>
      <c r="F20" s="94">
        <v>0</v>
      </c>
      <c r="G20" s="94"/>
      <c r="H20" s="94">
        <f>Cty_Thinh_Hung_Quang[[#This Row],[ĐƠN GIÁ]]*Cty_Thinh_Hung_Quang[[#This Row],[SỐ LƯỢNG]]</f>
        <v>0</v>
      </c>
      <c r="I20" s="94">
        <v>253000671</v>
      </c>
      <c r="J20" s="94">
        <f>J19+Cty_Thinh_Hung_Quang[[#This Row],[THÀNH TIỀN]]-Cty_Thinh_Hung_Quang[[#This Row],[THANH TOÁN]]</f>
        <v>-6094</v>
      </c>
      <c r="K20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9BF7A-1EDC-4D2C-B40C-7AC4CFE77B72}">
  <sheetPr codeName="Sheet163"/>
  <dimension ref="A5:K12"/>
  <sheetViews>
    <sheetView workbookViewId="0">
      <selection activeCell="J16" sqref="J16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539</v>
      </c>
    </row>
    <row r="6" spans="1:11" ht="22.5" x14ac:dyDescent="0.25">
      <c r="D6" s="84" t="s">
        <v>1444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/>
      <c r="C10" s="92" t="s">
        <v>12</v>
      </c>
      <c r="D10" s="93"/>
      <c r="E10" s="92"/>
      <c r="F10" s="94"/>
      <c r="G10" s="94"/>
      <c r="H10" s="94">
        <f>Cty_Dong_Nam[[#This Row],[ĐƠN GIÁ]]*Cty_Dong_Nam[[#This Row],[SỐ LƯỢNG]]</f>
        <v>0</v>
      </c>
      <c r="I10" s="94"/>
      <c r="J10" s="94">
        <v>0</v>
      </c>
      <c r="K10" s="95"/>
    </row>
    <row r="11" spans="1:11" x14ac:dyDescent="0.25">
      <c r="A11" s="90">
        <v>8522</v>
      </c>
      <c r="B11" s="91">
        <v>46115</v>
      </c>
      <c r="C11" s="92" t="s">
        <v>13</v>
      </c>
      <c r="D11" s="93" t="s">
        <v>45</v>
      </c>
      <c r="E11" s="92" t="s">
        <v>215</v>
      </c>
      <c r="F11" s="94">
        <v>5389</v>
      </c>
      <c r="G11" s="94">
        <v>34000</v>
      </c>
      <c r="H11" s="94">
        <f>Cty_Dong_Nam[[#This Row],[ĐƠN GIÁ]]*Cty_Dong_Nam[[#This Row],[SỐ LƯỢNG]]</f>
        <v>183226000</v>
      </c>
      <c r="I11" s="94"/>
      <c r="J11" s="94">
        <f>J10+Cty_Dong_Nam[[#This Row],[THÀNH TIỀN]]-Cty_Dong_Nam[[#This Row],[THANH TOÁN]]</f>
        <v>183226000</v>
      </c>
      <c r="K11" s="95"/>
    </row>
    <row r="12" spans="1:11" x14ac:dyDescent="0.25">
      <c r="A12" s="90"/>
      <c r="B12" s="91">
        <v>46157</v>
      </c>
      <c r="C12" s="92" t="s">
        <v>21</v>
      </c>
      <c r="D12" s="93" t="s">
        <v>22</v>
      </c>
      <c r="E12" s="92" t="s">
        <v>83</v>
      </c>
      <c r="F12" s="94">
        <v>0</v>
      </c>
      <c r="G12" s="94"/>
      <c r="H12" s="94">
        <f>Cty_Dong_Nam[[#This Row],[ĐƠN GIÁ]]*Cty_Dong_Nam[[#This Row],[SỐ LƯỢNG]]</f>
        <v>0</v>
      </c>
      <c r="I12" s="94">
        <v>183225461</v>
      </c>
      <c r="J12" s="94">
        <f>J11+Cty_Dong_Nam[[#This Row],[THÀNH TIỀN]]-Cty_Dong_Nam[[#This Row],[THANH TOÁN]]</f>
        <v>539</v>
      </c>
      <c r="K12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64BBC4-0CA8-4915-B0C7-BD4E1B3479BA}">
  <sheetPr codeName="Sheet165"/>
  <dimension ref="A5:K14"/>
  <sheetViews>
    <sheetView workbookViewId="0">
      <selection activeCell="I14" sqref="I14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0</v>
      </c>
    </row>
    <row r="6" spans="1:11" ht="22.5" x14ac:dyDescent="0.25">
      <c r="D6" s="84" t="s">
        <v>1445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/>
      <c r="C10" s="92" t="s">
        <v>12</v>
      </c>
      <c r="D10" s="93"/>
      <c r="E10" s="92"/>
      <c r="F10" s="94"/>
      <c r="G10" s="94"/>
      <c r="H10" s="94">
        <f>Cty_Inox_Doan_Du[[#This Row],[ĐƠN GIÁ]]*Cty_Inox_Doan_Du[[#This Row],[SỐ LƯỢNG]]</f>
        <v>0</v>
      </c>
      <c r="I10" s="94"/>
      <c r="J10" s="94">
        <v>0</v>
      </c>
      <c r="K10" s="95"/>
    </row>
    <row r="11" spans="1:11" x14ac:dyDescent="0.25">
      <c r="A11" s="90">
        <v>8544</v>
      </c>
      <c r="B11" s="91">
        <v>46116</v>
      </c>
      <c r="C11" s="92" t="s">
        <v>13</v>
      </c>
      <c r="D11" s="93" t="s">
        <v>43</v>
      </c>
      <c r="E11" s="92" t="s">
        <v>1446</v>
      </c>
      <c r="F11" s="94">
        <v>528</v>
      </c>
      <c r="G11" s="94">
        <v>64000</v>
      </c>
      <c r="H11" s="94">
        <f>Cty_Inox_Doan_Du[[#This Row],[ĐƠN GIÁ]]*Cty_Inox_Doan_Du[[#This Row],[SỐ LƯỢNG]]</f>
        <v>33792000</v>
      </c>
      <c r="I11" s="94"/>
      <c r="J11" s="94">
        <f>J10+Cty_Inox_Doan_Du[[#This Row],[THÀNH TIỀN]]-Cty_Inox_Doan_Du[[#This Row],[THANH TOÁN]]</f>
        <v>33792000</v>
      </c>
      <c r="K11" s="95"/>
    </row>
    <row r="12" spans="1:11" x14ac:dyDescent="0.25">
      <c r="A12" s="90">
        <v>8544</v>
      </c>
      <c r="B12" s="91">
        <v>46116</v>
      </c>
      <c r="C12" s="92" t="s">
        <v>13</v>
      </c>
      <c r="D12" s="93" t="s">
        <v>43</v>
      </c>
      <c r="E12" s="92" t="s">
        <v>1447</v>
      </c>
      <c r="F12" s="94">
        <v>206</v>
      </c>
      <c r="G12" s="94">
        <v>60500</v>
      </c>
      <c r="H12" s="94">
        <f>Cty_Inox_Doan_Du[[#This Row],[ĐƠN GIÁ]]*Cty_Inox_Doan_Du[[#This Row],[SỐ LƯỢNG]]</f>
        <v>12463000</v>
      </c>
      <c r="I12" s="94"/>
      <c r="J12" s="94">
        <f>J11+Cty_Inox_Doan_Du[[#This Row],[THÀNH TIỀN]]-Cty_Inox_Doan_Du[[#This Row],[THANH TOÁN]]</f>
        <v>46255000</v>
      </c>
      <c r="K12" s="95"/>
    </row>
    <row r="13" spans="1:11" x14ac:dyDescent="0.25">
      <c r="A13" s="90">
        <v>8544</v>
      </c>
      <c r="B13" s="91">
        <v>46116</v>
      </c>
      <c r="C13" s="92" t="s">
        <v>13</v>
      </c>
      <c r="D13" s="93" t="s">
        <v>32</v>
      </c>
      <c r="E13" s="92" t="s">
        <v>40</v>
      </c>
      <c r="F13" s="94">
        <v>156</v>
      </c>
      <c r="G13" s="94">
        <v>43500</v>
      </c>
      <c r="H13" s="94">
        <f>Cty_Inox_Doan_Du[[#This Row],[ĐƠN GIÁ]]*Cty_Inox_Doan_Du[[#This Row],[SỐ LƯỢNG]]</f>
        <v>6786000</v>
      </c>
      <c r="I13" s="94">
        <v>329</v>
      </c>
      <c r="J13" s="94">
        <f>J12+Cty_Inox_Doan_Du[[#This Row],[THÀNH TIỀN]]-Cty_Inox_Doan_Du[[#This Row],[THANH TOÁN]]</f>
        <v>53040671</v>
      </c>
      <c r="K13" s="95"/>
    </row>
    <row r="14" spans="1:11" x14ac:dyDescent="0.25">
      <c r="A14" s="90"/>
      <c r="B14" s="91">
        <v>46127</v>
      </c>
      <c r="C14" s="92" t="s">
        <v>21</v>
      </c>
      <c r="D14" s="93" t="s">
        <v>22</v>
      </c>
      <c r="E14" s="92" t="s">
        <v>83</v>
      </c>
      <c r="F14" s="94">
        <v>0</v>
      </c>
      <c r="G14" s="94"/>
      <c r="H14" s="94">
        <f>Cty_Inox_Doan_Du[[#This Row],[ĐƠN GIÁ]]*Cty_Inox_Doan_Du[[#This Row],[SỐ LƯỢNG]]</f>
        <v>0</v>
      </c>
      <c r="I14" s="94">
        <v>53040671</v>
      </c>
      <c r="J14" s="94">
        <f>J13+Cty_Inox_Doan_Du[[#This Row],[THÀNH TIỀN]]-Cty_Inox_Doan_Du[[#This Row],[THANH TOÁN]]</f>
        <v>0</v>
      </c>
      <c r="K14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0C328-B0AD-48B1-8C51-C8CBC00DEC20}">
  <sheetPr codeName="Sheet166"/>
  <dimension ref="A5:K14"/>
  <sheetViews>
    <sheetView workbookViewId="0"/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224717.99999982119</v>
      </c>
    </row>
    <row r="6" spans="1:11" ht="22.5" x14ac:dyDescent="0.25">
      <c r="D6" s="84" t="s">
        <v>1448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/>
      <c r="C10" s="92" t="s">
        <v>12</v>
      </c>
      <c r="D10" s="93"/>
      <c r="E10" s="92"/>
      <c r="F10" s="94"/>
      <c r="G10" s="94"/>
      <c r="H10" s="94">
        <f>C_Dieu_HY[[#This Row],[ĐƠN GIÁ]]*C_Dieu_HY[[#This Row],[SỐ LƯỢNG]]</f>
        <v>0</v>
      </c>
      <c r="I10" s="94"/>
      <c r="J10" s="94">
        <v>0</v>
      </c>
      <c r="K10" s="95"/>
    </row>
    <row r="11" spans="1:11" x14ac:dyDescent="0.25">
      <c r="A11" s="90">
        <v>8545</v>
      </c>
      <c r="B11" s="91">
        <v>46116</v>
      </c>
      <c r="C11" s="92" t="s">
        <v>13</v>
      </c>
      <c r="D11" s="93" t="s">
        <v>26</v>
      </c>
      <c r="E11" s="92" t="s">
        <v>1449</v>
      </c>
      <c r="F11" s="94">
        <v>3330</v>
      </c>
      <c r="G11" s="94">
        <v>32500</v>
      </c>
      <c r="H11" s="94">
        <f>C_Dieu_HY[[#This Row],[ĐƠN GIÁ]]*C_Dieu_HY[[#This Row],[SỐ LƯỢNG]]</f>
        <v>108225000</v>
      </c>
      <c r="I11" s="94"/>
      <c r="J11" s="94">
        <f>J10+C_Dieu_HY[[#This Row],[THÀNH TIỀN]]-C_Dieu_HY[[#This Row],[THANH TOÁN]]</f>
        <v>108225000</v>
      </c>
      <c r="K11" s="95"/>
    </row>
    <row r="12" spans="1:11" x14ac:dyDescent="0.25">
      <c r="A12" s="90">
        <v>9047</v>
      </c>
      <c r="B12" s="91">
        <v>46139</v>
      </c>
      <c r="C12" s="92" t="s">
        <v>13</v>
      </c>
      <c r="D12" s="93" t="s">
        <v>26</v>
      </c>
      <c r="E12" s="92" t="s">
        <v>148</v>
      </c>
      <c r="F12" s="94">
        <v>5090</v>
      </c>
      <c r="G12" s="94">
        <v>33793.7131630648</v>
      </c>
      <c r="H12" s="94">
        <f>C_Dieu_HY[[#This Row],[ĐƠN GIÁ]]*C_Dieu_HY[[#This Row],[SỐ LƯỢNG]]</f>
        <v>172009999.99999982</v>
      </c>
      <c r="I12" s="94"/>
      <c r="J12" s="94">
        <f>J11+C_Dieu_HY[[#This Row],[THÀNH TIỀN]]-C_Dieu_HY[[#This Row],[THANH TOÁN]]</f>
        <v>280234999.99999982</v>
      </c>
      <c r="K12" s="95"/>
    </row>
    <row r="13" spans="1:11" x14ac:dyDescent="0.25">
      <c r="A13" s="90"/>
      <c r="B13" s="91">
        <v>46147</v>
      </c>
      <c r="C13" s="92" t="s">
        <v>21</v>
      </c>
      <c r="D13" s="93" t="s">
        <v>22</v>
      </c>
      <c r="E13" s="92" t="s">
        <v>261</v>
      </c>
      <c r="F13" s="94">
        <v>0</v>
      </c>
      <c r="G13" s="94"/>
      <c r="H13" s="94">
        <f>C_Dieu_HY[[#This Row],[ĐƠN GIÁ]]*C_Dieu_HY[[#This Row],[SỐ LƯỢNG]]</f>
        <v>0</v>
      </c>
      <c r="I13" s="94">
        <v>172010282</v>
      </c>
      <c r="J13" s="94">
        <f>J12+C_Dieu_HY[[#This Row],[THÀNH TIỀN]]-C_Dieu_HY[[#This Row],[THANH TOÁN]]</f>
        <v>108224717.99999982</v>
      </c>
      <c r="K13" s="95"/>
    </row>
    <row r="14" spans="1:11" x14ac:dyDescent="0.25">
      <c r="A14" s="90"/>
      <c r="B14" s="91">
        <v>46115</v>
      </c>
      <c r="C14" s="92" t="s">
        <v>21</v>
      </c>
      <c r="D14" s="93" t="s">
        <v>24</v>
      </c>
      <c r="E14" s="92"/>
      <c r="F14" s="94">
        <v>0</v>
      </c>
      <c r="G14" s="94"/>
      <c r="H14" s="94">
        <f>C_Dieu_HY[[#This Row],[ĐƠN GIÁ]]*C_Dieu_HY[[#This Row],[SỐ LƯỢNG]]</f>
        <v>0</v>
      </c>
      <c r="I14" s="94">
        <v>108000000</v>
      </c>
      <c r="J14" s="94">
        <f>J13+C_Dieu_HY[[#This Row],[THÀNH TIỀN]]-C_Dieu_HY[[#This Row],[THANH TOÁN]]</f>
        <v>224717.99999982119</v>
      </c>
      <c r="K14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94C932-BE03-4751-8B4C-199B6A24E33F}">
  <sheetPr codeName="Sheet167"/>
  <dimension ref="A5:K13"/>
  <sheetViews>
    <sheetView workbookViewId="0"/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0</v>
      </c>
    </row>
    <row r="6" spans="1:11" ht="22.5" x14ac:dyDescent="0.25">
      <c r="D6" s="84" t="s">
        <v>1450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/>
      <c r="C10" s="92" t="s">
        <v>12</v>
      </c>
      <c r="D10" s="93"/>
      <c r="E10" s="92"/>
      <c r="F10" s="94"/>
      <c r="G10" s="94"/>
      <c r="H10" s="94">
        <f>Cty_Trang_Tung[[#This Row],[ĐƠN GIÁ]]*Cty_Trang_Tung[[#This Row],[SỐ LƯỢNG]]</f>
        <v>0</v>
      </c>
      <c r="I10" s="94"/>
      <c r="J10" s="94">
        <v>0</v>
      </c>
      <c r="K10" s="95"/>
    </row>
    <row r="11" spans="1:11" x14ac:dyDescent="0.25">
      <c r="A11" s="90">
        <v>8560</v>
      </c>
      <c r="B11" s="91">
        <v>46116</v>
      </c>
      <c r="C11" s="92" t="s">
        <v>13</v>
      </c>
      <c r="D11" s="93" t="s">
        <v>1451</v>
      </c>
      <c r="E11" s="92" t="s">
        <v>1452</v>
      </c>
      <c r="F11" s="94">
        <v>870</v>
      </c>
      <c r="G11" s="94">
        <v>68000</v>
      </c>
      <c r="H11" s="94">
        <f>Cty_Trang_Tung[[#This Row],[ĐƠN GIÁ]]*Cty_Trang_Tung[[#This Row],[SỐ LƯỢNG]]</f>
        <v>59160000</v>
      </c>
      <c r="I11" s="94"/>
      <c r="J11" s="94">
        <f>J10+Cty_Trang_Tung[[#This Row],[THÀNH TIỀN]]-Cty_Trang_Tung[[#This Row],[THANH TOÁN]]</f>
        <v>59160000</v>
      </c>
      <c r="K11" s="95"/>
    </row>
    <row r="12" spans="1:11" x14ac:dyDescent="0.25">
      <c r="A12" s="90"/>
      <c r="B12" s="91">
        <v>46115</v>
      </c>
      <c r="C12" s="92" t="s">
        <v>21</v>
      </c>
      <c r="D12" s="93" t="s">
        <v>22</v>
      </c>
      <c r="E12" s="92" t="s">
        <v>261</v>
      </c>
      <c r="F12" s="94">
        <v>0</v>
      </c>
      <c r="G12" s="94"/>
      <c r="H12" s="94">
        <f>Cty_Trang_Tung[[#This Row],[ĐƠN GIÁ]]*Cty_Trang_Tung[[#This Row],[SỐ LƯỢNG]]</f>
        <v>0</v>
      </c>
      <c r="I12" s="94">
        <v>10000000</v>
      </c>
      <c r="J12" s="94">
        <f>J11+Cty_Trang_Tung[[#This Row],[THÀNH TIỀN]]-Cty_Trang_Tung[[#This Row],[THANH TOÁN]]</f>
        <v>49160000</v>
      </c>
      <c r="K12" s="95"/>
    </row>
    <row r="13" spans="1:11" x14ac:dyDescent="0.25">
      <c r="A13" s="90"/>
      <c r="B13" s="91">
        <v>46118</v>
      </c>
      <c r="C13" s="92" t="s">
        <v>21</v>
      </c>
      <c r="D13" s="93" t="s">
        <v>22</v>
      </c>
      <c r="E13" s="92" t="s">
        <v>261</v>
      </c>
      <c r="F13" s="94">
        <v>0</v>
      </c>
      <c r="G13" s="94"/>
      <c r="H13" s="94">
        <f>Cty_Trang_Tung[[#This Row],[ĐƠN GIÁ]]*Cty_Trang_Tung[[#This Row],[SỐ LƯỢNG]]</f>
        <v>0</v>
      </c>
      <c r="I13" s="94">
        <v>49160000</v>
      </c>
      <c r="J13" s="94">
        <f>J12+Cty_Trang_Tung[[#This Row],[THÀNH TIỀN]]-Cty_Trang_Tung[[#This Row],[THANH TOÁN]]</f>
        <v>0</v>
      </c>
      <c r="K13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6495B1-FDAD-4ECA-8160-DEE6AC9F7F05}">
  <sheetPr codeName="Sheet168"/>
  <dimension ref="A5:K16"/>
  <sheetViews>
    <sheetView workbookViewId="0">
      <selection activeCell="I12" sqref="I12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253380000</v>
      </c>
    </row>
    <row r="6" spans="1:11" ht="22.5" x14ac:dyDescent="0.25">
      <c r="D6" s="84" t="s">
        <v>1453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/>
      <c r="C10" s="92" t="s">
        <v>12</v>
      </c>
      <c r="D10" s="93"/>
      <c r="E10" s="92"/>
      <c r="F10" s="94"/>
      <c r="G10" s="94"/>
      <c r="H10" s="94">
        <f>Cty_Kinh_Thanh[[#This Row],[ĐƠN GIÁ]]*Cty_Kinh_Thanh[[#This Row],[SỐ LƯỢNG]]</f>
        <v>0</v>
      </c>
      <c r="I10" s="94"/>
      <c r="J10" s="94">
        <f>0</f>
        <v>0</v>
      </c>
      <c r="K10" s="95"/>
    </row>
    <row r="11" spans="1:11" x14ac:dyDescent="0.25">
      <c r="A11" s="90">
        <v>8562</v>
      </c>
      <c r="B11" s="91">
        <v>46116</v>
      </c>
      <c r="C11" s="92" t="s">
        <v>13</v>
      </c>
      <c r="D11" s="93" t="s">
        <v>26</v>
      </c>
      <c r="E11" s="92" t="s">
        <v>230</v>
      </c>
      <c r="F11" s="94">
        <v>7392</v>
      </c>
      <c r="G11" s="94">
        <v>38000</v>
      </c>
      <c r="H11" s="94">
        <f>Cty_Kinh_Thanh[[#This Row],[ĐƠN GIÁ]]*Cty_Kinh_Thanh[[#This Row],[SỐ LƯỢNG]]</f>
        <v>280896000</v>
      </c>
      <c r="I11" s="94">
        <v>3696</v>
      </c>
      <c r="J11" s="94">
        <f>J10+Cty_Kinh_Thanh[[#This Row],[THÀNH TIỀN]]-Cty_Kinh_Thanh[[#This Row],[THANH TOÁN]]</f>
        <v>280892304</v>
      </c>
      <c r="K11" s="95"/>
    </row>
    <row r="12" spans="1:11" x14ac:dyDescent="0.25">
      <c r="A12" s="90"/>
      <c r="B12" s="91">
        <v>46141</v>
      </c>
      <c r="C12" s="92" t="s">
        <v>21</v>
      </c>
      <c r="D12" s="93" t="s">
        <v>22</v>
      </c>
      <c r="E12" s="92" t="s">
        <v>147</v>
      </c>
      <c r="F12" s="94">
        <v>0</v>
      </c>
      <c r="G12" s="94"/>
      <c r="H12" s="94">
        <f>Cty_Kinh_Thanh[[#This Row],[ĐƠN GIÁ]]*Cty_Kinh_Thanh[[#This Row],[SỐ LƯỢNG]]</f>
        <v>0</v>
      </c>
      <c r="I12" s="94">
        <v>150000000</v>
      </c>
      <c r="J12" s="94">
        <f>J11+Cty_Kinh_Thanh[[#This Row],[THÀNH TIỀN]]-Cty_Kinh_Thanh[[#This Row],[THANH TOÁN]]</f>
        <v>130892304</v>
      </c>
      <c r="K12" s="95"/>
    </row>
    <row r="13" spans="1:11" x14ac:dyDescent="0.25">
      <c r="A13" s="90"/>
      <c r="B13" s="91">
        <v>46150</v>
      </c>
      <c r="C13" s="92" t="s">
        <v>21</v>
      </c>
      <c r="D13" s="93" t="s">
        <v>22</v>
      </c>
      <c r="E13" s="92" t="s">
        <v>147</v>
      </c>
      <c r="F13" s="94">
        <v>0</v>
      </c>
      <c r="G13" s="94"/>
      <c r="H13" s="94">
        <f>Cty_Kinh_Thanh[[#This Row],[ĐƠN GIÁ]]*Cty_Kinh_Thanh[[#This Row],[SỐ LƯỢNG]]</f>
        <v>0</v>
      </c>
      <c r="I13" s="94">
        <v>130892304</v>
      </c>
      <c r="J13" s="94">
        <f>J12+Cty_Kinh_Thanh[[#This Row],[THÀNH TIỀN]]-Cty_Kinh_Thanh[[#This Row],[THANH TOÁN]]</f>
        <v>0</v>
      </c>
      <c r="K13" s="95"/>
    </row>
    <row r="14" spans="1:11" x14ac:dyDescent="0.25">
      <c r="A14" s="90">
        <v>9749</v>
      </c>
      <c r="B14" s="91">
        <v>46175</v>
      </c>
      <c r="C14" s="92" t="s">
        <v>13</v>
      </c>
      <c r="D14" s="93" t="s">
        <v>50</v>
      </c>
      <c r="E14" s="92" t="s">
        <v>73</v>
      </c>
      <c r="F14" s="94">
        <v>1520</v>
      </c>
      <c r="G14" s="94">
        <v>60000</v>
      </c>
      <c r="H14" s="94">
        <f>Cty_Kinh_Thanh[[#This Row],[ĐƠN GIÁ]]*Cty_Kinh_Thanh[[#This Row],[SỐ LƯỢNG]]</f>
        <v>91200000</v>
      </c>
      <c r="I14" s="94"/>
      <c r="J14" s="94">
        <f>J13+Cty_Kinh_Thanh[[#This Row],[THÀNH TIỀN]]-Cty_Kinh_Thanh[[#This Row],[THANH TOÁN]]</f>
        <v>91200000</v>
      </c>
      <c r="K14" s="95"/>
    </row>
    <row r="15" spans="1:11" x14ac:dyDescent="0.25">
      <c r="A15" s="90">
        <v>9749</v>
      </c>
      <c r="B15" s="91">
        <v>46175</v>
      </c>
      <c r="C15" s="92" t="s">
        <v>13</v>
      </c>
      <c r="D15" s="93" t="s">
        <v>50</v>
      </c>
      <c r="E15" s="92" t="s">
        <v>717</v>
      </c>
      <c r="F15" s="94">
        <v>1046</v>
      </c>
      <c r="G15" s="94">
        <v>60000</v>
      </c>
      <c r="H15" s="94">
        <f>Cty_Kinh_Thanh[[#This Row],[ĐƠN GIÁ]]*Cty_Kinh_Thanh[[#This Row],[SỐ LƯỢNG]]</f>
        <v>62760000</v>
      </c>
      <c r="I15" s="94"/>
      <c r="J15" s="94">
        <f>J14+Cty_Kinh_Thanh[[#This Row],[THÀNH TIỀN]]-Cty_Kinh_Thanh[[#This Row],[THANH TOÁN]]</f>
        <v>153960000</v>
      </c>
      <c r="K15" s="95"/>
    </row>
    <row r="16" spans="1:11" x14ac:dyDescent="0.25">
      <c r="A16" s="90">
        <v>9749</v>
      </c>
      <c r="B16" s="91">
        <v>46175</v>
      </c>
      <c r="C16" s="92" t="s">
        <v>13</v>
      </c>
      <c r="D16" s="93" t="s">
        <v>50</v>
      </c>
      <c r="E16" s="92" t="s">
        <v>1127</v>
      </c>
      <c r="F16" s="94">
        <v>1657</v>
      </c>
      <c r="G16" s="94">
        <v>60000</v>
      </c>
      <c r="H16" s="94">
        <f>Cty_Kinh_Thanh[[#This Row],[ĐƠN GIÁ]]*Cty_Kinh_Thanh[[#This Row],[SỐ LƯỢNG]]</f>
        <v>99420000</v>
      </c>
      <c r="I16" s="94"/>
      <c r="J16" s="94">
        <f>J15+Cty_Kinh_Thanh[[#This Row],[THÀNH TIỀN]]-Cty_Kinh_Thanh[[#This Row],[THANH TOÁN]]</f>
        <v>253380000</v>
      </c>
      <c r="K16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410AE1-D9AD-43A5-A80D-7662CEBF72B0}">
  <sheetPr codeName="Sheet169"/>
  <dimension ref="A5:K17"/>
  <sheetViews>
    <sheetView workbookViewId="0">
      <selection activeCell="D5" sqref="D5:D6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-7634160</v>
      </c>
    </row>
    <row r="6" spans="1:11" ht="22.5" x14ac:dyDescent="0.25">
      <c r="D6" s="84" t="s">
        <v>1454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/>
      <c r="C10" s="92" t="s">
        <v>12</v>
      </c>
      <c r="D10" s="93"/>
      <c r="E10" s="92"/>
      <c r="F10" s="94"/>
      <c r="G10" s="94"/>
      <c r="H10" s="94">
        <f>Cty_Viet_Tin[[#This Row],[ĐƠN GIÁ]]*Cty_Viet_Tin[[#This Row],[SỐ LƯỢNG]]</f>
        <v>0</v>
      </c>
      <c r="I10" s="94"/>
      <c r="J10" s="94">
        <v>0</v>
      </c>
      <c r="K10" s="95"/>
    </row>
    <row r="11" spans="1:11" x14ac:dyDescent="0.25">
      <c r="A11" s="90">
        <v>8566</v>
      </c>
      <c r="B11" s="91">
        <v>46116</v>
      </c>
      <c r="C11" s="92" t="s">
        <v>13</v>
      </c>
      <c r="D11" s="93" t="s">
        <v>17</v>
      </c>
      <c r="E11" s="92" t="s">
        <v>136</v>
      </c>
      <c r="F11" s="94">
        <v>176</v>
      </c>
      <c r="G11" s="94">
        <v>67500</v>
      </c>
      <c r="H11" s="94">
        <f>Cty_Viet_Tin[[#This Row],[ĐƠN GIÁ]]*Cty_Viet_Tin[[#This Row],[SỐ LƯỢNG]]</f>
        <v>11880000</v>
      </c>
      <c r="I11" s="94"/>
      <c r="J11" s="94">
        <f>J10+Cty_Viet_Tin[[#This Row],[THÀNH TIỀN]]-Cty_Viet_Tin[[#This Row],[THANH TOÁN]]</f>
        <v>11880000</v>
      </c>
      <c r="K11" s="95"/>
    </row>
    <row r="12" spans="1:11" x14ac:dyDescent="0.25">
      <c r="A12" s="90">
        <v>8566</v>
      </c>
      <c r="B12" s="91">
        <v>46116</v>
      </c>
      <c r="C12" s="92" t="s">
        <v>13</v>
      </c>
      <c r="D12" s="93" t="s">
        <v>17</v>
      </c>
      <c r="E12" s="92" t="s">
        <v>162</v>
      </c>
      <c r="F12" s="94">
        <v>106</v>
      </c>
      <c r="G12" s="94">
        <v>67500</v>
      </c>
      <c r="H12" s="94">
        <f>Cty_Viet_Tin[[#This Row],[ĐƠN GIÁ]]*Cty_Viet_Tin[[#This Row],[SỐ LƯỢNG]]</f>
        <v>7155000</v>
      </c>
      <c r="I12" s="94"/>
      <c r="J12" s="94">
        <f>J11+Cty_Viet_Tin[[#This Row],[THÀNH TIỀN]]-Cty_Viet_Tin[[#This Row],[THANH TOÁN]]</f>
        <v>19035000</v>
      </c>
      <c r="K12" s="95"/>
    </row>
    <row r="13" spans="1:11" x14ac:dyDescent="0.25">
      <c r="A13" s="90">
        <v>8914</v>
      </c>
      <c r="B13" s="91">
        <v>46133</v>
      </c>
      <c r="C13" s="92" t="s">
        <v>13</v>
      </c>
      <c r="D13" s="93" t="s">
        <v>17</v>
      </c>
      <c r="E13" s="92" t="s">
        <v>146</v>
      </c>
      <c r="F13" s="94">
        <v>644</v>
      </c>
      <c r="G13" s="94">
        <v>65000</v>
      </c>
      <c r="H13" s="94">
        <f>Cty_Viet_Tin[[#This Row],[ĐƠN GIÁ]]*Cty_Viet_Tin[[#This Row],[SỐ LƯỢNG]]</f>
        <v>41860000</v>
      </c>
      <c r="I13" s="94"/>
      <c r="J13" s="94">
        <f>J12+Cty_Viet_Tin[[#This Row],[THÀNH TIỀN]]-Cty_Viet_Tin[[#This Row],[THANH TOÁN]]</f>
        <v>60895000</v>
      </c>
      <c r="K13" s="95"/>
    </row>
    <row r="14" spans="1:11" x14ac:dyDescent="0.25">
      <c r="A14" s="90"/>
      <c r="B14" s="91">
        <v>46116</v>
      </c>
      <c r="C14" s="92" t="s">
        <v>21</v>
      </c>
      <c r="D14" s="93" t="s">
        <v>22</v>
      </c>
      <c r="E14" s="92" t="s">
        <v>261</v>
      </c>
      <c r="F14" s="94">
        <v>0</v>
      </c>
      <c r="G14" s="94"/>
      <c r="H14" s="94">
        <f>Cty_Viet_Tin[[#This Row],[ĐƠN GIÁ]]*Cty_Viet_Tin[[#This Row],[SỐ LƯỢNG]]</f>
        <v>0</v>
      </c>
      <c r="I14" s="94">
        <v>19035000</v>
      </c>
      <c r="J14" s="94">
        <f>J13+Cty_Viet_Tin[[#This Row],[THÀNH TIỀN]]-Cty_Viet_Tin[[#This Row],[THANH TOÁN]]</f>
        <v>41860000</v>
      </c>
      <c r="K14" s="95"/>
    </row>
    <row r="15" spans="1:11" x14ac:dyDescent="0.25">
      <c r="A15" s="90"/>
      <c r="B15" s="91">
        <v>46133</v>
      </c>
      <c r="C15" s="92" t="s">
        <v>21</v>
      </c>
      <c r="D15" s="93" t="s">
        <v>22</v>
      </c>
      <c r="E15" s="92" t="s">
        <v>261</v>
      </c>
      <c r="F15" s="94">
        <v>0</v>
      </c>
      <c r="G15" s="94"/>
      <c r="H15" s="94">
        <f>Cty_Viet_Tin[[#This Row],[ĐƠN GIÁ]]*Cty_Viet_Tin[[#This Row],[SỐ LƯỢNG]]</f>
        <v>0</v>
      </c>
      <c r="I15" s="94">
        <v>41860000</v>
      </c>
      <c r="J15" s="94">
        <f>J14+Cty_Viet_Tin[[#This Row],[THÀNH TIỀN]]-Cty_Viet_Tin[[#This Row],[THANH TOÁN]]</f>
        <v>0</v>
      </c>
      <c r="K15" s="95"/>
    </row>
    <row r="16" spans="1:11" x14ac:dyDescent="0.25">
      <c r="A16" s="90">
        <v>9549</v>
      </c>
      <c r="B16" s="91">
        <v>46164</v>
      </c>
      <c r="C16" s="92" t="s">
        <v>13</v>
      </c>
      <c r="D16" s="93" t="s">
        <v>26</v>
      </c>
      <c r="E16" s="92" t="s">
        <v>41</v>
      </c>
      <c r="F16" s="94">
        <v>1058</v>
      </c>
      <c r="G16" s="94">
        <v>36000</v>
      </c>
      <c r="H16" s="94">
        <f>Cty_Viet_Tin[[#This Row],[ĐƠN GIÁ]]*Cty_Viet_Tin[[#This Row],[SỐ LƯỢNG]]</f>
        <v>38088000</v>
      </c>
      <c r="I16" s="94"/>
      <c r="J16" s="94">
        <f>J15+Cty_Viet_Tin[[#This Row],[THÀNH TIỀN]]-Cty_Viet_Tin[[#This Row],[THANH TOÁN]]</f>
        <v>38088000</v>
      </c>
      <c r="K16" s="95"/>
    </row>
    <row r="17" spans="1:11" x14ac:dyDescent="0.25">
      <c r="A17" s="90"/>
      <c r="B17" s="91">
        <v>46164</v>
      </c>
      <c r="C17" s="92" t="s">
        <v>21</v>
      </c>
      <c r="D17" s="93" t="s">
        <v>22</v>
      </c>
      <c r="E17" s="92" t="s">
        <v>261</v>
      </c>
      <c r="F17" s="94">
        <v>0</v>
      </c>
      <c r="G17" s="94"/>
      <c r="H17" s="94">
        <f>Cty_Viet_Tin[[#This Row],[ĐƠN GIÁ]]*Cty_Viet_Tin[[#This Row],[SỐ LƯỢNG]]</f>
        <v>0</v>
      </c>
      <c r="I17" s="94">
        <v>45722160</v>
      </c>
      <c r="J17" s="94">
        <f>J16+Cty_Viet_Tin[[#This Row],[THÀNH TIỀN]]-Cty_Viet_Tin[[#This Row],[THANH TOÁN]]</f>
        <v>-7634160</v>
      </c>
      <c r="K17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A8C55-1E40-4A82-83C0-61386BFDE246}">
  <sheetPr codeName="Sheet170"/>
  <dimension ref="A5:K14"/>
  <sheetViews>
    <sheetView workbookViewId="0">
      <selection activeCell="I14" sqref="I14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0</v>
      </c>
    </row>
    <row r="6" spans="1:11" ht="22.5" x14ac:dyDescent="0.25">
      <c r="D6" s="84" t="s">
        <v>1455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/>
      <c r="C10" s="92" t="s">
        <v>12</v>
      </c>
      <c r="D10" s="93"/>
      <c r="E10" s="92"/>
      <c r="F10" s="94"/>
      <c r="G10" s="94"/>
      <c r="H10" s="94">
        <f>Cty_Tung_Linh[[#This Row],[ĐƠN GIÁ]]*Cty_Tung_Linh[[#This Row],[SỐ LƯỢNG]]</f>
        <v>0</v>
      </c>
      <c r="I10" s="94"/>
      <c r="J10" s="94">
        <v>0</v>
      </c>
      <c r="K10" s="95"/>
    </row>
    <row r="11" spans="1:11" x14ac:dyDescent="0.25">
      <c r="A11" s="90">
        <v>8595</v>
      </c>
      <c r="B11" s="91">
        <v>46118</v>
      </c>
      <c r="C11" s="92" t="s">
        <v>13</v>
      </c>
      <c r="D11" s="93" t="s">
        <v>1456</v>
      </c>
      <c r="E11" s="92" t="s">
        <v>65</v>
      </c>
      <c r="F11" s="94">
        <v>698</v>
      </c>
      <c r="G11" s="94">
        <v>63000</v>
      </c>
      <c r="H11" s="94">
        <f>Cty_Tung_Linh[[#This Row],[ĐƠN GIÁ]]*Cty_Tung_Linh[[#This Row],[SỐ LƯỢNG]]</f>
        <v>43974000</v>
      </c>
      <c r="I11" s="94"/>
      <c r="J11" s="94">
        <f>J10+Cty_Tung_Linh[[#This Row],[THÀNH TIỀN]]-Cty_Tung_Linh[[#This Row],[THANH TOÁN]]</f>
        <v>43974000</v>
      </c>
      <c r="K11" s="95" t="s">
        <v>42</v>
      </c>
    </row>
    <row r="12" spans="1:11" x14ac:dyDescent="0.25">
      <c r="A12" s="90">
        <v>8595</v>
      </c>
      <c r="B12" s="91">
        <v>46118</v>
      </c>
      <c r="C12" s="92" t="s">
        <v>166</v>
      </c>
      <c r="D12" s="93" t="s">
        <v>1456</v>
      </c>
      <c r="E12" s="92" t="s">
        <v>65</v>
      </c>
      <c r="F12" s="94">
        <v>698</v>
      </c>
      <c r="G12" s="94">
        <v>-63000</v>
      </c>
      <c r="H12" s="94">
        <f>Cty_Tung_Linh[[#This Row],[ĐƠN GIÁ]]*Cty_Tung_Linh[[#This Row],[SỐ LƯỢNG]]</f>
        <v>-43974000</v>
      </c>
      <c r="I12" s="94"/>
      <c r="J12" s="94">
        <f>J11+Cty_Tung_Linh[[#This Row],[THÀNH TIỀN]]-Cty_Tung_Linh[[#This Row],[THANH TOÁN]]</f>
        <v>0</v>
      </c>
      <c r="K12" s="95"/>
    </row>
    <row r="13" spans="1:11" x14ac:dyDescent="0.25">
      <c r="A13" s="90">
        <v>8651</v>
      </c>
      <c r="B13" s="91">
        <v>46121</v>
      </c>
      <c r="C13" s="92" t="s">
        <v>13</v>
      </c>
      <c r="D13" s="93" t="s">
        <v>1456</v>
      </c>
      <c r="E13" s="92" t="s">
        <v>78</v>
      </c>
      <c r="F13" s="94">
        <v>698</v>
      </c>
      <c r="G13" s="94">
        <v>63000</v>
      </c>
      <c r="H13" s="94">
        <f>Cty_Tung_Linh[[#This Row],[ĐƠN GIÁ]]*Cty_Tung_Linh[[#This Row],[SỐ LƯỢNG]]</f>
        <v>43974000</v>
      </c>
      <c r="I13" s="94">
        <v>4000</v>
      </c>
      <c r="J13" s="94">
        <f>J12+Cty_Tung_Linh[[#This Row],[THÀNH TIỀN]]-Cty_Tung_Linh[[#This Row],[THANH TOÁN]]</f>
        <v>43970000</v>
      </c>
      <c r="K13" s="95" t="s">
        <v>42</v>
      </c>
    </row>
    <row r="14" spans="1:11" x14ac:dyDescent="0.25">
      <c r="A14" s="90"/>
      <c r="B14" s="91">
        <v>46121</v>
      </c>
      <c r="C14" s="92" t="s">
        <v>21</v>
      </c>
      <c r="D14" s="93" t="s">
        <v>24</v>
      </c>
      <c r="E14" s="92"/>
      <c r="F14" s="94">
        <v>0</v>
      </c>
      <c r="G14" s="94"/>
      <c r="H14" s="94">
        <f>Cty_Tung_Linh[[#This Row],[ĐƠN GIÁ]]*Cty_Tung_Linh[[#This Row],[SỐ LƯỢNG]]</f>
        <v>0</v>
      </c>
      <c r="I14" s="94">
        <v>43970000</v>
      </c>
      <c r="J14" s="94">
        <f>J13+Cty_Tung_Linh[[#This Row],[THÀNH TIỀN]]-Cty_Tung_Linh[[#This Row],[THANH TOÁN]]</f>
        <v>0</v>
      </c>
      <c r="K14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C55576-A58E-416C-B0DF-A2761486843E}">
  <sheetPr codeName="Sheet171"/>
  <dimension ref="A5:K14"/>
  <sheetViews>
    <sheetView workbookViewId="0">
      <selection activeCell="I14" sqref="I14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0</v>
      </c>
    </row>
    <row r="6" spans="1:11" ht="22.5" x14ac:dyDescent="0.25">
      <c r="D6" s="84" t="s">
        <v>1457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/>
      <c r="C10" s="92" t="s">
        <v>12</v>
      </c>
      <c r="D10" s="93"/>
      <c r="E10" s="92"/>
      <c r="F10" s="94"/>
      <c r="G10" s="94"/>
      <c r="H10" s="94">
        <f>Cty_Simec[[#This Row],[ĐƠN GIÁ]]*Cty_Simec[[#This Row],[SỐ LƯỢNG]]</f>
        <v>0</v>
      </c>
      <c r="I10" s="94"/>
      <c r="J10" s="94">
        <v>0</v>
      </c>
      <c r="K10" s="95"/>
    </row>
    <row r="11" spans="1:11" x14ac:dyDescent="0.25">
      <c r="A11" s="90">
        <v>8647</v>
      </c>
      <c r="B11" s="91">
        <v>46121</v>
      </c>
      <c r="C11" s="92" t="s">
        <v>13</v>
      </c>
      <c r="D11" s="93" t="s">
        <v>27</v>
      </c>
      <c r="E11" s="92" t="s">
        <v>1458</v>
      </c>
      <c r="F11" s="94">
        <v>74</v>
      </c>
      <c r="G11" s="94">
        <v>61000</v>
      </c>
      <c r="H11" s="94">
        <f>Cty_Simec[[#This Row],[ĐƠN GIÁ]]*Cty_Simec[[#This Row],[SỐ LƯỢNG]]</f>
        <v>4514000</v>
      </c>
      <c r="I11" s="94"/>
      <c r="J11" s="94">
        <f>J10+Cty_Simec[[#This Row],[THÀNH TIỀN]]-Cty_Simec[[#This Row],[THANH TOÁN]]</f>
        <v>4514000</v>
      </c>
      <c r="K11" s="95"/>
    </row>
    <row r="12" spans="1:11" x14ac:dyDescent="0.25">
      <c r="A12" s="90">
        <v>8647</v>
      </c>
      <c r="B12" s="91">
        <v>46121</v>
      </c>
      <c r="C12" s="92" t="s">
        <v>13</v>
      </c>
      <c r="D12" s="93" t="s">
        <v>27</v>
      </c>
      <c r="E12" s="92" t="s">
        <v>117</v>
      </c>
      <c r="F12" s="94">
        <v>624</v>
      </c>
      <c r="G12" s="94">
        <v>61000</v>
      </c>
      <c r="H12" s="94">
        <f>Cty_Simec[[#This Row],[ĐƠN GIÁ]]*Cty_Simec[[#This Row],[SỐ LƯỢNG]]</f>
        <v>38064000</v>
      </c>
      <c r="I12" s="94"/>
      <c r="J12" s="94">
        <f>J11+Cty_Simec[[#This Row],[THÀNH TIỀN]]-Cty_Simec[[#This Row],[THANH TOÁN]]</f>
        <v>42578000</v>
      </c>
      <c r="K12" s="95"/>
    </row>
    <row r="13" spans="1:11" x14ac:dyDescent="0.25">
      <c r="A13" s="90">
        <v>8647</v>
      </c>
      <c r="B13" s="91">
        <v>46121</v>
      </c>
      <c r="C13" s="92" t="s">
        <v>13</v>
      </c>
      <c r="D13" s="93" t="s">
        <v>27</v>
      </c>
      <c r="E13" s="92" t="s">
        <v>1459</v>
      </c>
      <c r="F13" s="94">
        <v>145</v>
      </c>
      <c r="G13" s="94">
        <v>61000</v>
      </c>
      <c r="H13" s="94">
        <f>Cty_Simec[[#This Row],[ĐƠN GIÁ]]*Cty_Simec[[#This Row],[SỐ LƯỢNG]]</f>
        <v>8845000</v>
      </c>
      <c r="I13" s="94">
        <v>264</v>
      </c>
      <c r="J13" s="94">
        <f>J12+Cty_Simec[[#This Row],[THÀNH TIỀN]]-Cty_Simec[[#This Row],[THANH TOÁN]]</f>
        <v>51422736</v>
      </c>
      <c r="K13" s="95"/>
    </row>
    <row r="14" spans="1:11" x14ac:dyDescent="0.25">
      <c r="A14" s="90"/>
      <c r="B14" s="91">
        <v>46150</v>
      </c>
      <c r="C14" s="92" t="s">
        <v>21</v>
      </c>
      <c r="D14" s="93" t="s">
        <v>22</v>
      </c>
      <c r="E14" s="92" t="s">
        <v>83</v>
      </c>
      <c r="F14" s="94">
        <v>0</v>
      </c>
      <c r="G14" s="94"/>
      <c r="H14" s="94">
        <f>Cty_Simec[[#This Row],[ĐƠN GIÁ]]*Cty_Simec[[#This Row],[SỐ LƯỢNG]]</f>
        <v>0</v>
      </c>
      <c r="I14" s="94">
        <v>51422736</v>
      </c>
      <c r="J14" s="94">
        <f>J13+Cty_Simec[[#This Row],[THÀNH TIỀN]]-Cty_Simec[[#This Row],[THANH TOÁN]]</f>
        <v>0</v>
      </c>
      <c r="K14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38544-C106-43AE-90C1-B8D79BDE12CB}">
  <sheetPr codeName="Sheet173"/>
  <dimension ref="A5:K13"/>
  <sheetViews>
    <sheetView workbookViewId="0">
      <selection activeCell="I13" sqref="I13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0</v>
      </c>
    </row>
    <row r="6" spans="1:11" ht="22.5" x14ac:dyDescent="0.25">
      <c r="D6" s="84" t="s">
        <v>1460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/>
      <c r="C10" s="92" t="s">
        <v>12</v>
      </c>
      <c r="D10" s="93"/>
      <c r="E10" s="92"/>
      <c r="F10" s="94"/>
      <c r="G10" s="94"/>
      <c r="H10" s="94">
        <f>Cty_Vinatota_Viet_My_HD[[#This Row],[ĐƠN GIÁ]]*Cty_Vinatota_Viet_My_HD[[#This Row],[SỐ LƯỢNG]]</f>
        <v>0</v>
      </c>
      <c r="I10" s="94"/>
      <c r="J10" s="94">
        <v>0</v>
      </c>
      <c r="K10" s="95"/>
    </row>
    <row r="11" spans="1:11" x14ac:dyDescent="0.25">
      <c r="A11" s="90">
        <v>8687</v>
      </c>
      <c r="B11" s="91">
        <v>46122</v>
      </c>
      <c r="C11" s="92" t="s">
        <v>13</v>
      </c>
      <c r="D11" s="93" t="s">
        <v>26</v>
      </c>
      <c r="E11" s="92" t="s">
        <v>41</v>
      </c>
      <c r="F11" s="94">
        <v>2630</v>
      </c>
      <c r="G11" s="94">
        <v>35000</v>
      </c>
      <c r="H11" s="94">
        <f>Cty_Vinatota_Viet_My_HD[[#This Row],[ĐƠN GIÁ]]*Cty_Vinatota_Viet_My_HD[[#This Row],[SỐ LƯỢNG]]</f>
        <v>92050000</v>
      </c>
      <c r="I11" s="94"/>
      <c r="J11" s="94">
        <f>J10+Cty_Vinatota_Viet_My_HD[[#This Row],[THÀNH TIỀN]]-Cty_Vinatota_Viet_My_HD[[#This Row],[THANH TOÁN]]</f>
        <v>92050000</v>
      </c>
      <c r="K11" s="95"/>
    </row>
    <row r="12" spans="1:11" x14ac:dyDescent="0.25">
      <c r="A12" s="90">
        <v>8687</v>
      </c>
      <c r="B12" s="91">
        <v>46122</v>
      </c>
      <c r="C12" s="92" t="s">
        <v>13</v>
      </c>
      <c r="D12" s="93" t="s">
        <v>26</v>
      </c>
      <c r="E12" s="92" t="s">
        <v>78</v>
      </c>
      <c r="F12" s="94">
        <v>2924</v>
      </c>
      <c r="G12" s="94">
        <v>36000</v>
      </c>
      <c r="H12" s="94">
        <f>Cty_Vinatota_Viet_My_HD[[#This Row],[ĐƠN GIÁ]]*Cty_Vinatota_Viet_My_HD[[#This Row],[SỐ LƯỢNG]]</f>
        <v>105264000</v>
      </c>
      <c r="I12" s="94">
        <v>400</v>
      </c>
      <c r="J12" s="94">
        <f>J11+Cty_Vinatota_Viet_My_HD[[#This Row],[THÀNH TIỀN]]-Cty_Vinatota_Viet_My_HD[[#This Row],[THANH TOÁN]]</f>
        <v>197313600</v>
      </c>
      <c r="K12" s="95"/>
    </row>
    <row r="13" spans="1:11" x14ac:dyDescent="0.25">
      <c r="A13" s="90"/>
      <c r="B13" s="91">
        <v>46134</v>
      </c>
      <c r="C13" s="92" t="s">
        <v>21</v>
      </c>
      <c r="D13" s="93" t="s">
        <v>22</v>
      </c>
      <c r="E13" s="92" t="s">
        <v>83</v>
      </c>
      <c r="F13" s="94">
        <v>0</v>
      </c>
      <c r="G13" s="94"/>
      <c r="H13" s="94">
        <f>Cty_Vinatota_Viet_My_HD[[#This Row],[ĐƠN GIÁ]]*Cty_Vinatota_Viet_My_HD[[#This Row],[SỐ LƯỢNG]]</f>
        <v>0</v>
      </c>
      <c r="I13" s="94">
        <v>197313600</v>
      </c>
      <c r="J13" s="94">
        <f>J12+Cty_Vinatota_Viet_My_HD[[#This Row],[THÀNH TIỀN]]-Cty_Vinatota_Viet_My_HD[[#This Row],[THANH TOÁN]]</f>
        <v>0</v>
      </c>
      <c r="K13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35153-9E4C-4A5E-8A80-DFD0B0ED04A2}">
  <sheetPr codeName="Sheet172"/>
  <dimension ref="A5:K14"/>
  <sheetViews>
    <sheetView topLeftCell="A4" workbookViewId="0"/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9880000</v>
      </c>
    </row>
    <row r="6" spans="1:11" ht="22.5" x14ac:dyDescent="0.25">
      <c r="D6" s="84" t="s">
        <v>1461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/>
      <c r="C10" s="92" t="s">
        <v>12</v>
      </c>
      <c r="D10" s="93"/>
      <c r="E10" s="92"/>
      <c r="F10" s="94"/>
      <c r="G10" s="94"/>
      <c r="H10" s="94">
        <f>A_Dai_Vinh[[#This Row],[ĐƠN GIÁ]]*A_Dai_Vinh[[#This Row],[SỐ LƯỢNG]]</f>
        <v>0</v>
      </c>
      <c r="I10" s="94"/>
      <c r="J10" s="94">
        <v>0</v>
      </c>
      <c r="K10" s="95"/>
    </row>
    <row r="11" spans="1:11" x14ac:dyDescent="0.25">
      <c r="A11" s="90">
        <v>8835</v>
      </c>
      <c r="B11" s="91">
        <v>46128</v>
      </c>
      <c r="C11" s="92" t="s">
        <v>13</v>
      </c>
      <c r="D11" s="93" t="s">
        <v>27</v>
      </c>
      <c r="E11" s="92" t="s">
        <v>1462</v>
      </c>
      <c r="F11" s="94">
        <v>92</v>
      </c>
      <c r="G11" s="94">
        <v>62000</v>
      </c>
      <c r="H11" s="94">
        <f>A_Dai_Vinh[[#This Row],[ĐƠN GIÁ]]*A_Dai_Vinh[[#This Row],[SỐ LƯỢNG]]</f>
        <v>5704000</v>
      </c>
      <c r="I11" s="94"/>
      <c r="J11" s="94">
        <f>J10+A_Dai_Vinh[[#This Row],[THÀNH TIỀN]]-A_Dai_Vinh[[#This Row],[THANH TOÁN]]</f>
        <v>5704000</v>
      </c>
      <c r="K11" s="95"/>
    </row>
    <row r="12" spans="1:11" x14ac:dyDescent="0.25">
      <c r="A12" s="90">
        <v>8835</v>
      </c>
      <c r="B12" s="91">
        <v>46128</v>
      </c>
      <c r="C12" s="92" t="s">
        <v>13</v>
      </c>
      <c r="D12" s="93" t="s">
        <v>27</v>
      </c>
      <c r="E12" s="92" t="s">
        <v>1463</v>
      </c>
      <c r="F12" s="94">
        <v>32</v>
      </c>
      <c r="G12" s="94">
        <v>62000</v>
      </c>
      <c r="H12" s="94">
        <f>A_Dai_Vinh[[#This Row],[ĐƠN GIÁ]]*A_Dai_Vinh[[#This Row],[SỐ LƯỢNG]]</f>
        <v>1984000</v>
      </c>
      <c r="I12" s="94"/>
      <c r="J12" s="94">
        <f>J11+A_Dai_Vinh[[#This Row],[THÀNH TIỀN]]-A_Dai_Vinh[[#This Row],[THANH TOÁN]]</f>
        <v>7688000</v>
      </c>
      <c r="K12" s="95"/>
    </row>
    <row r="13" spans="1:11" x14ac:dyDescent="0.25">
      <c r="A13" s="90"/>
      <c r="B13" s="91">
        <v>46128</v>
      </c>
      <c r="C13" s="92" t="s">
        <v>21</v>
      </c>
      <c r="D13" s="93" t="s">
        <v>22</v>
      </c>
      <c r="E13" s="92" t="s">
        <v>726</v>
      </c>
      <c r="F13" s="94">
        <v>0</v>
      </c>
      <c r="G13" s="94"/>
      <c r="H13" s="94">
        <f>A_Dai_Vinh[[#This Row],[ĐƠN GIÁ]]*A_Dai_Vinh[[#This Row],[SỐ LƯỢNG]]</f>
        <v>0</v>
      </c>
      <c r="I13" s="94">
        <v>7688000</v>
      </c>
      <c r="J13" s="94">
        <f>J12+A_Dai_Vinh[[#This Row],[THÀNH TIỀN]]-A_Dai_Vinh[[#This Row],[THANH TOÁN]]</f>
        <v>0</v>
      </c>
      <c r="K13" s="95"/>
    </row>
    <row r="14" spans="1:11" x14ac:dyDescent="0.25">
      <c r="A14" s="90">
        <v>9154</v>
      </c>
      <c r="B14" s="91">
        <v>46146</v>
      </c>
      <c r="C14" s="92" t="s">
        <v>13</v>
      </c>
      <c r="D14" s="93" t="s">
        <v>50</v>
      </c>
      <c r="E14" s="92" t="s">
        <v>1763</v>
      </c>
      <c r="F14" s="94">
        <v>152</v>
      </c>
      <c r="G14" s="94">
        <v>65000</v>
      </c>
      <c r="H14" s="94">
        <f>A_Dai_Vinh[[#This Row],[ĐƠN GIÁ]]*A_Dai_Vinh[[#This Row],[SỐ LƯỢNG]]</f>
        <v>9880000</v>
      </c>
      <c r="I14" s="94"/>
      <c r="J14" s="94">
        <f>J13+A_Dai_Vinh[[#This Row],[THÀNH TIỀN]]-A_Dai_Vinh[[#This Row],[THANH TOÁN]]</f>
        <v>9880000</v>
      </c>
      <c r="K14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8AA8A-AA3F-42FC-A4EA-CEEF0CC0759D}">
  <sheetPr codeName="Sheet174"/>
  <dimension ref="A5:K13"/>
  <sheetViews>
    <sheetView workbookViewId="0"/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21182000</v>
      </c>
    </row>
    <row r="6" spans="1:11" ht="22.5" x14ac:dyDescent="0.25">
      <c r="D6" s="84" t="s">
        <v>1464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/>
      <c r="C10" s="92" t="s">
        <v>12</v>
      </c>
      <c r="D10" s="93"/>
      <c r="E10" s="92"/>
      <c r="F10" s="94"/>
      <c r="G10" s="94"/>
      <c r="H10" s="94">
        <f>E_Sang_Phuc_Tho[[#This Row],[ĐƠN GIÁ]]*E_Sang_Phuc_Tho[[#This Row],[SỐ LƯỢNG]]</f>
        <v>0</v>
      </c>
      <c r="I10" s="94"/>
      <c r="J10" s="94">
        <v>0</v>
      </c>
      <c r="K10" s="95"/>
    </row>
    <row r="11" spans="1:11" x14ac:dyDescent="0.25">
      <c r="A11" s="90">
        <v>8858</v>
      </c>
      <c r="B11" s="91">
        <v>46129</v>
      </c>
      <c r="C11" s="92" t="s">
        <v>13</v>
      </c>
      <c r="D11" s="93" t="s">
        <v>26</v>
      </c>
      <c r="E11" s="92" t="s">
        <v>1465</v>
      </c>
      <c r="F11" s="94">
        <v>902</v>
      </c>
      <c r="G11" s="94">
        <v>36000</v>
      </c>
      <c r="H11" s="94">
        <f>E_Sang_Phuc_Tho[[#This Row],[ĐƠN GIÁ]]*E_Sang_Phuc_Tho[[#This Row],[SỐ LƯỢNG]]</f>
        <v>32472000</v>
      </c>
      <c r="I11" s="94"/>
      <c r="J11" s="94">
        <f>J10+E_Sang_Phuc_Tho[[#This Row],[THÀNH TIỀN]]-E_Sang_Phuc_Tho[[#This Row],[THANH TOÁN]]</f>
        <v>32472000</v>
      </c>
      <c r="K11" s="95"/>
    </row>
    <row r="12" spans="1:11" x14ac:dyDescent="0.25">
      <c r="A12" s="90">
        <v>8858</v>
      </c>
      <c r="B12" s="91">
        <v>46129</v>
      </c>
      <c r="C12" s="92" t="s">
        <v>13</v>
      </c>
      <c r="D12" s="93" t="s">
        <v>43</v>
      </c>
      <c r="E12" s="92" t="s">
        <v>1466</v>
      </c>
      <c r="F12" s="94">
        <v>435</v>
      </c>
      <c r="G12" s="94">
        <v>66000</v>
      </c>
      <c r="H12" s="94">
        <f>E_Sang_Phuc_Tho[[#This Row],[ĐƠN GIÁ]]*E_Sang_Phuc_Tho[[#This Row],[SỐ LƯỢNG]]</f>
        <v>28710000</v>
      </c>
      <c r="I12" s="94"/>
      <c r="J12" s="94">
        <f>J11+E_Sang_Phuc_Tho[[#This Row],[THÀNH TIỀN]]-E_Sang_Phuc_Tho[[#This Row],[THANH TOÁN]]</f>
        <v>61182000</v>
      </c>
      <c r="K12" s="95"/>
    </row>
    <row r="13" spans="1:11" x14ac:dyDescent="0.25">
      <c r="A13" s="90"/>
      <c r="B13" s="91">
        <v>46129</v>
      </c>
      <c r="C13" s="92" t="s">
        <v>21</v>
      </c>
      <c r="D13" s="93" t="s">
        <v>22</v>
      </c>
      <c r="E13" s="92" t="s">
        <v>1907</v>
      </c>
      <c r="F13" s="94">
        <v>0</v>
      </c>
      <c r="G13" s="94"/>
      <c r="H13" s="94">
        <f>E_Sang_Phuc_Tho[[#This Row],[ĐƠN GIÁ]]*E_Sang_Phuc_Tho[[#This Row],[SỐ LƯỢNG]]</f>
        <v>0</v>
      </c>
      <c r="I13" s="94">
        <v>40000000</v>
      </c>
      <c r="J13" s="94">
        <f>J12+E_Sang_Phuc_Tho[[#This Row],[THÀNH TIỀN]]-E_Sang_Phuc_Tho[[#This Row],[THANH TOÁN]]</f>
        <v>21182000</v>
      </c>
      <c r="K13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CB4FD-D8A6-4946-8A08-B21ACE5FA272}">
  <sheetPr codeName="Sheet175"/>
  <dimension ref="A5:K14"/>
  <sheetViews>
    <sheetView workbookViewId="0">
      <selection activeCell="K18" sqref="K18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477374000</v>
      </c>
    </row>
    <row r="6" spans="1:11" ht="22.5" x14ac:dyDescent="0.25">
      <c r="D6" s="84" t="s">
        <v>1467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/>
      <c r="C10" s="92" t="s">
        <v>12</v>
      </c>
      <c r="D10" s="93"/>
      <c r="E10" s="92"/>
      <c r="F10" s="94"/>
      <c r="G10" s="94"/>
      <c r="H10" s="94">
        <f>Cty_Thang_Loi[[#This Row],[ĐƠN GIÁ]]*Cty_Thang_Loi[[#This Row],[SỐ LƯỢNG]]</f>
        <v>0</v>
      </c>
      <c r="I10" s="94"/>
      <c r="J10" s="94">
        <v>153558000</v>
      </c>
      <c r="K10" s="95"/>
    </row>
    <row r="11" spans="1:11" x14ac:dyDescent="0.25">
      <c r="A11" s="90" t="s">
        <v>1468</v>
      </c>
      <c r="B11" s="91">
        <v>46116</v>
      </c>
      <c r="C11" s="92" t="s">
        <v>692</v>
      </c>
      <c r="D11" s="93" t="s">
        <v>703</v>
      </c>
      <c r="E11" s="92" t="s">
        <v>682</v>
      </c>
      <c r="F11" s="94">
        <v>2254</v>
      </c>
      <c r="G11" s="94">
        <v>-26000</v>
      </c>
      <c r="H11" s="94">
        <f>Cty_Thang_Loi[[#This Row],[ĐƠN GIÁ]]*Cty_Thang_Loi[[#This Row],[SỐ LƯỢNG]]</f>
        <v>-58604000</v>
      </c>
      <c r="I11" s="94"/>
      <c r="J11" s="94">
        <f>J10+Cty_Thang_Loi[[#This Row],[THÀNH TIỀN]]-Cty_Thang_Loi[[#This Row],[THANH TOÁN]]</f>
        <v>94954000</v>
      </c>
      <c r="K11" s="95" t="s">
        <v>2037</v>
      </c>
    </row>
    <row r="12" spans="1:11" x14ac:dyDescent="0.25">
      <c r="A12" s="90">
        <v>316</v>
      </c>
      <c r="B12" s="91">
        <v>46127</v>
      </c>
      <c r="C12" s="92" t="s">
        <v>692</v>
      </c>
      <c r="D12" s="93" t="s">
        <v>118</v>
      </c>
      <c r="E12" s="92" t="s">
        <v>682</v>
      </c>
      <c r="F12" s="94">
        <v>4540</v>
      </c>
      <c r="G12" s="94">
        <v>-27000</v>
      </c>
      <c r="H12" s="94">
        <f>Cty_Thang_Loi[[#This Row],[ĐƠN GIÁ]]*Cty_Thang_Loi[[#This Row],[SỐ LƯỢNG]]</f>
        <v>-122580000</v>
      </c>
      <c r="I12" s="94"/>
      <c r="J12" s="94">
        <f>J11+Cty_Thang_Loi[[#This Row],[THÀNH TIỀN]]-Cty_Thang_Loi[[#This Row],[THANH TOÁN]]</f>
        <v>-27626000</v>
      </c>
      <c r="K12" s="95"/>
    </row>
    <row r="13" spans="1:11" x14ac:dyDescent="0.25">
      <c r="A13" s="90">
        <v>9009</v>
      </c>
      <c r="B13" s="91">
        <v>46137</v>
      </c>
      <c r="C13" s="92" t="s">
        <v>13</v>
      </c>
      <c r="D13" s="93" t="s">
        <v>1029</v>
      </c>
      <c r="E13" s="92" t="s">
        <v>1825</v>
      </c>
      <c r="F13" s="94">
        <v>20200</v>
      </c>
      <c r="G13" s="94">
        <v>25000</v>
      </c>
      <c r="H13" s="94">
        <f>Cty_Thang_Loi[[#This Row],[ĐƠN GIÁ]]*Cty_Thang_Loi[[#This Row],[SỐ LƯỢNG]]</f>
        <v>505000000</v>
      </c>
      <c r="I13" s="94"/>
      <c r="J13" s="94">
        <f>J12+Cty_Thang_Loi[[#This Row],[THÀNH TIỀN]]-Cty_Thang_Loi[[#This Row],[THANH TOÁN]]</f>
        <v>477374000</v>
      </c>
      <c r="K13" s="95"/>
    </row>
    <row r="14" spans="1:11" x14ac:dyDescent="0.25">
      <c r="A14" s="90"/>
      <c r="B14" s="91">
        <v>46178</v>
      </c>
      <c r="C14" s="92" t="s">
        <v>21</v>
      </c>
      <c r="D14" s="93" t="s">
        <v>22</v>
      </c>
      <c r="E14" s="92" t="s">
        <v>147</v>
      </c>
      <c r="F14" s="94">
        <v>0</v>
      </c>
      <c r="G14" s="94"/>
      <c r="H14" s="94">
        <f>Cty_Thang_Loi[[#This Row],[ĐƠN GIÁ]]*Cty_Thang_Loi[[#This Row],[SỐ LƯỢNG]]</f>
        <v>0</v>
      </c>
      <c r="I14" s="94">
        <v>323824349</v>
      </c>
      <c r="J14" s="94">
        <f>J13+Cty_Thang_Loi[[#This Row],[THÀNH TIỀN]]-Cty_Thang_Loi[[#This Row],[THANH TOÁN]]</f>
        <v>153549651</v>
      </c>
      <c r="K14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9EFD1F-C382-444F-92D0-E48B9EBDA46B}">
  <sheetPr codeName="Sheet176"/>
  <dimension ref="A5:K14"/>
  <sheetViews>
    <sheetView workbookViewId="0">
      <selection activeCell="I13" sqref="I13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0</v>
      </c>
    </row>
    <row r="6" spans="1:11" ht="22.5" x14ac:dyDescent="0.25">
      <c r="D6" s="84" t="s">
        <v>1469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/>
      <c r="C10" s="92" t="s">
        <v>12</v>
      </c>
      <c r="D10" s="93"/>
      <c r="E10" s="92"/>
      <c r="F10" s="94"/>
      <c r="G10" s="94"/>
      <c r="H10" s="94">
        <f>Cty_Kim_Long[[#This Row],[ĐƠN GIÁ]]*Cty_Kim_Long[[#This Row],[SỐ LƯỢNG]]</f>
        <v>0</v>
      </c>
      <c r="I10" s="94"/>
      <c r="J10" s="94">
        <v>0</v>
      </c>
      <c r="K10" s="95"/>
    </row>
    <row r="11" spans="1:11" x14ac:dyDescent="0.25">
      <c r="A11" s="90">
        <v>0</v>
      </c>
      <c r="B11" s="91">
        <v>46119</v>
      </c>
      <c r="C11" s="92" t="s">
        <v>692</v>
      </c>
      <c r="D11" s="93" t="s">
        <v>109</v>
      </c>
      <c r="E11" s="92" t="s">
        <v>1470</v>
      </c>
      <c r="F11" s="94">
        <v>3695</v>
      </c>
      <c r="G11" s="94">
        <v>-52500</v>
      </c>
      <c r="H11" s="94">
        <f>Cty_Kim_Long[[#This Row],[ĐƠN GIÁ]]*Cty_Kim_Long[[#This Row],[SỐ LƯỢNG]]</f>
        <v>-193987500</v>
      </c>
      <c r="I11" s="94"/>
      <c r="J11" s="94">
        <f>J10+Cty_Kim_Long[[#This Row],[THÀNH TIỀN]]-Cty_Kim_Long[[#This Row],[THANH TOÁN]]</f>
        <v>-193987500</v>
      </c>
      <c r="K11" s="95"/>
    </row>
    <row r="12" spans="1:11" x14ac:dyDescent="0.25">
      <c r="A12" s="90">
        <v>8978</v>
      </c>
      <c r="B12" s="91">
        <v>46136</v>
      </c>
      <c r="C12" s="92" t="s">
        <v>692</v>
      </c>
      <c r="D12" s="93" t="s">
        <v>27</v>
      </c>
      <c r="E12" s="92" t="s">
        <v>1471</v>
      </c>
      <c r="F12" s="94">
        <v>1942</v>
      </c>
      <c r="G12" s="94">
        <v>-52500</v>
      </c>
      <c r="H12" s="94">
        <f>Cty_Kim_Long[[#This Row],[ĐƠN GIÁ]]*Cty_Kim_Long[[#This Row],[SỐ LƯỢNG]]</f>
        <v>-101955000</v>
      </c>
      <c r="I12" s="94">
        <v>-1691</v>
      </c>
      <c r="J12" s="94">
        <f>J11+Cty_Kim_Long[[#This Row],[THÀNH TIỀN]]-Cty_Kim_Long[[#This Row],[THANH TOÁN]]</f>
        <v>-295940809</v>
      </c>
      <c r="K12" s="95"/>
    </row>
    <row r="13" spans="1:11" x14ac:dyDescent="0.25">
      <c r="A13" s="101"/>
      <c r="B13" s="102">
        <v>46127</v>
      </c>
      <c r="C13" s="103" t="s">
        <v>2214</v>
      </c>
      <c r="D13" s="104" t="s">
        <v>22</v>
      </c>
      <c r="E13" s="103" t="s">
        <v>83</v>
      </c>
      <c r="F13" s="105">
        <v>0</v>
      </c>
      <c r="G13" s="105"/>
      <c r="H13" s="105">
        <f>Cty_Kim_Long[[#This Row],[ĐƠN GIÁ]]*Cty_Kim_Long[[#This Row],[SỐ LƯỢNG]]</f>
        <v>0</v>
      </c>
      <c r="I13" s="105">
        <v>-193986392</v>
      </c>
      <c r="J13" s="105">
        <f>J12+Cty_Kim_Long[[#This Row],[THÀNH TIỀN]]-Cty_Kim_Long[[#This Row],[THANH TOÁN]]</f>
        <v>-101954417</v>
      </c>
      <c r="K13" s="106"/>
    </row>
    <row r="14" spans="1:11" x14ac:dyDescent="0.25">
      <c r="A14" s="90"/>
      <c r="B14" s="91">
        <v>46153</v>
      </c>
      <c r="C14" s="92" t="s">
        <v>2214</v>
      </c>
      <c r="D14" s="93" t="s">
        <v>22</v>
      </c>
      <c r="E14" s="92" t="s">
        <v>83</v>
      </c>
      <c r="F14" s="94">
        <v>0</v>
      </c>
      <c r="G14" s="94"/>
      <c r="H14" s="94">
        <f>Cty_Kim_Long[[#This Row],[ĐƠN GIÁ]]*Cty_Kim_Long[[#This Row],[SỐ LƯỢNG]]</f>
        <v>0</v>
      </c>
      <c r="I14" s="94">
        <v>-101954417</v>
      </c>
      <c r="J14" s="94">
        <f>J13+Cty_Kim_Long[[#This Row],[THÀNH TIỀN]]-Cty_Kim_Long[[#This Row],[THANH TOÁN]]</f>
        <v>0</v>
      </c>
      <c r="K14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B05E8-FB76-42A4-975E-5E3E0F0167E3}">
  <sheetPr codeName="Sheet177"/>
  <dimension ref="A5:K21"/>
  <sheetViews>
    <sheetView topLeftCell="A6" workbookViewId="0">
      <selection activeCell="I21" sqref="I21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-3936800</v>
      </c>
    </row>
    <row r="6" spans="1:11" ht="22.5" x14ac:dyDescent="0.25">
      <c r="D6" s="84" t="s">
        <v>1472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>
        <v>46081</v>
      </c>
      <c r="C10" s="92" t="s">
        <v>12</v>
      </c>
      <c r="D10" s="93"/>
      <c r="E10" s="92"/>
      <c r="F10" s="94"/>
      <c r="G10" s="94"/>
      <c r="H10" s="94">
        <f>Cty_INOX_Viet_Nam[[#This Row],[ĐƠN GIÁ]]*Cty_INOX_Viet_Nam[[#This Row],[SỐ LƯỢNG]]</f>
        <v>0</v>
      </c>
      <c r="I10" s="94"/>
      <c r="J10" s="94">
        <v>0</v>
      </c>
      <c r="K10" s="95"/>
    </row>
    <row r="11" spans="1:11" x14ac:dyDescent="0.25">
      <c r="A11" s="90">
        <v>49</v>
      </c>
      <c r="B11" s="91">
        <v>46136</v>
      </c>
      <c r="C11" s="92" t="s">
        <v>84</v>
      </c>
      <c r="D11" s="93" t="s">
        <v>43</v>
      </c>
      <c r="E11" s="92" t="s">
        <v>154</v>
      </c>
      <c r="F11" s="94">
        <v>2575</v>
      </c>
      <c r="G11" s="94">
        <v>-900</v>
      </c>
      <c r="H11" s="94">
        <f>Cty_INOX_Viet_Nam[[#This Row],[ĐƠN GIÁ]]*Cty_INOX_Viet_Nam[[#This Row],[SỐ LƯỢNG]]</f>
        <v>-2317500</v>
      </c>
      <c r="I11" s="94">
        <f>Cty_INOX_Viet_Nam[[#This Row],[ĐƠN GIÁ]]*Cty_INOX_Viet_Nam[[#This Row],[SỐ LƯỢNG]]</f>
        <v>-2317500</v>
      </c>
      <c r="J11" s="94">
        <f>J10+Cty_INOX_Viet_Nam[[#This Row],[THÀNH TIỀN]]-Cty_INOX_Viet_Nam[[#This Row],[THANH TOÁN]]</f>
        <v>0</v>
      </c>
      <c r="K11" s="95" t="s">
        <v>1473</v>
      </c>
    </row>
    <row r="12" spans="1:11" x14ac:dyDescent="0.25">
      <c r="A12" s="90">
        <v>8977</v>
      </c>
      <c r="B12" s="91">
        <v>46136</v>
      </c>
      <c r="C12" s="92" t="s">
        <v>49</v>
      </c>
      <c r="D12" s="93" t="s">
        <v>43</v>
      </c>
      <c r="E12" s="92" t="s">
        <v>154</v>
      </c>
      <c r="F12" s="94">
        <v>4430</v>
      </c>
      <c r="G12" s="94"/>
      <c r="H12" s="94">
        <f>Cty_INOX_Viet_Nam[[#This Row],[ĐƠN GIÁ]]*Cty_INOX_Viet_Nam[[#This Row],[SỐ LƯỢNG]]</f>
        <v>0</v>
      </c>
      <c r="I12" s="94"/>
      <c r="J12" s="94">
        <f>J11+Cty_INOX_Viet_Nam[[#This Row],[THÀNH TIỀN]]-Cty_INOX_Viet_Nam[[#This Row],[THANH TOÁN]]</f>
        <v>0</v>
      </c>
      <c r="K12" s="95" t="s">
        <v>1808</v>
      </c>
    </row>
    <row r="13" spans="1:11" x14ac:dyDescent="0.25">
      <c r="A13" s="90" t="s">
        <v>1474</v>
      </c>
      <c r="B13" s="91">
        <v>46136</v>
      </c>
      <c r="C13" s="92" t="s">
        <v>426</v>
      </c>
      <c r="D13" s="93" t="s">
        <v>43</v>
      </c>
      <c r="E13" s="92" t="s">
        <v>154</v>
      </c>
      <c r="F13" s="94">
        <v>1855</v>
      </c>
      <c r="G13" s="94"/>
      <c r="H13" s="94">
        <f>Cty_INOX_Viet_Nam[[#This Row],[ĐƠN GIÁ]]*Cty_INOX_Viet_Nam[[#This Row],[SỐ LƯỢNG]]</f>
        <v>0</v>
      </c>
      <c r="I13" s="94"/>
      <c r="J13" s="94">
        <f>J12+Cty_INOX_Viet_Nam[[#This Row],[THÀNH TIỀN]]-Cty_INOX_Viet_Nam[[#This Row],[THANH TOÁN]]</f>
        <v>0</v>
      </c>
      <c r="K13" s="95"/>
    </row>
    <row r="14" spans="1:11" x14ac:dyDescent="0.25">
      <c r="A14" s="90">
        <v>50</v>
      </c>
      <c r="B14" s="91">
        <v>46147</v>
      </c>
      <c r="C14" s="92" t="s">
        <v>84</v>
      </c>
      <c r="D14" s="93" t="s">
        <v>43</v>
      </c>
      <c r="E14" s="92" t="s">
        <v>154</v>
      </c>
      <c r="F14" s="94">
        <v>1511</v>
      </c>
      <c r="G14" s="94">
        <v>-900</v>
      </c>
      <c r="H14" s="94">
        <f>Cty_INOX_Viet_Nam[[#This Row],[ĐƠN GIÁ]]*Cty_INOX_Viet_Nam[[#This Row],[SỐ LƯỢNG]]</f>
        <v>-1359900</v>
      </c>
      <c r="I14" s="94"/>
      <c r="J14" s="94">
        <f>J13+Cty_INOX_Viet_Nam[[#This Row],[THÀNH TIỀN]]-Cty_INOX_Viet_Nam[[#This Row],[THANH TOÁN]]</f>
        <v>-1359900</v>
      </c>
      <c r="K14" s="95"/>
    </row>
    <row r="15" spans="1:11" x14ac:dyDescent="0.25">
      <c r="A15" s="90">
        <v>50</v>
      </c>
      <c r="B15" s="91">
        <v>46147</v>
      </c>
      <c r="C15" s="92" t="s">
        <v>84</v>
      </c>
      <c r="D15" s="93" t="s">
        <v>43</v>
      </c>
      <c r="E15" s="92" t="s">
        <v>154</v>
      </c>
      <c r="F15" s="94">
        <v>819</v>
      </c>
      <c r="G15" s="94">
        <v>-900</v>
      </c>
      <c r="H15" s="94">
        <f>Cty_INOX_Viet_Nam[[#This Row],[ĐƠN GIÁ]]*Cty_INOX_Viet_Nam[[#This Row],[SỐ LƯỢNG]]</f>
        <v>-737100</v>
      </c>
      <c r="I15" s="94"/>
      <c r="J15" s="94">
        <f>J14+Cty_INOX_Viet_Nam[[#This Row],[THÀNH TIỀN]]-Cty_INOX_Viet_Nam[[#This Row],[THANH TOÁN]]</f>
        <v>-2097000</v>
      </c>
      <c r="K15" s="95"/>
    </row>
    <row r="16" spans="1:11" x14ac:dyDescent="0.25">
      <c r="A16" s="101">
        <v>50</v>
      </c>
      <c r="B16" s="102">
        <v>46147</v>
      </c>
      <c r="C16" s="103" t="s">
        <v>426</v>
      </c>
      <c r="D16" s="104" t="s">
        <v>43</v>
      </c>
      <c r="E16" s="103" t="s">
        <v>154</v>
      </c>
      <c r="F16" s="105">
        <v>4570</v>
      </c>
      <c r="G16" s="105"/>
      <c r="H16" s="105">
        <f>Cty_INOX_Viet_Nam[[#This Row],[ĐƠN GIÁ]]*Cty_INOX_Viet_Nam[[#This Row],[SỐ LƯỢNG]]</f>
        <v>0</v>
      </c>
      <c r="I16" s="105"/>
      <c r="J16" s="105">
        <f>J15+Cty_INOX_Viet_Nam[[#This Row],[THÀNH TIỀN]]-Cty_INOX_Viet_Nam[[#This Row],[THANH TOÁN]]</f>
        <v>-2097000</v>
      </c>
      <c r="K16" s="106"/>
    </row>
    <row r="17" spans="1:11" x14ac:dyDescent="0.25">
      <c r="A17" s="101"/>
      <c r="B17" s="102">
        <v>46147</v>
      </c>
      <c r="C17" s="103" t="s">
        <v>654</v>
      </c>
      <c r="D17" s="104" t="s">
        <v>22</v>
      </c>
      <c r="E17" s="103" t="s">
        <v>2067</v>
      </c>
      <c r="F17" s="105">
        <v>0</v>
      </c>
      <c r="G17" s="105"/>
      <c r="H17" s="105">
        <f>Cty_INOX_Viet_Nam[[#This Row],[ĐƠN GIÁ]]*Cty_INOX_Viet_Nam[[#This Row],[SỐ LƯỢNG]]</f>
        <v>0</v>
      </c>
      <c r="I17" s="105">
        <v>-2097000</v>
      </c>
      <c r="J17" s="105">
        <f>J16+Cty_INOX_Viet_Nam[[#This Row],[THÀNH TIỀN]]-Cty_INOX_Viet_Nam[[#This Row],[THANH TOÁN]]</f>
        <v>0</v>
      </c>
      <c r="K17" s="106"/>
    </row>
    <row r="18" spans="1:11" x14ac:dyDescent="0.25">
      <c r="A18" s="101">
        <v>9162</v>
      </c>
      <c r="B18" s="102">
        <v>46148</v>
      </c>
      <c r="C18" s="103" t="s">
        <v>49</v>
      </c>
      <c r="D18" s="104" t="s">
        <v>43</v>
      </c>
      <c r="E18" s="103" t="s">
        <v>154</v>
      </c>
      <c r="F18" s="105">
        <v>6900</v>
      </c>
      <c r="G18" s="105"/>
      <c r="H18" s="105">
        <f>Cty_INOX_Viet_Nam[[#This Row],[ĐƠN GIÁ]]*Cty_INOX_Viet_Nam[[#This Row],[SỐ LƯỢNG]]</f>
        <v>0</v>
      </c>
      <c r="I18" s="105"/>
      <c r="J18" s="105">
        <f>J17+Cty_INOX_Viet_Nam[[#This Row],[THÀNH TIỀN]]-Cty_INOX_Viet_Nam[[#This Row],[THANH TOÁN]]</f>
        <v>0</v>
      </c>
      <c r="K18" s="106" t="s">
        <v>1935</v>
      </c>
    </row>
    <row r="19" spans="1:11" x14ac:dyDescent="0.25">
      <c r="A19" s="90">
        <v>9556</v>
      </c>
      <c r="B19" s="91">
        <v>46164</v>
      </c>
      <c r="C19" s="92" t="s">
        <v>49</v>
      </c>
      <c r="D19" s="93" t="s">
        <v>43</v>
      </c>
      <c r="E19" s="92" t="s">
        <v>78</v>
      </c>
      <c r="F19" s="94">
        <v>10860</v>
      </c>
      <c r="G19" s="94"/>
      <c r="H19" s="94">
        <f>Cty_INOX_Viet_Nam[[#This Row],[ĐƠN GIÁ]]*Cty_INOX_Viet_Nam[[#This Row],[SỐ LƯỢNG]]</f>
        <v>0</v>
      </c>
      <c r="I19" s="94"/>
      <c r="J19" s="94">
        <f>J18+Cty_INOX_Viet_Nam[[#This Row],[THÀNH TIỀN]]-Cty_INOX_Viet_Nam[[#This Row],[THANH TOÁN]]</f>
        <v>0</v>
      </c>
      <c r="K19" s="95" t="s">
        <v>2305</v>
      </c>
    </row>
    <row r="20" spans="1:11" x14ac:dyDescent="0.25">
      <c r="A20" s="101">
        <v>56</v>
      </c>
      <c r="B20" s="102">
        <v>46165</v>
      </c>
      <c r="C20" s="103" t="s">
        <v>84</v>
      </c>
      <c r="D20" s="104" t="s">
        <v>43</v>
      </c>
      <c r="E20" s="103" t="s">
        <v>78</v>
      </c>
      <c r="F20" s="105">
        <v>4921</v>
      </c>
      <c r="G20" s="105">
        <v>-800</v>
      </c>
      <c r="H20" s="105">
        <f>Cty_INOX_Viet_Nam[[#This Row],[ĐƠN GIÁ]]*Cty_INOX_Viet_Nam[[#This Row],[SỐ LƯỢNG]]</f>
        <v>-3936800</v>
      </c>
      <c r="I20" s="105"/>
      <c r="J20" s="105">
        <f>J19+Cty_INOX_Viet_Nam[[#This Row],[THÀNH TIỀN]]-Cty_INOX_Viet_Nam[[#This Row],[THANH TOÁN]]</f>
        <v>-3936800</v>
      </c>
      <c r="K20" s="106"/>
    </row>
    <row r="21" spans="1:11" x14ac:dyDescent="0.25">
      <c r="A21" s="101">
        <v>56</v>
      </c>
      <c r="B21" s="102">
        <v>46165</v>
      </c>
      <c r="C21" s="103" t="s">
        <v>426</v>
      </c>
      <c r="D21" s="104" t="s">
        <v>43</v>
      </c>
      <c r="E21" s="103" t="s">
        <v>78</v>
      </c>
      <c r="F21" s="105">
        <v>5784</v>
      </c>
      <c r="G21" s="105"/>
      <c r="H21" s="105">
        <f>Cty_INOX_Viet_Nam[[#This Row],[ĐƠN GIÁ]]*Cty_INOX_Viet_Nam[[#This Row],[SỐ LƯỢNG]]</f>
        <v>0</v>
      </c>
      <c r="I21" s="105"/>
      <c r="J21" s="105">
        <f>J20+Cty_INOX_Viet_Nam[[#This Row],[THÀNH TIỀN]]-Cty_INOX_Viet_Nam[[#This Row],[THANH TOÁN]]</f>
        <v>-3936800</v>
      </c>
      <c r="K21" s="106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05C90-5A10-49B1-967E-189EB5E3777B}">
  <sheetPr codeName="Sheet179"/>
  <dimension ref="A5:K19"/>
  <sheetViews>
    <sheetView workbookViewId="0">
      <selection activeCell="A16" sqref="A16:I19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6002009</v>
      </c>
    </row>
    <row r="6" spans="1:11" ht="22.5" x14ac:dyDescent="0.25">
      <c r="D6" s="84" t="s">
        <v>1816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>
        <v>46081</v>
      </c>
      <c r="C10" s="92" t="s">
        <v>12</v>
      </c>
      <c r="D10" s="93"/>
      <c r="E10" s="92"/>
      <c r="F10" s="94"/>
      <c r="G10" s="94"/>
      <c r="H10" s="94">
        <f>Cty_Phuc_An_HP[[#This Row],[ĐƠN GIÁ]]*Cty_Phuc_An_HP[[#This Row],[SỐ LƯỢNG]]</f>
        <v>0</v>
      </c>
      <c r="I10" s="94"/>
      <c r="J10" s="94">
        <v>0</v>
      </c>
      <c r="K10" s="95"/>
    </row>
    <row r="11" spans="1:11" x14ac:dyDescent="0.25">
      <c r="A11" s="90"/>
      <c r="B11" s="91">
        <v>46130</v>
      </c>
      <c r="C11" s="92" t="s">
        <v>21</v>
      </c>
      <c r="D11" s="93" t="s">
        <v>22</v>
      </c>
      <c r="E11" s="92" t="s">
        <v>261</v>
      </c>
      <c r="F11" s="94">
        <v>0</v>
      </c>
      <c r="G11" s="94"/>
      <c r="H11" s="94">
        <f>Cty_Phuc_An_HP[[#This Row],[ĐƠN GIÁ]]*Cty_Phuc_An_HP[[#This Row],[SỐ LƯỢNG]]</f>
        <v>0</v>
      </c>
      <c r="I11" s="94">
        <v>213830000</v>
      </c>
      <c r="J11" s="94">
        <f>J10+Cty_Phuc_An_HP[[#This Row],[THÀNH TIỀN]]-Cty_Phuc_An_HP[[#This Row],[THANH TOÁN]]</f>
        <v>-213830000</v>
      </c>
      <c r="K11" s="95"/>
    </row>
    <row r="12" spans="1:11" x14ac:dyDescent="0.25">
      <c r="A12" s="90">
        <v>8993</v>
      </c>
      <c r="B12" s="91">
        <v>46136</v>
      </c>
      <c r="C12" s="92" t="s">
        <v>13</v>
      </c>
      <c r="D12" s="93" t="s">
        <v>17</v>
      </c>
      <c r="E12" s="92" t="s">
        <v>136</v>
      </c>
      <c r="F12" s="94">
        <v>1041</v>
      </c>
      <c r="G12" s="94">
        <v>61000</v>
      </c>
      <c r="H12" s="94">
        <f>Cty_Phuc_An_HP[[#This Row],[ĐƠN GIÁ]]*Cty_Phuc_An_HP[[#This Row],[SỐ LƯỢNG]]</f>
        <v>63501000</v>
      </c>
      <c r="I12" s="94"/>
      <c r="J12" s="94">
        <f>J11+Cty_Phuc_An_HP[[#This Row],[THÀNH TIỀN]]-Cty_Phuc_An_HP[[#This Row],[THANH TOÁN]]</f>
        <v>-150329000</v>
      </c>
      <c r="K12" s="95"/>
    </row>
    <row r="13" spans="1:11" x14ac:dyDescent="0.25">
      <c r="A13" s="90">
        <v>8993</v>
      </c>
      <c r="B13" s="91">
        <v>46136</v>
      </c>
      <c r="C13" s="92" t="s">
        <v>13</v>
      </c>
      <c r="D13" s="93" t="s">
        <v>17</v>
      </c>
      <c r="E13" s="92" t="s">
        <v>255</v>
      </c>
      <c r="F13" s="94">
        <v>508</v>
      </c>
      <c r="G13" s="94">
        <v>62000</v>
      </c>
      <c r="H13" s="94">
        <f>Cty_Phuc_An_HP[[#This Row],[ĐƠN GIÁ]]*Cty_Phuc_An_HP[[#This Row],[SỐ LƯỢNG]]</f>
        <v>31496000</v>
      </c>
      <c r="I13" s="94"/>
      <c r="J13" s="94">
        <f>J12+Cty_Phuc_An_HP[[#This Row],[THÀNH TIỀN]]-Cty_Phuc_An_HP[[#This Row],[THANH TOÁN]]</f>
        <v>-118833000</v>
      </c>
      <c r="K13" s="95"/>
    </row>
    <row r="14" spans="1:11" x14ac:dyDescent="0.25">
      <c r="A14" s="90">
        <v>9043</v>
      </c>
      <c r="B14" s="91">
        <v>46139</v>
      </c>
      <c r="C14" s="92" t="s">
        <v>13</v>
      </c>
      <c r="D14" s="93" t="s">
        <v>143</v>
      </c>
      <c r="E14" s="92" t="s">
        <v>1848</v>
      </c>
      <c r="F14" s="94">
        <v>9049</v>
      </c>
      <c r="G14" s="94">
        <v>56000</v>
      </c>
      <c r="H14" s="94">
        <f>Cty_Phuc_An_HP[[#This Row],[ĐƠN GIÁ]]*Cty_Phuc_An_HP[[#This Row],[SỐ LƯỢNG]]</f>
        <v>506744000</v>
      </c>
      <c r="I14" s="94"/>
      <c r="J14" s="94">
        <f>J13+Cty_Phuc_An_HP[[#This Row],[THÀNH TIỀN]]-Cty_Phuc_An_HP[[#This Row],[THANH TOÁN]]</f>
        <v>387911000</v>
      </c>
      <c r="K14" s="95"/>
    </row>
    <row r="15" spans="1:11" x14ac:dyDescent="0.25">
      <c r="A15" s="90">
        <v>9051</v>
      </c>
      <c r="B15" s="91">
        <v>46139</v>
      </c>
      <c r="C15" s="92" t="s">
        <v>13</v>
      </c>
      <c r="D15" s="93" t="s">
        <v>143</v>
      </c>
      <c r="E15" s="92" t="s">
        <v>1848</v>
      </c>
      <c r="F15" s="94">
        <v>7063</v>
      </c>
      <c r="G15" s="94">
        <v>56000</v>
      </c>
      <c r="H15" s="94">
        <f>Cty_Phuc_An_HP[[#This Row],[ĐƠN GIÁ]]*Cty_Phuc_An_HP[[#This Row],[SỐ LƯỢNG]]</f>
        <v>395528000</v>
      </c>
      <c r="I15" s="94"/>
      <c r="J15" s="94">
        <f>J14+Cty_Phuc_An_HP[[#This Row],[THÀNH TIỀN]]-Cty_Phuc_An_HP[[#This Row],[THANH TOÁN]]</f>
        <v>783439000</v>
      </c>
      <c r="K15" s="95"/>
    </row>
    <row r="16" spans="1:11" x14ac:dyDescent="0.25">
      <c r="A16" s="90">
        <v>9057</v>
      </c>
      <c r="B16" s="91">
        <v>46139</v>
      </c>
      <c r="C16" s="92" t="s">
        <v>13</v>
      </c>
      <c r="D16" s="93" t="s">
        <v>17</v>
      </c>
      <c r="E16" s="92" t="s">
        <v>1848</v>
      </c>
      <c r="F16" s="94">
        <v>9344</v>
      </c>
      <c r="G16" s="94">
        <v>56000</v>
      </c>
      <c r="H16" s="94">
        <f>Cty_Phuc_An_HP[[#This Row],[ĐƠN GIÁ]]*Cty_Phuc_An_HP[[#This Row],[SỐ LƯỢNG]]</f>
        <v>523264000</v>
      </c>
      <c r="I16" s="94"/>
      <c r="J16" s="94">
        <f>J15+Cty_Phuc_An_HP[[#This Row],[THÀNH TIỀN]]-Cty_Phuc_An_HP[[#This Row],[THANH TOÁN]]</f>
        <v>1306703000</v>
      </c>
      <c r="K16" s="95"/>
    </row>
    <row r="17" spans="1:11" x14ac:dyDescent="0.25">
      <c r="A17" s="90">
        <v>9057</v>
      </c>
      <c r="B17" s="91">
        <v>46139</v>
      </c>
      <c r="C17" s="92" t="s">
        <v>897</v>
      </c>
      <c r="D17" s="93"/>
      <c r="E17" s="92"/>
      <c r="F17" s="94">
        <v>1</v>
      </c>
      <c r="G17" s="94">
        <v>6000000</v>
      </c>
      <c r="H17" s="94">
        <f>Cty_Phuc_An_HP[[#This Row],[ĐƠN GIÁ]]*Cty_Phuc_An_HP[[#This Row],[SỐ LƯỢNG]]</f>
        <v>6000000</v>
      </c>
      <c r="I17" s="94"/>
      <c r="J17" s="94">
        <f>J16+Cty_Phuc_An_HP[[#This Row],[THÀNH TIỀN]]-Cty_Phuc_An_HP[[#This Row],[THANH TOÁN]]</f>
        <v>1312703000</v>
      </c>
      <c r="K17" s="95"/>
    </row>
    <row r="18" spans="1:11" x14ac:dyDescent="0.25">
      <c r="A18" s="90"/>
      <c r="B18" s="91">
        <v>46139</v>
      </c>
      <c r="C18" s="92" t="s">
        <v>21</v>
      </c>
      <c r="D18" s="93" t="s">
        <v>22</v>
      </c>
      <c r="E18" s="92" t="s">
        <v>261</v>
      </c>
      <c r="F18" s="94">
        <v>0</v>
      </c>
      <c r="G18" s="94"/>
      <c r="H18" s="94">
        <f>Cty_Phuc_An_HP[[#This Row],[ĐƠN GIÁ]]*Cty_Phuc_An_HP[[#This Row],[SỐ LƯỢNG]]</f>
        <v>0</v>
      </c>
      <c r="I18" s="94">
        <v>999999998</v>
      </c>
      <c r="J18" s="94">
        <f>J17+Cty_Phuc_An_HP[[#This Row],[THÀNH TIỀN]]-Cty_Phuc_An_HP[[#This Row],[THANH TOÁN]]</f>
        <v>312703002</v>
      </c>
      <c r="K18" s="95"/>
    </row>
    <row r="19" spans="1:11" x14ac:dyDescent="0.25">
      <c r="A19" s="90"/>
      <c r="B19" s="91">
        <v>46147</v>
      </c>
      <c r="C19" s="92" t="s">
        <v>21</v>
      </c>
      <c r="D19" s="93" t="s">
        <v>22</v>
      </c>
      <c r="E19" s="92" t="s">
        <v>261</v>
      </c>
      <c r="F19" s="94">
        <v>0</v>
      </c>
      <c r="G19" s="94"/>
      <c r="H19" s="94">
        <f>Cty_Phuc_An_HP[[#This Row],[ĐƠN GIÁ]]*Cty_Phuc_An_HP[[#This Row],[SỐ LƯỢNG]]</f>
        <v>0</v>
      </c>
      <c r="I19" s="94">
        <v>306700993</v>
      </c>
      <c r="J19" s="94">
        <f>J18+Cty_Phuc_An_HP[[#This Row],[THÀNH TIỀN]]-Cty_Phuc_An_HP[[#This Row],[THANH TOÁN]]</f>
        <v>6002009</v>
      </c>
      <c r="K19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BAE0D8-1911-4BEA-B19B-42C6B7A1A6D5}">
  <sheetPr codeName="Sheet180"/>
  <dimension ref="A5:K29"/>
  <sheetViews>
    <sheetView workbookViewId="0">
      <selection activeCell="C10" sqref="C10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2907000</v>
      </c>
    </row>
    <row r="6" spans="1:11" ht="22.5" x14ac:dyDescent="0.25">
      <c r="D6" s="84" t="s">
        <v>1821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>
        <v>46081</v>
      </c>
      <c r="C10" s="92" t="s">
        <v>12</v>
      </c>
      <c r="D10" s="93"/>
      <c r="E10" s="92"/>
      <c r="F10" s="94"/>
      <c r="G10" s="94"/>
      <c r="H10" s="94">
        <f>Cty_Thuy_Thuy_Vinh[[#This Row],[ĐƠN GIÁ]]*Cty_Thuy_Thuy_Vinh[[#This Row],[SỐ LƯỢNG]]</f>
        <v>0</v>
      </c>
      <c r="I10" s="94"/>
      <c r="J10" s="94">
        <v>0</v>
      </c>
      <c r="K10" s="95"/>
    </row>
    <row r="11" spans="1:11" x14ac:dyDescent="0.25">
      <c r="A11" s="90">
        <v>9004</v>
      </c>
      <c r="B11" s="91">
        <v>46136</v>
      </c>
      <c r="C11" s="92" t="s">
        <v>13</v>
      </c>
      <c r="D11" s="93" t="s">
        <v>14</v>
      </c>
      <c r="E11" s="92" t="s">
        <v>1823</v>
      </c>
      <c r="F11" s="94">
        <v>2964</v>
      </c>
      <c r="G11" s="94">
        <v>43500</v>
      </c>
      <c r="H11" s="94">
        <f>Cty_Thuy_Thuy_Vinh[[#This Row],[ĐƠN GIÁ]]*Cty_Thuy_Thuy_Vinh[[#This Row],[SỐ LƯỢNG]]</f>
        <v>128934000</v>
      </c>
      <c r="I11" s="94"/>
      <c r="J11" s="94">
        <f>J10+Cty_Thuy_Thuy_Vinh[[#This Row],[THÀNH TIỀN]]-Cty_Thuy_Thuy_Vinh[[#This Row],[THANH TOÁN]]</f>
        <v>128934000</v>
      </c>
      <c r="K11" s="95"/>
    </row>
    <row r="12" spans="1:11" x14ac:dyDescent="0.25">
      <c r="A12" s="90">
        <v>9020</v>
      </c>
      <c r="B12" s="91">
        <v>46136</v>
      </c>
      <c r="C12" s="92" t="s">
        <v>13</v>
      </c>
      <c r="D12" s="93" t="s">
        <v>1835</v>
      </c>
      <c r="E12" s="92" t="s">
        <v>1836</v>
      </c>
      <c r="F12" s="94">
        <v>1088</v>
      </c>
      <c r="G12" s="94">
        <v>62600</v>
      </c>
      <c r="H12" s="94">
        <f>Cty_Thuy_Thuy_Vinh[[#This Row],[ĐƠN GIÁ]]*Cty_Thuy_Thuy_Vinh[[#This Row],[SỐ LƯỢNG]]</f>
        <v>68108800</v>
      </c>
      <c r="I12" s="94"/>
      <c r="J12" s="94">
        <f>J11+Cty_Thuy_Thuy_Vinh[[#This Row],[THÀNH TIỀN]]-Cty_Thuy_Thuy_Vinh[[#This Row],[THANH TOÁN]]</f>
        <v>197042800</v>
      </c>
      <c r="K12" s="95" t="s">
        <v>1837</v>
      </c>
    </row>
    <row r="13" spans="1:11" x14ac:dyDescent="0.25">
      <c r="A13" s="90"/>
      <c r="B13" s="91">
        <v>46135</v>
      </c>
      <c r="C13" s="92" t="s">
        <v>21</v>
      </c>
      <c r="D13" s="93" t="s">
        <v>22</v>
      </c>
      <c r="E13" s="92" t="s">
        <v>261</v>
      </c>
      <c r="F13" s="94">
        <v>0</v>
      </c>
      <c r="G13" s="94"/>
      <c r="H13" s="94">
        <f>Cty_Thuy_Thuy_Vinh[[#This Row],[ĐƠN GIÁ]]*Cty_Thuy_Thuy_Vinh[[#This Row],[SỐ LƯỢNG]]</f>
        <v>0</v>
      </c>
      <c r="I13" s="94">
        <v>30000000</v>
      </c>
      <c r="J13" s="94">
        <f>J12+Cty_Thuy_Thuy_Vinh[[#This Row],[THÀNH TIỀN]]-Cty_Thuy_Thuy_Vinh[[#This Row],[THANH TOÁN]]</f>
        <v>167042800</v>
      </c>
      <c r="K13" s="95"/>
    </row>
    <row r="14" spans="1:11" x14ac:dyDescent="0.25">
      <c r="A14" s="90"/>
      <c r="B14" s="91">
        <v>46136</v>
      </c>
      <c r="C14" s="92" t="s">
        <v>21</v>
      </c>
      <c r="D14" s="93" t="s">
        <v>22</v>
      </c>
      <c r="E14" s="92" t="s">
        <v>261</v>
      </c>
      <c r="F14" s="94">
        <v>0</v>
      </c>
      <c r="G14" s="94"/>
      <c r="H14" s="94">
        <f>Cty_Thuy_Thuy_Vinh[[#This Row],[ĐƠN GIÁ]]*Cty_Thuy_Thuy_Vinh[[#This Row],[SỐ LƯỢNG]]</f>
        <v>0</v>
      </c>
      <c r="I14" s="94">
        <v>105000000</v>
      </c>
      <c r="J14" s="94">
        <f>J13+Cty_Thuy_Thuy_Vinh[[#This Row],[THÀNH TIỀN]]-Cty_Thuy_Thuy_Vinh[[#This Row],[THANH TOÁN]]</f>
        <v>62042800</v>
      </c>
      <c r="K14" s="95"/>
    </row>
    <row r="15" spans="1:11" x14ac:dyDescent="0.25">
      <c r="A15" s="90"/>
      <c r="B15" s="91">
        <v>46137</v>
      </c>
      <c r="C15" s="92" t="s">
        <v>21</v>
      </c>
      <c r="D15" s="93" t="s">
        <v>22</v>
      </c>
      <c r="E15" s="92" t="s">
        <v>261</v>
      </c>
      <c r="F15" s="94">
        <v>0</v>
      </c>
      <c r="G15" s="94"/>
      <c r="H15" s="94">
        <f>Cty_Thuy_Thuy_Vinh[[#This Row],[ĐƠN GIÁ]]*Cty_Thuy_Thuy_Vinh[[#This Row],[SỐ LƯỢNG]]</f>
        <v>0</v>
      </c>
      <c r="I15" s="94">
        <v>62040000</v>
      </c>
      <c r="J15" s="94">
        <f>J14+Cty_Thuy_Thuy_Vinh[[#This Row],[THÀNH TIỀN]]-Cty_Thuy_Thuy_Vinh[[#This Row],[THANH TOÁN]]</f>
        <v>2800</v>
      </c>
      <c r="K15" s="95"/>
    </row>
    <row r="16" spans="1:11" x14ac:dyDescent="0.25">
      <c r="A16" s="90"/>
      <c r="B16" s="91">
        <v>46146</v>
      </c>
      <c r="C16" s="92" t="s">
        <v>21</v>
      </c>
      <c r="D16" s="93" t="s">
        <v>22</v>
      </c>
      <c r="E16" s="92" t="s">
        <v>261</v>
      </c>
      <c r="F16" s="94">
        <v>0</v>
      </c>
      <c r="G16" s="94"/>
      <c r="H16" s="94">
        <f>Cty_Thuy_Thuy_Vinh[[#This Row],[ĐƠN GIÁ]]*Cty_Thuy_Thuy_Vinh[[#This Row],[SỐ LƯỢNG]]</f>
        <v>0</v>
      </c>
      <c r="I16" s="94">
        <v>131070000</v>
      </c>
      <c r="J16" s="94">
        <f>J15+Cty_Thuy_Thuy_Vinh[[#This Row],[THÀNH TIỀN]]-Cty_Thuy_Thuy_Vinh[[#This Row],[THANH TOÁN]]</f>
        <v>-131067200</v>
      </c>
      <c r="K16" s="95"/>
    </row>
    <row r="17" spans="1:11" x14ac:dyDescent="0.25">
      <c r="A17" s="90">
        <v>9146</v>
      </c>
      <c r="B17" s="91">
        <v>46146</v>
      </c>
      <c r="C17" s="92" t="s">
        <v>13</v>
      </c>
      <c r="D17" s="93" t="s">
        <v>43</v>
      </c>
      <c r="E17" s="92" t="s">
        <v>1922</v>
      </c>
      <c r="F17" s="94">
        <v>726</v>
      </c>
      <c r="G17" s="94">
        <v>62500</v>
      </c>
      <c r="H17" s="94">
        <f>Cty_Thuy_Thuy_Vinh[[#This Row],[ĐƠN GIÁ]]*Cty_Thuy_Thuy_Vinh[[#This Row],[SỐ LƯỢNG]]</f>
        <v>45375000</v>
      </c>
      <c r="I17" s="94"/>
      <c r="J17" s="94">
        <f>J16+Cty_Thuy_Thuy_Vinh[[#This Row],[THÀNH TIỀN]]-Cty_Thuy_Thuy_Vinh[[#This Row],[THANH TOÁN]]</f>
        <v>-85692200</v>
      </c>
      <c r="K17" s="95"/>
    </row>
    <row r="18" spans="1:11" x14ac:dyDescent="0.25">
      <c r="A18" s="90">
        <v>9146</v>
      </c>
      <c r="B18" s="91">
        <v>46146</v>
      </c>
      <c r="C18" s="92" t="s">
        <v>13</v>
      </c>
      <c r="D18" s="93" t="s">
        <v>14</v>
      </c>
      <c r="E18" s="92" t="s">
        <v>1823</v>
      </c>
      <c r="F18" s="94">
        <v>1970</v>
      </c>
      <c r="G18" s="94">
        <v>43500</v>
      </c>
      <c r="H18" s="94">
        <f>Cty_Thuy_Thuy_Vinh[[#This Row],[ĐƠN GIÁ]]*Cty_Thuy_Thuy_Vinh[[#This Row],[SỐ LƯỢNG]]</f>
        <v>85695000</v>
      </c>
      <c r="I18" s="94"/>
      <c r="J18" s="94">
        <f>J17+Cty_Thuy_Thuy_Vinh[[#This Row],[THÀNH TIỀN]]-Cty_Thuy_Thuy_Vinh[[#This Row],[THANH TOÁN]]</f>
        <v>2800</v>
      </c>
      <c r="K18" s="95"/>
    </row>
    <row r="19" spans="1:11" x14ac:dyDescent="0.25">
      <c r="A19" s="90">
        <v>9220</v>
      </c>
      <c r="B19" s="91">
        <v>46148</v>
      </c>
      <c r="C19" s="92" t="s">
        <v>13</v>
      </c>
      <c r="D19" s="93" t="s">
        <v>17</v>
      </c>
      <c r="E19" s="92" t="s">
        <v>41</v>
      </c>
      <c r="F19" s="94">
        <v>504</v>
      </c>
      <c r="G19" s="94">
        <v>62000</v>
      </c>
      <c r="H19" s="94">
        <f>Cty_Thuy_Thuy_Vinh[[#This Row],[ĐƠN GIÁ]]*Cty_Thuy_Thuy_Vinh[[#This Row],[SỐ LƯỢNG]]</f>
        <v>31248000</v>
      </c>
      <c r="I19" s="94"/>
      <c r="J19" s="94">
        <f>J18+Cty_Thuy_Thuy_Vinh[[#This Row],[THÀNH TIỀN]]-Cty_Thuy_Thuy_Vinh[[#This Row],[THANH TOÁN]]</f>
        <v>31250800</v>
      </c>
      <c r="K19" s="95"/>
    </row>
    <row r="20" spans="1:11" x14ac:dyDescent="0.25">
      <c r="A20" s="90">
        <v>9220</v>
      </c>
      <c r="B20" s="91">
        <v>46148</v>
      </c>
      <c r="C20" s="92" t="s">
        <v>13</v>
      </c>
      <c r="D20" s="93" t="s">
        <v>540</v>
      </c>
      <c r="E20" s="92" t="s">
        <v>1958</v>
      </c>
      <c r="F20" s="94">
        <v>8</v>
      </c>
      <c r="G20" s="94">
        <v>43500</v>
      </c>
      <c r="H20" s="94">
        <f>Cty_Thuy_Thuy_Vinh[[#This Row],[ĐƠN GIÁ]]*Cty_Thuy_Thuy_Vinh[[#This Row],[SỐ LƯỢNG]]</f>
        <v>348000</v>
      </c>
      <c r="I20" s="94"/>
      <c r="J20" s="94">
        <f>J19+Cty_Thuy_Thuy_Vinh[[#This Row],[THÀNH TIỀN]]-Cty_Thuy_Thuy_Vinh[[#This Row],[THANH TOÁN]]</f>
        <v>31598800</v>
      </c>
      <c r="K20" s="95"/>
    </row>
    <row r="21" spans="1:11" x14ac:dyDescent="0.25">
      <c r="A21" s="90"/>
      <c r="B21" s="91">
        <v>46149</v>
      </c>
      <c r="C21" s="92" t="s">
        <v>21</v>
      </c>
      <c r="D21" s="93" t="s">
        <v>22</v>
      </c>
      <c r="E21" s="92" t="s">
        <v>261</v>
      </c>
      <c r="F21" s="94">
        <v>0</v>
      </c>
      <c r="G21" s="94"/>
      <c r="H21" s="94">
        <f>Cty_Thuy_Thuy_Vinh[[#This Row],[ĐƠN GIÁ]]*Cty_Thuy_Thuy_Vinh[[#This Row],[SỐ LƯỢNG]]</f>
        <v>0</v>
      </c>
      <c r="I21" s="94">
        <v>31596000</v>
      </c>
      <c r="J21" s="94">
        <f>J20+Cty_Thuy_Thuy_Vinh[[#This Row],[THÀNH TIỀN]]-Cty_Thuy_Thuy_Vinh[[#This Row],[THANH TOÁN]]</f>
        <v>2800</v>
      </c>
      <c r="K21" s="95"/>
    </row>
    <row r="22" spans="1:11" x14ac:dyDescent="0.25">
      <c r="A22" s="90">
        <v>9451</v>
      </c>
      <c r="B22" s="91">
        <v>46158</v>
      </c>
      <c r="C22" s="92" t="s">
        <v>13</v>
      </c>
      <c r="D22" s="93" t="s">
        <v>27</v>
      </c>
      <c r="E22" s="92" t="s">
        <v>2200</v>
      </c>
      <c r="F22" s="94">
        <v>38</v>
      </c>
      <c r="G22" s="94">
        <v>65000</v>
      </c>
      <c r="H22" s="94">
        <f>Cty_Thuy_Thuy_Vinh[[#This Row],[ĐƠN GIÁ]]*Cty_Thuy_Thuy_Vinh[[#This Row],[SỐ LƯỢNG]]</f>
        <v>2470000</v>
      </c>
      <c r="I22" s="94"/>
      <c r="J22" s="94">
        <f>J21+Cty_Thuy_Thuy_Vinh[[#This Row],[THÀNH TIỀN]]-Cty_Thuy_Thuy_Vinh[[#This Row],[THANH TOÁN]]</f>
        <v>2472800</v>
      </c>
      <c r="K22" s="95"/>
    </row>
    <row r="23" spans="1:11" x14ac:dyDescent="0.25">
      <c r="A23" s="90">
        <v>9472</v>
      </c>
      <c r="B23" s="91">
        <v>46160</v>
      </c>
      <c r="C23" s="92" t="s">
        <v>13</v>
      </c>
      <c r="D23" s="93" t="s">
        <v>317</v>
      </c>
      <c r="E23" s="92" t="s">
        <v>441</v>
      </c>
      <c r="F23" s="94">
        <v>202</v>
      </c>
      <c r="G23" s="94">
        <v>65000</v>
      </c>
      <c r="H23" s="94">
        <f>Cty_Thuy_Thuy_Vinh[[#This Row],[ĐƠN GIÁ]]*Cty_Thuy_Thuy_Vinh[[#This Row],[SỐ LƯỢNG]]</f>
        <v>13130000</v>
      </c>
      <c r="I23" s="94"/>
      <c r="J23" s="94">
        <f>J22+Cty_Thuy_Thuy_Vinh[[#This Row],[THÀNH TIỀN]]-Cty_Thuy_Thuy_Vinh[[#This Row],[THANH TOÁN]]</f>
        <v>15602800</v>
      </c>
      <c r="K23" s="95"/>
    </row>
    <row r="24" spans="1:11" x14ac:dyDescent="0.25">
      <c r="A24" s="90">
        <v>9472</v>
      </c>
      <c r="B24" s="91">
        <v>46160</v>
      </c>
      <c r="C24" s="92" t="s">
        <v>13</v>
      </c>
      <c r="D24" s="93" t="s">
        <v>317</v>
      </c>
      <c r="E24" s="92" t="s">
        <v>2210</v>
      </c>
      <c r="F24" s="94">
        <v>68</v>
      </c>
      <c r="G24" s="94">
        <v>63000</v>
      </c>
      <c r="H24" s="94">
        <f>Cty_Thuy_Thuy_Vinh[[#This Row],[ĐƠN GIÁ]]*Cty_Thuy_Thuy_Vinh[[#This Row],[SỐ LƯỢNG]]</f>
        <v>4284000</v>
      </c>
      <c r="I24" s="94"/>
      <c r="J24" s="94">
        <f>J23+Cty_Thuy_Thuy_Vinh[[#This Row],[THÀNH TIỀN]]-Cty_Thuy_Thuy_Vinh[[#This Row],[THANH TOÁN]]</f>
        <v>19886800</v>
      </c>
      <c r="K24" s="95"/>
    </row>
    <row r="25" spans="1:11" x14ac:dyDescent="0.25">
      <c r="A25" s="90">
        <v>9484</v>
      </c>
      <c r="B25" s="91">
        <v>46161</v>
      </c>
      <c r="C25" s="92" t="s">
        <v>13</v>
      </c>
      <c r="D25" s="93" t="s">
        <v>14</v>
      </c>
      <c r="E25" s="92" t="s">
        <v>1823</v>
      </c>
      <c r="F25" s="94">
        <v>2982</v>
      </c>
      <c r="G25" s="94">
        <v>43600</v>
      </c>
      <c r="H25" s="94">
        <f>Cty_Thuy_Thuy_Vinh[[#This Row],[ĐƠN GIÁ]]*Cty_Thuy_Thuy_Vinh[[#This Row],[SỐ LƯỢNG]]</f>
        <v>130015200</v>
      </c>
      <c r="I25" s="94"/>
      <c r="J25" s="94">
        <f>J24+Cty_Thuy_Thuy_Vinh[[#This Row],[THÀNH TIỀN]]-Cty_Thuy_Thuy_Vinh[[#This Row],[THANH TOÁN]]</f>
        <v>149902000</v>
      </c>
      <c r="K25" s="95" t="s">
        <v>1837</v>
      </c>
    </row>
    <row r="26" spans="1:11" x14ac:dyDescent="0.25">
      <c r="A26" s="90">
        <v>9484</v>
      </c>
      <c r="B26" s="91">
        <v>46161</v>
      </c>
      <c r="C26" s="92" t="s">
        <v>13</v>
      </c>
      <c r="D26" s="93" t="s">
        <v>17</v>
      </c>
      <c r="E26" s="92" t="s">
        <v>723</v>
      </c>
      <c r="F26" s="94">
        <v>2286</v>
      </c>
      <c r="G26" s="94">
        <v>56500</v>
      </c>
      <c r="H26" s="94">
        <f>Cty_Thuy_Thuy_Vinh[[#This Row],[ĐƠN GIÁ]]*Cty_Thuy_Thuy_Vinh[[#This Row],[SỐ LƯỢNG]]</f>
        <v>129159000</v>
      </c>
      <c r="I26" s="94"/>
      <c r="J26" s="94">
        <f>J25+Cty_Thuy_Thuy_Vinh[[#This Row],[THÀNH TIỀN]]-Cty_Thuy_Thuy_Vinh[[#This Row],[THANH TOÁN]]</f>
        <v>279061000</v>
      </c>
      <c r="K26" s="95"/>
    </row>
    <row r="27" spans="1:11" x14ac:dyDescent="0.25">
      <c r="A27" s="90">
        <v>9540</v>
      </c>
      <c r="B27" s="91">
        <v>46163</v>
      </c>
      <c r="C27" s="92" t="s">
        <v>13</v>
      </c>
      <c r="D27" s="93" t="s">
        <v>43</v>
      </c>
      <c r="E27" s="92" t="s">
        <v>136</v>
      </c>
      <c r="F27" s="94">
        <v>44</v>
      </c>
      <c r="G27" s="94">
        <v>66000</v>
      </c>
      <c r="H27" s="94">
        <f>Cty_Thuy_Thuy_Vinh[[#This Row],[ĐƠN GIÁ]]*Cty_Thuy_Thuy_Vinh[[#This Row],[SỐ LƯỢNG]]</f>
        <v>2904000</v>
      </c>
      <c r="I27" s="94"/>
      <c r="J27" s="94">
        <f>J26+Cty_Thuy_Thuy_Vinh[[#This Row],[THÀNH TIỀN]]-Cty_Thuy_Thuy_Vinh[[#This Row],[THANH TOÁN]]</f>
        <v>281965000</v>
      </c>
      <c r="K27" s="95"/>
    </row>
    <row r="28" spans="1:11" x14ac:dyDescent="0.25">
      <c r="A28" s="90"/>
      <c r="B28" s="91">
        <v>46163</v>
      </c>
      <c r="C28" s="92" t="s">
        <v>21</v>
      </c>
      <c r="D28" s="93" t="s">
        <v>22</v>
      </c>
      <c r="E28" s="92" t="s">
        <v>261</v>
      </c>
      <c r="F28" s="94">
        <v>0</v>
      </c>
      <c r="G28" s="94"/>
      <c r="H28" s="94">
        <f>Cty_Thuy_Thuy_Vinh[[#This Row],[ĐƠN GIÁ]]*Cty_Thuy_Thuy_Vinh[[#This Row],[SỐ LƯỢNG]]</f>
        <v>0</v>
      </c>
      <c r="I28" s="94">
        <v>148110000</v>
      </c>
      <c r="J28" s="94">
        <f>J27+Cty_Thuy_Thuy_Vinh[[#This Row],[THÀNH TIỀN]]-Cty_Thuy_Thuy_Vinh[[#This Row],[THANH TOÁN]]</f>
        <v>133855000</v>
      </c>
      <c r="K28" s="95"/>
    </row>
    <row r="29" spans="1:11" x14ac:dyDescent="0.25">
      <c r="A29" s="90"/>
      <c r="B29" s="91">
        <v>46161</v>
      </c>
      <c r="C29" s="92" t="s">
        <v>21</v>
      </c>
      <c r="D29" s="93" t="s">
        <v>22</v>
      </c>
      <c r="E29" s="92" t="s">
        <v>2158</v>
      </c>
      <c r="F29" s="94">
        <v>0</v>
      </c>
      <c r="G29" s="94"/>
      <c r="H29" s="94">
        <f>Cty_Thuy_Thuy_Vinh[[#This Row],[ĐƠN GIÁ]]*Cty_Thuy_Thuy_Vinh[[#This Row],[SỐ LƯỢNG]]</f>
        <v>0</v>
      </c>
      <c r="I29" s="94">
        <v>130948000</v>
      </c>
      <c r="J29" s="94">
        <f>J28+Cty_Thuy_Thuy_Vinh[[#This Row],[THÀNH TIỀN]]-Cty_Thuy_Thuy_Vinh[[#This Row],[THANH TOÁN]]</f>
        <v>2907000</v>
      </c>
      <c r="K29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052D3-082B-4288-B5F4-6CDD62E0C367}">
  <sheetPr codeName="Sheet181"/>
  <dimension ref="A5:K12"/>
  <sheetViews>
    <sheetView workbookViewId="0">
      <selection activeCell="G16" sqref="G16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0</v>
      </c>
    </row>
    <row r="6" spans="1:11" ht="22.5" x14ac:dyDescent="0.25">
      <c r="D6" s="84" t="s">
        <v>1826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/>
      <c r="C10" s="92" t="s">
        <v>12</v>
      </c>
      <c r="D10" s="93"/>
      <c r="E10" s="92"/>
      <c r="F10" s="94"/>
      <c r="G10" s="94"/>
      <c r="H10" s="94">
        <f>A_Vuong_The_Duc[[#This Row],[ĐƠN GIÁ]]*A_Vuong_The_Duc[[#This Row],[SỐ LƯỢNG]]</f>
        <v>0</v>
      </c>
      <c r="I10" s="94"/>
      <c r="J10" s="94">
        <v>0</v>
      </c>
      <c r="K10" s="95"/>
    </row>
    <row r="11" spans="1:11" x14ac:dyDescent="0.25">
      <c r="A11" s="90">
        <v>9010</v>
      </c>
      <c r="B11" s="91">
        <v>46137</v>
      </c>
      <c r="C11" s="92" t="s">
        <v>13</v>
      </c>
      <c r="D11" s="93" t="s">
        <v>32</v>
      </c>
      <c r="E11" s="92" t="s">
        <v>78</v>
      </c>
      <c r="F11" s="94">
        <v>1154</v>
      </c>
      <c r="G11" s="94">
        <v>41000</v>
      </c>
      <c r="H11" s="94">
        <f>A_Vuong_The_Duc[[#This Row],[ĐƠN GIÁ]]*A_Vuong_The_Duc[[#This Row],[SỐ LƯỢNG]]</f>
        <v>47314000</v>
      </c>
      <c r="I11" s="94">
        <v>-346</v>
      </c>
      <c r="J11" s="94">
        <f>J10+A_Vuong_The_Duc[[#This Row],[THÀNH TIỀN]]-A_Vuong_The_Duc[[#This Row],[THANH TOÁN]]</f>
        <v>47314346</v>
      </c>
      <c r="K11" s="95"/>
    </row>
    <row r="12" spans="1:11" x14ac:dyDescent="0.25">
      <c r="A12" s="90"/>
      <c r="B12" s="91">
        <v>46139</v>
      </c>
      <c r="C12" s="92" t="s">
        <v>21</v>
      </c>
      <c r="D12" s="93" t="s">
        <v>22</v>
      </c>
      <c r="E12" s="92" t="s">
        <v>261</v>
      </c>
      <c r="F12" s="94">
        <v>0</v>
      </c>
      <c r="G12" s="94"/>
      <c r="H12" s="94">
        <f>A_Vuong_The_Duc[[#This Row],[ĐƠN GIÁ]]*A_Vuong_The_Duc[[#This Row],[SỐ LƯỢNG]]</f>
        <v>0</v>
      </c>
      <c r="I12" s="94">
        <v>47314346</v>
      </c>
      <c r="J12" s="94">
        <f>J11+A_Vuong_The_Duc[[#This Row],[THÀNH TIỀN]]-A_Vuong_The_Duc[[#This Row],[THANH TOÁN]]</f>
        <v>0</v>
      </c>
      <c r="K12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BD315-1A67-4018-ABDC-D7B765259BC0}">
  <sheetPr codeName="Sheet182"/>
  <dimension ref="A5:K23"/>
  <sheetViews>
    <sheetView workbookViewId="0"/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627769000</v>
      </c>
    </row>
    <row r="6" spans="1:11" ht="22.5" x14ac:dyDescent="0.25">
      <c r="D6" s="84" t="s">
        <v>1833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>
        <v>46081</v>
      </c>
      <c r="C10" s="92" t="s">
        <v>12</v>
      </c>
      <c r="D10" s="93"/>
      <c r="E10" s="92"/>
      <c r="F10" s="94"/>
      <c r="G10" s="94"/>
      <c r="H10" s="94">
        <f>A_Hoan_Tam_Trinh[[#This Row],[ĐƠN GIÁ]]*A_Hoan_Tam_Trinh[[#This Row],[SỐ LƯỢNG]]</f>
        <v>0</v>
      </c>
      <c r="I10" s="94"/>
      <c r="J10" s="94">
        <v>0</v>
      </c>
      <c r="K10" s="95"/>
    </row>
    <row r="11" spans="1:11" x14ac:dyDescent="0.25">
      <c r="A11" s="22">
        <v>8321</v>
      </c>
      <c r="B11" s="29">
        <v>46106</v>
      </c>
      <c r="C11" s="23" t="s">
        <v>13</v>
      </c>
      <c r="D11" s="37" t="s">
        <v>170</v>
      </c>
      <c r="E11" s="23" t="s">
        <v>1372</v>
      </c>
      <c r="F11" s="31">
        <v>2338</v>
      </c>
      <c r="G11" s="31">
        <v>63000</v>
      </c>
      <c r="H11" s="94">
        <f>A_Hoan_Tam_Trinh[[#This Row],[ĐƠN GIÁ]]*A_Hoan_Tam_Trinh[[#This Row],[SỐ LƯỢNG]]</f>
        <v>147294000</v>
      </c>
      <c r="I11" s="94"/>
      <c r="J11" s="94">
        <f>J10+A_Hoan_Tam_Trinh[[#This Row],[THÀNH TIỀN]]-A_Hoan_Tam_Trinh[[#This Row],[THANH TOÁN]]</f>
        <v>147294000</v>
      </c>
      <c r="K11" s="95"/>
    </row>
    <row r="12" spans="1:11" x14ac:dyDescent="0.25">
      <c r="A12" s="22"/>
      <c r="B12" s="29">
        <v>46136</v>
      </c>
      <c r="C12" s="23" t="s">
        <v>21</v>
      </c>
      <c r="D12" s="37" t="s">
        <v>22</v>
      </c>
      <c r="E12" s="23" t="s">
        <v>261</v>
      </c>
      <c r="F12" s="31">
        <v>0</v>
      </c>
      <c r="G12" s="31"/>
      <c r="H12" s="94">
        <f>A_Hoan_Tam_Trinh[[#This Row],[ĐƠN GIÁ]]*A_Hoan_Tam_Trinh[[#This Row],[SỐ LƯỢNG]]</f>
        <v>0</v>
      </c>
      <c r="I12" s="94">
        <v>147290000</v>
      </c>
      <c r="J12" s="94">
        <f>J11+A_Hoan_Tam_Trinh[[#This Row],[THÀNH TIỀN]]-A_Hoan_Tam_Trinh[[#This Row],[THANH TOÁN]]</f>
        <v>4000</v>
      </c>
      <c r="K12" s="95"/>
    </row>
    <row r="13" spans="1:11" x14ac:dyDescent="0.25">
      <c r="A13" s="90">
        <v>9018</v>
      </c>
      <c r="B13" s="91">
        <v>46137</v>
      </c>
      <c r="C13" s="92" t="s">
        <v>13</v>
      </c>
      <c r="D13" s="93" t="s">
        <v>109</v>
      </c>
      <c r="E13" s="92" t="s">
        <v>946</v>
      </c>
      <c r="F13" s="94">
        <v>290</v>
      </c>
      <c r="G13" s="94">
        <v>61000</v>
      </c>
      <c r="H13" s="94">
        <f>A_Hoan_Tam_Trinh[[#This Row],[ĐƠN GIÁ]]*A_Hoan_Tam_Trinh[[#This Row],[SỐ LƯỢNG]]</f>
        <v>17690000</v>
      </c>
      <c r="I13" s="94"/>
      <c r="J13" s="94">
        <f>J12+A_Hoan_Tam_Trinh[[#This Row],[THÀNH TIỀN]]-A_Hoan_Tam_Trinh[[#This Row],[THANH TOÁN]]</f>
        <v>17694000</v>
      </c>
      <c r="K13" s="95"/>
    </row>
    <row r="14" spans="1:11" x14ac:dyDescent="0.25">
      <c r="A14" s="90">
        <v>9018</v>
      </c>
      <c r="B14" s="91">
        <v>46137</v>
      </c>
      <c r="C14" s="92" t="s">
        <v>13</v>
      </c>
      <c r="D14" s="93" t="s">
        <v>109</v>
      </c>
      <c r="E14" s="92" t="s">
        <v>1046</v>
      </c>
      <c r="F14" s="94">
        <v>358</v>
      </c>
      <c r="G14" s="94">
        <v>61000</v>
      </c>
      <c r="H14" s="94">
        <f>A_Hoan_Tam_Trinh[[#This Row],[ĐƠN GIÁ]]*A_Hoan_Tam_Trinh[[#This Row],[SỐ LƯỢNG]]</f>
        <v>21838000</v>
      </c>
      <c r="I14" s="94"/>
      <c r="J14" s="94">
        <f>J13+A_Hoan_Tam_Trinh[[#This Row],[THÀNH TIỀN]]-A_Hoan_Tam_Trinh[[#This Row],[THANH TOÁN]]</f>
        <v>39532000</v>
      </c>
      <c r="K14" s="95"/>
    </row>
    <row r="15" spans="1:11" x14ac:dyDescent="0.25">
      <c r="A15" s="90">
        <v>9099</v>
      </c>
      <c r="B15" s="91">
        <v>46141</v>
      </c>
      <c r="C15" s="92" t="s">
        <v>13</v>
      </c>
      <c r="D15" s="93" t="s">
        <v>173</v>
      </c>
      <c r="E15" s="92" t="s">
        <v>111</v>
      </c>
      <c r="F15" s="94">
        <v>292</v>
      </c>
      <c r="G15" s="94">
        <v>74000</v>
      </c>
      <c r="H15" s="94">
        <f>A_Hoan_Tam_Trinh[[#This Row],[ĐƠN GIÁ]]*A_Hoan_Tam_Trinh[[#This Row],[SỐ LƯỢNG]]</f>
        <v>21608000</v>
      </c>
      <c r="I15" s="94"/>
      <c r="J15" s="94">
        <f>J14+A_Hoan_Tam_Trinh[[#This Row],[THÀNH TIỀN]]-A_Hoan_Tam_Trinh[[#This Row],[THANH TOÁN]]</f>
        <v>61140000</v>
      </c>
      <c r="K15" s="95"/>
    </row>
    <row r="16" spans="1:11" x14ac:dyDescent="0.25">
      <c r="A16" s="90">
        <v>9134</v>
      </c>
      <c r="B16" s="91">
        <v>46146</v>
      </c>
      <c r="C16" s="92" t="s">
        <v>13</v>
      </c>
      <c r="D16" s="93" t="s">
        <v>50</v>
      </c>
      <c r="E16" s="92" t="s">
        <v>1763</v>
      </c>
      <c r="F16" s="94">
        <v>248</v>
      </c>
      <c r="G16" s="94">
        <v>64000</v>
      </c>
      <c r="H16" s="94">
        <f>A_Hoan_Tam_Trinh[[#This Row],[ĐƠN GIÁ]]*A_Hoan_Tam_Trinh[[#This Row],[SỐ LƯỢNG]]</f>
        <v>15872000</v>
      </c>
      <c r="I16" s="94"/>
      <c r="J16" s="94">
        <f>J15+A_Hoan_Tam_Trinh[[#This Row],[THÀNH TIỀN]]-A_Hoan_Tam_Trinh[[#This Row],[THANH TOÁN]]</f>
        <v>77012000</v>
      </c>
      <c r="K16" s="95"/>
    </row>
    <row r="17" spans="1:11" x14ac:dyDescent="0.25">
      <c r="A17" s="90">
        <v>9184</v>
      </c>
      <c r="B17" s="91">
        <v>46147</v>
      </c>
      <c r="C17" s="92" t="s">
        <v>13</v>
      </c>
      <c r="D17" s="93" t="s">
        <v>50</v>
      </c>
      <c r="E17" s="92" t="s">
        <v>1944</v>
      </c>
      <c r="F17" s="94">
        <v>6228</v>
      </c>
      <c r="G17" s="94">
        <v>61500</v>
      </c>
      <c r="H17" s="94">
        <f>A_Hoan_Tam_Trinh[[#This Row],[ĐƠN GIÁ]]*A_Hoan_Tam_Trinh[[#This Row],[SỐ LƯỢNG]]</f>
        <v>383022000</v>
      </c>
      <c r="I17" s="94"/>
      <c r="J17" s="94">
        <f>J16+A_Hoan_Tam_Trinh[[#This Row],[THÀNH TIỀN]]-A_Hoan_Tam_Trinh[[#This Row],[THANH TOÁN]]</f>
        <v>460034000</v>
      </c>
      <c r="K17" s="95"/>
    </row>
    <row r="18" spans="1:11" x14ac:dyDescent="0.25">
      <c r="A18" s="90">
        <v>9336</v>
      </c>
      <c r="B18" s="91">
        <v>46154</v>
      </c>
      <c r="C18" s="92" t="s">
        <v>13</v>
      </c>
      <c r="D18" s="93" t="s">
        <v>50</v>
      </c>
      <c r="E18" s="92" t="s">
        <v>2050</v>
      </c>
      <c r="F18" s="94">
        <v>1010</v>
      </c>
      <c r="G18" s="94">
        <v>63500</v>
      </c>
      <c r="H18" s="94">
        <f>A_Hoan_Tam_Trinh[[#This Row],[ĐƠN GIÁ]]*A_Hoan_Tam_Trinh[[#This Row],[SỐ LƯỢNG]]</f>
        <v>64135000</v>
      </c>
      <c r="I18" s="94"/>
      <c r="J18" s="94">
        <f>J17+A_Hoan_Tam_Trinh[[#This Row],[THÀNH TIỀN]]-A_Hoan_Tam_Trinh[[#This Row],[THANH TOÁN]]</f>
        <v>524169000</v>
      </c>
      <c r="K18" s="95"/>
    </row>
    <row r="19" spans="1:11" x14ac:dyDescent="0.25">
      <c r="A19" s="101">
        <v>9336</v>
      </c>
      <c r="B19" s="102">
        <v>46154</v>
      </c>
      <c r="C19" s="103" t="s">
        <v>13</v>
      </c>
      <c r="D19" s="104" t="s">
        <v>50</v>
      </c>
      <c r="E19" s="103" t="s">
        <v>2051</v>
      </c>
      <c r="F19" s="105">
        <v>90</v>
      </c>
      <c r="G19" s="105">
        <v>62000</v>
      </c>
      <c r="H19" s="105">
        <f>A_Hoan_Tam_Trinh[[#This Row],[ĐƠN GIÁ]]*A_Hoan_Tam_Trinh[[#This Row],[SỐ LƯỢNG]]</f>
        <v>5580000</v>
      </c>
      <c r="I19" s="105"/>
      <c r="J19" s="105">
        <f>J18+A_Hoan_Tam_Trinh[[#This Row],[THÀNH TIỀN]]-A_Hoan_Tam_Trinh[[#This Row],[THANH TOÁN]]</f>
        <v>529749000</v>
      </c>
      <c r="K19" s="106"/>
    </row>
    <row r="20" spans="1:11" x14ac:dyDescent="0.25">
      <c r="A20" s="90"/>
      <c r="B20" s="91">
        <v>46157</v>
      </c>
      <c r="C20" s="92" t="s">
        <v>21</v>
      </c>
      <c r="D20" s="93" t="s">
        <v>22</v>
      </c>
      <c r="E20" s="92" t="s">
        <v>2155</v>
      </c>
      <c r="F20" s="94">
        <v>0</v>
      </c>
      <c r="G20" s="94"/>
      <c r="H20" s="94">
        <f>A_Hoan_Tam_Trinh[[#This Row],[ĐƠN GIÁ]]*A_Hoan_Tam_Trinh[[#This Row],[SỐ LƯỢNG]]</f>
        <v>0</v>
      </c>
      <c r="I20" s="94">
        <v>39528500</v>
      </c>
      <c r="J20" s="94">
        <f>J19+A_Hoan_Tam_Trinh[[#This Row],[THÀNH TIỀN]]-A_Hoan_Tam_Trinh[[#This Row],[THANH TOÁN]]</f>
        <v>490220500</v>
      </c>
      <c r="K20" s="95"/>
    </row>
    <row r="21" spans="1:11" x14ac:dyDescent="0.25">
      <c r="A21" s="90">
        <v>9442</v>
      </c>
      <c r="B21" s="91">
        <v>46158</v>
      </c>
      <c r="C21" s="92" t="s">
        <v>13</v>
      </c>
      <c r="D21" s="93" t="s">
        <v>317</v>
      </c>
      <c r="E21" s="92" t="s">
        <v>2191</v>
      </c>
      <c r="F21" s="94">
        <v>802</v>
      </c>
      <c r="G21" s="94">
        <v>64500</v>
      </c>
      <c r="H21" s="94">
        <f>A_Hoan_Tam_Trinh[[#This Row],[ĐƠN GIÁ]]*A_Hoan_Tam_Trinh[[#This Row],[SỐ LƯỢNG]]</f>
        <v>51729000</v>
      </c>
      <c r="I21" s="94"/>
      <c r="J21" s="94">
        <f>J20+A_Hoan_Tam_Trinh[[#This Row],[THÀNH TIỀN]]-A_Hoan_Tam_Trinh[[#This Row],[THANH TOÁN]]</f>
        <v>541949500</v>
      </c>
      <c r="K21" s="95"/>
    </row>
    <row r="22" spans="1:11" x14ac:dyDescent="0.25">
      <c r="A22" s="90">
        <v>9636</v>
      </c>
      <c r="B22" s="91">
        <v>46168</v>
      </c>
      <c r="C22" s="92" t="s">
        <v>13</v>
      </c>
      <c r="D22" s="93" t="s">
        <v>109</v>
      </c>
      <c r="E22" s="92" t="s">
        <v>886</v>
      </c>
      <c r="F22" s="94">
        <v>296</v>
      </c>
      <c r="G22" s="94">
        <v>64000</v>
      </c>
      <c r="H22" s="94">
        <f>A_Hoan_Tam_Trinh[[#This Row],[ĐƠN GIÁ]]*A_Hoan_Tam_Trinh[[#This Row],[SỐ LƯỢNG]]</f>
        <v>18944000</v>
      </c>
      <c r="I22" s="94"/>
      <c r="J22" s="94">
        <f>J21+A_Hoan_Tam_Trinh[[#This Row],[THÀNH TIỀN]]-A_Hoan_Tam_Trinh[[#This Row],[THANH TOÁN]]</f>
        <v>560893500</v>
      </c>
      <c r="K22" s="95"/>
    </row>
    <row r="23" spans="1:11" x14ac:dyDescent="0.25">
      <c r="A23" s="90">
        <v>9636</v>
      </c>
      <c r="B23" s="91">
        <v>46168</v>
      </c>
      <c r="C23" s="92" t="s">
        <v>13</v>
      </c>
      <c r="D23" s="93" t="s">
        <v>317</v>
      </c>
      <c r="E23" s="92" t="s">
        <v>449</v>
      </c>
      <c r="F23" s="94">
        <v>1021</v>
      </c>
      <c r="G23" s="94">
        <v>65500</v>
      </c>
      <c r="H23" s="94">
        <f>A_Hoan_Tam_Trinh[[#This Row],[ĐƠN GIÁ]]*A_Hoan_Tam_Trinh[[#This Row],[SỐ LƯỢNG]]</f>
        <v>66875500</v>
      </c>
      <c r="I23" s="94"/>
      <c r="J23" s="94">
        <f>J22+A_Hoan_Tam_Trinh[[#This Row],[THÀNH TIỀN]]-A_Hoan_Tam_Trinh[[#This Row],[THANH TOÁN]]</f>
        <v>627769000</v>
      </c>
      <c r="K23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45F54B-AB2B-46A2-A211-C997EABC9D41}">
  <sheetPr codeName="Sheet183"/>
  <dimension ref="A5:K15"/>
  <sheetViews>
    <sheetView workbookViewId="0">
      <selection activeCell="B12" sqref="B12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0</v>
      </c>
    </row>
    <row r="6" spans="1:11" ht="22.5" x14ac:dyDescent="0.25">
      <c r="D6" s="84" t="s">
        <v>1849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>
        <v>46081</v>
      </c>
      <c r="C10" s="92" t="s">
        <v>12</v>
      </c>
      <c r="D10" s="93"/>
      <c r="E10" s="92"/>
      <c r="F10" s="94"/>
      <c r="G10" s="94"/>
      <c r="H10" s="94">
        <f>E_Minh_HY[[#This Row],[ĐƠN GIÁ]]*E_Minh_HY[[#This Row],[SỐ LƯỢNG]]</f>
        <v>0</v>
      </c>
      <c r="I10" s="94"/>
      <c r="J10" s="94">
        <v>0</v>
      </c>
      <c r="K10" s="95"/>
    </row>
    <row r="11" spans="1:11" x14ac:dyDescent="0.25">
      <c r="A11" s="2">
        <v>8711</v>
      </c>
      <c r="B11" s="98">
        <v>46123</v>
      </c>
      <c r="C11" s="3" t="s">
        <v>13</v>
      </c>
      <c r="D11" s="59" t="s">
        <v>17</v>
      </c>
      <c r="E11" s="3" t="s">
        <v>33</v>
      </c>
      <c r="F11" s="8">
        <v>550</v>
      </c>
      <c r="G11" s="8">
        <v>60500</v>
      </c>
      <c r="H11" s="8">
        <f>E_Minh_HY[[#This Row],[ĐƠN GIÁ]]*E_Minh_HY[[#This Row],[SỐ LƯỢNG]]</f>
        <v>33275000</v>
      </c>
      <c r="I11" s="94">
        <v>1000</v>
      </c>
      <c r="J11" s="94">
        <f>J10+E_Minh_HY[[#This Row],[THÀNH TIỀN]]-E_Minh_HY[[#This Row],[THANH TOÁN]]</f>
        <v>33274000</v>
      </c>
      <c r="K11" s="95"/>
    </row>
    <row r="12" spans="1:11" x14ac:dyDescent="0.25">
      <c r="A12" s="2"/>
      <c r="B12" s="98">
        <v>46125</v>
      </c>
      <c r="C12" s="3" t="s">
        <v>21</v>
      </c>
      <c r="D12" s="59" t="s">
        <v>24</v>
      </c>
      <c r="E12" s="3"/>
      <c r="F12" s="8">
        <v>0</v>
      </c>
      <c r="G12" s="8"/>
      <c r="H12" s="8">
        <f>E_Minh_HY[[#This Row],[ĐƠN GIÁ]]*E_Minh_HY[[#This Row],[SỐ LƯỢNG]]</f>
        <v>0</v>
      </c>
      <c r="I12" s="94">
        <v>33270000</v>
      </c>
      <c r="J12" s="94">
        <f>J11+E_Minh_HY[[#This Row],[THÀNH TIỀN]]-E_Minh_HY[[#This Row],[THANH TOÁN]]</f>
        <v>4000</v>
      </c>
      <c r="K12" s="95"/>
    </row>
    <row r="13" spans="1:11" x14ac:dyDescent="0.25">
      <c r="A13" s="101">
        <v>9045</v>
      </c>
      <c r="B13" s="102">
        <v>46139</v>
      </c>
      <c r="C13" s="103" t="s">
        <v>13</v>
      </c>
      <c r="D13" s="104" t="s">
        <v>17</v>
      </c>
      <c r="E13" s="103" t="s">
        <v>25</v>
      </c>
      <c r="F13" s="105">
        <v>872</v>
      </c>
      <c r="G13" s="105">
        <v>60500</v>
      </c>
      <c r="H13" s="105">
        <f>E_Minh_HY[[#This Row],[ĐƠN GIÁ]]*E_Minh_HY[[#This Row],[SỐ LƯỢNG]]</f>
        <v>52756000</v>
      </c>
      <c r="I13" s="105"/>
      <c r="J13" s="105">
        <f>J12+E_Minh_HY[[#This Row],[THÀNH TIỀN]]-E_Minh_HY[[#This Row],[THANH TOÁN]]</f>
        <v>52760000</v>
      </c>
      <c r="K13" s="106"/>
    </row>
    <row r="14" spans="1:11" x14ac:dyDescent="0.25">
      <c r="A14" s="90">
        <v>9045</v>
      </c>
      <c r="B14" s="91">
        <v>46139</v>
      </c>
      <c r="C14" s="92" t="s">
        <v>13</v>
      </c>
      <c r="D14" s="93" t="s">
        <v>17</v>
      </c>
      <c r="E14" s="92" t="s">
        <v>46</v>
      </c>
      <c r="F14" s="94">
        <v>500</v>
      </c>
      <c r="G14" s="94">
        <v>60500</v>
      </c>
      <c r="H14" s="94">
        <f>E_Minh_HY[[#This Row],[ĐƠN GIÁ]]*E_Minh_HY[[#This Row],[SỐ LƯỢNG]]</f>
        <v>30250000</v>
      </c>
      <c r="I14" s="94"/>
      <c r="J14" s="94">
        <f>J13+E_Minh_HY[[#This Row],[THÀNH TIỀN]]-E_Minh_HY[[#This Row],[THANH TOÁN]]</f>
        <v>83010000</v>
      </c>
      <c r="K14" s="95"/>
    </row>
    <row r="15" spans="1:11" x14ac:dyDescent="0.25">
      <c r="A15" s="101"/>
      <c r="B15" s="102">
        <v>46139</v>
      </c>
      <c r="C15" s="103" t="s">
        <v>21</v>
      </c>
      <c r="D15" s="104" t="s">
        <v>24</v>
      </c>
      <c r="E15" s="103"/>
      <c r="F15" s="105">
        <v>0</v>
      </c>
      <c r="G15" s="105"/>
      <c r="H15" s="105">
        <f>E_Minh_HY[[#This Row],[ĐƠN GIÁ]]*E_Minh_HY[[#This Row],[SỐ LƯỢNG]]</f>
        <v>0</v>
      </c>
      <c r="I15" s="105">
        <v>83010000</v>
      </c>
      <c r="J15" s="105">
        <f>J14+E_Minh_HY[[#This Row],[THÀNH TIỀN]]-E_Minh_HY[[#This Row],[THANH TOÁN]]</f>
        <v>0</v>
      </c>
      <c r="K15" s="106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95A745-D49F-43F2-AA0F-15409871B923}">
  <sheetPr codeName="Sheet159"/>
  <dimension ref="A5:K12"/>
  <sheetViews>
    <sheetView workbookViewId="0"/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-233</v>
      </c>
    </row>
    <row r="6" spans="1:11" ht="22.5" x14ac:dyDescent="0.25">
      <c r="D6" s="84" t="s">
        <v>1897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/>
      <c r="C10" s="92" t="s">
        <v>12</v>
      </c>
      <c r="D10" s="93"/>
      <c r="E10" s="92"/>
      <c r="F10" s="94"/>
      <c r="G10" s="94"/>
      <c r="H10" s="94">
        <f>Cty_Phu_Hung_An[[#This Row],[ĐƠN GIÁ]]*Cty_Phu_Hung_An[[#This Row],[SỐ LƯỢNG]]</f>
        <v>0</v>
      </c>
      <c r="I10" s="94"/>
      <c r="J10" s="94">
        <v>0</v>
      </c>
      <c r="K10" s="95"/>
    </row>
    <row r="11" spans="1:11" x14ac:dyDescent="0.25">
      <c r="A11" s="90">
        <v>9122</v>
      </c>
      <c r="B11" s="91">
        <v>46141</v>
      </c>
      <c r="C11" s="92" t="s">
        <v>13</v>
      </c>
      <c r="D11" s="93" t="s">
        <v>43</v>
      </c>
      <c r="E11" s="92" t="s">
        <v>40</v>
      </c>
      <c r="F11" s="94">
        <v>1164</v>
      </c>
      <c r="G11" s="94">
        <v>64000</v>
      </c>
      <c r="H11" s="94">
        <f>Cty_Phu_Hung_An[[#This Row],[ĐƠN GIÁ]]*Cty_Phu_Hung_An[[#This Row],[SỐ LƯỢNG]]</f>
        <v>74496000</v>
      </c>
      <c r="I11" s="94"/>
      <c r="J11" s="94">
        <f>J10+Cty_Phu_Hung_An[[#This Row],[THÀNH TIỀN]]-Cty_Phu_Hung_An[[#This Row],[THANH TOÁN]]</f>
        <v>74496000</v>
      </c>
      <c r="K11" s="95"/>
    </row>
    <row r="12" spans="1:11" x14ac:dyDescent="0.25">
      <c r="A12" s="90"/>
      <c r="B12" s="91">
        <v>46172</v>
      </c>
      <c r="C12" s="92" t="s">
        <v>21</v>
      </c>
      <c r="D12" s="93" t="s">
        <v>22</v>
      </c>
      <c r="E12" s="92" t="s">
        <v>147</v>
      </c>
      <c r="F12" s="94">
        <v>0</v>
      </c>
      <c r="G12" s="94"/>
      <c r="H12" s="94">
        <f>Cty_Phu_Hung_An[[#This Row],[ĐƠN GIÁ]]*Cty_Phu_Hung_An[[#This Row],[SỐ LƯỢNG]]</f>
        <v>0</v>
      </c>
      <c r="I12" s="94">
        <v>74496233</v>
      </c>
      <c r="J12" s="94">
        <f>J11+Cty_Phu_Hung_An[[#This Row],[THÀNH TIỀN]]-Cty_Phu_Hung_An[[#This Row],[THANH TOÁN]]</f>
        <v>-233</v>
      </c>
      <c r="K12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30023B-9199-430B-8131-2FBBE45A84BB}">
  <sheetPr codeName="Sheet184"/>
  <dimension ref="A5:K19"/>
  <sheetViews>
    <sheetView workbookViewId="0">
      <selection activeCell="I12" sqref="I12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0</v>
      </c>
    </row>
    <row r="6" spans="1:11" ht="22.5" x14ac:dyDescent="0.25">
      <c r="D6" s="84" t="s">
        <v>1898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/>
      <c r="C10" s="92" t="s">
        <v>12</v>
      </c>
      <c r="D10" s="93"/>
      <c r="E10" s="92"/>
      <c r="F10" s="94"/>
      <c r="G10" s="94"/>
      <c r="H10" s="94">
        <f>Cty_Ha_Thanh[[#This Row],[ĐƠN GIÁ]]*Cty_Ha_Thanh[[#This Row],[SỐ LƯỢNG]]</f>
        <v>0</v>
      </c>
      <c r="I10" s="94"/>
      <c r="J10" s="94">
        <v>0</v>
      </c>
      <c r="K10" s="95"/>
    </row>
    <row r="11" spans="1:11" x14ac:dyDescent="0.25">
      <c r="A11" s="90">
        <v>9123</v>
      </c>
      <c r="B11" s="91">
        <v>46141</v>
      </c>
      <c r="C11" s="92" t="s">
        <v>13</v>
      </c>
      <c r="D11" s="93" t="s">
        <v>26</v>
      </c>
      <c r="E11" s="92" t="s">
        <v>40</v>
      </c>
      <c r="F11" s="94">
        <v>560</v>
      </c>
      <c r="G11" s="94">
        <v>36000</v>
      </c>
      <c r="H11" s="94">
        <f>Cty_Ha_Thanh[[#This Row],[ĐƠN GIÁ]]*Cty_Ha_Thanh[[#This Row],[SỐ LƯỢNG]]</f>
        <v>20160000</v>
      </c>
      <c r="I11" s="94">
        <v>357</v>
      </c>
      <c r="J11" s="94">
        <f>J10+Cty_Ha_Thanh[[#This Row],[THÀNH TIỀN]]-Cty_Ha_Thanh[[#This Row],[THANH TOÁN]]</f>
        <v>20159643</v>
      </c>
      <c r="K11" s="95"/>
    </row>
    <row r="12" spans="1:11" x14ac:dyDescent="0.25">
      <c r="A12" s="90">
        <v>9123</v>
      </c>
      <c r="B12" s="91">
        <v>46141</v>
      </c>
      <c r="C12" s="92" t="s">
        <v>13</v>
      </c>
      <c r="D12" s="93" t="s">
        <v>26</v>
      </c>
      <c r="E12" s="92" t="s">
        <v>416</v>
      </c>
      <c r="F12" s="94">
        <v>240</v>
      </c>
      <c r="G12" s="94">
        <v>35000</v>
      </c>
      <c r="H12" s="94">
        <f>Cty_Ha_Thanh[[#This Row],[ĐƠN GIÁ]]*Cty_Ha_Thanh[[#This Row],[SỐ LƯỢNG]]</f>
        <v>8400000</v>
      </c>
      <c r="I12" s="94"/>
      <c r="J12" s="94">
        <f>J11+Cty_Ha_Thanh[[#This Row],[THÀNH TIỀN]]-Cty_Ha_Thanh[[#This Row],[THANH TOÁN]]</f>
        <v>28559643</v>
      </c>
      <c r="K12" s="95"/>
    </row>
    <row r="13" spans="1:11" x14ac:dyDescent="0.25">
      <c r="A13" s="90">
        <v>9123</v>
      </c>
      <c r="B13" s="91">
        <v>46141</v>
      </c>
      <c r="C13" s="92" t="s">
        <v>13</v>
      </c>
      <c r="D13" s="93" t="s">
        <v>17</v>
      </c>
      <c r="E13" s="92" t="s">
        <v>230</v>
      </c>
      <c r="F13" s="94">
        <v>240</v>
      </c>
      <c r="G13" s="94">
        <v>69000</v>
      </c>
      <c r="H13" s="94">
        <f>Cty_Ha_Thanh[[#This Row],[ĐƠN GIÁ]]*Cty_Ha_Thanh[[#This Row],[SỐ LƯỢNG]]</f>
        <v>16560000</v>
      </c>
      <c r="I13" s="94"/>
      <c r="J13" s="94">
        <f>J12+Cty_Ha_Thanh[[#This Row],[THÀNH TIỀN]]-Cty_Ha_Thanh[[#This Row],[THANH TOÁN]]</f>
        <v>45119643</v>
      </c>
      <c r="K13" s="95"/>
    </row>
    <row r="14" spans="1:11" x14ac:dyDescent="0.25">
      <c r="A14" s="90">
        <v>9123</v>
      </c>
      <c r="B14" s="91">
        <v>46141</v>
      </c>
      <c r="C14" s="92" t="s">
        <v>13</v>
      </c>
      <c r="D14" s="93" t="s">
        <v>32</v>
      </c>
      <c r="E14" s="92" t="s">
        <v>230</v>
      </c>
      <c r="F14" s="94">
        <v>228</v>
      </c>
      <c r="G14" s="94">
        <v>45000</v>
      </c>
      <c r="H14" s="94">
        <f>Cty_Ha_Thanh[[#This Row],[ĐƠN GIÁ]]*Cty_Ha_Thanh[[#This Row],[SỐ LƯỢNG]]</f>
        <v>10260000</v>
      </c>
      <c r="I14" s="94"/>
      <c r="J14" s="94">
        <f>J13+Cty_Ha_Thanh[[#This Row],[THÀNH TIỀN]]-Cty_Ha_Thanh[[#This Row],[THANH TOÁN]]</f>
        <v>55379643</v>
      </c>
      <c r="K14" s="95"/>
    </row>
    <row r="15" spans="1:11" x14ac:dyDescent="0.25">
      <c r="A15" s="90"/>
      <c r="B15" s="91">
        <v>46148</v>
      </c>
      <c r="C15" s="92" t="s">
        <v>21</v>
      </c>
      <c r="D15" s="93" t="s">
        <v>22</v>
      </c>
      <c r="E15" s="92" t="s">
        <v>261</v>
      </c>
      <c r="F15" s="94">
        <v>0</v>
      </c>
      <c r="G15" s="94"/>
      <c r="H15" s="94">
        <f>Cty_Ha_Thanh[[#This Row],[ĐƠN GIÁ]]*Cty_Ha_Thanh[[#This Row],[SỐ LƯỢNG]]</f>
        <v>0</v>
      </c>
      <c r="I15" s="94">
        <v>55379412</v>
      </c>
      <c r="J15" s="94">
        <f>J14+Cty_Ha_Thanh[[#This Row],[THÀNH TIỀN]]-Cty_Ha_Thanh[[#This Row],[THANH TOÁN]]</f>
        <v>231</v>
      </c>
      <c r="K15" s="95"/>
    </row>
    <row r="16" spans="1:11" x14ac:dyDescent="0.25">
      <c r="A16" s="90">
        <v>9411</v>
      </c>
      <c r="B16" s="91">
        <v>46157</v>
      </c>
      <c r="C16" s="92" t="s">
        <v>13</v>
      </c>
      <c r="D16" s="93" t="s">
        <v>32</v>
      </c>
      <c r="E16" s="92" t="s">
        <v>230</v>
      </c>
      <c r="F16" s="94">
        <v>384</v>
      </c>
      <c r="G16" s="94">
        <v>45000</v>
      </c>
      <c r="H16" s="94">
        <f>Cty_Ha_Thanh[[#This Row],[ĐƠN GIÁ]]*Cty_Ha_Thanh[[#This Row],[SỐ LƯỢNG]]</f>
        <v>17280000</v>
      </c>
      <c r="I16" s="94"/>
      <c r="J16" s="94">
        <f>J15+Cty_Ha_Thanh[[#This Row],[THÀNH TIỀN]]-Cty_Ha_Thanh[[#This Row],[THANH TOÁN]]</f>
        <v>17280231</v>
      </c>
      <c r="K16" s="95"/>
    </row>
    <row r="17" spans="1:11" x14ac:dyDescent="0.25">
      <c r="A17" s="90">
        <v>9411</v>
      </c>
      <c r="B17" s="91">
        <v>46157</v>
      </c>
      <c r="C17" s="92" t="s">
        <v>13</v>
      </c>
      <c r="D17" s="93" t="s">
        <v>14</v>
      </c>
      <c r="E17" s="92" t="s">
        <v>40</v>
      </c>
      <c r="F17" s="94">
        <v>354</v>
      </c>
      <c r="G17" s="94">
        <v>47000</v>
      </c>
      <c r="H17" s="94">
        <f>Cty_Ha_Thanh[[#This Row],[ĐƠN GIÁ]]*Cty_Ha_Thanh[[#This Row],[SỐ LƯỢNG]]</f>
        <v>16638000</v>
      </c>
      <c r="I17" s="94"/>
      <c r="J17" s="94">
        <f>J16+Cty_Ha_Thanh[[#This Row],[THÀNH TIỀN]]-Cty_Ha_Thanh[[#This Row],[THANH TOÁN]]</f>
        <v>33918231</v>
      </c>
      <c r="K17" s="95"/>
    </row>
    <row r="18" spans="1:11" x14ac:dyDescent="0.25">
      <c r="A18" s="90">
        <v>9411</v>
      </c>
      <c r="B18" s="91">
        <v>46157</v>
      </c>
      <c r="C18" s="92" t="s">
        <v>13</v>
      </c>
      <c r="D18" s="93" t="s">
        <v>14</v>
      </c>
      <c r="E18" s="92" t="s">
        <v>78</v>
      </c>
      <c r="F18" s="94">
        <v>120</v>
      </c>
      <c r="G18" s="94">
        <v>45000</v>
      </c>
      <c r="H18" s="94">
        <f>Cty_Ha_Thanh[[#This Row],[ĐƠN GIÁ]]*Cty_Ha_Thanh[[#This Row],[SỐ LƯỢNG]]</f>
        <v>5400000</v>
      </c>
      <c r="I18" s="94"/>
      <c r="J18" s="94">
        <f>J17+Cty_Ha_Thanh[[#This Row],[THÀNH TIỀN]]-Cty_Ha_Thanh[[#This Row],[THANH TOÁN]]</f>
        <v>39318231</v>
      </c>
      <c r="K18" s="95"/>
    </row>
    <row r="19" spans="1:11" x14ac:dyDescent="0.25">
      <c r="A19" s="90"/>
      <c r="B19" s="91">
        <v>46162</v>
      </c>
      <c r="C19" s="92" t="s">
        <v>21</v>
      </c>
      <c r="D19" s="93" t="s">
        <v>22</v>
      </c>
      <c r="E19" s="92" t="s">
        <v>261</v>
      </c>
      <c r="F19" s="94">
        <v>0</v>
      </c>
      <c r="G19" s="94"/>
      <c r="H19" s="94">
        <f>Cty_Ha_Thanh[[#This Row],[ĐƠN GIÁ]]*Cty_Ha_Thanh[[#This Row],[SỐ LƯỢNG]]</f>
        <v>0</v>
      </c>
      <c r="I19" s="94">
        <v>39318231</v>
      </c>
      <c r="J19" s="94">
        <f>J18+Cty_Ha_Thanh[[#This Row],[THÀNH TIỀN]]-Cty_Ha_Thanh[[#This Row],[THANH TOÁN]]</f>
        <v>0</v>
      </c>
      <c r="K19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12355-955D-4B9C-99DF-A50A0DE513F3}">
  <sheetPr codeName="Sheet185"/>
  <dimension ref="A5:K12"/>
  <sheetViews>
    <sheetView workbookViewId="0"/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0</v>
      </c>
    </row>
    <row r="6" spans="1:11" ht="22.5" x14ac:dyDescent="0.25">
      <c r="D6" s="84" t="s">
        <v>1908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/>
      <c r="C10" s="92" t="s">
        <v>12</v>
      </c>
      <c r="D10" s="93"/>
      <c r="E10" s="92"/>
      <c r="F10" s="94"/>
      <c r="G10" s="94"/>
      <c r="H10" s="94">
        <f>Cty_Tu_Phuong[[#This Row],[ĐƠN GIÁ]]*Cty_Tu_Phuong[[#This Row],[SỐ LƯỢNG]]</f>
        <v>0</v>
      </c>
      <c r="I10" s="94"/>
      <c r="J10" s="94">
        <v>0</v>
      </c>
      <c r="K10" s="95"/>
    </row>
    <row r="11" spans="1:11" x14ac:dyDescent="0.25">
      <c r="A11" s="90">
        <v>8446</v>
      </c>
      <c r="B11" s="91">
        <v>46112</v>
      </c>
      <c r="C11" s="92" t="s">
        <v>13</v>
      </c>
      <c r="D11" s="93" t="s">
        <v>17</v>
      </c>
      <c r="E11" s="92" t="s">
        <v>46</v>
      </c>
      <c r="F11" s="94">
        <v>210</v>
      </c>
      <c r="G11" s="94">
        <v>68000</v>
      </c>
      <c r="H11" s="94">
        <f>Cty_Tu_Phuong[[#This Row],[ĐƠN GIÁ]]*Cty_Tu_Phuong[[#This Row],[SỐ LƯỢNG]]</f>
        <v>14280000</v>
      </c>
      <c r="I11" s="94"/>
      <c r="J11" s="94">
        <f>J10+Cty_Tu_Phuong[[#This Row],[THÀNH TIỀN]]-Cty_Tu_Phuong[[#This Row],[THANH TOÁN]]</f>
        <v>14280000</v>
      </c>
      <c r="K11" s="95" t="s">
        <v>1903</v>
      </c>
    </row>
    <row r="12" spans="1:11" x14ac:dyDescent="0.25">
      <c r="A12" s="90"/>
      <c r="B12" s="91">
        <v>46122</v>
      </c>
      <c r="C12" s="92" t="s">
        <v>21</v>
      </c>
      <c r="D12" s="93" t="s">
        <v>22</v>
      </c>
      <c r="E12" s="92" t="s">
        <v>1907</v>
      </c>
      <c r="F12" s="94">
        <v>0</v>
      </c>
      <c r="G12" s="94"/>
      <c r="H12" s="94">
        <f>Cty_Tu_Phuong[[#This Row],[ĐƠN GIÁ]]*Cty_Tu_Phuong[[#This Row],[SỐ LƯỢNG]]</f>
        <v>0</v>
      </c>
      <c r="I12" s="94">
        <v>14280000</v>
      </c>
      <c r="J12" s="94">
        <f>J11+Cty_Tu_Phuong[[#This Row],[THÀNH TIỀN]]-Cty_Tu_Phuong[[#This Row],[THANH TOÁN]]</f>
        <v>0</v>
      </c>
      <c r="K12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E15855-0EEE-4C86-991D-0729182BB229}">
  <sheetPr codeName="Sheet187"/>
  <dimension ref="A5:K12"/>
  <sheetViews>
    <sheetView workbookViewId="0">
      <selection activeCell="I24" sqref="I24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288262000</v>
      </c>
    </row>
    <row r="6" spans="1:11" ht="22.5" x14ac:dyDescent="0.25">
      <c r="D6" s="84" t="s">
        <v>1931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/>
      <c r="C10" s="92" t="s">
        <v>12</v>
      </c>
      <c r="D10" s="93"/>
      <c r="E10" s="92"/>
      <c r="F10" s="94"/>
      <c r="G10" s="94"/>
      <c r="H10" s="94">
        <f>Cty_A_Chau_Phu_Ly[[#This Row],[ĐƠN GIÁ]]*Cty_A_Chau_Phu_Ly[[#This Row],[SỐ LƯỢNG]]</f>
        <v>0</v>
      </c>
      <c r="I10" s="94"/>
      <c r="J10" s="94">
        <v>0</v>
      </c>
      <c r="K10" s="95"/>
    </row>
    <row r="11" spans="1:11" x14ac:dyDescent="0.25">
      <c r="A11" s="90">
        <v>9161</v>
      </c>
      <c r="B11" s="91">
        <v>46148</v>
      </c>
      <c r="C11" s="92" t="s">
        <v>13</v>
      </c>
      <c r="D11" s="93" t="s">
        <v>195</v>
      </c>
      <c r="E11" s="92" t="s">
        <v>1933</v>
      </c>
      <c r="F11" s="94">
        <v>9972</v>
      </c>
      <c r="G11" s="94">
        <v>28500</v>
      </c>
      <c r="H11" s="94">
        <f>Cty_A_Chau_Phu_Ly[[#This Row],[ĐƠN GIÁ]]*Cty_A_Chau_Phu_Ly[[#This Row],[SỐ LƯỢNG]]</f>
        <v>284202000</v>
      </c>
      <c r="I11" s="94"/>
      <c r="J11" s="94">
        <f>J10+Cty_A_Chau_Phu_Ly[[#This Row],[THÀNH TIỀN]]-Cty_A_Chau_Phu_Ly[[#This Row],[THANH TOÁN]]</f>
        <v>284202000</v>
      </c>
      <c r="K11" s="95"/>
    </row>
    <row r="12" spans="1:11" x14ac:dyDescent="0.25">
      <c r="A12" s="90">
        <v>9161</v>
      </c>
      <c r="B12" s="91">
        <v>46148</v>
      </c>
      <c r="C12" s="92" t="s">
        <v>13</v>
      </c>
      <c r="D12" s="93" t="s">
        <v>54</v>
      </c>
      <c r="E12" s="92" t="s">
        <v>1934</v>
      </c>
      <c r="F12" s="94">
        <v>116</v>
      </c>
      <c r="G12" s="94">
        <v>35000</v>
      </c>
      <c r="H12" s="94">
        <f>Cty_A_Chau_Phu_Ly[[#This Row],[ĐƠN GIÁ]]*Cty_A_Chau_Phu_Ly[[#This Row],[SỐ LƯỢNG]]</f>
        <v>4060000</v>
      </c>
      <c r="I12" s="94"/>
      <c r="J12" s="94">
        <f>J11+Cty_A_Chau_Phu_Ly[[#This Row],[THÀNH TIỀN]]-Cty_A_Chau_Phu_Ly[[#This Row],[THANH TOÁN]]</f>
        <v>288262000</v>
      </c>
      <c r="K12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6CBCB-AAB7-4F51-84E7-9DA92ABACACA}">
  <sheetPr codeName="Sheet188"/>
  <dimension ref="A5:K14"/>
  <sheetViews>
    <sheetView workbookViewId="0">
      <selection activeCell="D7" sqref="D7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89008000</v>
      </c>
    </row>
    <row r="6" spans="1:11" ht="22.5" x14ac:dyDescent="0.25">
      <c r="D6" s="84" t="s">
        <v>2359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/>
      <c r="C10" s="92" t="s">
        <v>12</v>
      </c>
      <c r="D10" s="93"/>
      <c r="E10" s="92"/>
      <c r="F10" s="94"/>
      <c r="G10" s="94"/>
      <c r="H10" s="94">
        <f>Cty_Tu_Huong_Phu_Xuyen[[#This Row],[ĐƠN GIÁ]]*Cty_Tu_Huong_Phu_Xuyen[[#This Row],[SỐ LƯỢNG]]</f>
        <v>0</v>
      </c>
      <c r="I10" s="94"/>
      <c r="J10" s="94">
        <v>0</v>
      </c>
      <c r="K10" s="95"/>
    </row>
    <row r="11" spans="1:11" x14ac:dyDescent="0.25">
      <c r="A11" s="90">
        <v>9166</v>
      </c>
      <c r="B11" s="91">
        <v>46147</v>
      </c>
      <c r="C11" s="92" t="s">
        <v>13</v>
      </c>
      <c r="D11" s="93" t="s">
        <v>26</v>
      </c>
      <c r="E11" s="92" t="s">
        <v>942</v>
      </c>
      <c r="F11" s="94">
        <v>2457</v>
      </c>
      <c r="G11" s="94">
        <v>26000</v>
      </c>
      <c r="H11" s="94">
        <f>Cty_Tu_Huong_Phu_Xuyen[[#This Row],[ĐƠN GIÁ]]*Cty_Tu_Huong_Phu_Xuyen[[#This Row],[SỐ LƯỢNG]]</f>
        <v>63882000</v>
      </c>
      <c r="I11" s="94"/>
      <c r="J11" s="94">
        <f>J10+Cty_Tu_Huong_Phu_Xuyen[[#This Row],[THÀNH TIỀN]]-Cty_Tu_Huong_Phu_Xuyen[[#This Row],[THANH TOÁN]]</f>
        <v>63882000</v>
      </c>
      <c r="K11" s="95"/>
    </row>
    <row r="12" spans="1:11" x14ac:dyDescent="0.25">
      <c r="A12" s="101"/>
      <c r="B12" s="102">
        <v>46147</v>
      </c>
      <c r="C12" s="103" t="s">
        <v>21</v>
      </c>
      <c r="D12" s="104"/>
      <c r="E12" s="103"/>
      <c r="F12" s="105">
        <v>0</v>
      </c>
      <c r="G12" s="105"/>
      <c r="H12" s="105">
        <f>Cty_Tu_Huong_Phu_Xuyen[[#This Row],[ĐƠN GIÁ]]*Cty_Tu_Huong_Phu_Xuyen[[#This Row],[SỐ LƯỢNG]]</f>
        <v>0</v>
      </c>
      <c r="I12" s="105">
        <v>63900000</v>
      </c>
      <c r="J12" s="105">
        <f>J11+Cty_Tu_Huong_Phu_Xuyen[[#This Row],[THÀNH TIỀN]]-Cty_Tu_Huong_Phu_Xuyen[[#This Row],[THANH TOÁN]]</f>
        <v>-18000</v>
      </c>
      <c r="K12" s="106"/>
    </row>
    <row r="13" spans="1:11" x14ac:dyDescent="0.25">
      <c r="A13" s="90">
        <v>9622</v>
      </c>
      <c r="B13" s="91">
        <v>46168</v>
      </c>
      <c r="C13" s="92" t="s">
        <v>13</v>
      </c>
      <c r="D13" s="93" t="s">
        <v>26</v>
      </c>
      <c r="E13" s="92" t="s">
        <v>1176</v>
      </c>
      <c r="F13" s="94">
        <v>2534</v>
      </c>
      <c r="G13" s="94">
        <v>26000</v>
      </c>
      <c r="H13" s="94">
        <f>Cty_Tu_Huong_Phu_Xuyen[[#This Row],[ĐƠN GIÁ]]*Cty_Tu_Huong_Phu_Xuyen[[#This Row],[SỐ LƯỢNG]]</f>
        <v>65884000</v>
      </c>
      <c r="I13" s="94"/>
      <c r="J13" s="94">
        <f>J12+Cty_Tu_Huong_Phu_Xuyen[[#This Row],[THÀNH TIỀN]]-Cty_Tu_Huong_Phu_Xuyen[[#This Row],[THANH TOÁN]]</f>
        <v>65866000</v>
      </c>
      <c r="K13" s="95"/>
    </row>
    <row r="14" spans="1:11" x14ac:dyDescent="0.25">
      <c r="A14" s="90">
        <v>9622</v>
      </c>
      <c r="B14" s="91">
        <v>46168</v>
      </c>
      <c r="C14" s="92" t="s">
        <v>13</v>
      </c>
      <c r="D14" s="93" t="s">
        <v>26</v>
      </c>
      <c r="E14" s="92" t="s">
        <v>1416</v>
      </c>
      <c r="F14" s="94">
        <v>798</v>
      </c>
      <c r="G14" s="94">
        <v>29000</v>
      </c>
      <c r="H14" s="94">
        <f>Cty_Tu_Huong_Phu_Xuyen[[#This Row],[ĐƠN GIÁ]]*Cty_Tu_Huong_Phu_Xuyen[[#This Row],[SỐ LƯỢNG]]</f>
        <v>23142000</v>
      </c>
      <c r="I14" s="94"/>
      <c r="J14" s="94">
        <f>J13+Cty_Tu_Huong_Phu_Xuyen[[#This Row],[THÀNH TIỀN]]-Cty_Tu_Huong_Phu_Xuyen[[#This Row],[THANH TOÁN]]</f>
        <v>89008000</v>
      </c>
      <c r="K14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20D9A-655D-47B0-B297-46BFE1052EBC}">
  <sheetPr codeName="Sheet189"/>
  <dimension ref="A5:K12"/>
  <sheetViews>
    <sheetView workbookViewId="0">
      <selection activeCell="I12" sqref="I12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0</v>
      </c>
    </row>
    <row r="6" spans="1:11" ht="22.5" x14ac:dyDescent="0.25">
      <c r="D6" s="84" t="s">
        <v>1939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/>
      <c r="C10" s="92" t="s">
        <v>12</v>
      </c>
      <c r="D10" s="93"/>
      <c r="E10" s="92"/>
      <c r="F10" s="94"/>
      <c r="G10" s="94"/>
      <c r="H10" s="94">
        <f>E_Thien_Thuong_Oc[[#This Row],[ĐƠN GIÁ]]*E_Thien_Thuong_Oc[[#This Row],[SỐ LƯỢNG]]</f>
        <v>0</v>
      </c>
      <c r="I10" s="94"/>
      <c r="J10" s="94">
        <v>0</v>
      </c>
      <c r="K10" s="95"/>
    </row>
    <row r="11" spans="1:11" x14ac:dyDescent="0.25">
      <c r="A11" s="90">
        <v>9171</v>
      </c>
      <c r="B11" s="91">
        <v>46147</v>
      </c>
      <c r="C11" s="92" t="s">
        <v>13</v>
      </c>
      <c r="D11" s="93" t="s">
        <v>169</v>
      </c>
      <c r="E11" s="92" t="s">
        <v>41</v>
      </c>
      <c r="F11" s="94">
        <v>5097</v>
      </c>
      <c r="G11" s="94">
        <v>37500</v>
      </c>
      <c r="H11" s="94">
        <f>E_Thien_Thuong_Oc[[#This Row],[ĐƠN GIÁ]]*E_Thien_Thuong_Oc[[#This Row],[SỐ LƯỢNG]]</f>
        <v>191137500</v>
      </c>
      <c r="I11" s="94">
        <v>180</v>
      </c>
      <c r="J11" s="94">
        <f>J10+E_Thien_Thuong_Oc[[#This Row],[THÀNH TIỀN]]-E_Thien_Thuong_Oc[[#This Row],[THANH TOÁN]]</f>
        <v>191137320</v>
      </c>
      <c r="K11" s="95"/>
    </row>
    <row r="12" spans="1:11" x14ac:dyDescent="0.25">
      <c r="A12" s="90"/>
      <c r="B12" s="91">
        <v>46147</v>
      </c>
      <c r="C12" s="92" t="s">
        <v>21</v>
      </c>
      <c r="D12" s="93" t="s">
        <v>22</v>
      </c>
      <c r="E12" s="92" t="s">
        <v>261</v>
      </c>
      <c r="F12" s="94">
        <v>0</v>
      </c>
      <c r="G12" s="94"/>
      <c r="H12" s="94">
        <f>E_Thien_Thuong_Oc[[#This Row],[ĐƠN GIÁ]]*E_Thien_Thuong_Oc[[#This Row],[SỐ LƯỢNG]]</f>
        <v>0</v>
      </c>
      <c r="I12" s="94">
        <v>191137320</v>
      </c>
      <c r="J12" s="94">
        <f>J11+E_Thien_Thuong_Oc[[#This Row],[THÀNH TIỀN]]-E_Thien_Thuong_Oc[[#This Row],[THANH TOÁN]]</f>
        <v>0</v>
      </c>
      <c r="K12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69287-ADFF-4E02-ABC0-54BB01CB614D}">
  <sheetPr codeName="Sheet190"/>
  <dimension ref="A5:K12"/>
  <sheetViews>
    <sheetView workbookViewId="0">
      <selection activeCell="A9" sqref="A9:K12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0</v>
      </c>
    </row>
    <row r="6" spans="1:11" ht="22.5" x14ac:dyDescent="0.25">
      <c r="D6" s="84" t="s">
        <v>1956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/>
      <c r="C10" s="92" t="s">
        <v>12</v>
      </c>
      <c r="D10" s="93"/>
      <c r="E10" s="92"/>
      <c r="F10" s="94"/>
      <c r="G10" s="94"/>
      <c r="H10" s="94">
        <f>Cty_Nhat_Minh[[#This Row],[ĐƠN GIÁ]]*Cty_Nhat_Minh[[#This Row],[SỐ LƯỢNG]]</f>
        <v>0</v>
      </c>
      <c r="I10" s="94"/>
      <c r="J10" s="94">
        <v>0</v>
      </c>
      <c r="K10" s="95"/>
    </row>
    <row r="11" spans="1:11" x14ac:dyDescent="0.25">
      <c r="A11" s="90">
        <v>9215</v>
      </c>
      <c r="B11" s="91">
        <v>46148</v>
      </c>
      <c r="C11" s="92" t="s">
        <v>13</v>
      </c>
      <c r="D11" s="93" t="s">
        <v>50</v>
      </c>
      <c r="E11" s="92" t="s">
        <v>717</v>
      </c>
      <c r="F11" s="94">
        <v>268</v>
      </c>
      <c r="G11" s="94">
        <v>60000</v>
      </c>
      <c r="H11" s="94">
        <f>Cty_Nhat_Minh[[#This Row],[ĐƠN GIÁ]]*Cty_Nhat_Minh[[#This Row],[SỐ LƯỢNG]]</f>
        <v>16080000</v>
      </c>
      <c r="I11" s="94"/>
      <c r="J11" s="94">
        <f>J10+Cty_Nhat_Minh[[#This Row],[THÀNH TIỀN]]-Cty_Nhat_Minh[[#This Row],[THANH TOÁN]]</f>
        <v>16080000</v>
      </c>
      <c r="K11" s="95" t="s">
        <v>42</v>
      </c>
    </row>
    <row r="12" spans="1:11" x14ac:dyDescent="0.25">
      <c r="A12" s="90"/>
      <c r="B12" s="91">
        <v>46148</v>
      </c>
      <c r="C12" s="92" t="s">
        <v>21</v>
      </c>
      <c r="D12" s="93" t="s">
        <v>24</v>
      </c>
      <c r="E12" s="92"/>
      <c r="F12" s="94">
        <v>0</v>
      </c>
      <c r="G12" s="94"/>
      <c r="H12" s="94">
        <f>Cty_Nhat_Minh[[#This Row],[ĐƠN GIÁ]]*Cty_Nhat_Minh[[#This Row],[SỐ LƯỢNG]]</f>
        <v>0</v>
      </c>
      <c r="I12" s="94">
        <v>16080000</v>
      </c>
      <c r="J12" s="94">
        <f>J11+Cty_Nhat_Minh[[#This Row],[THÀNH TIỀN]]-Cty_Nhat_Minh[[#This Row],[THANH TOÁN]]</f>
        <v>0</v>
      </c>
      <c r="K12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89B3D-F4A1-45F9-BD9F-9C9409D3C3EE}">
  <sheetPr codeName="Sheet191"/>
  <dimension ref="A5:K16"/>
  <sheetViews>
    <sheetView topLeftCell="A8" workbookViewId="0">
      <selection activeCell="F27" sqref="F27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0</v>
      </c>
    </row>
    <row r="6" spans="1:11" ht="22.5" x14ac:dyDescent="0.25">
      <c r="D6" s="84" t="s">
        <v>1963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/>
      <c r="C10" s="92" t="s">
        <v>12</v>
      </c>
      <c r="D10" s="93"/>
      <c r="E10" s="92"/>
      <c r="F10" s="94"/>
      <c r="G10" s="94"/>
      <c r="H10" s="94">
        <f>Cty_SHC_A_Chau[[#This Row],[ĐƠN GIÁ]]*Cty_SHC_A_Chau[[#This Row],[SỐ LƯỢNG]]</f>
        <v>0</v>
      </c>
      <c r="I10" s="94"/>
      <c r="J10" s="94">
        <v>0</v>
      </c>
      <c r="K10" s="95"/>
    </row>
    <row r="11" spans="1:11" x14ac:dyDescent="0.25">
      <c r="A11" s="90">
        <v>9222</v>
      </c>
      <c r="B11" s="91">
        <v>46149</v>
      </c>
      <c r="C11" s="92" t="s">
        <v>13</v>
      </c>
      <c r="D11" s="93" t="s">
        <v>50</v>
      </c>
      <c r="E11" s="92" t="s">
        <v>688</v>
      </c>
      <c r="F11" s="94">
        <v>1048</v>
      </c>
      <c r="G11" s="94">
        <v>62000</v>
      </c>
      <c r="H11" s="94">
        <f>Cty_SHC_A_Chau[[#This Row],[ĐƠN GIÁ]]*Cty_SHC_A_Chau[[#This Row],[SỐ LƯỢNG]]</f>
        <v>64976000</v>
      </c>
      <c r="I11" s="94"/>
      <c r="J11" s="94">
        <f>J10+Cty_SHC_A_Chau[[#This Row],[THÀNH TIỀN]]-Cty_SHC_A_Chau[[#This Row],[THANH TOÁN]]</f>
        <v>64976000</v>
      </c>
      <c r="K11" s="95"/>
    </row>
    <row r="12" spans="1:11" x14ac:dyDescent="0.25">
      <c r="A12" s="90">
        <v>9222</v>
      </c>
      <c r="B12" s="91">
        <v>46149</v>
      </c>
      <c r="C12" s="92" t="s">
        <v>13</v>
      </c>
      <c r="D12" s="93" t="s">
        <v>1965</v>
      </c>
      <c r="E12" s="92" t="s">
        <v>1966</v>
      </c>
      <c r="F12" s="94">
        <v>205</v>
      </c>
      <c r="G12" s="94">
        <v>70000</v>
      </c>
      <c r="H12" s="94">
        <f>Cty_SHC_A_Chau[[#This Row],[ĐƠN GIÁ]]*Cty_SHC_A_Chau[[#This Row],[SỐ LƯỢNG]]</f>
        <v>14350000</v>
      </c>
      <c r="I12" s="94"/>
      <c r="J12" s="94">
        <f>J11+Cty_SHC_A_Chau[[#This Row],[THÀNH TIỀN]]-Cty_SHC_A_Chau[[#This Row],[THANH TOÁN]]</f>
        <v>79326000</v>
      </c>
      <c r="K12" s="95"/>
    </row>
    <row r="13" spans="1:11" x14ac:dyDescent="0.25">
      <c r="A13" s="90">
        <v>9222</v>
      </c>
      <c r="B13" s="91">
        <v>46149</v>
      </c>
      <c r="C13" s="92" t="s">
        <v>13</v>
      </c>
      <c r="D13" s="93" t="s">
        <v>1965</v>
      </c>
      <c r="E13" s="92" t="s">
        <v>1967</v>
      </c>
      <c r="F13" s="94">
        <v>91</v>
      </c>
      <c r="G13" s="94">
        <v>70000</v>
      </c>
      <c r="H13" s="94">
        <f>Cty_SHC_A_Chau[[#This Row],[ĐƠN GIÁ]]*Cty_SHC_A_Chau[[#This Row],[SỐ LƯỢNG]]</f>
        <v>6370000</v>
      </c>
      <c r="I13" s="94"/>
      <c r="J13" s="94">
        <f>J12+Cty_SHC_A_Chau[[#This Row],[THÀNH TIỀN]]-Cty_SHC_A_Chau[[#This Row],[THANH TOÁN]]</f>
        <v>85696000</v>
      </c>
      <c r="K13" s="95"/>
    </row>
    <row r="14" spans="1:11" x14ac:dyDescent="0.25">
      <c r="A14" s="90">
        <v>9222</v>
      </c>
      <c r="B14" s="91">
        <v>46149</v>
      </c>
      <c r="C14" s="92" t="s">
        <v>13</v>
      </c>
      <c r="D14" s="93" t="s">
        <v>1968</v>
      </c>
      <c r="E14" s="92" t="s">
        <v>1969</v>
      </c>
      <c r="F14" s="94">
        <v>19</v>
      </c>
      <c r="G14" s="94">
        <v>75000</v>
      </c>
      <c r="H14" s="94">
        <f>Cty_SHC_A_Chau[[#This Row],[ĐƠN GIÁ]]*Cty_SHC_A_Chau[[#This Row],[SỐ LƯỢNG]]</f>
        <v>1425000</v>
      </c>
      <c r="I14" s="94"/>
      <c r="J14" s="94">
        <f>J13+Cty_SHC_A_Chau[[#This Row],[THÀNH TIỀN]]-Cty_SHC_A_Chau[[#This Row],[THANH TOÁN]]</f>
        <v>87121000</v>
      </c>
      <c r="K14" s="95"/>
    </row>
    <row r="15" spans="1:11" x14ac:dyDescent="0.25">
      <c r="A15" s="90"/>
      <c r="B15" s="91">
        <v>46147</v>
      </c>
      <c r="C15" s="92" t="s">
        <v>21</v>
      </c>
      <c r="D15" s="93" t="s">
        <v>22</v>
      </c>
      <c r="E15" s="92" t="s">
        <v>147</v>
      </c>
      <c r="F15" s="94">
        <v>0</v>
      </c>
      <c r="G15" s="94"/>
      <c r="H15" s="94">
        <f>Cty_SHC_A_Chau[[#This Row],[ĐƠN GIÁ]]*Cty_SHC_A_Chau[[#This Row],[SỐ LƯỢNG]]</f>
        <v>0</v>
      </c>
      <c r="I15" s="94">
        <v>30000000</v>
      </c>
      <c r="J15" s="94">
        <f>J14+Cty_SHC_A_Chau[[#This Row],[THÀNH TIỀN]]-Cty_SHC_A_Chau[[#This Row],[THANH TOÁN]]</f>
        <v>57121000</v>
      </c>
      <c r="K15" s="95"/>
    </row>
    <row r="16" spans="1:11" x14ac:dyDescent="0.25">
      <c r="A16" s="90"/>
      <c r="B16" s="91">
        <v>46149</v>
      </c>
      <c r="C16" s="92" t="s">
        <v>21</v>
      </c>
      <c r="D16" s="93" t="s">
        <v>22</v>
      </c>
      <c r="E16" s="92" t="s">
        <v>147</v>
      </c>
      <c r="F16" s="94">
        <v>0</v>
      </c>
      <c r="G16" s="94"/>
      <c r="H16" s="94">
        <f>Cty_SHC_A_Chau[[#This Row],[ĐƠN GIÁ]]*Cty_SHC_A_Chau[[#This Row],[SỐ LƯỢNG]]</f>
        <v>0</v>
      </c>
      <c r="I16" s="94">
        <v>57121000</v>
      </c>
      <c r="J16" s="94">
        <f>J15+Cty_SHC_A_Chau[[#This Row],[THÀNH TIỀN]]-Cty_SHC_A_Chau[[#This Row],[THANH TOÁN]]</f>
        <v>0</v>
      </c>
      <c r="K16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7A966-AE97-4EC0-9BE3-B42EB01097FF}">
  <sheetPr codeName="Sheet192"/>
  <dimension ref="A5:K11"/>
  <sheetViews>
    <sheetView workbookViewId="0"/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25380000</v>
      </c>
    </row>
    <row r="6" spans="1:11" ht="22.5" x14ac:dyDescent="0.25">
      <c r="D6" s="84" t="s">
        <v>1972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/>
      <c r="C10" s="92" t="s">
        <v>12</v>
      </c>
      <c r="D10" s="93"/>
      <c r="E10" s="92"/>
      <c r="F10" s="94"/>
      <c r="G10" s="94"/>
      <c r="H10" s="94">
        <f>A_Sau_Linh_Nam[[#This Row],[ĐƠN GIÁ]]*A_Sau_Linh_Nam[[#This Row],[SỐ LƯỢNG]]</f>
        <v>0</v>
      </c>
      <c r="I10" s="94"/>
      <c r="J10" s="94">
        <v>0</v>
      </c>
      <c r="K10" s="95"/>
    </row>
    <row r="11" spans="1:11" x14ac:dyDescent="0.25">
      <c r="A11" s="90">
        <v>9229</v>
      </c>
      <c r="B11" s="91">
        <v>46149</v>
      </c>
      <c r="C11" s="92" t="s">
        <v>13</v>
      </c>
      <c r="D11" s="93" t="s">
        <v>14</v>
      </c>
      <c r="E11" s="92" t="s">
        <v>78</v>
      </c>
      <c r="F11" s="94">
        <v>540</v>
      </c>
      <c r="G11" s="94">
        <v>47000</v>
      </c>
      <c r="H11" s="94">
        <f>A_Sau_Linh_Nam[[#This Row],[ĐƠN GIÁ]]*A_Sau_Linh_Nam[[#This Row],[SỐ LƯỢNG]]</f>
        <v>25380000</v>
      </c>
      <c r="I11" s="94"/>
      <c r="J11" s="94">
        <f>J10+A_Sau_Linh_Nam[[#This Row],[THÀNH TIỀN]]-A_Sau_Linh_Nam[[#This Row],[THANH TOÁN]]</f>
        <v>25380000</v>
      </c>
      <c r="K11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BE4E5-7438-434C-8DE6-5973A6CF1985}">
  <sheetPr codeName="Sheet155"/>
  <dimension ref="A5:K10"/>
  <sheetViews>
    <sheetView workbookViewId="0"/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23108000</v>
      </c>
    </row>
    <row r="6" spans="1:11" ht="22.5" x14ac:dyDescent="0.25">
      <c r="D6" s="84" t="s">
        <v>2026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/>
      <c r="C10" s="92" t="s">
        <v>12</v>
      </c>
      <c r="D10" s="93"/>
      <c r="E10" s="92"/>
      <c r="F10" s="94"/>
      <c r="G10" s="94"/>
      <c r="H10" s="94">
        <f>Cty_An_Thuan_Phat[[#This Row],[ĐƠN GIÁ]]*Cty_An_Thuan_Phat[[#This Row],[SỐ LƯỢNG]]</f>
        <v>0</v>
      </c>
      <c r="I10" s="94"/>
      <c r="J10" s="94">
        <v>23108000</v>
      </c>
      <c r="K10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EFCB38-2A7B-4504-A6F6-846CC78E7EA4}">
  <sheetPr codeName="Sheet193"/>
  <dimension ref="A5:K10"/>
  <sheetViews>
    <sheetView workbookViewId="0"/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27894000</v>
      </c>
    </row>
    <row r="6" spans="1:11" ht="22.5" x14ac:dyDescent="0.25">
      <c r="D6" s="84" t="s">
        <v>2027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/>
      <c r="C10" s="92" t="s">
        <v>12</v>
      </c>
      <c r="D10" s="93"/>
      <c r="E10" s="92"/>
      <c r="F10" s="94"/>
      <c r="G10" s="94"/>
      <c r="H10" s="94">
        <f>A_Cu_Nghe_An[[#This Row],[ĐƠN GIÁ]]*A_Cu_Nghe_An[[#This Row],[SỐ LƯỢNG]]</f>
        <v>0</v>
      </c>
      <c r="I10" s="94"/>
      <c r="J10" s="94">
        <v>27894000</v>
      </c>
      <c r="K10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6A8413-AD2E-41B6-95F5-90FB73AD41E4}">
  <sheetPr codeName="Sheet195"/>
  <dimension ref="A5:K10"/>
  <sheetViews>
    <sheetView workbookViewId="0"/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3448464000</v>
      </c>
    </row>
    <row r="6" spans="1:11" ht="22.5" x14ac:dyDescent="0.25">
      <c r="D6" s="84" t="s">
        <v>2028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/>
      <c r="C10" s="92" t="s">
        <v>12</v>
      </c>
      <c r="D10" s="93"/>
      <c r="E10" s="92"/>
      <c r="F10" s="94"/>
      <c r="G10" s="94"/>
      <c r="H10" s="94">
        <f>A_Hau[[#This Row],[ĐƠN GIÁ]]*A_Hau[[#This Row],[SỐ LƯỢNG]]</f>
        <v>0</v>
      </c>
      <c r="I10" s="94"/>
      <c r="J10" s="94">
        <v>3448464000</v>
      </c>
      <c r="K10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C21544-3538-4C5B-A267-3909544964B4}">
  <sheetPr codeName="Sheet197"/>
  <dimension ref="A5:K10"/>
  <sheetViews>
    <sheetView workbookViewId="0"/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169725850</v>
      </c>
    </row>
    <row r="6" spans="1:11" ht="22.5" x14ac:dyDescent="0.25">
      <c r="D6" s="84" t="s">
        <v>2032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/>
      <c r="C10" s="92" t="s">
        <v>12</v>
      </c>
      <c r="D10" s="93"/>
      <c r="E10" s="92"/>
      <c r="F10" s="94"/>
      <c r="G10" s="94"/>
      <c r="H10" s="94">
        <f>A_Son_Quang_Ninh[[#This Row],[ĐƠN GIÁ]]*A_Son_Quang_Ninh[[#This Row],[SỐ LƯỢNG]]</f>
        <v>0</v>
      </c>
      <c r="I10" s="94"/>
      <c r="J10" s="94">
        <v>169725850</v>
      </c>
      <c r="K10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2249BC-199B-430B-9612-02176C614979}">
  <sheetPr codeName="Sheet198"/>
  <dimension ref="A5:K10"/>
  <sheetViews>
    <sheetView workbookViewId="0"/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49355000</v>
      </c>
    </row>
    <row r="6" spans="1:11" ht="22.5" x14ac:dyDescent="0.25">
      <c r="D6" s="84" t="s">
        <v>2035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>
        <v>46081</v>
      </c>
      <c r="C10" s="92" t="s">
        <v>12</v>
      </c>
      <c r="D10" s="93"/>
      <c r="E10" s="92"/>
      <c r="F10" s="94"/>
      <c r="G10" s="94"/>
      <c r="H10" s="94">
        <f>Minh_Khue[[#This Row],[ĐƠN GIÁ]]*Minh_Khue[[#This Row],[SỐ LƯỢNG]]</f>
        <v>0</v>
      </c>
      <c r="I10" s="94"/>
      <c r="J10" s="94">
        <v>49355000</v>
      </c>
      <c r="K10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4981A-9DA6-4743-AD2A-079A754BB564}">
  <sheetPr codeName="Sheet199"/>
  <dimension ref="A5:K10"/>
  <sheetViews>
    <sheetView workbookViewId="0"/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355165782</v>
      </c>
    </row>
    <row r="6" spans="1:11" ht="22.5" x14ac:dyDescent="0.25">
      <c r="D6" s="84" t="s">
        <v>2036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/>
      <c r="C10" s="92" t="s">
        <v>12</v>
      </c>
      <c r="D10" s="93"/>
      <c r="E10" s="92"/>
      <c r="F10" s="94"/>
      <c r="G10" s="94"/>
      <c r="H10" s="94">
        <f>C_Loan_Viet_My39[[#This Row],[ĐƠN GIÁ]]*C_Loan_Viet_My39[[#This Row],[SỐ LƯỢNG]]</f>
        <v>0</v>
      </c>
      <c r="I10" s="94"/>
      <c r="J10" s="94">
        <v>355165782</v>
      </c>
      <c r="K10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A1E5D-B50D-4291-AB37-90EC42DBBD0C}">
  <sheetPr codeName="Sheet196"/>
  <dimension ref="A5:K10"/>
  <sheetViews>
    <sheetView workbookViewId="0"/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84912986</v>
      </c>
    </row>
    <row r="6" spans="1:11" ht="22.5" x14ac:dyDescent="0.25">
      <c r="D6" s="84" t="s">
        <v>2030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/>
      <c r="C10" s="92" t="s">
        <v>12</v>
      </c>
      <c r="D10" s="93"/>
      <c r="E10" s="92"/>
      <c r="F10" s="94"/>
      <c r="G10" s="94"/>
      <c r="H10" s="94">
        <f>A_Quan_2Q[[#This Row],[ĐƠN GIÁ]]*A_Quan_2Q[[#This Row],[SỐ LƯỢNG]]</f>
        <v>0</v>
      </c>
      <c r="I10" s="94"/>
      <c r="J10" s="94">
        <v>84912986</v>
      </c>
      <c r="K10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6DF15B-2EAF-4888-A86F-E436C6799B69}">
  <sheetPr codeName="Sheet201"/>
  <dimension ref="A5:K13"/>
  <sheetViews>
    <sheetView workbookViewId="0"/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0</v>
      </c>
    </row>
    <row r="6" spans="1:11" ht="22.5" x14ac:dyDescent="0.25">
      <c r="D6" s="84" t="s">
        <v>2064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/>
      <c r="C10" s="92" t="s">
        <v>12</v>
      </c>
      <c r="D10" s="93"/>
      <c r="E10" s="92"/>
      <c r="F10" s="94"/>
      <c r="G10" s="94"/>
      <c r="H10" s="94">
        <f>E_Quyet_VN[[#This Row],[ĐƠN GIÁ]]*E_Quyet_VN[[#This Row],[SỐ LƯỢNG]]</f>
        <v>0</v>
      </c>
      <c r="I10" s="94"/>
      <c r="J10" s="94">
        <v>0</v>
      </c>
      <c r="K10" s="95"/>
    </row>
    <row r="11" spans="1:11" x14ac:dyDescent="0.25">
      <c r="A11" s="90"/>
      <c r="B11" s="91">
        <v>46150</v>
      </c>
      <c r="C11" s="92" t="s">
        <v>84</v>
      </c>
      <c r="D11" s="93" t="s">
        <v>2065</v>
      </c>
      <c r="E11" s="92" t="s">
        <v>462</v>
      </c>
      <c r="F11" s="94">
        <v>3106</v>
      </c>
      <c r="G11" s="94">
        <v>35000</v>
      </c>
      <c r="H11" s="94">
        <f>E_Quyet_VN[[#This Row],[ĐƠN GIÁ]]*E_Quyet_VN[[#This Row],[SỐ LƯỢNG]]</f>
        <v>108710000</v>
      </c>
      <c r="I11" s="94"/>
      <c r="J11" s="94">
        <f>J10+E_Quyet_VN[[#This Row],[THÀNH TIỀN]]-E_Quyet_VN[[#This Row],[THANH TOÁN]]</f>
        <v>108710000</v>
      </c>
      <c r="K11" s="95" t="s">
        <v>42</v>
      </c>
    </row>
    <row r="12" spans="1:11" x14ac:dyDescent="0.25">
      <c r="A12" s="90"/>
      <c r="B12" s="91">
        <v>46148</v>
      </c>
      <c r="C12" s="92" t="s">
        <v>21</v>
      </c>
      <c r="D12" s="93" t="s">
        <v>22</v>
      </c>
      <c r="E12" s="92" t="s">
        <v>726</v>
      </c>
      <c r="F12" s="94">
        <v>0</v>
      </c>
      <c r="G12" s="94"/>
      <c r="H12" s="94">
        <f>E_Quyet_VN[[#This Row],[ĐƠN GIÁ]]*E_Quyet_VN[[#This Row],[SỐ LƯỢNG]]</f>
        <v>0</v>
      </c>
      <c r="I12" s="94">
        <v>10000000</v>
      </c>
      <c r="J12" s="94">
        <f>J11+E_Quyet_VN[[#This Row],[THÀNH TIỀN]]-E_Quyet_VN[[#This Row],[THANH TOÁN]]</f>
        <v>98710000</v>
      </c>
      <c r="K12" s="95" t="s">
        <v>2161</v>
      </c>
    </row>
    <row r="13" spans="1:11" x14ac:dyDescent="0.25">
      <c r="A13" s="90"/>
      <c r="B13" s="91">
        <v>46154</v>
      </c>
      <c r="C13" s="92" t="s">
        <v>21</v>
      </c>
      <c r="D13" s="93" t="s">
        <v>22</v>
      </c>
      <c r="E13" s="92" t="s">
        <v>47</v>
      </c>
      <c r="F13" s="94">
        <v>0</v>
      </c>
      <c r="G13" s="94"/>
      <c r="H13" s="94">
        <f>E_Quyet_VN[[#This Row],[ĐƠN GIÁ]]*E_Quyet_VN[[#This Row],[SỐ LƯỢNG]]</f>
        <v>0</v>
      </c>
      <c r="I13" s="94">
        <v>98710000</v>
      </c>
      <c r="J13" s="94">
        <f>J12+E_Quyet_VN[[#This Row],[THÀNH TIỀN]]-E_Quyet_VN[[#This Row],[THANH TOÁN]]</f>
        <v>0</v>
      </c>
      <c r="K13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D9524-D4A9-4296-9E23-1C111B45F7B8}">
  <sheetPr codeName="Sheet200"/>
  <dimension ref="A5:K10"/>
  <sheetViews>
    <sheetView workbookViewId="0"/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664518000</v>
      </c>
    </row>
    <row r="6" spans="1:11" ht="22.5" x14ac:dyDescent="0.25">
      <c r="D6" s="84" t="s">
        <v>2038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/>
      <c r="C10" s="92" t="s">
        <v>12</v>
      </c>
      <c r="D10" s="93"/>
      <c r="E10" s="92"/>
      <c r="F10" s="94"/>
      <c r="G10" s="94"/>
      <c r="H10" s="94">
        <f>A_Ha_Cty_HTM[[#This Row],[ĐƠN GIÁ]]*A_Ha_Cty_HTM[[#This Row],[SỐ LƯỢNG]]</f>
        <v>0</v>
      </c>
      <c r="I10" s="94"/>
      <c r="J10" s="94">
        <v>664518000</v>
      </c>
      <c r="K10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085690-2369-4B8E-8D7E-EDA8B414F9C0}">
  <sheetPr codeName="Sheet203"/>
  <dimension ref="A5:K15"/>
  <sheetViews>
    <sheetView workbookViewId="0">
      <selection activeCell="A15" sqref="A15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557821880</v>
      </c>
    </row>
    <row r="6" spans="1:11" ht="22.5" x14ac:dyDescent="0.25">
      <c r="D6" s="84" t="s">
        <v>2075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>
        <v>46081</v>
      </c>
      <c r="C10" s="92" t="s">
        <v>12</v>
      </c>
      <c r="D10" s="93"/>
      <c r="E10" s="92"/>
      <c r="F10" s="92"/>
      <c r="G10" s="94"/>
      <c r="H10" s="94">
        <f>A_Nang_Hai_Duong[[#This Row],[ĐƠN GIÁ]]*A_Nang_Hai_Duong[[#This Row],[SỐ LƯỢNG]]</f>
        <v>0</v>
      </c>
      <c r="I10" s="94"/>
      <c r="J10" s="94">
        <v>0</v>
      </c>
      <c r="K10" s="95"/>
    </row>
    <row r="11" spans="1:11" x14ac:dyDescent="0.25">
      <c r="A11" s="90">
        <v>9352</v>
      </c>
      <c r="B11" s="91">
        <v>46155</v>
      </c>
      <c r="C11" s="92" t="s">
        <v>13</v>
      </c>
      <c r="D11" s="93" t="s">
        <v>43</v>
      </c>
      <c r="E11" s="92" t="s">
        <v>148</v>
      </c>
      <c r="F11" s="103">
        <v>3523</v>
      </c>
      <c r="G11" s="94">
        <v>58000</v>
      </c>
      <c r="H11" s="105">
        <f>A_Nang_Hai_Duong[[#This Row],[ĐƠN GIÁ]]*A_Nang_Hai_Duong[[#This Row],[SỐ LƯỢNG]]</f>
        <v>204334000</v>
      </c>
      <c r="I11" s="94"/>
      <c r="J11" s="94">
        <f>J10+A_Nang_Hai_Duong[[#This Row],[THÀNH TIỀN]]-A_Nang_Hai_Duong[[#This Row],[THANH TOÁN]]</f>
        <v>204334000</v>
      </c>
      <c r="K11" s="95"/>
    </row>
    <row r="12" spans="1:11" x14ac:dyDescent="0.25">
      <c r="A12" s="90"/>
      <c r="B12" s="91">
        <v>46162</v>
      </c>
      <c r="C12" s="92" t="s">
        <v>21</v>
      </c>
      <c r="D12" s="93" t="s">
        <v>22</v>
      </c>
      <c r="E12" s="92" t="s">
        <v>261</v>
      </c>
      <c r="F12" s="103">
        <v>0</v>
      </c>
      <c r="G12" s="94"/>
      <c r="H12" s="105">
        <f>A_Nang_Hai_Duong[[#This Row],[ĐƠN GIÁ]]*A_Nang_Hai_Duong[[#This Row],[SỐ LƯỢNG]]</f>
        <v>0</v>
      </c>
      <c r="I12" s="94">
        <v>104335120</v>
      </c>
      <c r="J12" s="94">
        <f>J11+A_Nang_Hai_Duong[[#This Row],[THÀNH TIỀN]]-A_Nang_Hai_Duong[[#This Row],[THANH TOÁN]]</f>
        <v>99998880</v>
      </c>
      <c r="K12" s="95"/>
    </row>
    <row r="13" spans="1:11" x14ac:dyDescent="0.25">
      <c r="A13" s="90">
        <v>9599</v>
      </c>
      <c r="B13" s="91">
        <v>46167</v>
      </c>
      <c r="C13" s="92" t="s">
        <v>13</v>
      </c>
      <c r="D13" s="93" t="s">
        <v>43</v>
      </c>
      <c r="E13" s="92" t="s">
        <v>134</v>
      </c>
      <c r="F13" s="103">
        <v>3822</v>
      </c>
      <c r="G13" s="94">
        <v>59000</v>
      </c>
      <c r="H13" s="105">
        <f>A_Nang_Hai_Duong[[#This Row],[ĐƠN GIÁ]]*A_Nang_Hai_Duong[[#This Row],[SỐ LƯỢNG]]</f>
        <v>225498000</v>
      </c>
      <c r="I13" s="94"/>
      <c r="J13" s="94">
        <f>J12+A_Nang_Hai_Duong[[#This Row],[THÀNH TIỀN]]-A_Nang_Hai_Duong[[#This Row],[THANH TOÁN]]</f>
        <v>325496880</v>
      </c>
      <c r="K13" s="95"/>
    </row>
    <row r="14" spans="1:11" x14ac:dyDescent="0.25">
      <c r="A14" s="90">
        <v>9615</v>
      </c>
      <c r="B14" s="91">
        <v>46168</v>
      </c>
      <c r="C14" s="92" t="s">
        <v>13</v>
      </c>
      <c r="D14" s="93" t="s">
        <v>43</v>
      </c>
      <c r="E14" s="92" t="s">
        <v>134</v>
      </c>
      <c r="F14" s="103">
        <v>5275</v>
      </c>
      <c r="G14" s="94">
        <v>63000</v>
      </c>
      <c r="H14" s="105">
        <f>A_Nang_Hai_Duong[[#This Row],[ĐƠN GIÁ]]*A_Nang_Hai_Duong[[#This Row],[SỐ LƯỢNG]]</f>
        <v>332325000</v>
      </c>
      <c r="I14" s="94"/>
      <c r="J14" s="94">
        <f>J13+A_Nang_Hai_Duong[[#This Row],[THÀNH TIỀN]]-A_Nang_Hai_Duong[[#This Row],[THANH TOÁN]]</f>
        <v>657821880</v>
      </c>
      <c r="K14" s="95"/>
    </row>
    <row r="15" spans="1:11" x14ac:dyDescent="0.25">
      <c r="A15" s="90"/>
      <c r="B15" s="91">
        <v>46168</v>
      </c>
      <c r="C15" s="92" t="s">
        <v>21</v>
      </c>
      <c r="D15" s="93" t="s">
        <v>22</v>
      </c>
      <c r="E15" s="92" t="s">
        <v>261</v>
      </c>
      <c r="F15" s="103">
        <v>0</v>
      </c>
      <c r="G15" s="94"/>
      <c r="H15" s="105">
        <f>A_Nang_Hai_Duong[[#This Row],[ĐƠN GIÁ]]*A_Nang_Hai_Duong[[#This Row],[SỐ LƯỢNG]]</f>
        <v>0</v>
      </c>
      <c r="I15" s="94">
        <v>100000000</v>
      </c>
      <c r="J15" s="94">
        <f>J14+A_Nang_Hai_Duong[[#This Row],[THÀNH TIỀN]]-A_Nang_Hai_Duong[[#This Row],[THANH TOÁN]]</f>
        <v>557821880</v>
      </c>
      <c r="K15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750C9-5C85-4666-969A-3A1F19A4F0E4}">
  <sheetPr codeName="Sheet204"/>
  <dimension ref="A5:K13"/>
  <sheetViews>
    <sheetView workbookViewId="0">
      <selection activeCell="J13" sqref="J13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0</v>
      </c>
    </row>
    <row r="6" spans="1:11" ht="22.5" x14ac:dyDescent="0.25">
      <c r="D6" s="84" t="s">
        <v>2159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>
        <v>46081</v>
      </c>
      <c r="C10" s="92" t="s">
        <v>12</v>
      </c>
      <c r="D10" s="93"/>
      <c r="E10" s="92"/>
      <c r="F10" s="92"/>
      <c r="G10" s="94"/>
      <c r="H10" s="94">
        <f>E_Duc_Phu_Xuyen[[#This Row],[ĐƠN GIÁ]]*E_Duc_Phu_Xuyen[[#This Row],[SỐ LƯỢNG]]</f>
        <v>0</v>
      </c>
      <c r="I10" s="94"/>
      <c r="J10" s="94">
        <v>0</v>
      </c>
      <c r="K10" s="95"/>
    </row>
    <row r="11" spans="1:11" x14ac:dyDescent="0.25">
      <c r="A11" s="90">
        <v>9363</v>
      </c>
      <c r="B11" s="91">
        <v>46155</v>
      </c>
      <c r="C11" s="92" t="s">
        <v>13</v>
      </c>
      <c r="D11" s="93" t="s">
        <v>301</v>
      </c>
      <c r="E11" s="92" t="s">
        <v>797</v>
      </c>
      <c r="F11" s="103">
        <v>5348</v>
      </c>
      <c r="G11" s="94">
        <v>31500</v>
      </c>
      <c r="H11" s="105">
        <f>E_Duc_Phu_Xuyen[[#This Row],[ĐƠN GIÁ]]*E_Duc_Phu_Xuyen[[#This Row],[SỐ LƯỢNG]]</f>
        <v>168462000</v>
      </c>
      <c r="I11" s="94"/>
      <c r="J11" s="94">
        <f>J10+E_Duc_Phu_Xuyen[[#This Row],[THÀNH TIỀN]]-E_Duc_Phu_Xuyen[[#This Row],[THANH TOÁN]]</f>
        <v>168462000</v>
      </c>
      <c r="K11" s="95"/>
    </row>
    <row r="12" spans="1:11" x14ac:dyDescent="0.25">
      <c r="A12" s="90"/>
      <c r="B12" s="91">
        <v>46154</v>
      </c>
      <c r="C12" s="92" t="s">
        <v>21</v>
      </c>
      <c r="D12" s="93" t="s">
        <v>22</v>
      </c>
      <c r="E12" s="92" t="s">
        <v>47</v>
      </c>
      <c r="F12" s="103">
        <v>0</v>
      </c>
      <c r="G12" s="94"/>
      <c r="H12" s="105">
        <f>E_Duc_Phu_Xuyen[[#This Row],[ĐƠN GIÁ]]*E_Duc_Phu_Xuyen[[#This Row],[SỐ LƯỢNG]]</f>
        <v>0</v>
      </c>
      <c r="I12" s="94">
        <v>138462000</v>
      </c>
      <c r="J12" s="94">
        <f>J11+E_Duc_Phu_Xuyen[[#This Row],[THÀNH TIỀN]]-E_Duc_Phu_Xuyen[[#This Row],[THANH TOÁN]]</f>
        <v>30000000</v>
      </c>
      <c r="K12" s="95"/>
    </row>
    <row r="13" spans="1:11" x14ac:dyDescent="0.25">
      <c r="A13" s="101"/>
      <c r="B13" s="102">
        <v>46141</v>
      </c>
      <c r="C13" s="103" t="s">
        <v>21</v>
      </c>
      <c r="D13" s="104" t="s">
        <v>22</v>
      </c>
      <c r="E13" s="103" t="s">
        <v>727</v>
      </c>
      <c r="F13" s="103"/>
      <c r="G13" s="105"/>
      <c r="H13" s="105">
        <f>E_Duc_Phu_Xuyen[[#This Row],[ĐƠN GIÁ]]*E_Duc_Phu_Xuyen[[#This Row],[SỐ LƯỢNG]]</f>
        <v>0</v>
      </c>
      <c r="I13" s="105">
        <v>30000000</v>
      </c>
      <c r="J13" s="105">
        <f>J12+E_Duc_Phu_Xuyen[[#This Row],[THÀNH TIỀN]]-E_Duc_Phu_Xuyen[[#This Row],[THANH TOÁN]]</f>
        <v>0</v>
      </c>
      <c r="K13" s="106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5BA1E8-5324-4C9D-B8DE-E79B030E165F}">
  <sheetPr codeName="Sheet205"/>
  <dimension ref="A5:K16"/>
  <sheetViews>
    <sheetView workbookViewId="0">
      <selection activeCell="G19" sqref="G19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168715000</v>
      </c>
    </row>
    <row r="6" spans="1:11" ht="22.5" x14ac:dyDescent="0.25">
      <c r="D6" s="84" t="s">
        <v>2105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>
        <v>46081</v>
      </c>
      <c r="C10" s="92" t="s">
        <v>12</v>
      </c>
      <c r="D10" s="93"/>
      <c r="E10" s="92"/>
      <c r="F10" s="92"/>
      <c r="G10" s="94"/>
      <c r="H10" s="94">
        <f>Cty_Viet_Tiep_Chuong_My[[#This Row],[ĐƠN GIÁ]]*Cty_Viet_Tiep_Chuong_My[[#This Row],[SỐ LƯỢNG]]</f>
        <v>0</v>
      </c>
      <c r="I10" s="94"/>
      <c r="J10" s="94">
        <v>0</v>
      </c>
      <c r="K10" s="95"/>
    </row>
    <row r="11" spans="1:11" x14ac:dyDescent="0.25">
      <c r="A11" s="101">
        <v>9376</v>
      </c>
      <c r="B11" s="102">
        <v>46156</v>
      </c>
      <c r="C11" s="103" t="s">
        <v>13</v>
      </c>
      <c r="D11" s="104" t="s">
        <v>17</v>
      </c>
      <c r="E11" s="103" t="s">
        <v>2106</v>
      </c>
      <c r="F11" s="103">
        <v>8753</v>
      </c>
      <c r="G11" s="105">
        <v>55000</v>
      </c>
      <c r="H11" s="105">
        <f>Cty_Viet_Tiep_Chuong_My[[#This Row],[ĐƠN GIÁ]]*Cty_Viet_Tiep_Chuong_My[[#This Row],[SỐ LƯỢNG]]</f>
        <v>481415000</v>
      </c>
      <c r="I11" s="105"/>
      <c r="J11" s="105">
        <f>J10+Cty_Viet_Tiep_Chuong_My[[#This Row],[THÀNH TIỀN]]-Cty_Viet_Tiep_Chuong_My[[#This Row],[THANH TOÁN]]</f>
        <v>481415000</v>
      </c>
      <c r="K11" s="106" t="s">
        <v>42</v>
      </c>
    </row>
    <row r="12" spans="1:11" x14ac:dyDescent="0.25">
      <c r="A12" s="90">
        <v>9386</v>
      </c>
      <c r="B12" s="91">
        <v>46156</v>
      </c>
      <c r="C12" s="92" t="s">
        <v>13</v>
      </c>
      <c r="D12" s="93" t="s">
        <v>17</v>
      </c>
      <c r="E12" s="92" t="s">
        <v>2112</v>
      </c>
      <c r="F12" s="103">
        <v>4260</v>
      </c>
      <c r="G12" s="94">
        <v>55000</v>
      </c>
      <c r="H12" s="105">
        <f>Cty_Viet_Tiep_Chuong_My[[#This Row],[ĐƠN GIÁ]]*Cty_Viet_Tiep_Chuong_My[[#This Row],[SỐ LƯỢNG]]</f>
        <v>234300000</v>
      </c>
      <c r="I12" s="94"/>
      <c r="J12" s="94">
        <f>J11+Cty_Viet_Tiep_Chuong_My[[#This Row],[THÀNH TIỀN]]-Cty_Viet_Tiep_Chuong_My[[#This Row],[THANH TOÁN]]</f>
        <v>715715000</v>
      </c>
      <c r="K12" s="95" t="s">
        <v>42</v>
      </c>
    </row>
    <row r="13" spans="1:11" x14ac:dyDescent="0.25">
      <c r="A13" s="90"/>
      <c r="B13" s="91">
        <v>46156</v>
      </c>
      <c r="C13" s="92" t="s">
        <v>21</v>
      </c>
      <c r="D13" s="93" t="s">
        <v>22</v>
      </c>
      <c r="E13" s="92" t="s">
        <v>727</v>
      </c>
      <c r="F13" s="103">
        <v>0</v>
      </c>
      <c r="G13" s="94"/>
      <c r="H13" s="105">
        <f>Cty_Viet_Tiep_Chuong_My[[#This Row],[ĐƠN GIÁ]]*Cty_Viet_Tiep_Chuong_My[[#This Row],[SỐ LƯỢNG]]</f>
        <v>0</v>
      </c>
      <c r="I13" s="94">
        <v>262000000</v>
      </c>
      <c r="J13" s="94">
        <f>J12+Cty_Viet_Tiep_Chuong_My[[#This Row],[THÀNH TIỀN]]-Cty_Viet_Tiep_Chuong_My[[#This Row],[THANH TOÁN]]</f>
        <v>453715000</v>
      </c>
      <c r="K13" s="95"/>
    </row>
    <row r="14" spans="1:11" x14ac:dyDescent="0.25">
      <c r="A14" s="101"/>
      <c r="B14" s="102">
        <v>46157</v>
      </c>
      <c r="C14" s="103" t="s">
        <v>21</v>
      </c>
      <c r="D14" s="104" t="s">
        <v>24</v>
      </c>
      <c r="E14" s="103"/>
      <c r="F14" s="103"/>
      <c r="G14" s="105"/>
      <c r="H14" s="105">
        <f>Cty_Viet_Tiep_Chuong_My[[#This Row],[ĐƠN GIÁ]]*Cty_Viet_Tiep_Chuong_My[[#This Row],[SỐ LƯỢNG]]</f>
        <v>0</v>
      </c>
      <c r="I14" s="105">
        <v>70000000</v>
      </c>
      <c r="J14" s="105">
        <f>J13+Cty_Viet_Tiep_Chuong_My[[#This Row],[THÀNH TIỀN]]-Cty_Viet_Tiep_Chuong_My[[#This Row],[THANH TOÁN]]</f>
        <v>383715000</v>
      </c>
      <c r="K14" s="106"/>
    </row>
    <row r="15" spans="1:11" x14ac:dyDescent="0.25">
      <c r="A15" s="90"/>
      <c r="B15" s="91">
        <v>46167</v>
      </c>
      <c r="C15" s="92" t="s">
        <v>21</v>
      </c>
      <c r="D15" s="93" t="s">
        <v>22</v>
      </c>
      <c r="E15" s="92" t="s">
        <v>2158</v>
      </c>
      <c r="F15" s="103">
        <v>0</v>
      </c>
      <c r="G15" s="94"/>
      <c r="H15" s="105">
        <f>Cty_Viet_Tiep_Chuong_My[[#This Row],[ĐƠN GIÁ]]*Cty_Viet_Tiep_Chuong_My[[#This Row],[SỐ LƯỢNG]]</f>
        <v>0</v>
      </c>
      <c r="I15" s="94">
        <v>118000000</v>
      </c>
      <c r="J15" s="94">
        <f>J14+Cty_Viet_Tiep_Chuong_My[[#This Row],[THÀNH TIỀN]]-Cty_Viet_Tiep_Chuong_My[[#This Row],[THANH TOÁN]]</f>
        <v>265715000</v>
      </c>
      <c r="K15" s="95"/>
    </row>
    <row r="16" spans="1:11" x14ac:dyDescent="0.25">
      <c r="A16" s="90"/>
      <c r="B16" s="91">
        <v>46171</v>
      </c>
      <c r="C16" s="92" t="s">
        <v>21</v>
      </c>
      <c r="D16" s="93" t="s">
        <v>22</v>
      </c>
      <c r="E16" s="92" t="s">
        <v>2158</v>
      </c>
      <c r="F16" s="103">
        <v>0</v>
      </c>
      <c r="G16" s="94"/>
      <c r="H16" s="105">
        <f>Cty_Viet_Tiep_Chuong_My[[#This Row],[ĐƠN GIÁ]]*Cty_Viet_Tiep_Chuong_My[[#This Row],[SỐ LƯỢNG]]</f>
        <v>0</v>
      </c>
      <c r="I16" s="94">
        <v>97000000</v>
      </c>
      <c r="J16" s="94">
        <f>J15+Cty_Viet_Tiep_Chuong_My[[#This Row],[THÀNH TIỀN]]-Cty_Viet_Tiep_Chuong_My[[#This Row],[THANH TOÁN]]</f>
        <v>168715000</v>
      </c>
      <c r="K16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8819CB-09CA-41F1-8F7E-595555D0D23B}">
  <sheetPr codeName="Sheet206"/>
  <dimension ref="A5:K19"/>
  <sheetViews>
    <sheetView workbookViewId="0">
      <selection activeCell="I16" sqref="I16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73854000</v>
      </c>
    </row>
    <row r="6" spans="1:11" ht="22.5" x14ac:dyDescent="0.25">
      <c r="D6" s="84" t="s">
        <v>2257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>
        <v>46081</v>
      </c>
      <c r="C10" s="92" t="s">
        <v>12</v>
      </c>
      <c r="D10" s="93"/>
      <c r="E10" s="92"/>
      <c r="F10" s="92"/>
      <c r="G10" s="94"/>
      <c r="H10" s="94">
        <f>Cty_Manh_Thuoc[[#This Row],[ĐƠN GIÁ]]*Cty_Manh_Thuoc[[#This Row],[SỐ LƯỢNG]]</f>
        <v>0</v>
      </c>
      <c r="I10" s="94"/>
      <c r="J10" s="94">
        <v>0</v>
      </c>
      <c r="K10" s="95"/>
    </row>
    <row r="11" spans="1:11" x14ac:dyDescent="0.25">
      <c r="A11" s="90">
        <v>9388</v>
      </c>
      <c r="B11" s="91">
        <v>46157</v>
      </c>
      <c r="C11" s="92" t="s">
        <v>13</v>
      </c>
      <c r="D11" s="93" t="s">
        <v>17</v>
      </c>
      <c r="E11" s="92" t="s">
        <v>78</v>
      </c>
      <c r="F11" s="103">
        <v>556</v>
      </c>
      <c r="G11" s="94">
        <v>63500</v>
      </c>
      <c r="H11" s="105">
        <f>Cty_Manh_Thuoc[[#This Row],[ĐƠN GIÁ]]*Cty_Manh_Thuoc[[#This Row],[SỐ LƯỢNG]]</f>
        <v>35306000</v>
      </c>
      <c r="I11" s="94"/>
      <c r="J11" s="94">
        <f>J10+Cty_Manh_Thuoc[[#This Row],[THÀNH TIỀN]]-Cty_Manh_Thuoc[[#This Row],[THANH TOÁN]]</f>
        <v>35306000</v>
      </c>
      <c r="K11" s="95"/>
    </row>
    <row r="12" spans="1:11" x14ac:dyDescent="0.25">
      <c r="A12" s="90">
        <v>9388</v>
      </c>
      <c r="B12" s="91">
        <v>46157</v>
      </c>
      <c r="C12" s="92" t="s">
        <v>13</v>
      </c>
      <c r="D12" s="93" t="s">
        <v>17</v>
      </c>
      <c r="E12" s="92" t="s">
        <v>62</v>
      </c>
      <c r="F12" s="103">
        <v>666</v>
      </c>
      <c r="G12" s="94">
        <v>63000</v>
      </c>
      <c r="H12" s="105">
        <f>Cty_Manh_Thuoc[[#This Row],[ĐƠN GIÁ]]*Cty_Manh_Thuoc[[#This Row],[SỐ LƯỢNG]]</f>
        <v>41958000</v>
      </c>
      <c r="I12" s="94"/>
      <c r="J12" s="94">
        <f>J11+Cty_Manh_Thuoc[[#This Row],[THÀNH TIỀN]]-Cty_Manh_Thuoc[[#This Row],[THANH TOÁN]]</f>
        <v>77264000</v>
      </c>
      <c r="K12" s="95"/>
    </row>
    <row r="13" spans="1:11" x14ac:dyDescent="0.25">
      <c r="A13" s="90">
        <v>9388</v>
      </c>
      <c r="B13" s="91">
        <v>46157</v>
      </c>
      <c r="C13" s="92" t="s">
        <v>13</v>
      </c>
      <c r="D13" s="93" t="s">
        <v>17</v>
      </c>
      <c r="E13" s="92" t="s">
        <v>41</v>
      </c>
      <c r="F13" s="103">
        <v>518</v>
      </c>
      <c r="G13" s="94">
        <v>62000</v>
      </c>
      <c r="H13" s="105">
        <f>Cty_Manh_Thuoc[[#This Row],[ĐƠN GIÁ]]*Cty_Manh_Thuoc[[#This Row],[SỐ LƯỢNG]]</f>
        <v>32116000</v>
      </c>
      <c r="I13" s="94"/>
      <c r="J13" s="94">
        <f>J12+Cty_Manh_Thuoc[[#This Row],[THÀNH TIỀN]]-Cty_Manh_Thuoc[[#This Row],[THANH TOÁN]]</f>
        <v>109380000</v>
      </c>
      <c r="K13" s="95"/>
    </row>
    <row r="14" spans="1:11" x14ac:dyDescent="0.25">
      <c r="A14" s="90">
        <v>9388</v>
      </c>
      <c r="B14" s="91">
        <v>46157</v>
      </c>
      <c r="C14" s="92" t="s">
        <v>13</v>
      </c>
      <c r="D14" s="93" t="s">
        <v>17</v>
      </c>
      <c r="E14" s="92" t="s">
        <v>136</v>
      </c>
      <c r="F14" s="103">
        <v>565</v>
      </c>
      <c r="G14" s="94">
        <v>61500</v>
      </c>
      <c r="H14" s="105">
        <f>Cty_Manh_Thuoc[[#This Row],[ĐƠN GIÁ]]*Cty_Manh_Thuoc[[#This Row],[SỐ LƯỢNG]]</f>
        <v>34747500</v>
      </c>
      <c r="I14" s="94"/>
      <c r="J14" s="94">
        <f>J13+Cty_Manh_Thuoc[[#This Row],[THÀNH TIỀN]]-Cty_Manh_Thuoc[[#This Row],[THANH TOÁN]]</f>
        <v>144127500</v>
      </c>
      <c r="K14" s="95"/>
    </row>
    <row r="15" spans="1:11" x14ac:dyDescent="0.25">
      <c r="A15" s="90">
        <v>9388</v>
      </c>
      <c r="B15" s="91">
        <v>46157</v>
      </c>
      <c r="C15" s="92" t="s">
        <v>13</v>
      </c>
      <c r="D15" s="93" t="s">
        <v>17</v>
      </c>
      <c r="E15" s="92" t="s">
        <v>146</v>
      </c>
      <c r="F15" s="103">
        <v>544</v>
      </c>
      <c r="G15" s="94">
        <v>61500</v>
      </c>
      <c r="H15" s="105">
        <f>Cty_Manh_Thuoc[[#This Row],[ĐƠN GIÁ]]*Cty_Manh_Thuoc[[#This Row],[SỐ LƯỢNG]]</f>
        <v>33456000</v>
      </c>
      <c r="I15" s="94">
        <v>500</v>
      </c>
      <c r="J15" s="94">
        <f>J14+Cty_Manh_Thuoc[[#This Row],[THÀNH TIỀN]]-Cty_Manh_Thuoc[[#This Row],[THANH TOÁN]]</f>
        <v>177583000</v>
      </c>
      <c r="K15" s="95"/>
    </row>
    <row r="16" spans="1:11" x14ac:dyDescent="0.25">
      <c r="A16" s="90"/>
      <c r="B16" s="91">
        <v>46157</v>
      </c>
      <c r="C16" s="92" t="s">
        <v>21</v>
      </c>
      <c r="D16" s="93" t="s">
        <v>22</v>
      </c>
      <c r="E16" s="92" t="s">
        <v>2155</v>
      </c>
      <c r="F16" s="103">
        <v>0</v>
      </c>
      <c r="G16" s="94"/>
      <c r="H16" s="105">
        <f>Cty_Manh_Thuoc[[#This Row],[ĐƠN GIÁ]]*Cty_Manh_Thuoc[[#This Row],[SỐ LƯỢNG]]</f>
        <v>0</v>
      </c>
      <c r="I16" s="94">
        <v>177583000</v>
      </c>
      <c r="J16" s="94">
        <f>J15+Cty_Manh_Thuoc[[#This Row],[THÀNH TIỀN]]-Cty_Manh_Thuoc[[#This Row],[THANH TOÁN]]</f>
        <v>0</v>
      </c>
      <c r="K16" s="95"/>
    </row>
    <row r="17" spans="1:11" x14ac:dyDescent="0.25">
      <c r="A17" s="90">
        <v>9720</v>
      </c>
      <c r="B17" s="91">
        <v>46172</v>
      </c>
      <c r="C17" s="92" t="s">
        <v>13</v>
      </c>
      <c r="D17" s="93" t="s">
        <v>17</v>
      </c>
      <c r="E17" s="92" t="s">
        <v>40</v>
      </c>
      <c r="F17" s="103">
        <v>544</v>
      </c>
      <c r="G17" s="94">
        <v>66000</v>
      </c>
      <c r="H17" s="105">
        <f>Cty_Manh_Thuoc[[#This Row],[ĐƠN GIÁ]]*Cty_Manh_Thuoc[[#This Row],[SỐ LƯỢNG]]</f>
        <v>35904000</v>
      </c>
      <c r="I17" s="94"/>
      <c r="J17" s="94">
        <f>J16+Cty_Manh_Thuoc[[#This Row],[THÀNH TIỀN]]-Cty_Manh_Thuoc[[#This Row],[THANH TOÁN]]</f>
        <v>35904000</v>
      </c>
      <c r="K17" s="95"/>
    </row>
    <row r="18" spans="1:11" x14ac:dyDescent="0.25">
      <c r="A18" s="90">
        <v>9735</v>
      </c>
      <c r="B18" s="91">
        <v>46174</v>
      </c>
      <c r="C18" s="92" t="s">
        <v>13</v>
      </c>
      <c r="D18" s="93" t="s">
        <v>17</v>
      </c>
      <c r="E18" s="92" t="s">
        <v>40</v>
      </c>
      <c r="F18" s="103">
        <v>575</v>
      </c>
      <c r="G18" s="94">
        <v>66000</v>
      </c>
      <c r="H18" s="105">
        <f>Cty_Manh_Thuoc[[#This Row],[ĐƠN GIÁ]]*Cty_Manh_Thuoc[[#This Row],[SỐ LƯỢNG]]</f>
        <v>37950000</v>
      </c>
      <c r="I18" s="94"/>
      <c r="J18" s="94">
        <f>J17+Cty_Manh_Thuoc[[#This Row],[THÀNH TIỀN]]-Cty_Manh_Thuoc[[#This Row],[THANH TOÁN]]</f>
        <v>73854000</v>
      </c>
      <c r="K18" s="95"/>
    </row>
    <row r="19" spans="1:11" x14ac:dyDescent="0.25">
      <c r="A19" s="90"/>
      <c r="B19" s="91">
        <v>46177</v>
      </c>
      <c r="C19" s="92" t="s">
        <v>21</v>
      </c>
      <c r="D19" s="93" t="s">
        <v>22</v>
      </c>
      <c r="E19" s="92" t="s">
        <v>147</v>
      </c>
      <c r="F19" s="211">
        <v>0</v>
      </c>
      <c r="G19" s="94"/>
      <c r="H19" s="212">
        <f>Cty_Manh_Thuoc[[#This Row],[ĐƠN GIÁ]]*Cty_Manh_Thuoc[[#This Row],[SỐ LƯỢNG]]</f>
        <v>0</v>
      </c>
      <c r="I19" s="94">
        <v>73854000</v>
      </c>
      <c r="J19" s="94">
        <f>J18+Cty_Manh_Thuoc[[#This Row],[THÀNH TIỀN]]-Cty_Manh_Thuoc[[#This Row],[THANH TOÁN]]</f>
        <v>0</v>
      </c>
      <c r="K19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40FE9-94CC-481B-A31E-2EBEB1F8FD06}">
  <sheetPr codeName="Sheet207"/>
  <dimension ref="A5:K19"/>
  <sheetViews>
    <sheetView workbookViewId="0">
      <selection activeCell="J19" sqref="J19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221451515</v>
      </c>
    </row>
    <row r="6" spans="1:11" ht="22.5" x14ac:dyDescent="0.25">
      <c r="D6" s="84" t="s">
        <v>2115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>
        <v>46081</v>
      </c>
      <c r="C10" s="92" t="s">
        <v>12</v>
      </c>
      <c r="D10" s="93"/>
      <c r="E10" s="92"/>
      <c r="F10" s="92"/>
      <c r="G10" s="94"/>
      <c r="H10" s="94">
        <f>Cty_Tan_Manh_Dung_VP[[#This Row],[ĐƠN GIÁ]]*Cty_Tan_Manh_Dung_VP[[#This Row],[SỐ LƯỢNG]]</f>
        <v>0</v>
      </c>
      <c r="I10" s="94"/>
      <c r="J10" s="94">
        <v>0</v>
      </c>
      <c r="K10" s="95"/>
    </row>
    <row r="11" spans="1:11" x14ac:dyDescent="0.25">
      <c r="A11" s="101">
        <v>9391</v>
      </c>
      <c r="B11" s="102">
        <v>46157</v>
      </c>
      <c r="C11" s="103" t="s">
        <v>13</v>
      </c>
      <c r="D11" s="104" t="s">
        <v>50</v>
      </c>
      <c r="E11" s="103" t="s">
        <v>2116</v>
      </c>
      <c r="F11" s="103">
        <v>974</v>
      </c>
      <c r="G11" s="105">
        <v>60000</v>
      </c>
      <c r="H11" s="105">
        <f>Cty_Tan_Manh_Dung_VP[[#This Row],[ĐƠN GIÁ]]*Cty_Tan_Manh_Dung_VP[[#This Row],[SỐ LƯỢNG]]</f>
        <v>58440000</v>
      </c>
      <c r="I11" s="105"/>
      <c r="J11" s="105">
        <f>J10+Cty_Tan_Manh_Dung_VP[[#This Row],[THÀNH TIỀN]]-Cty_Tan_Manh_Dung_VP[[#This Row],[THANH TOÁN]]</f>
        <v>58440000</v>
      </c>
      <c r="K11" s="106"/>
    </row>
    <row r="12" spans="1:11" x14ac:dyDescent="0.25">
      <c r="A12" s="90"/>
      <c r="B12" s="91">
        <v>46156</v>
      </c>
      <c r="C12" s="92" t="s">
        <v>21</v>
      </c>
      <c r="D12" s="93" t="s">
        <v>22</v>
      </c>
      <c r="E12" s="92" t="s">
        <v>261</v>
      </c>
      <c r="F12" s="103">
        <v>0</v>
      </c>
      <c r="G12" s="94"/>
      <c r="H12" s="105">
        <f>Cty_Tan_Manh_Dung_VP[[#This Row],[ĐƠN GIÁ]]*Cty_Tan_Manh_Dung_VP[[#This Row],[SỐ LƯỢNG]]</f>
        <v>0</v>
      </c>
      <c r="I12" s="94">
        <v>61779485</v>
      </c>
      <c r="J12" s="94">
        <f>J11+Cty_Tan_Manh_Dung_VP[[#This Row],[THÀNH TIỀN]]-Cty_Tan_Manh_Dung_VP[[#This Row],[THANH TOÁN]]</f>
        <v>-3339485</v>
      </c>
      <c r="K12" s="95"/>
    </row>
    <row r="13" spans="1:11" x14ac:dyDescent="0.25">
      <c r="A13" s="90">
        <v>9436</v>
      </c>
      <c r="B13" s="91">
        <v>46158</v>
      </c>
      <c r="C13" s="92" t="s">
        <v>13</v>
      </c>
      <c r="D13" s="93" t="s">
        <v>858</v>
      </c>
      <c r="E13" s="92" t="s">
        <v>1016</v>
      </c>
      <c r="F13" s="103">
        <v>2452</v>
      </c>
      <c r="G13" s="94">
        <v>42500</v>
      </c>
      <c r="H13" s="105">
        <f>Cty_Tan_Manh_Dung_VP[[#This Row],[ĐƠN GIÁ]]*Cty_Tan_Manh_Dung_VP[[#This Row],[SỐ LƯỢNG]]</f>
        <v>104210000</v>
      </c>
      <c r="I13" s="94"/>
      <c r="J13" s="94">
        <f>J12+Cty_Tan_Manh_Dung_VP[[#This Row],[THÀNH TIỀN]]-Cty_Tan_Manh_Dung_VP[[#This Row],[THANH TOÁN]]</f>
        <v>100870515</v>
      </c>
      <c r="K13" s="95"/>
    </row>
    <row r="14" spans="1:11" x14ac:dyDescent="0.25">
      <c r="A14" s="90">
        <v>9436</v>
      </c>
      <c r="B14" s="91">
        <v>46158</v>
      </c>
      <c r="C14" s="92" t="s">
        <v>13</v>
      </c>
      <c r="D14" s="93" t="s">
        <v>317</v>
      </c>
      <c r="E14" s="92" t="s">
        <v>2188</v>
      </c>
      <c r="F14" s="103">
        <v>168</v>
      </c>
      <c r="G14" s="94">
        <v>62000</v>
      </c>
      <c r="H14" s="105">
        <f>Cty_Tan_Manh_Dung_VP[[#This Row],[ĐƠN GIÁ]]*Cty_Tan_Manh_Dung_VP[[#This Row],[SỐ LƯỢNG]]</f>
        <v>10416000</v>
      </c>
      <c r="I14" s="94"/>
      <c r="J14" s="94">
        <f>J13+Cty_Tan_Manh_Dung_VP[[#This Row],[THÀNH TIỀN]]-Cty_Tan_Manh_Dung_VP[[#This Row],[THANH TOÁN]]</f>
        <v>111286515</v>
      </c>
      <c r="K14" s="95"/>
    </row>
    <row r="15" spans="1:11" x14ac:dyDescent="0.25">
      <c r="A15" s="90">
        <v>9562</v>
      </c>
      <c r="B15" s="91">
        <v>46165</v>
      </c>
      <c r="C15" s="92" t="s">
        <v>13</v>
      </c>
      <c r="D15" s="93" t="s">
        <v>68</v>
      </c>
      <c r="E15" s="92" t="s">
        <v>2307</v>
      </c>
      <c r="F15" s="103">
        <v>108</v>
      </c>
      <c r="G15" s="94">
        <v>42500</v>
      </c>
      <c r="H15" s="105">
        <f>Cty_Tan_Manh_Dung_VP[[#This Row],[ĐƠN GIÁ]]*Cty_Tan_Manh_Dung_VP[[#This Row],[SỐ LƯỢNG]]</f>
        <v>4590000</v>
      </c>
      <c r="I15" s="94"/>
      <c r="J15" s="94">
        <f>J14+Cty_Tan_Manh_Dung_VP[[#This Row],[THÀNH TIỀN]]-Cty_Tan_Manh_Dung_VP[[#This Row],[THANH TOÁN]]</f>
        <v>115876515</v>
      </c>
      <c r="K15" s="95"/>
    </row>
    <row r="16" spans="1:11" x14ac:dyDescent="0.25">
      <c r="A16" s="90">
        <v>9562</v>
      </c>
      <c r="B16" s="91">
        <v>46165</v>
      </c>
      <c r="C16" s="92" t="s">
        <v>13</v>
      </c>
      <c r="D16" s="93" t="s">
        <v>68</v>
      </c>
      <c r="E16" s="92" t="s">
        <v>1016</v>
      </c>
      <c r="F16" s="103">
        <v>490</v>
      </c>
      <c r="G16" s="94">
        <v>42500</v>
      </c>
      <c r="H16" s="105">
        <f>Cty_Tan_Manh_Dung_VP[[#This Row],[ĐƠN GIÁ]]*Cty_Tan_Manh_Dung_VP[[#This Row],[SỐ LƯỢNG]]</f>
        <v>20825000</v>
      </c>
      <c r="I16" s="94"/>
      <c r="J16" s="94">
        <f>J15+Cty_Tan_Manh_Dung_VP[[#This Row],[THÀNH TIỀN]]-Cty_Tan_Manh_Dung_VP[[#This Row],[THANH TOÁN]]</f>
        <v>136701515</v>
      </c>
      <c r="K16" s="95"/>
    </row>
    <row r="17" spans="1:11" x14ac:dyDescent="0.25">
      <c r="A17" s="90">
        <v>9562</v>
      </c>
      <c r="B17" s="91">
        <v>46165</v>
      </c>
      <c r="C17" s="92" t="s">
        <v>13</v>
      </c>
      <c r="D17" s="93" t="s">
        <v>150</v>
      </c>
      <c r="E17" s="92" t="s">
        <v>2308</v>
      </c>
      <c r="F17" s="103">
        <v>834</v>
      </c>
      <c r="G17" s="94">
        <v>36000</v>
      </c>
      <c r="H17" s="105">
        <f>Cty_Tan_Manh_Dung_VP[[#This Row],[ĐƠN GIÁ]]*Cty_Tan_Manh_Dung_VP[[#This Row],[SỐ LƯỢNG]]</f>
        <v>30024000</v>
      </c>
      <c r="I17" s="94"/>
      <c r="J17" s="94">
        <f>J16+Cty_Tan_Manh_Dung_VP[[#This Row],[THÀNH TIỀN]]-Cty_Tan_Manh_Dung_VP[[#This Row],[THANH TOÁN]]</f>
        <v>166725515</v>
      </c>
      <c r="K17" s="95"/>
    </row>
    <row r="18" spans="1:11" x14ac:dyDescent="0.25">
      <c r="A18" s="90">
        <v>9562</v>
      </c>
      <c r="B18" s="91">
        <v>46165</v>
      </c>
      <c r="C18" s="92" t="s">
        <v>13</v>
      </c>
      <c r="D18" s="93" t="s">
        <v>1105</v>
      </c>
      <c r="E18" s="92" t="s">
        <v>221</v>
      </c>
      <c r="F18" s="103">
        <v>684</v>
      </c>
      <c r="G18" s="94">
        <v>67500</v>
      </c>
      <c r="H18" s="105">
        <f>Cty_Tan_Manh_Dung_VP[[#This Row],[ĐƠN GIÁ]]*Cty_Tan_Manh_Dung_VP[[#This Row],[SỐ LƯỢNG]]</f>
        <v>46170000</v>
      </c>
      <c r="I18" s="94"/>
      <c r="J18" s="94">
        <f>J17+Cty_Tan_Manh_Dung_VP[[#This Row],[THÀNH TIỀN]]-Cty_Tan_Manh_Dung_VP[[#This Row],[THANH TOÁN]]</f>
        <v>212895515</v>
      </c>
      <c r="K18" s="95"/>
    </row>
    <row r="19" spans="1:11" x14ac:dyDescent="0.25">
      <c r="A19" s="90">
        <v>9562</v>
      </c>
      <c r="B19" s="91">
        <v>46165</v>
      </c>
      <c r="C19" s="92" t="s">
        <v>13</v>
      </c>
      <c r="D19" s="93" t="s">
        <v>355</v>
      </c>
      <c r="E19" s="92" t="s">
        <v>380</v>
      </c>
      <c r="F19" s="103">
        <v>124</v>
      </c>
      <c r="G19" s="94">
        <v>69000</v>
      </c>
      <c r="H19" s="105">
        <f>Cty_Tan_Manh_Dung_VP[[#This Row],[ĐƠN GIÁ]]*Cty_Tan_Manh_Dung_VP[[#This Row],[SỐ LƯỢNG]]</f>
        <v>8556000</v>
      </c>
      <c r="I19" s="94"/>
      <c r="J19" s="94">
        <f>J18+Cty_Tan_Manh_Dung_VP[[#This Row],[THÀNH TIỀN]]-Cty_Tan_Manh_Dung_VP[[#This Row],[THANH TOÁN]]</f>
        <v>221451515</v>
      </c>
      <c r="K19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6341D8-2F38-4F44-B96B-2A99351F94F2}">
  <sheetPr codeName="Sheet209"/>
  <dimension ref="A5:K11"/>
  <sheetViews>
    <sheetView workbookViewId="0">
      <selection activeCell="H18" sqref="H18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-20000000</v>
      </c>
    </row>
    <row r="6" spans="1:11" ht="22.5" x14ac:dyDescent="0.25">
      <c r="D6" s="84" t="s">
        <v>2215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>
        <v>46081</v>
      </c>
      <c r="C10" s="92" t="s">
        <v>12</v>
      </c>
      <c r="D10" s="93"/>
      <c r="E10" s="92"/>
      <c r="F10" s="92"/>
      <c r="G10" s="94"/>
      <c r="H10" s="94">
        <f>Viet_Thai[[#This Row],[ĐƠN GIÁ]]*Viet_Thai[[#This Row],[SỐ LƯỢNG]]</f>
        <v>0</v>
      </c>
      <c r="I10" s="94"/>
      <c r="J10" s="94">
        <v>0</v>
      </c>
      <c r="K10" s="95"/>
    </row>
    <row r="11" spans="1:11" x14ac:dyDescent="0.25">
      <c r="A11" s="90"/>
      <c r="B11" s="91">
        <v>46146</v>
      </c>
      <c r="C11" s="92" t="s">
        <v>21</v>
      </c>
      <c r="D11" s="93" t="s">
        <v>22</v>
      </c>
      <c r="E11" s="92" t="s">
        <v>726</v>
      </c>
      <c r="F11" s="103">
        <v>0</v>
      </c>
      <c r="G11" s="94"/>
      <c r="H11" s="105">
        <f>Viet_Thai[[#This Row],[ĐƠN GIÁ]]*Viet_Thai[[#This Row],[SỐ LƯỢNG]]</f>
        <v>0</v>
      </c>
      <c r="I11" s="94">
        <v>20000000</v>
      </c>
      <c r="J11" s="94">
        <f>J10+Viet_Thai[[#This Row],[THÀNH TIỀN]]-Viet_Thai[[#This Row],[THANH TOÁN]]</f>
        <v>-20000000</v>
      </c>
      <c r="K11" s="95" t="s">
        <v>2161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0D0B2E-CB17-4B82-A04E-F2AD0E163330}">
  <sheetPr codeName="Sheet208"/>
  <dimension ref="A5:K34"/>
  <sheetViews>
    <sheetView topLeftCell="A8" workbookViewId="0">
      <selection activeCell="H35" sqref="H35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-3321923999</v>
      </c>
    </row>
    <row r="6" spans="1:11" ht="22.5" x14ac:dyDescent="0.25">
      <c r="D6" s="84" t="s">
        <v>2092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>
        <v>46081</v>
      </c>
      <c r="C10" s="92" t="s">
        <v>12</v>
      </c>
      <c r="D10" s="93"/>
      <c r="E10" s="92"/>
      <c r="F10" s="92"/>
      <c r="G10" s="94"/>
      <c r="H10" s="94">
        <f>Cty_Hoang_Vu[[#This Row],[ĐƠN GIÁ]]*Cty_Hoang_Vu[[#This Row],[SỐ LƯỢNG]]</f>
        <v>0</v>
      </c>
      <c r="I10" s="94"/>
      <c r="J10" s="94">
        <v>0</v>
      </c>
      <c r="K10" s="95"/>
    </row>
    <row r="11" spans="1:11" x14ac:dyDescent="0.25">
      <c r="A11" s="101" t="s">
        <v>2173</v>
      </c>
      <c r="B11" s="102">
        <v>46148</v>
      </c>
      <c r="C11" s="103" t="s">
        <v>692</v>
      </c>
      <c r="D11" s="104" t="s">
        <v>43</v>
      </c>
      <c r="E11" s="103" t="s">
        <v>1420</v>
      </c>
      <c r="F11" s="103">
        <v>5431</v>
      </c>
      <c r="G11" s="105">
        <v>-63700</v>
      </c>
      <c r="H11" s="105">
        <f>Cty_Hoang_Vu[[#This Row],[ĐƠN GIÁ]]*Cty_Hoang_Vu[[#This Row],[SỐ LƯỢNG]]</f>
        <v>-345954700</v>
      </c>
      <c r="I11" s="105"/>
      <c r="J11" s="105">
        <f>J10+Cty_Hoang_Vu[[#This Row],[THÀNH TIỀN]]-Cty_Hoang_Vu[[#This Row],[THANH TOÁN]]</f>
        <v>-345954700</v>
      </c>
      <c r="K11" s="106"/>
    </row>
    <row r="12" spans="1:11" x14ac:dyDescent="0.25">
      <c r="A12" s="90" t="s">
        <v>2173</v>
      </c>
      <c r="B12" s="102">
        <v>46148</v>
      </c>
      <c r="C12" s="92" t="s">
        <v>692</v>
      </c>
      <c r="D12" s="93" t="s">
        <v>43</v>
      </c>
      <c r="E12" s="92" t="s">
        <v>2137</v>
      </c>
      <c r="F12" s="103">
        <v>5325</v>
      </c>
      <c r="G12" s="94">
        <v>-63200</v>
      </c>
      <c r="H12" s="105">
        <f>Cty_Hoang_Vu[[#This Row],[ĐƠN GIÁ]]*Cty_Hoang_Vu[[#This Row],[SỐ LƯỢNG]]</f>
        <v>-336540000</v>
      </c>
      <c r="I12" s="94"/>
      <c r="J12" s="94">
        <f>J11+Cty_Hoang_Vu[[#This Row],[THÀNH TIỀN]]-Cty_Hoang_Vu[[#This Row],[THANH TOÁN]]</f>
        <v>-682494700</v>
      </c>
      <c r="K12" s="95"/>
    </row>
    <row r="13" spans="1:11" x14ac:dyDescent="0.25">
      <c r="A13" s="90" t="s">
        <v>2173</v>
      </c>
      <c r="B13" s="102">
        <v>46148</v>
      </c>
      <c r="C13" s="92" t="s">
        <v>692</v>
      </c>
      <c r="D13" s="93" t="s">
        <v>43</v>
      </c>
      <c r="E13" s="92" t="s">
        <v>2139</v>
      </c>
      <c r="F13" s="103">
        <v>5342</v>
      </c>
      <c r="G13" s="94">
        <v>-62200</v>
      </c>
      <c r="H13" s="105">
        <f>Cty_Hoang_Vu[[#This Row],[ĐƠN GIÁ]]*Cty_Hoang_Vu[[#This Row],[SỐ LƯỢNG]]</f>
        <v>-332272400</v>
      </c>
      <c r="I13" s="94"/>
      <c r="J13" s="94">
        <f>J12+Cty_Hoang_Vu[[#This Row],[THÀNH TIỀN]]-Cty_Hoang_Vu[[#This Row],[THANH TOÁN]]</f>
        <v>-1014767100</v>
      </c>
      <c r="K13" s="95"/>
    </row>
    <row r="14" spans="1:11" x14ac:dyDescent="0.25">
      <c r="A14" s="90" t="s">
        <v>2173</v>
      </c>
      <c r="B14" s="102">
        <v>46148</v>
      </c>
      <c r="C14" s="92" t="s">
        <v>692</v>
      </c>
      <c r="D14" s="93" t="s">
        <v>43</v>
      </c>
      <c r="E14" s="92" t="s">
        <v>2139</v>
      </c>
      <c r="F14" s="103">
        <v>5071</v>
      </c>
      <c r="G14" s="94">
        <v>-62200</v>
      </c>
      <c r="H14" s="105">
        <f>Cty_Hoang_Vu[[#This Row],[ĐƠN GIÁ]]*Cty_Hoang_Vu[[#This Row],[SỐ LƯỢNG]]</f>
        <v>-315416200</v>
      </c>
      <c r="I14" s="94"/>
      <c r="J14" s="94">
        <f>J13+Cty_Hoang_Vu[[#This Row],[THÀNH TIỀN]]-Cty_Hoang_Vu[[#This Row],[THANH TOÁN]]</f>
        <v>-1330183300</v>
      </c>
      <c r="K14" s="95"/>
    </row>
    <row r="15" spans="1:11" x14ac:dyDescent="0.25">
      <c r="A15" s="90" t="s">
        <v>2173</v>
      </c>
      <c r="B15" s="102">
        <v>46148</v>
      </c>
      <c r="C15" s="92" t="s">
        <v>692</v>
      </c>
      <c r="D15" s="93" t="s">
        <v>43</v>
      </c>
      <c r="E15" s="92" t="s">
        <v>2146</v>
      </c>
      <c r="F15" s="103">
        <v>5242</v>
      </c>
      <c r="G15" s="94">
        <v>-62000</v>
      </c>
      <c r="H15" s="105">
        <f>Cty_Hoang_Vu[[#This Row],[ĐƠN GIÁ]]*Cty_Hoang_Vu[[#This Row],[SỐ LƯỢNG]]</f>
        <v>-325004000</v>
      </c>
      <c r="I15" s="94"/>
      <c r="J15" s="94">
        <f>J14+Cty_Hoang_Vu[[#This Row],[THÀNH TIỀN]]-Cty_Hoang_Vu[[#This Row],[THANH TOÁN]]</f>
        <v>-1655187300</v>
      </c>
      <c r="K15" s="95"/>
    </row>
    <row r="16" spans="1:11" x14ac:dyDescent="0.25">
      <c r="A16" s="90" t="s">
        <v>2178</v>
      </c>
      <c r="B16" s="91">
        <v>46151</v>
      </c>
      <c r="C16" s="92" t="s">
        <v>692</v>
      </c>
      <c r="D16" s="93" t="s">
        <v>43</v>
      </c>
      <c r="E16" s="92" t="s">
        <v>2137</v>
      </c>
      <c r="F16" s="103">
        <v>5346</v>
      </c>
      <c r="G16" s="94">
        <v>-63200</v>
      </c>
      <c r="H16" s="105">
        <f>Cty_Hoang_Vu[[#This Row],[ĐƠN GIÁ]]*Cty_Hoang_Vu[[#This Row],[SỐ LƯỢNG]]</f>
        <v>-337867200</v>
      </c>
      <c r="I16" s="94"/>
      <c r="J16" s="94">
        <f>J15+Cty_Hoang_Vu[[#This Row],[THÀNH TIỀN]]-Cty_Hoang_Vu[[#This Row],[THANH TOÁN]]</f>
        <v>-1993054500</v>
      </c>
      <c r="K16" s="95"/>
    </row>
    <row r="17" spans="1:11" x14ac:dyDescent="0.25">
      <c r="A17" s="90" t="s">
        <v>2178</v>
      </c>
      <c r="B17" s="91">
        <v>46151</v>
      </c>
      <c r="C17" s="92" t="s">
        <v>692</v>
      </c>
      <c r="D17" s="93" t="s">
        <v>43</v>
      </c>
      <c r="E17" s="92" t="s">
        <v>2137</v>
      </c>
      <c r="F17" s="103">
        <v>5353</v>
      </c>
      <c r="G17" s="94">
        <v>-63200</v>
      </c>
      <c r="H17" s="105">
        <f>Cty_Hoang_Vu[[#This Row],[ĐƠN GIÁ]]*Cty_Hoang_Vu[[#This Row],[SỐ LƯỢNG]]</f>
        <v>-338309600</v>
      </c>
      <c r="I17" s="94"/>
      <c r="J17" s="94">
        <f>J16+Cty_Hoang_Vu[[#This Row],[THÀNH TIỀN]]-Cty_Hoang_Vu[[#This Row],[THANH TOÁN]]</f>
        <v>-2331364100</v>
      </c>
      <c r="K17" s="95"/>
    </row>
    <row r="18" spans="1:11" x14ac:dyDescent="0.25">
      <c r="A18" s="90" t="s">
        <v>2178</v>
      </c>
      <c r="B18" s="91">
        <v>46151</v>
      </c>
      <c r="C18" s="92" t="s">
        <v>692</v>
      </c>
      <c r="D18" s="93" t="s">
        <v>43</v>
      </c>
      <c r="E18" s="92" t="s">
        <v>2139</v>
      </c>
      <c r="F18" s="103">
        <v>5320</v>
      </c>
      <c r="G18" s="94">
        <v>-62200</v>
      </c>
      <c r="H18" s="105">
        <f>Cty_Hoang_Vu[[#This Row],[ĐƠN GIÁ]]*Cty_Hoang_Vu[[#This Row],[SỐ LƯỢNG]]</f>
        <v>-330904000</v>
      </c>
      <c r="I18" s="94"/>
      <c r="J18" s="94">
        <f>J17+Cty_Hoang_Vu[[#This Row],[THÀNH TIỀN]]-Cty_Hoang_Vu[[#This Row],[THANH TOÁN]]</f>
        <v>-2662268100</v>
      </c>
      <c r="K18" s="95"/>
    </row>
    <row r="19" spans="1:11" x14ac:dyDescent="0.25">
      <c r="A19" s="90" t="s">
        <v>2178</v>
      </c>
      <c r="B19" s="91">
        <v>46151</v>
      </c>
      <c r="C19" s="92" t="s">
        <v>692</v>
      </c>
      <c r="D19" s="93" t="s">
        <v>43</v>
      </c>
      <c r="E19" s="92" t="s">
        <v>2146</v>
      </c>
      <c r="F19" s="103">
        <v>5298</v>
      </c>
      <c r="G19" s="94">
        <v>-62000</v>
      </c>
      <c r="H19" s="105">
        <f>Cty_Hoang_Vu[[#This Row],[ĐƠN GIÁ]]*Cty_Hoang_Vu[[#This Row],[SỐ LƯỢNG]]</f>
        <v>-328476000</v>
      </c>
      <c r="I19" s="94"/>
      <c r="J19" s="94">
        <f>J18+Cty_Hoang_Vu[[#This Row],[THÀNH TIỀN]]-Cty_Hoang_Vu[[#This Row],[THANH TOÁN]]</f>
        <v>-2990744100</v>
      </c>
      <c r="K19" s="95"/>
    </row>
    <row r="20" spans="1:11" x14ac:dyDescent="0.25">
      <c r="A20" s="101" t="s">
        <v>2178</v>
      </c>
      <c r="B20" s="102">
        <v>46151</v>
      </c>
      <c r="C20" s="103" t="s">
        <v>692</v>
      </c>
      <c r="D20" s="104" t="s">
        <v>43</v>
      </c>
      <c r="E20" s="103" t="s">
        <v>2140</v>
      </c>
      <c r="F20" s="103">
        <v>5394</v>
      </c>
      <c r="G20" s="105">
        <v>-61400</v>
      </c>
      <c r="H20" s="105">
        <f>Cty_Hoang_Vu[[#This Row],[ĐƠN GIÁ]]*Cty_Hoang_Vu[[#This Row],[SỐ LƯỢNG]]</f>
        <v>-331191600</v>
      </c>
      <c r="I20" s="105"/>
      <c r="J20" s="105">
        <f>J19+Cty_Hoang_Vu[[#This Row],[THÀNH TIỀN]]-Cty_Hoang_Vu[[#This Row],[THANH TOÁN]]</f>
        <v>-3321935700</v>
      </c>
      <c r="K20" s="106"/>
    </row>
    <row r="21" spans="1:11" x14ac:dyDescent="0.25">
      <c r="A21" s="101" t="s">
        <v>2136</v>
      </c>
      <c r="B21" s="102">
        <v>46156</v>
      </c>
      <c r="C21" s="103" t="s">
        <v>692</v>
      </c>
      <c r="D21" s="104" t="s">
        <v>43</v>
      </c>
      <c r="E21" s="103" t="s">
        <v>2137</v>
      </c>
      <c r="F21" s="103">
        <v>5482</v>
      </c>
      <c r="G21" s="105">
        <v>-62700</v>
      </c>
      <c r="H21" s="105">
        <f>Cty_Hoang_Vu[[#This Row],[ĐƠN GIÁ]]*Cty_Hoang_Vu[[#This Row],[SỐ LƯỢNG]]</f>
        <v>-343721400</v>
      </c>
      <c r="I21" s="105"/>
      <c r="J21" s="105">
        <f>J20+Cty_Hoang_Vu[[#This Row],[THÀNH TIỀN]]-Cty_Hoang_Vu[[#This Row],[THANH TOÁN]]</f>
        <v>-3665657100</v>
      </c>
      <c r="K21" s="106"/>
    </row>
    <row r="22" spans="1:11" x14ac:dyDescent="0.25">
      <c r="A22" s="101" t="s">
        <v>2136</v>
      </c>
      <c r="B22" s="102">
        <v>46156</v>
      </c>
      <c r="C22" s="103" t="s">
        <v>692</v>
      </c>
      <c r="D22" s="104" t="s">
        <v>43</v>
      </c>
      <c r="E22" s="103" t="s">
        <v>2139</v>
      </c>
      <c r="F22" s="103">
        <v>5321</v>
      </c>
      <c r="G22" s="105">
        <v>-61700</v>
      </c>
      <c r="H22" s="105">
        <f>Cty_Hoang_Vu[[#This Row],[ĐƠN GIÁ]]*Cty_Hoang_Vu[[#This Row],[SỐ LƯỢNG]]</f>
        <v>-328305700</v>
      </c>
      <c r="I22" s="105"/>
      <c r="J22" s="105">
        <f>J21+Cty_Hoang_Vu[[#This Row],[THÀNH TIỀN]]-Cty_Hoang_Vu[[#This Row],[THANH TOÁN]]</f>
        <v>-3993962800</v>
      </c>
      <c r="K22" s="106"/>
    </row>
    <row r="23" spans="1:11" x14ac:dyDescent="0.25">
      <c r="A23" s="101" t="s">
        <v>2136</v>
      </c>
      <c r="B23" s="102">
        <v>46156</v>
      </c>
      <c r="C23" s="103" t="s">
        <v>692</v>
      </c>
      <c r="D23" s="104" t="s">
        <v>43</v>
      </c>
      <c r="E23" s="103" t="s">
        <v>2140</v>
      </c>
      <c r="F23" s="103">
        <v>5289</v>
      </c>
      <c r="G23" s="105">
        <v>-60900</v>
      </c>
      <c r="H23" s="105">
        <f>Cty_Hoang_Vu[[#This Row],[ĐƠN GIÁ]]*Cty_Hoang_Vu[[#This Row],[SỐ LƯỢNG]]</f>
        <v>-322100100</v>
      </c>
      <c r="I23" s="105"/>
      <c r="J23" s="105">
        <f>J22+Cty_Hoang_Vu[[#This Row],[THÀNH TIỀN]]-Cty_Hoang_Vu[[#This Row],[THANH TOÁN]]</f>
        <v>-4316062900</v>
      </c>
      <c r="K23" s="106"/>
    </row>
    <row r="24" spans="1:11" x14ac:dyDescent="0.25">
      <c r="A24" s="101" t="s">
        <v>2136</v>
      </c>
      <c r="B24" s="102">
        <v>46156</v>
      </c>
      <c r="C24" s="103" t="s">
        <v>692</v>
      </c>
      <c r="D24" s="104" t="s">
        <v>43</v>
      </c>
      <c r="E24" s="103" t="s">
        <v>2140</v>
      </c>
      <c r="F24" s="103">
        <v>5311</v>
      </c>
      <c r="G24" s="105">
        <v>-60900</v>
      </c>
      <c r="H24" s="105">
        <f>Cty_Hoang_Vu[[#This Row],[ĐƠN GIÁ]]*Cty_Hoang_Vu[[#This Row],[SỐ LƯỢNG]]</f>
        <v>-323439900</v>
      </c>
      <c r="I24" s="105"/>
      <c r="J24" s="105">
        <f>J23+Cty_Hoang_Vu[[#This Row],[THÀNH TIỀN]]-Cty_Hoang_Vu[[#This Row],[THANH TOÁN]]</f>
        <v>-4639502800</v>
      </c>
      <c r="K24" s="106"/>
    </row>
    <row r="25" spans="1:11" x14ac:dyDescent="0.25">
      <c r="A25" s="101" t="s">
        <v>2136</v>
      </c>
      <c r="B25" s="102">
        <v>46156</v>
      </c>
      <c r="C25" s="103" t="s">
        <v>692</v>
      </c>
      <c r="D25" s="104" t="s">
        <v>43</v>
      </c>
      <c r="E25" s="103" t="s">
        <v>2140</v>
      </c>
      <c r="F25" s="103">
        <v>5401</v>
      </c>
      <c r="G25" s="105">
        <v>-60900</v>
      </c>
      <c r="H25" s="105">
        <f>Cty_Hoang_Vu[[#This Row],[ĐƠN GIÁ]]*Cty_Hoang_Vu[[#This Row],[SỐ LƯỢNG]]</f>
        <v>-328920900</v>
      </c>
      <c r="I25" s="105"/>
      <c r="J25" s="105">
        <f>J24+Cty_Hoang_Vu[[#This Row],[THÀNH TIỀN]]-Cty_Hoang_Vu[[#This Row],[THANH TOÁN]]</f>
        <v>-4968423700</v>
      </c>
      <c r="K25" s="106"/>
    </row>
    <row r="26" spans="1:11" x14ac:dyDescent="0.25">
      <c r="A26" s="101" t="s">
        <v>2145</v>
      </c>
      <c r="B26" s="102">
        <v>46157</v>
      </c>
      <c r="C26" s="103" t="s">
        <v>692</v>
      </c>
      <c r="D26" s="104" t="s">
        <v>43</v>
      </c>
      <c r="E26" s="103" t="s">
        <v>2140</v>
      </c>
      <c r="F26" s="103">
        <v>5206</v>
      </c>
      <c r="G26" s="105">
        <v>-60900</v>
      </c>
      <c r="H26" s="105">
        <f>Cty_Hoang_Vu[[#This Row],[ĐƠN GIÁ]]*Cty_Hoang_Vu[[#This Row],[SỐ LƯỢNG]]</f>
        <v>-317045400</v>
      </c>
      <c r="I26" s="105"/>
      <c r="J26" s="105">
        <f>J25+Cty_Hoang_Vu[[#This Row],[THÀNH TIỀN]]-Cty_Hoang_Vu[[#This Row],[THANH TOÁN]]</f>
        <v>-5285469100</v>
      </c>
      <c r="K26" s="106"/>
    </row>
    <row r="27" spans="1:11" x14ac:dyDescent="0.25">
      <c r="A27" s="101" t="s">
        <v>2145</v>
      </c>
      <c r="B27" s="102">
        <v>46157</v>
      </c>
      <c r="C27" s="103" t="s">
        <v>692</v>
      </c>
      <c r="D27" s="104" t="s">
        <v>43</v>
      </c>
      <c r="E27" s="103" t="s">
        <v>2139</v>
      </c>
      <c r="F27" s="103">
        <v>10669</v>
      </c>
      <c r="G27" s="105">
        <v>-61700</v>
      </c>
      <c r="H27" s="105">
        <f>Cty_Hoang_Vu[[#This Row],[ĐƠN GIÁ]]*Cty_Hoang_Vu[[#This Row],[SỐ LƯỢNG]]</f>
        <v>-658277300</v>
      </c>
      <c r="I27" s="105"/>
      <c r="J27" s="105">
        <f>J26+Cty_Hoang_Vu[[#This Row],[THÀNH TIỀN]]-Cty_Hoang_Vu[[#This Row],[THANH TOÁN]]</f>
        <v>-5943746400</v>
      </c>
      <c r="K27" s="106"/>
    </row>
    <row r="28" spans="1:11" x14ac:dyDescent="0.25">
      <c r="A28" s="101" t="s">
        <v>2145</v>
      </c>
      <c r="B28" s="102">
        <v>46157</v>
      </c>
      <c r="C28" s="103" t="s">
        <v>692</v>
      </c>
      <c r="D28" s="104" t="s">
        <v>43</v>
      </c>
      <c r="E28" s="103" t="s">
        <v>2146</v>
      </c>
      <c r="F28" s="103">
        <v>5324</v>
      </c>
      <c r="G28" s="105">
        <v>-61500</v>
      </c>
      <c r="H28" s="105">
        <f>Cty_Hoang_Vu[[#This Row],[ĐƠN GIÁ]]*Cty_Hoang_Vu[[#This Row],[SỐ LƯỢNG]]</f>
        <v>-327426000</v>
      </c>
      <c r="I28" s="105"/>
      <c r="J28" s="105">
        <f>J27+Cty_Hoang_Vu[[#This Row],[THÀNH TIỀN]]-Cty_Hoang_Vu[[#This Row],[THANH TOÁN]]</f>
        <v>-6271172400</v>
      </c>
      <c r="K28" s="106"/>
    </row>
    <row r="29" spans="1:11" x14ac:dyDescent="0.25">
      <c r="A29" s="101" t="s">
        <v>2145</v>
      </c>
      <c r="B29" s="102">
        <v>46157</v>
      </c>
      <c r="C29" s="103" t="s">
        <v>692</v>
      </c>
      <c r="D29" s="104" t="s">
        <v>43</v>
      </c>
      <c r="E29" s="103" t="s">
        <v>2147</v>
      </c>
      <c r="F29" s="103">
        <v>5324</v>
      </c>
      <c r="G29" s="105">
        <v>-61200</v>
      </c>
      <c r="H29" s="105">
        <f>Cty_Hoang_Vu[[#This Row],[ĐƠN GIÁ]]*Cty_Hoang_Vu[[#This Row],[SỐ LƯỢNG]]</f>
        <v>-325828800</v>
      </c>
      <c r="I29" s="105"/>
      <c r="J29" s="105">
        <f>J28+Cty_Hoang_Vu[[#This Row],[THÀNH TIỀN]]-Cty_Hoang_Vu[[#This Row],[THANH TOÁN]]</f>
        <v>-6597001200</v>
      </c>
      <c r="K29" s="106"/>
    </row>
    <row r="30" spans="1:11" x14ac:dyDescent="0.25">
      <c r="A30" s="101"/>
      <c r="B30" s="102">
        <v>46157</v>
      </c>
      <c r="C30" s="103" t="s">
        <v>654</v>
      </c>
      <c r="D30" s="104" t="s">
        <v>22</v>
      </c>
      <c r="E30" s="103" t="s">
        <v>2134</v>
      </c>
      <c r="F30" s="103"/>
      <c r="G30" s="105"/>
      <c r="H30" s="105">
        <f>Cty_Hoang_Vu[[#This Row],[ĐƠN GIÁ]]*Cty_Hoang_Vu[[#This Row],[SỐ LƯỢNG]]</f>
        <v>0</v>
      </c>
      <c r="I30" s="105">
        <v>-1646494933</v>
      </c>
      <c r="J30" s="105">
        <f>J29+Cty_Hoang_Vu[[#This Row],[THÀNH TIỀN]]-Cty_Hoang_Vu[[#This Row],[THANH TOÁN]]</f>
        <v>-4950506267</v>
      </c>
      <c r="K30" s="106"/>
    </row>
    <row r="31" spans="1:11" x14ac:dyDescent="0.25">
      <c r="A31" s="90" t="s">
        <v>2194</v>
      </c>
      <c r="B31" s="91">
        <v>46158</v>
      </c>
      <c r="C31" s="92" t="s">
        <v>692</v>
      </c>
      <c r="D31" s="93" t="s">
        <v>43</v>
      </c>
      <c r="E31" s="92" t="s">
        <v>2140</v>
      </c>
      <c r="F31" s="103">
        <v>5429</v>
      </c>
      <c r="G31" s="94">
        <v>-60900</v>
      </c>
      <c r="H31" s="105">
        <f>Cty_Hoang_Vu[[#This Row],[ĐƠN GIÁ]]*Cty_Hoang_Vu[[#This Row],[SỐ LƯỢNG]]</f>
        <v>-330626100</v>
      </c>
      <c r="I31" s="94"/>
      <c r="J31" s="94">
        <f>J30+Cty_Hoang_Vu[[#This Row],[THÀNH TIỀN]]-Cty_Hoang_Vu[[#This Row],[THANH TOÁN]]</f>
        <v>-5281132367</v>
      </c>
      <c r="K31" s="95"/>
    </row>
    <row r="32" spans="1:11" x14ac:dyDescent="0.25">
      <c r="A32" s="90" t="s">
        <v>2194</v>
      </c>
      <c r="B32" s="91">
        <v>46158</v>
      </c>
      <c r="C32" s="92" t="s">
        <v>692</v>
      </c>
      <c r="D32" s="93" t="s">
        <v>43</v>
      </c>
      <c r="E32" s="92" t="s">
        <v>2140</v>
      </c>
      <c r="F32" s="103">
        <v>5273</v>
      </c>
      <c r="G32" s="94">
        <v>-60900</v>
      </c>
      <c r="H32" s="105">
        <f>Cty_Hoang_Vu[[#This Row],[ĐƠN GIÁ]]*Cty_Hoang_Vu[[#This Row],[SỐ LƯỢNG]]</f>
        <v>-321125700</v>
      </c>
      <c r="I32" s="94"/>
      <c r="J32" s="94">
        <f>J31+Cty_Hoang_Vu[[#This Row],[THÀNH TIỀN]]-Cty_Hoang_Vu[[#This Row],[THANH TOÁN]]</f>
        <v>-5602258067</v>
      </c>
      <c r="K32" s="95"/>
    </row>
    <row r="33" spans="1:11" x14ac:dyDescent="0.25">
      <c r="A33" s="90"/>
      <c r="B33" s="91">
        <v>46163</v>
      </c>
      <c r="C33" s="92" t="s">
        <v>2214</v>
      </c>
      <c r="D33" s="93" t="s">
        <v>22</v>
      </c>
      <c r="E33" s="92" t="s">
        <v>261</v>
      </c>
      <c r="F33" s="103">
        <v>0</v>
      </c>
      <c r="G33" s="94"/>
      <c r="H33" s="105">
        <f>Cty_Hoang_Vu[[#This Row],[ĐƠN GIÁ]]*Cty_Hoang_Vu[[#This Row],[SỐ LƯỢNG]]</f>
        <v>0</v>
      </c>
      <c r="I33" s="94">
        <v>-651756081</v>
      </c>
      <c r="J33" s="94">
        <f>J32+Cty_Hoang_Vu[[#This Row],[THÀNH TIỀN]]-Cty_Hoang_Vu[[#This Row],[THANH TOÁN]]</f>
        <v>-4950501986</v>
      </c>
      <c r="K33" s="95"/>
    </row>
    <row r="34" spans="1:11" x14ac:dyDescent="0.25">
      <c r="A34" s="90"/>
      <c r="B34" s="91">
        <v>46163</v>
      </c>
      <c r="C34" s="92" t="s">
        <v>2214</v>
      </c>
      <c r="D34" s="93" t="s">
        <v>22</v>
      </c>
      <c r="E34" s="92" t="s">
        <v>261</v>
      </c>
      <c r="F34" s="103">
        <v>0</v>
      </c>
      <c r="G34" s="94"/>
      <c r="H34" s="105">
        <f>Cty_Hoang_Vu[[#This Row],[ĐƠN GIÁ]]*Cty_Hoang_Vu[[#This Row],[SỐ LƯỢNG]]</f>
        <v>0</v>
      </c>
      <c r="I34" s="94">
        <v>-1628577987</v>
      </c>
      <c r="J34" s="94">
        <f>J33+Cty_Hoang_Vu[[#This Row],[THÀNH TIỀN]]-Cty_Hoang_Vu[[#This Row],[THANH TOÁN]]</f>
        <v>-3321923999</v>
      </c>
      <c r="K34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EB89E-2CCF-4F6F-83BC-1F46F2F0A714}">
  <sheetPr codeName="Sheet211"/>
  <dimension ref="A5:K13"/>
  <sheetViews>
    <sheetView workbookViewId="0">
      <selection activeCell="G20" sqref="G20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-21690500</v>
      </c>
    </row>
    <row r="6" spans="1:11" ht="22.5" x14ac:dyDescent="0.25">
      <c r="D6" s="84" t="s">
        <v>2180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>
        <v>46081</v>
      </c>
      <c r="C10" s="92" t="s">
        <v>12</v>
      </c>
      <c r="D10" s="93"/>
      <c r="E10" s="92"/>
      <c r="F10" s="92"/>
      <c r="G10" s="94"/>
      <c r="H10" s="94">
        <f>C_Dung_Tam_Trinh[[#This Row],[ĐƠN GIÁ]]*C_Dung_Tam_Trinh[[#This Row],[SỐ LƯỢNG]]</f>
        <v>0</v>
      </c>
      <c r="I10" s="94"/>
      <c r="J10" s="94">
        <v>0</v>
      </c>
      <c r="K10" s="95"/>
    </row>
    <row r="11" spans="1:11" x14ac:dyDescent="0.25">
      <c r="A11" s="90"/>
      <c r="B11" s="91">
        <v>46148</v>
      </c>
      <c r="C11" s="92" t="s">
        <v>692</v>
      </c>
      <c r="D11" s="93" t="s">
        <v>1965</v>
      </c>
      <c r="E11" s="92" t="s">
        <v>2174</v>
      </c>
      <c r="F11" s="103">
        <v>204.8</v>
      </c>
      <c r="G11" s="94">
        <v>-69500</v>
      </c>
      <c r="H11" s="105">
        <f>C_Dung_Tam_Trinh[[#This Row],[ĐƠN GIÁ]]*C_Dung_Tam_Trinh[[#This Row],[SỐ LƯỢNG]]</f>
        <v>-14233600</v>
      </c>
      <c r="I11" s="94"/>
      <c r="J11" s="94">
        <f>J10+C_Dung_Tam_Trinh[[#This Row],[THÀNH TIỀN]]-C_Dung_Tam_Trinh[[#This Row],[THANH TOÁN]]</f>
        <v>-14233600</v>
      </c>
      <c r="K11" s="95"/>
    </row>
    <row r="12" spans="1:11" x14ac:dyDescent="0.25">
      <c r="A12" s="90"/>
      <c r="B12" s="91">
        <v>46148</v>
      </c>
      <c r="C12" s="92" t="s">
        <v>692</v>
      </c>
      <c r="D12" s="93" t="s">
        <v>1965</v>
      </c>
      <c r="E12" s="92" t="s">
        <v>2175</v>
      </c>
      <c r="F12" s="103">
        <v>90.8</v>
      </c>
      <c r="G12" s="94">
        <v>-68000</v>
      </c>
      <c r="H12" s="105">
        <f>C_Dung_Tam_Trinh[[#This Row],[ĐƠN GIÁ]]*C_Dung_Tam_Trinh[[#This Row],[SỐ LƯỢNG]]</f>
        <v>-6174400</v>
      </c>
      <c r="I12" s="94"/>
      <c r="J12" s="94">
        <f>J11+C_Dung_Tam_Trinh[[#This Row],[THÀNH TIỀN]]-C_Dung_Tam_Trinh[[#This Row],[THANH TOÁN]]</f>
        <v>-20408000</v>
      </c>
      <c r="K12" s="95"/>
    </row>
    <row r="13" spans="1:11" x14ac:dyDescent="0.25">
      <c r="A13" s="90"/>
      <c r="B13" s="91">
        <v>46148</v>
      </c>
      <c r="C13" s="92" t="s">
        <v>692</v>
      </c>
      <c r="D13" s="93" t="s">
        <v>1965</v>
      </c>
      <c r="E13" s="92" t="s">
        <v>2176</v>
      </c>
      <c r="F13" s="103">
        <v>19</v>
      </c>
      <c r="G13" s="94">
        <v>-67500</v>
      </c>
      <c r="H13" s="105">
        <f>C_Dung_Tam_Trinh[[#This Row],[ĐƠN GIÁ]]*C_Dung_Tam_Trinh[[#This Row],[SỐ LƯỢNG]]</f>
        <v>-1282500</v>
      </c>
      <c r="I13" s="94"/>
      <c r="J13" s="94">
        <f>J12+C_Dung_Tam_Trinh[[#This Row],[THÀNH TIỀN]]-C_Dung_Tam_Trinh[[#This Row],[THANH TOÁN]]</f>
        <v>-21690500</v>
      </c>
      <c r="K13" s="95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666BEC-7F0A-42F2-A0A5-DCF7B1726109}">
  <sheetPr codeName="Sheet210"/>
  <dimension ref="A5:K12"/>
  <sheetViews>
    <sheetView workbookViewId="0">
      <selection activeCell="N6" sqref="N6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437014000</v>
      </c>
    </row>
    <row r="6" spans="1:11" ht="22.5" x14ac:dyDescent="0.25">
      <c r="D6" s="84" t="s">
        <v>2235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>
        <v>46081</v>
      </c>
      <c r="C10" s="92" t="s">
        <v>12</v>
      </c>
      <c r="D10" s="93"/>
      <c r="E10" s="92"/>
      <c r="F10" s="92"/>
      <c r="G10" s="94"/>
      <c r="H10" s="94">
        <f>Cty_Sunhouse[[#This Row],[ĐƠN GIÁ]]*Cty_Sunhouse[[#This Row],[SỐ LƯỢNG]]</f>
        <v>0</v>
      </c>
      <c r="I10" s="94"/>
      <c r="J10" s="94">
        <v>0</v>
      </c>
      <c r="K10" s="95"/>
    </row>
    <row r="11" spans="1:11" x14ac:dyDescent="0.25">
      <c r="A11" s="90">
        <v>9502</v>
      </c>
      <c r="B11" s="91">
        <v>46162</v>
      </c>
      <c r="C11" s="92" t="s">
        <v>13</v>
      </c>
      <c r="D11" s="93" t="s">
        <v>26</v>
      </c>
      <c r="E11" s="92" t="s">
        <v>78</v>
      </c>
      <c r="F11" s="103">
        <v>4993</v>
      </c>
      <c r="G11" s="94">
        <v>35300</v>
      </c>
      <c r="H11" s="105">
        <f>Cty_Sunhouse[[#This Row],[ĐƠN GIÁ]]*Cty_Sunhouse[[#This Row],[SỐ LƯỢNG]]</f>
        <v>176252900</v>
      </c>
      <c r="I11" s="94"/>
      <c r="J11" s="94">
        <f>J10+Cty_Sunhouse[[#This Row],[THÀNH TIỀN]]-Cty_Sunhouse[[#This Row],[THANH TOÁN]]</f>
        <v>176252900</v>
      </c>
      <c r="K11" s="95"/>
    </row>
    <row r="12" spans="1:11" x14ac:dyDescent="0.25">
      <c r="A12" s="90">
        <v>9496</v>
      </c>
      <c r="B12" s="91">
        <v>46162</v>
      </c>
      <c r="C12" s="92" t="s">
        <v>13</v>
      </c>
      <c r="D12" s="93" t="s">
        <v>26</v>
      </c>
      <c r="E12" s="92" t="s">
        <v>78</v>
      </c>
      <c r="F12" s="103">
        <v>7387</v>
      </c>
      <c r="G12" s="94">
        <v>35300</v>
      </c>
      <c r="H12" s="105">
        <f>Cty_Sunhouse[[#This Row],[ĐƠN GIÁ]]*Cty_Sunhouse[[#This Row],[SỐ LƯỢNG]]</f>
        <v>260761100</v>
      </c>
      <c r="I12" s="94"/>
      <c r="J12" s="94">
        <f>J11+Cty_Sunhouse[[#This Row],[THÀNH TIỀN]]-Cty_Sunhouse[[#This Row],[THANH TOÁN]]</f>
        <v>437014000</v>
      </c>
      <c r="K12" s="95"/>
    </row>
  </sheetData>
  <pageMargins left="0.7" right="0.7" top="0.75" bottom="0.75" header="0.3" footer="0.3"/>
  <tableParts count="1">
    <tablePart r:id="rId1"/>
  </tableParts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F30E7-7400-4253-81C4-19E9FC25BBFF}">
  <sheetPr codeName="Sheet212"/>
  <dimension ref="A5:K12"/>
  <sheetViews>
    <sheetView workbookViewId="0">
      <selection activeCell="A12" sqref="A12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-500</v>
      </c>
    </row>
    <row r="6" spans="1:11" ht="22.5" x14ac:dyDescent="0.25">
      <c r="D6" s="84" t="s">
        <v>2275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>
        <v>46081</v>
      </c>
      <c r="C10" s="92" t="s">
        <v>12</v>
      </c>
      <c r="D10" s="93"/>
      <c r="E10" s="92"/>
      <c r="F10" s="92"/>
      <c r="G10" s="94"/>
      <c r="H10" s="94">
        <f>Cty_May_NN_Van_Lang[[#This Row],[ĐƠN GIÁ]]*Cty_May_NN_Van_Lang[[#This Row],[SỐ LƯỢNG]]</f>
        <v>0</v>
      </c>
      <c r="I10" s="94"/>
      <c r="J10" s="94">
        <v>0</v>
      </c>
      <c r="K10" s="95"/>
    </row>
    <row r="11" spans="1:11" x14ac:dyDescent="0.25">
      <c r="A11" s="90">
        <v>9543</v>
      </c>
      <c r="B11" s="91">
        <v>46163</v>
      </c>
      <c r="C11" s="92" t="s">
        <v>13</v>
      </c>
      <c r="D11" s="93" t="s">
        <v>17</v>
      </c>
      <c r="E11" s="92" t="s">
        <v>891</v>
      </c>
      <c r="F11" s="103">
        <v>2022</v>
      </c>
      <c r="G11" s="94">
        <v>69000</v>
      </c>
      <c r="H11" s="105">
        <f>Cty_May_NN_Van_Lang[[#This Row],[ĐƠN GIÁ]]*Cty_May_NN_Van_Lang[[#This Row],[SỐ LƯỢNG]]</f>
        <v>139518000</v>
      </c>
      <c r="I11" s="94"/>
      <c r="J11" s="94">
        <f>J10+Cty_May_NN_Van_Lang[[#This Row],[THÀNH TIỀN]]-Cty_May_NN_Van_Lang[[#This Row],[THANH TOÁN]]</f>
        <v>139518000</v>
      </c>
      <c r="K11" s="95">
        <v>2026</v>
      </c>
    </row>
    <row r="12" spans="1:11" x14ac:dyDescent="0.25">
      <c r="A12" s="90"/>
      <c r="B12" s="91">
        <v>46167</v>
      </c>
      <c r="C12" s="92" t="s">
        <v>21</v>
      </c>
      <c r="D12" s="93" t="s">
        <v>22</v>
      </c>
      <c r="E12" s="92" t="s">
        <v>261</v>
      </c>
      <c r="F12" s="103">
        <v>0</v>
      </c>
      <c r="G12" s="94"/>
      <c r="H12" s="105">
        <f>Cty_May_NN_Van_Lang[[#This Row],[ĐƠN GIÁ]]*Cty_May_NN_Van_Lang[[#This Row],[SỐ LƯỢNG]]</f>
        <v>0</v>
      </c>
      <c r="I12" s="94">
        <v>139518500</v>
      </c>
      <c r="J12" s="94">
        <f>J11+Cty_May_NN_Van_Lang[[#This Row],[THÀNH TIỀN]]-Cty_May_NN_Van_Lang[[#This Row],[THANH TOÁN]]</f>
        <v>-500</v>
      </c>
      <c r="K12" s="95"/>
    </row>
  </sheetData>
  <pageMargins left="0.7" right="0.7" top="0.75" bottom="0.75" header="0.3" footer="0.3"/>
  <tableParts count="1">
    <tablePart r:id="rId1"/>
  </tableParts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6F11FE-141F-45AF-996E-2A330F7E82F7}">
  <sheetPr codeName="Sheet213"/>
  <dimension ref="A5:K14"/>
  <sheetViews>
    <sheetView workbookViewId="0">
      <selection activeCell="J17" sqref="J17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424626000</v>
      </c>
    </row>
    <row r="6" spans="1:11" ht="22.5" x14ac:dyDescent="0.25">
      <c r="D6" s="84" t="s">
        <v>2341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>
        <v>46081</v>
      </c>
      <c r="C10" s="92" t="s">
        <v>12</v>
      </c>
      <c r="D10" s="93"/>
      <c r="E10" s="92"/>
      <c r="F10" s="92"/>
      <c r="G10" s="94"/>
      <c r="H10" s="94">
        <f>E_Cap_Hieu_Mon[[#This Row],[ĐƠN GIÁ]]*E_Cap_Hieu_Mon[[#This Row],[SỐ LƯỢNG]]</f>
        <v>0</v>
      </c>
      <c r="I10" s="94"/>
      <c r="J10" s="94">
        <v>0</v>
      </c>
      <c r="K10" s="95"/>
    </row>
    <row r="11" spans="1:11" x14ac:dyDescent="0.25">
      <c r="A11" s="90">
        <v>9606</v>
      </c>
      <c r="B11" s="91">
        <v>46167</v>
      </c>
      <c r="C11" s="92" t="s">
        <v>13</v>
      </c>
      <c r="D11" s="93" t="s">
        <v>26</v>
      </c>
      <c r="E11" s="92" t="s">
        <v>2343</v>
      </c>
      <c r="F11" s="103">
        <v>5550</v>
      </c>
      <c r="G11" s="94">
        <v>34000</v>
      </c>
      <c r="H11" s="105">
        <f>E_Cap_Hieu_Mon[[#This Row],[ĐƠN GIÁ]]*E_Cap_Hieu_Mon[[#This Row],[SỐ LƯỢNG]]</f>
        <v>188700000</v>
      </c>
      <c r="I11" s="94"/>
      <c r="J11" s="94">
        <f>J10+E_Cap_Hieu_Mon[[#This Row],[THÀNH TIỀN]]-E_Cap_Hieu_Mon[[#This Row],[THANH TOÁN]]</f>
        <v>188700000</v>
      </c>
      <c r="K11" s="95"/>
    </row>
    <row r="12" spans="1:11" x14ac:dyDescent="0.25">
      <c r="A12" s="90">
        <v>9606</v>
      </c>
      <c r="B12" s="91">
        <v>46167</v>
      </c>
      <c r="C12" s="92" t="s">
        <v>13</v>
      </c>
      <c r="D12" s="93" t="s">
        <v>26</v>
      </c>
      <c r="E12" s="92" t="s">
        <v>2344</v>
      </c>
      <c r="F12" s="103">
        <v>224</v>
      </c>
      <c r="G12" s="94">
        <v>34000</v>
      </c>
      <c r="H12" s="105">
        <f>E_Cap_Hieu_Mon[[#This Row],[ĐƠN GIÁ]]*E_Cap_Hieu_Mon[[#This Row],[SỐ LƯỢNG]]</f>
        <v>7616000</v>
      </c>
      <c r="I12" s="94"/>
      <c r="J12" s="94">
        <f>J11+E_Cap_Hieu_Mon[[#This Row],[THÀNH TIỀN]]-E_Cap_Hieu_Mon[[#This Row],[THANH TOÁN]]</f>
        <v>196316000</v>
      </c>
      <c r="K12" s="95"/>
    </row>
    <row r="13" spans="1:11" x14ac:dyDescent="0.25">
      <c r="A13" s="90">
        <v>9606</v>
      </c>
      <c r="B13" s="91">
        <v>46167</v>
      </c>
      <c r="C13" s="92" t="s">
        <v>13</v>
      </c>
      <c r="D13" s="93" t="s">
        <v>26</v>
      </c>
      <c r="E13" s="92" t="s">
        <v>2345</v>
      </c>
      <c r="F13" s="103">
        <v>531</v>
      </c>
      <c r="G13" s="94">
        <v>34000</v>
      </c>
      <c r="H13" s="105">
        <f>E_Cap_Hieu_Mon[[#This Row],[ĐƠN GIÁ]]*E_Cap_Hieu_Mon[[#This Row],[SỐ LƯỢNG]]</f>
        <v>18054000</v>
      </c>
      <c r="I13" s="94"/>
      <c r="J13" s="94">
        <f>J12+E_Cap_Hieu_Mon[[#This Row],[THÀNH TIỀN]]-E_Cap_Hieu_Mon[[#This Row],[THANH TOÁN]]</f>
        <v>214370000</v>
      </c>
      <c r="K13" s="95"/>
    </row>
    <row r="14" spans="1:11" x14ac:dyDescent="0.25">
      <c r="A14" s="90">
        <v>9580</v>
      </c>
      <c r="B14" s="91">
        <v>46165</v>
      </c>
      <c r="C14" s="92" t="s">
        <v>13</v>
      </c>
      <c r="D14" s="93" t="s">
        <v>26</v>
      </c>
      <c r="E14" s="92" t="s">
        <v>2355</v>
      </c>
      <c r="F14" s="103">
        <v>6184</v>
      </c>
      <c r="G14" s="94">
        <v>34000</v>
      </c>
      <c r="H14" s="105">
        <f>E_Cap_Hieu_Mon[[#This Row],[ĐƠN GIÁ]]*E_Cap_Hieu_Mon[[#This Row],[SỐ LƯỢNG]]</f>
        <v>210256000</v>
      </c>
      <c r="I14" s="94"/>
      <c r="J14" s="94">
        <f>J13+E_Cap_Hieu_Mon[[#This Row],[THÀNH TIỀN]]-E_Cap_Hieu_Mon[[#This Row],[THANH TOÁN]]</f>
        <v>424626000</v>
      </c>
      <c r="K14" s="95"/>
    </row>
  </sheetData>
  <pageMargins left="0.7" right="0.7" top="0.75" bottom="0.75" header="0.3" footer="0.3"/>
  <tableParts count="1">
    <tablePart r:id="rId1"/>
  </tableParts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F0DCA-29C1-4114-8060-94F3B534D8E6}">
  <sheetPr codeName="Sheet214"/>
  <dimension ref="A5:K15"/>
  <sheetViews>
    <sheetView workbookViewId="0">
      <selection activeCell="E20" sqref="E20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64680000</v>
      </c>
    </row>
    <row r="6" spans="1:11" ht="22.5" x14ac:dyDescent="0.25">
      <c r="D6" s="84" t="s">
        <v>2347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>
        <v>46081</v>
      </c>
      <c r="C10" s="92" t="s">
        <v>12</v>
      </c>
      <c r="D10" s="93"/>
      <c r="E10" s="92"/>
      <c r="F10" s="92"/>
      <c r="G10" s="94"/>
      <c r="H10" s="94">
        <f>Cty_CK_Lang_Rua[[#This Row],[ĐƠN GIÁ]]*Cty_CK_Lang_Rua[[#This Row],[SỐ LƯỢNG]]</f>
        <v>0</v>
      </c>
      <c r="I10" s="94"/>
      <c r="J10" s="94">
        <v>0</v>
      </c>
      <c r="K10" s="95"/>
    </row>
    <row r="11" spans="1:11" x14ac:dyDescent="0.25">
      <c r="A11" s="90"/>
      <c r="B11" s="91"/>
      <c r="C11" s="92"/>
      <c r="D11" s="93"/>
      <c r="E11" s="92"/>
      <c r="F11" s="103"/>
      <c r="G11" s="94"/>
      <c r="H11" s="105">
        <f>Cty_CK_Lang_Rua[[#This Row],[ĐƠN GIÁ]]*Cty_CK_Lang_Rua[[#This Row],[SỐ LƯỢNG]]</f>
        <v>0</v>
      </c>
      <c r="I11" s="94"/>
      <c r="J11" s="94">
        <f>J10+Cty_CK_Lang_Rua[[#This Row],[THÀNH TIỀN]]-Cty_CK_Lang_Rua[[#This Row],[THANH TOÁN]]</f>
        <v>0</v>
      </c>
      <c r="K11" s="95"/>
    </row>
    <row r="12" spans="1:11" x14ac:dyDescent="0.25">
      <c r="A12" s="90">
        <v>9621</v>
      </c>
      <c r="B12" s="91">
        <v>46168</v>
      </c>
      <c r="C12" s="92" t="s">
        <v>13</v>
      </c>
      <c r="D12" s="93" t="s">
        <v>26</v>
      </c>
      <c r="E12" s="92" t="s">
        <v>747</v>
      </c>
      <c r="F12" s="103">
        <v>1960</v>
      </c>
      <c r="G12" s="94">
        <v>33000</v>
      </c>
      <c r="H12" s="105">
        <f>Cty_CK_Lang_Rua[[#This Row],[ĐƠN GIÁ]]*Cty_CK_Lang_Rua[[#This Row],[SỐ LƯỢNG]]</f>
        <v>64680000</v>
      </c>
      <c r="I12" s="94"/>
      <c r="J12" s="94">
        <f>J11+Cty_CK_Lang_Rua[[#This Row],[THÀNH TIỀN]]-Cty_CK_Lang_Rua[[#This Row],[THANH TOÁN]]</f>
        <v>64680000</v>
      </c>
      <c r="K12" s="95"/>
    </row>
    <row r="13" spans="1:11" x14ac:dyDescent="0.25">
      <c r="A13" s="90">
        <v>9657</v>
      </c>
      <c r="B13" s="91">
        <v>46169</v>
      </c>
      <c r="C13" s="92" t="s">
        <v>13</v>
      </c>
      <c r="D13" s="93" t="s">
        <v>26</v>
      </c>
      <c r="E13" s="92" t="s">
        <v>747</v>
      </c>
      <c r="F13" s="103">
        <v>1040</v>
      </c>
      <c r="G13" s="94">
        <v>33000</v>
      </c>
      <c r="H13" s="105">
        <f>Cty_CK_Lang_Rua[[#This Row],[ĐƠN GIÁ]]*Cty_CK_Lang_Rua[[#This Row],[SỐ LƯỢNG]]</f>
        <v>34320000</v>
      </c>
      <c r="I13" s="94"/>
      <c r="J13" s="94">
        <f>J12+Cty_CK_Lang_Rua[[#This Row],[THÀNH TIỀN]]-Cty_CK_Lang_Rua[[#This Row],[THANH TOÁN]]</f>
        <v>99000000</v>
      </c>
      <c r="K13" s="95"/>
    </row>
    <row r="14" spans="1:11" x14ac:dyDescent="0.25">
      <c r="A14" s="90">
        <v>9657</v>
      </c>
      <c r="B14" s="91">
        <v>46169</v>
      </c>
      <c r="C14" s="92" t="s">
        <v>13</v>
      </c>
      <c r="D14" s="93" t="s">
        <v>26</v>
      </c>
      <c r="E14" s="92" t="s">
        <v>796</v>
      </c>
      <c r="F14" s="103">
        <v>1002</v>
      </c>
      <c r="G14" s="94">
        <v>33000</v>
      </c>
      <c r="H14" s="105">
        <f>Cty_CK_Lang_Rua[[#This Row],[ĐƠN GIÁ]]*Cty_CK_Lang_Rua[[#This Row],[SỐ LƯỢNG]]</f>
        <v>33066000</v>
      </c>
      <c r="I14" s="94"/>
      <c r="J14" s="94">
        <f>J13+Cty_CK_Lang_Rua[[#This Row],[THÀNH TIỀN]]-Cty_CK_Lang_Rua[[#This Row],[THANH TOÁN]]</f>
        <v>132066000</v>
      </c>
      <c r="K14" s="95"/>
    </row>
    <row r="15" spans="1:11" x14ac:dyDescent="0.25">
      <c r="A15" s="90"/>
      <c r="B15" s="91">
        <v>46171</v>
      </c>
      <c r="C15" s="92" t="s">
        <v>21</v>
      </c>
      <c r="D15" s="93" t="s">
        <v>22</v>
      </c>
      <c r="E15" s="92" t="s">
        <v>147</v>
      </c>
      <c r="F15" s="103">
        <v>0</v>
      </c>
      <c r="G15" s="94"/>
      <c r="H15" s="105">
        <f>Cty_CK_Lang_Rua[[#This Row],[ĐƠN GIÁ]]*Cty_CK_Lang_Rua[[#This Row],[SỐ LƯỢNG]]</f>
        <v>0</v>
      </c>
      <c r="I15" s="94">
        <v>67386000</v>
      </c>
      <c r="J15" s="94">
        <f>J14+Cty_CK_Lang_Rua[[#This Row],[THÀNH TIỀN]]-Cty_CK_Lang_Rua[[#This Row],[THANH TOÁN]]</f>
        <v>64680000</v>
      </c>
      <c r="K15" s="95"/>
    </row>
  </sheetData>
  <pageMargins left="0.7" right="0.7" top="0.75" bottom="0.75" header="0.3" footer="0.3"/>
  <tableParts count="1">
    <tablePart r:id="rId1"/>
  </tableParts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281D47-F4A1-460C-AE01-0F3E88468189}">
  <sheetPr codeName="Sheet215"/>
  <dimension ref="A5:K12"/>
  <sheetViews>
    <sheetView workbookViewId="0">
      <selection activeCell="D11" sqref="D11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76866000</v>
      </c>
    </row>
    <row r="6" spans="1:11" ht="22.5" x14ac:dyDescent="0.25">
      <c r="D6" s="84" t="s">
        <v>2092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>
        <v>46081</v>
      </c>
      <c r="C10" s="92" t="s">
        <v>12</v>
      </c>
      <c r="D10" s="93"/>
      <c r="E10" s="92"/>
      <c r="F10" s="92"/>
      <c r="G10" s="94"/>
      <c r="H10" s="94">
        <f>Cty_Long_Nguyet[[#This Row],[ĐƠN GIÁ]]*Cty_Long_Nguyet[[#This Row],[SỐ LƯỢNG]]</f>
        <v>0</v>
      </c>
      <c r="I10" s="94"/>
      <c r="J10" s="94">
        <v>0</v>
      </c>
      <c r="K10" s="95"/>
    </row>
    <row r="11" spans="1:11" x14ac:dyDescent="0.25">
      <c r="A11" s="90"/>
      <c r="B11" s="91"/>
      <c r="C11" s="92"/>
      <c r="D11" s="93"/>
      <c r="E11" s="92"/>
      <c r="F11" s="103"/>
      <c r="G11" s="94"/>
      <c r="H11" s="105">
        <f>Cty_Long_Nguyet[[#This Row],[ĐƠN GIÁ]]*Cty_Long_Nguyet[[#This Row],[SỐ LƯỢNG]]</f>
        <v>0</v>
      </c>
      <c r="I11" s="94"/>
      <c r="J11" s="94">
        <f>J10+Cty_Long_Nguyet[[#This Row],[THÀNH TIỀN]]-Cty_Long_Nguyet[[#This Row],[THANH TOÁN]]</f>
        <v>0</v>
      </c>
      <c r="K11" s="95"/>
    </row>
    <row r="12" spans="1:11" x14ac:dyDescent="0.25">
      <c r="A12" s="90">
        <v>9612</v>
      </c>
      <c r="B12" s="91">
        <v>46168</v>
      </c>
      <c r="C12" s="92" t="s">
        <v>13</v>
      </c>
      <c r="D12" s="93" t="s">
        <v>17</v>
      </c>
      <c r="E12" s="92" t="s">
        <v>38</v>
      </c>
      <c r="F12" s="103">
        <v>1114</v>
      </c>
      <c r="G12" s="94">
        <v>69000</v>
      </c>
      <c r="H12" s="105">
        <f>Cty_Long_Nguyet[[#This Row],[ĐƠN GIÁ]]*Cty_Long_Nguyet[[#This Row],[SỐ LƯỢNG]]</f>
        <v>76866000</v>
      </c>
      <c r="I12" s="94"/>
      <c r="J12" s="94">
        <f>J11+Cty_Long_Nguyet[[#This Row],[THÀNH TIỀN]]-Cty_Long_Nguyet[[#This Row],[THANH TOÁN]]</f>
        <v>76866000</v>
      </c>
      <c r="K12" s="95"/>
    </row>
  </sheetData>
  <pageMargins left="0.7" right="0.7" top="0.75" bottom="0.75" header="0.3" footer="0.3"/>
  <tableParts count="1">
    <tablePart r:id="rId1"/>
  </tableParts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2A6A0-8636-4AE6-AB77-8A51BCEFE064}">
  <sheetPr codeName="Sheet216"/>
  <dimension ref="A5:K13"/>
  <sheetViews>
    <sheetView workbookViewId="0">
      <selection activeCell="D10" sqref="D10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122359000</v>
      </c>
    </row>
    <row r="6" spans="1:11" ht="22.5" x14ac:dyDescent="0.25">
      <c r="D6" s="84" t="s">
        <v>2499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>
        <v>46081</v>
      </c>
      <c r="C10" s="92" t="s">
        <v>12</v>
      </c>
      <c r="D10" s="93"/>
      <c r="E10" s="92"/>
      <c r="F10" s="92"/>
      <c r="G10" s="94"/>
      <c r="H10" s="94">
        <f>E_Cuong_TC[[#This Row],[ĐƠN GIÁ]]*E_Cuong_TC[[#This Row],[SỐ LƯỢNG]]</f>
        <v>0</v>
      </c>
      <c r="I10" s="94"/>
      <c r="J10" s="94">
        <f ca="1">N(INDIRECT("R[-1]C", FALSE)) + E_Cuong_TC[[#This Row],[THÀNH TIỀN]] - E_Cuong_TC[[#This Row],[THANH TOÁN]]</f>
        <v>0</v>
      </c>
      <c r="K10" s="95"/>
    </row>
    <row r="11" spans="1:11" x14ac:dyDescent="0.25">
      <c r="A11" s="90">
        <v>9667</v>
      </c>
      <c r="B11" s="91">
        <v>46170</v>
      </c>
      <c r="C11" s="92" t="s">
        <v>13</v>
      </c>
      <c r="D11" s="93" t="s">
        <v>14</v>
      </c>
      <c r="E11" s="92" t="s">
        <v>136</v>
      </c>
      <c r="F11" s="103">
        <v>1224</v>
      </c>
      <c r="G11" s="94">
        <v>42000</v>
      </c>
      <c r="H11" s="105">
        <f>E_Cuong_TC[[#This Row],[ĐƠN GIÁ]]*E_Cuong_TC[[#This Row],[SỐ LƯỢNG]]</f>
        <v>51408000</v>
      </c>
      <c r="I11" s="94"/>
      <c r="J11" s="94">
        <f ca="1">N(INDIRECT("R[-1]C", FALSE)) + E_Cuong_TC[[#This Row],[THÀNH TIỀN]] - E_Cuong_TC[[#This Row],[THANH TOÁN]]</f>
        <v>51408000</v>
      </c>
      <c r="K11" s="95"/>
    </row>
    <row r="12" spans="1:11" x14ac:dyDescent="0.25">
      <c r="A12" s="90">
        <v>9667</v>
      </c>
      <c r="B12" s="91">
        <v>46170</v>
      </c>
      <c r="C12" s="92" t="s">
        <v>13</v>
      </c>
      <c r="D12" s="93" t="s">
        <v>43</v>
      </c>
      <c r="E12" s="92" t="s">
        <v>146</v>
      </c>
      <c r="F12" s="103">
        <v>519</v>
      </c>
      <c r="G12" s="94">
        <v>61000</v>
      </c>
      <c r="H12" s="105">
        <f>E_Cuong_TC[[#This Row],[ĐƠN GIÁ]]*E_Cuong_TC[[#This Row],[SỐ LƯỢNG]]</f>
        <v>31659000</v>
      </c>
      <c r="I12" s="94"/>
      <c r="J12" s="94">
        <f ca="1">N(INDIRECT("R[-1]C", FALSE)) + E_Cuong_TC[[#This Row],[THÀNH TIỀN]] - E_Cuong_TC[[#This Row],[THANH TOÁN]]</f>
        <v>83067000</v>
      </c>
      <c r="K12" s="95"/>
    </row>
    <row r="13" spans="1:11" x14ac:dyDescent="0.25">
      <c r="A13" s="90">
        <v>9692</v>
      </c>
      <c r="B13" s="91">
        <v>46171</v>
      </c>
      <c r="C13" s="92" t="s">
        <v>13</v>
      </c>
      <c r="D13" s="93" t="s">
        <v>135</v>
      </c>
      <c r="E13" s="92" t="s">
        <v>62</v>
      </c>
      <c r="F13" s="103">
        <v>1034</v>
      </c>
      <c r="G13" s="94">
        <v>38000</v>
      </c>
      <c r="H13" s="105">
        <f>E_Cuong_TC[[#This Row],[ĐƠN GIÁ]]*E_Cuong_TC[[#This Row],[SỐ LƯỢNG]]</f>
        <v>39292000</v>
      </c>
      <c r="I13" s="94"/>
      <c r="J13" s="94">
        <f ca="1">N(INDIRECT("R[-1]C", FALSE)) + E_Cuong_TC[[#This Row],[THÀNH TIỀN]] - E_Cuong_TC[[#This Row],[THANH TOÁN]]</f>
        <v>122359000</v>
      </c>
      <c r="K13" s="95"/>
    </row>
  </sheetData>
  <pageMargins left="0.7" right="0.7" top="0.75" bottom="0.75" header="0.3" footer="0.3"/>
  <tableParts count="1">
    <tablePart r:id="rId1"/>
  </tableParts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F6EAF8-50DE-46F9-B46C-EA7B90C4FE4F}">
  <sheetPr codeName="Sheet217"/>
  <dimension ref="A5:K14"/>
  <sheetViews>
    <sheetView workbookViewId="0">
      <selection activeCell="F22" sqref="F22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192212000</v>
      </c>
    </row>
    <row r="6" spans="1:11" ht="22.5" x14ac:dyDescent="0.25">
      <c r="D6" s="84" t="s">
        <v>2509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>
        <v>46081</v>
      </c>
      <c r="C10" s="92" t="s">
        <v>12</v>
      </c>
      <c r="D10" s="93"/>
      <c r="E10" s="92"/>
      <c r="F10" s="92"/>
      <c r="G10" s="94"/>
      <c r="H10" s="94">
        <f>Cty_HQ_Tech[[#This Row],[ĐƠN GIÁ]]*Cty_HQ_Tech[[#This Row],[SỐ LƯỢNG]]</f>
        <v>0</v>
      </c>
      <c r="I10" s="94"/>
      <c r="J10" s="94">
        <f ca="1">N(INDIRECT("R[-1]C", FALSE)) + Cty_HQ_Tech[[#This Row],[THÀNH TIỀN]] - Cty_HQ_Tech[[#This Row],[THANH TOÁN]]</f>
        <v>0</v>
      </c>
      <c r="K10" s="95"/>
    </row>
    <row r="11" spans="1:11" x14ac:dyDescent="0.25">
      <c r="A11" s="90"/>
      <c r="B11" s="91">
        <v>46171</v>
      </c>
      <c r="C11" s="92" t="s">
        <v>13</v>
      </c>
      <c r="D11" s="93" t="s">
        <v>27</v>
      </c>
      <c r="E11" s="92" t="s">
        <v>2511</v>
      </c>
      <c r="F11" s="103">
        <v>1858</v>
      </c>
      <c r="G11" s="94">
        <v>500</v>
      </c>
      <c r="H11" s="105">
        <f>Cty_HQ_Tech[[#This Row],[ĐƠN GIÁ]]*Cty_HQ_Tech[[#This Row],[SỐ LƯỢNG]]</f>
        <v>929000</v>
      </c>
      <c r="I11" s="94"/>
      <c r="J11" s="94">
        <f ca="1">N(INDIRECT("R[-1]C", FALSE)) + Cty_HQ_Tech[[#This Row],[THÀNH TIỀN]] - Cty_HQ_Tech[[#This Row],[THANH TOÁN]]</f>
        <v>929000</v>
      </c>
      <c r="K11" s="95"/>
    </row>
    <row r="12" spans="1:11" x14ac:dyDescent="0.25">
      <c r="A12" s="90"/>
      <c r="B12" s="91">
        <v>46171</v>
      </c>
      <c r="C12" s="92" t="s">
        <v>13</v>
      </c>
      <c r="D12" s="93" t="s">
        <v>27</v>
      </c>
      <c r="E12" s="92" t="s">
        <v>191</v>
      </c>
      <c r="F12" s="103">
        <v>1456</v>
      </c>
      <c r="G12" s="94">
        <v>500</v>
      </c>
      <c r="H12" s="105">
        <f>Cty_HQ_Tech[[#This Row],[ĐƠN GIÁ]]*Cty_HQ_Tech[[#This Row],[SỐ LƯỢNG]]</f>
        <v>728000</v>
      </c>
      <c r="I12" s="94"/>
      <c r="J12" s="94">
        <f ca="1">N(INDIRECT("R[-1]C", FALSE)) + Cty_HQ_Tech[[#This Row],[THÀNH TIỀN]] - Cty_HQ_Tech[[#This Row],[THANH TOÁN]]</f>
        <v>1657000</v>
      </c>
      <c r="K12" s="95"/>
    </row>
    <row r="13" spans="1:11" x14ac:dyDescent="0.25">
      <c r="A13" s="90">
        <v>9714</v>
      </c>
      <c r="B13" s="91">
        <v>46172</v>
      </c>
      <c r="C13" s="92" t="s">
        <v>13</v>
      </c>
      <c r="D13" s="93" t="s">
        <v>43</v>
      </c>
      <c r="E13" s="92" t="s">
        <v>1763</v>
      </c>
      <c r="F13" s="103">
        <v>1858</v>
      </c>
      <c r="G13" s="94">
        <v>57500</v>
      </c>
      <c r="H13" s="105">
        <f>Cty_HQ_Tech[[#This Row],[ĐƠN GIÁ]]*Cty_HQ_Tech[[#This Row],[SỐ LƯỢNG]]</f>
        <v>106835000</v>
      </c>
      <c r="I13" s="94"/>
      <c r="J13" s="94">
        <f ca="1">N(INDIRECT("R[-1]C", FALSE)) + Cty_HQ_Tech[[#This Row],[THÀNH TIỀN]] - Cty_HQ_Tech[[#This Row],[THANH TOÁN]]</f>
        <v>108492000</v>
      </c>
      <c r="K13" s="95"/>
    </row>
    <row r="14" spans="1:11" x14ac:dyDescent="0.25">
      <c r="A14" s="90">
        <v>9714</v>
      </c>
      <c r="B14" s="91">
        <v>46172</v>
      </c>
      <c r="C14" s="92" t="s">
        <v>13</v>
      </c>
      <c r="D14" s="93" t="s">
        <v>43</v>
      </c>
      <c r="E14" s="92" t="s">
        <v>110</v>
      </c>
      <c r="F14" s="103">
        <v>1456</v>
      </c>
      <c r="G14" s="94">
        <v>57500</v>
      </c>
      <c r="H14" s="105">
        <f>Cty_HQ_Tech[[#This Row],[ĐƠN GIÁ]]*Cty_HQ_Tech[[#This Row],[SỐ LƯỢNG]]</f>
        <v>83720000</v>
      </c>
      <c r="I14" s="94"/>
      <c r="J14" s="94">
        <f ca="1">N(INDIRECT("R[-1]C", FALSE)) + Cty_HQ_Tech[[#This Row],[THÀNH TIỀN]] - Cty_HQ_Tech[[#This Row],[THANH TOÁN]]</f>
        <v>192212000</v>
      </c>
      <c r="K14" s="95"/>
    </row>
  </sheetData>
  <pageMargins left="0.7" right="0.7" top="0.75" bottom="0.75" header="0.3" footer="0.3"/>
  <tableParts count="1">
    <tablePart r:id="rId1"/>
  </tableParts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6B40A-F6EE-4F2C-9DEA-5CF3F0F84CD3}">
  <sheetPr codeName="Sheet218"/>
  <dimension ref="A5:K12"/>
  <sheetViews>
    <sheetView workbookViewId="0">
      <selection activeCell="E22" sqref="E22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62244000</v>
      </c>
    </row>
    <row r="6" spans="1:11" ht="22.5" x14ac:dyDescent="0.25">
      <c r="D6" s="84" t="s">
        <v>2514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>
        <v>46081</v>
      </c>
      <c r="C10" s="92" t="s">
        <v>12</v>
      </c>
      <c r="D10" s="93"/>
      <c r="E10" s="92"/>
      <c r="F10" s="92"/>
      <c r="G10" s="94"/>
      <c r="H10" s="94">
        <f>Cty_Thuy_Dung_BN[[#This Row],[ĐƠN GIÁ]]*Cty_Thuy_Dung_BN[[#This Row],[SỐ LƯỢNG]]</f>
        <v>0</v>
      </c>
      <c r="I10" s="94"/>
      <c r="J10" s="94">
        <f ca="1">N(INDIRECT("R[-1]C", FALSE)) + Cty_Thuy_Dung_BN[[#This Row],[THÀNH TIỀN]] - Cty_Thuy_Dung_BN[[#This Row],[THANH TOÁN]]</f>
        <v>0</v>
      </c>
      <c r="K10" s="95"/>
    </row>
    <row r="11" spans="1:11" x14ac:dyDescent="0.25">
      <c r="A11" s="90"/>
      <c r="B11" s="91"/>
      <c r="C11" s="92"/>
      <c r="D11" s="93"/>
      <c r="E11" s="92"/>
      <c r="F11" s="103"/>
      <c r="G11" s="94"/>
      <c r="H11" s="105">
        <f>Cty_Thuy_Dung_BN[[#This Row],[ĐƠN GIÁ]]*Cty_Thuy_Dung_BN[[#This Row],[SỐ LƯỢNG]]</f>
        <v>0</v>
      </c>
      <c r="I11" s="94"/>
      <c r="J11" s="94">
        <f ca="1">N(INDIRECT("R[-1]C", FALSE)) + Cty_Thuy_Dung_BN[[#This Row],[THÀNH TIỀN]] - Cty_Thuy_Dung_BN[[#This Row],[THANH TOÁN]]</f>
        <v>0</v>
      </c>
      <c r="K11" s="95"/>
    </row>
    <row r="12" spans="1:11" x14ac:dyDescent="0.25">
      <c r="A12" s="90">
        <v>9695</v>
      </c>
      <c r="B12" s="91">
        <v>46171</v>
      </c>
      <c r="C12" s="92" t="s">
        <v>13</v>
      </c>
      <c r="D12" s="93" t="s">
        <v>43</v>
      </c>
      <c r="E12" s="92" t="s">
        <v>78</v>
      </c>
      <c r="F12" s="103">
        <v>1092</v>
      </c>
      <c r="G12" s="94">
        <v>57000</v>
      </c>
      <c r="H12" s="105">
        <f>Cty_Thuy_Dung_BN[[#This Row],[ĐƠN GIÁ]]*Cty_Thuy_Dung_BN[[#This Row],[SỐ LƯỢNG]]</f>
        <v>62244000</v>
      </c>
      <c r="I12" s="94"/>
      <c r="J12" s="94">
        <f ca="1">N(INDIRECT("R[-1]C", FALSE)) + Cty_Thuy_Dung_BN[[#This Row],[THÀNH TIỀN]] - Cty_Thuy_Dung_BN[[#This Row],[THANH TOÁN]]</f>
        <v>62244000</v>
      </c>
      <c r="K12" s="95" t="s">
        <v>42</v>
      </c>
    </row>
  </sheetData>
  <pageMargins left="0.7" right="0.7" top="0.75" bottom="0.75" header="0.3" footer="0.3"/>
  <tableParts count="1">
    <tablePart r:id="rId1"/>
  </tableParts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AC831E-9ECA-4655-8F43-4C1565C55EBF}">
  <sheetPr codeName="Sheet219"/>
  <dimension ref="A5:K12"/>
  <sheetViews>
    <sheetView workbookViewId="0">
      <selection activeCell="C18" sqref="C18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45768000</v>
      </c>
    </row>
    <row r="6" spans="1:11" ht="22.5" x14ac:dyDescent="0.25">
      <c r="D6" s="84" t="s">
        <v>2539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>
        <v>46081</v>
      </c>
      <c r="C10" s="92" t="s">
        <v>12</v>
      </c>
      <c r="D10" s="93"/>
      <c r="E10" s="92"/>
      <c r="F10" s="92"/>
      <c r="G10" s="94"/>
      <c r="H10" s="94">
        <f>Cty_Nam_Hong[[#This Row],[ĐƠN GIÁ]]*Cty_Nam_Hong[[#This Row],[SỐ LƯỢNG]]</f>
        <v>0</v>
      </c>
      <c r="I10" s="94"/>
      <c r="J10" s="94">
        <f ca="1">N(INDIRECT("R[-1]C", FALSE)) + Cty_Nam_Hong[[#This Row],[THÀNH TIỀN]] - Cty_Nam_Hong[[#This Row],[THANH TOÁN]]</f>
        <v>0</v>
      </c>
      <c r="K10" s="95"/>
    </row>
    <row r="11" spans="1:11" x14ac:dyDescent="0.25">
      <c r="A11" s="90">
        <v>9733</v>
      </c>
      <c r="B11" s="91">
        <v>46174</v>
      </c>
      <c r="C11" s="92" t="s">
        <v>13</v>
      </c>
      <c r="D11" s="93" t="s">
        <v>17</v>
      </c>
      <c r="E11" s="92" t="s">
        <v>25</v>
      </c>
      <c r="F11" s="103">
        <v>444</v>
      </c>
      <c r="G11" s="94">
        <v>68000</v>
      </c>
      <c r="H11" s="105">
        <f>Cty_Nam_Hong[[#This Row],[ĐƠN GIÁ]]*Cty_Nam_Hong[[#This Row],[SỐ LƯỢNG]]</f>
        <v>30192000</v>
      </c>
      <c r="I11" s="94"/>
      <c r="J11" s="94">
        <f ca="1">N(INDIRECT("R[-1]C", FALSE)) + Cty_Nam_Hong[[#This Row],[THÀNH TIỀN]] - Cty_Nam_Hong[[#This Row],[THANH TOÁN]]</f>
        <v>30192000</v>
      </c>
      <c r="K11" s="95"/>
    </row>
    <row r="12" spans="1:11" x14ac:dyDescent="0.25">
      <c r="A12" s="90">
        <v>9733</v>
      </c>
      <c r="B12" s="91">
        <v>46174</v>
      </c>
      <c r="C12" s="92" t="s">
        <v>13</v>
      </c>
      <c r="D12" s="93" t="s">
        <v>43</v>
      </c>
      <c r="E12" s="92" t="s">
        <v>249</v>
      </c>
      <c r="F12" s="103">
        <v>236</v>
      </c>
      <c r="G12" s="94">
        <v>66000</v>
      </c>
      <c r="H12" s="105">
        <f>Cty_Nam_Hong[[#This Row],[ĐƠN GIÁ]]*Cty_Nam_Hong[[#This Row],[SỐ LƯỢNG]]</f>
        <v>15576000</v>
      </c>
      <c r="I12" s="94"/>
      <c r="J12" s="94">
        <f ca="1">N(INDIRECT("R[-1]C", FALSE)) + Cty_Nam_Hong[[#This Row],[THÀNH TIỀN]] - Cty_Nam_Hong[[#This Row],[THANH TOÁN]]</f>
        <v>45768000</v>
      </c>
      <c r="K12" s="95"/>
    </row>
  </sheetData>
  <pageMargins left="0.7" right="0.7" top="0.75" bottom="0.75" header="0.3" footer="0.3"/>
  <tableParts count="1">
    <tablePart r:id="rId1"/>
  </tableParts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3EDDB2-7C14-4C3D-BDF0-841F56EFAA01}">
  <sheetPr codeName="Sheet221"/>
  <dimension ref="A5:K14"/>
  <sheetViews>
    <sheetView workbookViewId="0">
      <selection activeCell="I20" sqref="I20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0</v>
      </c>
    </row>
    <row r="6" spans="1:11" ht="22.5" x14ac:dyDescent="0.25">
      <c r="D6" s="84" t="s">
        <v>2092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>
        <v>46081</v>
      </c>
      <c r="C10" s="92" t="s">
        <v>12</v>
      </c>
      <c r="D10" s="93"/>
      <c r="E10" s="92"/>
      <c r="F10" s="92"/>
      <c r="G10" s="94"/>
      <c r="H10" s="94">
        <f>Cty_AKhoa[[#This Row],[ĐƠN GIÁ]]*Cty_AKhoa[[#This Row],[SỐ LƯỢNG]]</f>
        <v>0</v>
      </c>
      <c r="I10" s="94"/>
      <c r="J10" s="94">
        <f ca="1">N(INDIRECT("R[-1]C", FALSE)) + Cty_AKhoa[[#This Row],[THÀNH TIỀN]] - Cty_AKhoa[[#This Row],[THANH TOÁN]]</f>
        <v>0</v>
      </c>
      <c r="K10" s="95"/>
    </row>
    <row r="11" spans="1:11" x14ac:dyDescent="0.25">
      <c r="A11" s="213">
        <v>1013</v>
      </c>
      <c r="B11" s="214">
        <v>46160</v>
      </c>
      <c r="C11" s="215" t="s">
        <v>692</v>
      </c>
      <c r="D11" s="216" t="s">
        <v>14</v>
      </c>
      <c r="E11" s="215" t="s">
        <v>1283</v>
      </c>
      <c r="F11" s="211">
        <v>4890</v>
      </c>
      <c r="G11" s="217">
        <v>-39908</v>
      </c>
      <c r="H11" s="212">
        <f>Cty_AKhoa[[#This Row],[ĐƠN GIÁ]]*Cty_AKhoa[[#This Row],[SỐ LƯỢNG]]</f>
        <v>-195150120</v>
      </c>
      <c r="I11" s="217"/>
      <c r="J11" s="217">
        <f ca="1">N(INDIRECT("R[-1]C", FALSE)) + Cty_AKhoa[[#This Row],[THÀNH TIỀN]] - Cty_AKhoa[[#This Row],[THANH TOÁN]]</f>
        <v>-195150120</v>
      </c>
      <c r="K11" s="218"/>
    </row>
    <row r="12" spans="1:11" x14ac:dyDescent="0.25">
      <c r="A12" s="213"/>
      <c r="B12" s="214">
        <v>46160</v>
      </c>
      <c r="C12" s="215" t="s">
        <v>2214</v>
      </c>
      <c r="D12" s="216" t="s">
        <v>260</v>
      </c>
      <c r="E12" s="215" t="s">
        <v>261</v>
      </c>
      <c r="F12" s="211">
        <v>0</v>
      </c>
      <c r="G12" s="217"/>
      <c r="H12" s="212">
        <f>Cty_AKhoa[[#This Row],[ĐƠN GIÁ]]*Cty_AKhoa[[#This Row],[SỐ LƯỢNG]]</f>
        <v>0</v>
      </c>
      <c r="I12" s="217">
        <v>-195155391</v>
      </c>
      <c r="J12" s="217">
        <f ca="1">N(INDIRECT("R[-1]C", FALSE)) + Cty_AKhoa[[#This Row],[THÀNH TIỀN]] - Cty_AKhoa[[#This Row],[THANH TOÁN]]</f>
        <v>5271</v>
      </c>
      <c r="K12" s="218"/>
    </row>
    <row r="13" spans="1:11" x14ac:dyDescent="0.25">
      <c r="A13" s="213"/>
      <c r="B13" s="214">
        <v>46169</v>
      </c>
      <c r="C13" s="215" t="s">
        <v>2214</v>
      </c>
      <c r="D13" s="216" t="s">
        <v>260</v>
      </c>
      <c r="E13" s="215" t="s">
        <v>261</v>
      </c>
      <c r="F13" s="211">
        <v>0</v>
      </c>
      <c r="G13" s="217"/>
      <c r="H13" s="212">
        <f>Cty_AKhoa[[#This Row],[ĐƠN GIÁ]]*Cty_AKhoa[[#This Row],[SỐ LƯỢNG]]</f>
        <v>0</v>
      </c>
      <c r="I13" s="217">
        <v>-210097017</v>
      </c>
      <c r="J13" s="217">
        <f ca="1">N(INDIRECT("R[-1]C", FALSE)) + Cty_AKhoa[[#This Row],[THÀNH TIỀN]] - Cty_AKhoa[[#This Row],[THANH TOÁN]]</f>
        <v>210102288</v>
      </c>
      <c r="K13" s="218"/>
    </row>
    <row r="14" spans="1:11" x14ac:dyDescent="0.25">
      <c r="A14" s="219">
        <v>1016</v>
      </c>
      <c r="B14" s="220">
        <v>46169</v>
      </c>
      <c r="C14" s="221" t="s">
        <v>13</v>
      </c>
      <c r="D14" s="222" t="s">
        <v>701</v>
      </c>
      <c r="E14" s="221" t="s">
        <v>2583</v>
      </c>
      <c r="F14" s="223">
        <v>5531</v>
      </c>
      <c r="G14" s="224"/>
      <c r="H14" s="225">
        <f>Cty_AKhoa[[#This Row],[ĐƠN GIÁ]]*Cty_AKhoa[[#This Row],[SỐ LƯỢNG]]</f>
        <v>0</v>
      </c>
      <c r="I14" s="224"/>
      <c r="J14" s="224">
        <f ca="1">N(INDIRECT("R[-1]C", FALSE)) + Cty_AKhoa[[#This Row],[THÀNH TIỀN]] - Cty_AKhoa[[#This Row],[THANH TOÁN]]</f>
        <v>210102288</v>
      </c>
      <c r="K14" s="226"/>
    </row>
  </sheetData>
  <pageMargins left="0.7" right="0.7" top="0.75" bottom="0.75" header="0.3" footer="0.3"/>
  <tableParts count="1">
    <tablePart r:id="rId1"/>
  </tableParts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6F3FD9-E51E-4973-840F-FDAC2571DEAC}">
  <sheetPr codeName="Sheet220"/>
  <dimension ref="A5:K10"/>
  <sheetViews>
    <sheetView workbookViewId="0">
      <selection activeCell="F29" sqref="F29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bestFit="1" customWidth="1"/>
    <col min="4" max="4" width="19.28515625" style="81" customWidth="1"/>
    <col min="5" max="5" width="20.5703125" style="81" bestFit="1" customWidth="1"/>
    <col min="6" max="6" width="18.5703125" style="81" bestFit="1" customWidth="1"/>
    <col min="7" max="7" width="23.28515625" style="81" bestFit="1" customWidth="1"/>
    <col min="8" max="8" width="24.42578125" style="81" bestFit="1" customWidth="1"/>
    <col min="9" max="9" width="19.140625" style="81" bestFit="1" customWidth="1"/>
    <col min="10" max="10" width="15" style="81" bestFit="1" customWidth="1"/>
    <col min="11" max="11" width="16.140625" style="81" customWidth="1"/>
    <col min="12" max="14" width="9.140625" style="81"/>
    <col min="15" max="15" width="12.42578125" style="81" bestFit="1" customWidth="1"/>
    <col min="16" max="16384" width="9.140625" style="81"/>
  </cols>
  <sheetData>
    <row r="5" spans="1:11" ht="25.5" x14ac:dyDescent="0.25">
      <c r="D5" s="82" t="s">
        <v>0</v>
      </c>
      <c r="E5" s="82"/>
      <c r="F5" s="162">
        <v>0</v>
      </c>
    </row>
    <row r="6" spans="1:11" ht="22.5" x14ac:dyDescent="0.25">
      <c r="D6" s="84" t="s">
        <v>2092</v>
      </c>
      <c r="E6" s="84"/>
      <c r="F6" s="83"/>
    </row>
    <row r="9" spans="1:11" ht="37.5" x14ac:dyDescent="0.25">
      <c r="A9" s="85" t="s">
        <v>2</v>
      </c>
      <c r="B9" s="86" t="s">
        <v>3</v>
      </c>
      <c r="C9" s="87" t="s">
        <v>4</v>
      </c>
      <c r="D9" s="87" t="s">
        <v>5</v>
      </c>
      <c r="E9" s="87" t="s">
        <v>6</v>
      </c>
      <c r="F9" s="87" t="s">
        <v>7</v>
      </c>
      <c r="G9" s="87" t="s">
        <v>2011</v>
      </c>
      <c r="H9" s="87" t="s">
        <v>8</v>
      </c>
      <c r="I9" s="87" t="s">
        <v>9</v>
      </c>
      <c r="J9" s="88" t="s">
        <v>10</v>
      </c>
      <c r="K9" s="89" t="s">
        <v>11</v>
      </c>
    </row>
    <row r="10" spans="1:11" x14ac:dyDescent="0.25">
      <c r="A10" s="90"/>
      <c r="B10" s="91">
        <v>46081</v>
      </c>
      <c r="C10" s="92" t="s">
        <v>12</v>
      </c>
      <c r="D10" s="93"/>
      <c r="E10" s="92"/>
      <c r="F10" s="92"/>
      <c r="G10" s="94"/>
      <c r="H10" s="94">
        <f>Mau[[#This Row],[ĐƠN GIÁ]]*Mau[[#This Row],[SỐ LƯỢNG]]</f>
        <v>0</v>
      </c>
      <c r="I10" s="94"/>
      <c r="J10" s="94">
        <f ca="1">N(INDIRECT("R[-1]C", FALSE)) + Mau[[#This Row],[THÀNH TIỀN]] - Mau[[#This Row],[THANH TOÁN]]</f>
        <v>0</v>
      </c>
      <c r="K10" s="95"/>
    </row>
  </sheetData>
  <pageMargins left="0.7" right="0.7" top="0.75" bottom="0.75" header="0.3" footer="0.3"/>
  <tableParts count="1">
    <tablePart r:id="rId1"/>
  </tableParts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338B78-CC02-4363-BA17-D462779CEC4D}">
  <sheetPr codeName="Sheet142"/>
  <dimension ref="A1:J722"/>
  <sheetViews>
    <sheetView topLeftCell="A259" workbookViewId="0">
      <selection activeCell="G148" sqref="G148"/>
    </sheetView>
  </sheetViews>
  <sheetFormatPr defaultRowHeight="15" x14ac:dyDescent="0.25"/>
  <cols>
    <col min="1" max="1" width="20.85546875" bestFit="1" customWidth="1"/>
    <col min="2" max="2" width="19.28515625" bestFit="1" customWidth="1"/>
    <col min="3" max="3" width="21.42578125" style="100" bestFit="1" customWidth="1"/>
    <col min="4" max="4" width="19.5703125" bestFit="1" customWidth="1"/>
    <col min="5" max="5" width="21.140625" bestFit="1" customWidth="1"/>
    <col min="6" max="6" width="34" bestFit="1" customWidth="1"/>
    <col min="7" max="7" width="21.5703125" bestFit="1" customWidth="1"/>
    <col min="8" max="8" width="19.5703125" bestFit="1" customWidth="1"/>
    <col min="9" max="9" width="22.5703125" bestFit="1" customWidth="1"/>
    <col min="10" max="10" width="62.85546875" bestFit="1" customWidth="1"/>
    <col min="11" max="11" width="27.28515625" bestFit="1" customWidth="1"/>
  </cols>
  <sheetData>
    <row r="1" spans="1:10" x14ac:dyDescent="0.25">
      <c r="A1" t="s">
        <v>2256</v>
      </c>
      <c r="B1" t="s">
        <v>2247</v>
      </c>
      <c r="C1" s="100" t="s">
        <v>2248</v>
      </c>
      <c r="D1" t="s">
        <v>2249</v>
      </c>
      <c r="E1" t="s">
        <v>2250</v>
      </c>
      <c r="F1" t="s">
        <v>2251</v>
      </c>
      <c r="G1" t="s">
        <v>2252</v>
      </c>
      <c r="H1" t="s">
        <v>2253</v>
      </c>
      <c r="I1" t="s">
        <v>2254</v>
      </c>
      <c r="J1" t="s">
        <v>2255</v>
      </c>
    </row>
    <row r="2" spans="1:10" x14ac:dyDescent="0.25">
      <c r="A2" s="210" t="s">
        <v>1476</v>
      </c>
      <c r="B2">
        <v>6923</v>
      </c>
      <c r="C2" s="100">
        <v>46025</v>
      </c>
      <c r="D2" t="s">
        <v>49</v>
      </c>
      <c r="E2" t="s">
        <v>56</v>
      </c>
      <c r="F2" t="s">
        <v>117</v>
      </c>
      <c r="G2">
        <v>184</v>
      </c>
      <c r="I2">
        <v>0</v>
      </c>
    </row>
    <row r="3" spans="1:10" x14ac:dyDescent="0.25">
      <c r="A3" s="210" t="s">
        <v>1476</v>
      </c>
      <c r="B3">
        <v>6923</v>
      </c>
      <c r="C3" s="100">
        <v>46025</v>
      </c>
      <c r="D3" t="s">
        <v>49</v>
      </c>
      <c r="E3" t="s">
        <v>56</v>
      </c>
      <c r="F3" t="s">
        <v>403</v>
      </c>
      <c r="G3">
        <v>184</v>
      </c>
      <c r="I3">
        <v>0</v>
      </c>
    </row>
    <row r="4" spans="1:10" x14ac:dyDescent="0.25">
      <c r="A4" s="210" t="s">
        <v>1476</v>
      </c>
      <c r="B4">
        <v>6938</v>
      </c>
      <c r="C4" s="100">
        <v>46025</v>
      </c>
      <c r="D4" t="s">
        <v>49</v>
      </c>
      <c r="E4" t="s">
        <v>150</v>
      </c>
      <c r="F4" t="s">
        <v>2370</v>
      </c>
      <c r="G4">
        <v>56</v>
      </c>
      <c r="I4">
        <v>0</v>
      </c>
    </row>
    <row r="5" spans="1:10" x14ac:dyDescent="0.25">
      <c r="A5" s="210" t="s">
        <v>1476</v>
      </c>
      <c r="B5">
        <v>7014</v>
      </c>
      <c r="C5" s="100">
        <v>46028</v>
      </c>
      <c r="D5" t="s">
        <v>49</v>
      </c>
      <c r="E5" t="s">
        <v>50</v>
      </c>
      <c r="F5" s="107" t="s">
        <v>2381</v>
      </c>
      <c r="G5" s="107">
        <v>138</v>
      </c>
      <c r="I5">
        <v>0</v>
      </c>
      <c r="J5" t="s">
        <v>2382</v>
      </c>
    </row>
    <row r="6" spans="1:10" x14ac:dyDescent="0.25">
      <c r="A6" s="210" t="s">
        <v>1476</v>
      </c>
      <c r="B6">
        <v>7014</v>
      </c>
      <c r="C6" s="100">
        <v>46028</v>
      </c>
      <c r="D6" t="s">
        <v>49</v>
      </c>
      <c r="E6" t="s">
        <v>56</v>
      </c>
      <c r="F6" t="s">
        <v>117</v>
      </c>
      <c r="G6">
        <v>300</v>
      </c>
      <c r="I6">
        <v>0</v>
      </c>
      <c r="J6" t="s">
        <v>2385</v>
      </c>
    </row>
    <row r="7" spans="1:10" x14ac:dyDescent="0.25">
      <c r="A7" s="210" t="s">
        <v>1476</v>
      </c>
      <c r="B7">
        <v>7014</v>
      </c>
      <c r="C7" s="100">
        <v>46028</v>
      </c>
      <c r="D7" t="s">
        <v>49</v>
      </c>
      <c r="E7" t="s">
        <v>2383</v>
      </c>
      <c r="F7" t="s">
        <v>2384</v>
      </c>
      <c r="I7">
        <v>0</v>
      </c>
      <c r="J7" t="s">
        <v>1985</v>
      </c>
    </row>
    <row r="8" spans="1:10" x14ac:dyDescent="0.25">
      <c r="A8" s="210" t="s">
        <v>1476</v>
      </c>
      <c r="B8">
        <v>7044</v>
      </c>
      <c r="C8" s="100">
        <v>46030</v>
      </c>
      <c r="D8" t="s">
        <v>49</v>
      </c>
      <c r="E8" t="s">
        <v>50</v>
      </c>
      <c r="F8" t="s">
        <v>438</v>
      </c>
      <c r="G8">
        <v>90</v>
      </c>
      <c r="I8">
        <v>0</v>
      </c>
      <c r="J8" t="s">
        <v>66</v>
      </c>
    </row>
    <row r="9" spans="1:10" x14ac:dyDescent="0.25">
      <c r="A9" s="210" t="s">
        <v>1476</v>
      </c>
      <c r="B9">
        <v>7064</v>
      </c>
      <c r="C9" s="100">
        <v>46030</v>
      </c>
      <c r="D9" t="s">
        <v>49</v>
      </c>
      <c r="E9" t="s">
        <v>470</v>
      </c>
      <c r="F9" t="s">
        <v>81</v>
      </c>
      <c r="G9">
        <v>522</v>
      </c>
      <c r="I9">
        <v>0</v>
      </c>
      <c r="J9" t="s">
        <v>1985</v>
      </c>
    </row>
    <row r="10" spans="1:10" x14ac:dyDescent="0.25">
      <c r="A10" s="210" t="s">
        <v>1476</v>
      </c>
      <c r="B10">
        <v>7156</v>
      </c>
      <c r="C10" s="100">
        <v>46035</v>
      </c>
      <c r="D10" t="s">
        <v>49</v>
      </c>
      <c r="E10" t="s">
        <v>50</v>
      </c>
      <c r="F10" t="s">
        <v>2419</v>
      </c>
      <c r="I10">
        <v>0</v>
      </c>
      <c r="J10" t="s">
        <v>2421</v>
      </c>
    </row>
    <row r="11" spans="1:10" x14ac:dyDescent="0.25">
      <c r="A11" s="210" t="s">
        <v>1476</v>
      </c>
      <c r="B11">
        <v>7156</v>
      </c>
      <c r="C11" s="100">
        <v>46035</v>
      </c>
      <c r="D11" t="s">
        <v>49</v>
      </c>
      <c r="E11" t="s">
        <v>50</v>
      </c>
      <c r="F11" t="s">
        <v>2420</v>
      </c>
      <c r="I11">
        <v>0</v>
      </c>
      <c r="J11" t="s">
        <v>2421</v>
      </c>
    </row>
    <row r="12" spans="1:10" x14ac:dyDescent="0.25">
      <c r="A12" s="210" t="s">
        <v>1476</v>
      </c>
      <c r="B12">
        <v>7156</v>
      </c>
      <c r="C12" s="100">
        <v>46035</v>
      </c>
      <c r="D12" t="s">
        <v>49</v>
      </c>
      <c r="E12" t="s">
        <v>50</v>
      </c>
      <c r="F12" t="s">
        <v>2422</v>
      </c>
      <c r="I12">
        <v>0</v>
      </c>
      <c r="J12" t="s">
        <v>2421</v>
      </c>
    </row>
    <row r="13" spans="1:10" x14ac:dyDescent="0.25">
      <c r="A13" s="210" t="s">
        <v>1476</v>
      </c>
      <c r="B13">
        <v>7183</v>
      </c>
      <c r="C13" s="100">
        <v>46037</v>
      </c>
      <c r="D13" t="s">
        <v>49</v>
      </c>
      <c r="E13" t="s">
        <v>50</v>
      </c>
      <c r="F13" t="s">
        <v>2425</v>
      </c>
      <c r="G13">
        <v>644</v>
      </c>
      <c r="I13">
        <v>0</v>
      </c>
      <c r="J13" t="s">
        <v>66</v>
      </c>
    </row>
    <row r="14" spans="1:10" x14ac:dyDescent="0.25">
      <c r="A14" s="210" t="s">
        <v>1476</v>
      </c>
      <c r="B14">
        <v>7224</v>
      </c>
      <c r="C14" s="100">
        <v>46039</v>
      </c>
      <c r="D14" t="s">
        <v>49</v>
      </c>
      <c r="E14" t="s">
        <v>50</v>
      </c>
      <c r="F14" t="s">
        <v>117</v>
      </c>
      <c r="G14">
        <v>494</v>
      </c>
      <c r="I14">
        <v>0</v>
      </c>
      <c r="J14" t="s">
        <v>66</v>
      </c>
    </row>
    <row r="15" spans="1:10" x14ac:dyDescent="0.25">
      <c r="A15" s="210" t="s">
        <v>1476</v>
      </c>
      <c r="B15">
        <v>7250</v>
      </c>
      <c r="C15" s="100">
        <v>46041</v>
      </c>
      <c r="D15" t="s">
        <v>49</v>
      </c>
      <c r="E15" t="s">
        <v>50</v>
      </c>
      <c r="F15" t="s">
        <v>438</v>
      </c>
      <c r="G15">
        <v>270</v>
      </c>
      <c r="I15">
        <v>0</v>
      </c>
      <c r="J15" t="s">
        <v>64</v>
      </c>
    </row>
    <row r="16" spans="1:10" x14ac:dyDescent="0.25">
      <c r="A16" s="210" t="s">
        <v>1476</v>
      </c>
      <c r="B16">
        <v>7250</v>
      </c>
      <c r="C16" s="100">
        <v>46041</v>
      </c>
      <c r="D16" t="s">
        <v>49</v>
      </c>
      <c r="E16" t="s">
        <v>50</v>
      </c>
      <c r="F16" t="s">
        <v>153</v>
      </c>
      <c r="G16">
        <v>574</v>
      </c>
      <c r="I16">
        <v>0</v>
      </c>
      <c r="J16" t="s">
        <v>64</v>
      </c>
    </row>
    <row r="17" spans="1:10" x14ac:dyDescent="0.25">
      <c r="A17" s="210" t="s">
        <v>1476</v>
      </c>
      <c r="B17">
        <v>7779</v>
      </c>
      <c r="C17" s="100">
        <v>46083</v>
      </c>
      <c r="D17" t="s">
        <v>49</v>
      </c>
      <c r="E17" t="s">
        <v>50</v>
      </c>
      <c r="F17" t="s">
        <v>51</v>
      </c>
      <c r="G17">
        <v>720</v>
      </c>
      <c r="I17">
        <v>0</v>
      </c>
    </row>
    <row r="18" spans="1:10" x14ac:dyDescent="0.25">
      <c r="A18" s="210" t="s">
        <v>1476</v>
      </c>
      <c r="B18">
        <v>7779</v>
      </c>
      <c r="C18" s="100">
        <v>46083</v>
      </c>
      <c r="D18" t="s">
        <v>49</v>
      </c>
      <c r="E18" t="s">
        <v>50</v>
      </c>
      <c r="F18" t="s">
        <v>52</v>
      </c>
      <c r="G18">
        <v>495</v>
      </c>
      <c r="I18">
        <v>0</v>
      </c>
    </row>
    <row r="19" spans="1:10" x14ac:dyDescent="0.25">
      <c r="A19" s="210" t="s">
        <v>1476</v>
      </c>
      <c r="B19">
        <v>7798</v>
      </c>
      <c r="C19" s="100">
        <v>46084</v>
      </c>
      <c r="D19" t="s">
        <v>49</v>
      </c>
      <c r="E19" t="s">
        <v>50</v>
      </c>
      <c r="F19" t="s">
        <v>53</v>
      </c>
      <c r="G19">
        <v>774</v>
      </c>
      <c r="I19">
        <v>0</v>
      </c>
    </row>
    <row r="20" spans="1:10" x14ac:dyDescent="0.25">
      <c r="A20" s="210" t="s">
        <v>1476</v>
      </c>
      <c r="B20">
        <v>7851</v>
      </c>
      <c r="C20" s="100">
        <v>46085</v>
      </c>
      <c r="D20" t="s">
        <v>49</v>
      </c>
      <c r="E20" t="s">
        <v>56</v>
      </c>
      <c r="F20" t="s">
        <v>57</v>
      </c>
      <c r="G20">
        <v>218</v>
      </c>
      <c r="I20">
        <v>0</v>
      </c>
    </row>
    <row r="21" spans="1:10" x14ac:dyDescent="0.25">
      <c r="A21" s="210" t="s">
        <v>1476</v>
      </c>
      <c r="B21">
        <v>7851</v>
      </c>
      <c r="C21" s="100">
        <v>46085</v>
      </c>
      <c r="D21" t="s">
        <v>49</v>
      </c>
      <c r="E21" t="s">
        <v>50</v>
      </c>
      <c r="F21" t="s">
        <v>58</v>
      </c>
      <c r="G21">
        <v>180</v>
      </c>
      <c r="I21">
        <v>0</v>
      </c>
    </row>
    <row r="22" spans="1:10" x14ac:dyDescent="0.25">
      <c r="A22" s="210" t="s">
        <v>1476</v>
      </c>
      <c r="B22">
        <v>7851</v>
      </c>
      <c r="C22" s="100">
        <v>46085</v>
      </c>
      <c r="D22" t="s">
        <v>49</v>
      </c>
      <c r="E22" t="s">
        <v>50</v>
      </c>
      <c r="F22" t="s">
        <v>59</v>
      </c>
      <c r="G22">
        <v>338</v>
      </c>
      <c r="I22">
        <v>0</v>
      </c>
    </row>
    <row r="23" spans="1:10" x14ac:dyDescent="0.25">
      <c r="A23" s="210" t="s">
        <v>1476</v>
      </c>
      <c r="B23">
        <v>7851</v>
      </c>
      <c r="C23" s="100">
        <v>46085</v>
      </c>
      <c r="D23" t="s">
        <v>49</v>
      </c>
      <c r="E23" t="s">
        <v>50</v>
      </c>
      <c r="F23" t="s">
        <v>60</v>
      </c>
      <c r="G23">
        <v>220</v>
      </c>
      <c r="I23">
        <v>0</v>
      </c>
    </row>
    <row r="24" spans="1:10" x14ac:dyDescent="0.25">
      <c r="A24" s="210" t="s">
        <v>1476</v>
      </c>
      <c r="B24">
        <v>7851</v>
      </c>
      <c r="C24" s="100">
        <v>46085</v>
      </c>
      <c r="D24" t="s">
        <v>49</v>
      </c>
      <c r="E24" t="s">
        <v>50</v>
      </c>
      <c r="F24" t="s">
        <v>61</v>
      </c>
      <c r="G24">
        <v>54</v>
      </c>
      <c r="I24">
        <v>0</v>
      </c>
    </row>
    <row r="25" spans="1:10" x14ac:dyDescent="0.25">
      <c r="A25" s="210" t="s">
        <v>1476</v>
      </c>
      <c r="B25">
        <v>7851</v>
      </c>
      <c r="C25" s="100">
        <v>46085</v>
      </c>
      <c r="D25" t="s">
        <v>49</v>
      </c>
      <c r="E25" t="s">
        <v>14</v>
      </c>
      <c r="F25" t="s">
        <v>62</v>
      </c>
      <c r="G25">
        <v>56</v>
      </c>
      <c r="I25">
        <v>0</v>
      </c>
    </row>
    <row r="26" spans="1:10" x14ac:dyDescent="0.25">
      <c r="A26" s="210" t="s">
        <v>1476</v>
      </c>
      <c r="B26">
        <v>7962</v>
      </c>
      <c r="C26" s="100">
        <v>46090</v>
      </c>
      <c r="D26" t="s">
        <v>49</v>
      </c>
      <c r="E26" t="s">
        <v>36</v>
      </c>
      <c r="F26" t="s">
        <v>63</v>
      </c>
      <c r="G26">
        <v>1260</v>
      </c>
      <c r="I26">
        <v>0</v>
      </c>
      <c r="J26" t="s">
        <v>64</v>
      </c>
    </row>
    <row r="27" spans="1:10" x14ac:dyDescent="0.25">
      <c r="A27" s="210" t="s">
        <v>1476</v>
      </c>
      <c r="B27">
        <v>7962</v>
      </c>
      <c r="C27" s="100">
        <v>46090</v>
      </c>
      <c r="D27" t="s">
        <v>49</v>
      </c>
      <c r="E27" t="s">
        <v>26</v>
      </c>
      <c r="F27" t="s">
        <v>65</v>
      </c>
      <c r="G27">
        <v>280</v>
      </c>
      <c r="I27">
        <v>0</v>
      </c>
      <c r="J27" t="s">
        <v>66</v>
      </c>
    </row>
    <row r="28" spans="1:10" x14ac:dyDescent="0.25">
      <c r="A28" s="210" t="s">
        <v>1476</v>
      </c>
      <c r="B28">
        <v>8053</v>
      </c>
      <c r="C28" s="100">
        <v>46094</v>
      </c>
      <c r="D28" t="s">
        <v>49</v>
      </c>
      <c r="E28" t="s">
        <v>50</v>
      </c>
      <c r="F28" t="s">
        <v>67</v>
      </c>
      <c r="G28">
        <v>481</v>
      </c>
      <c r="I28">
        <v>0</v>
      </c>
    </row>
    <row r="29" spans="1:10" x14ac:dyDescent="0.25">
      <c r="A29" s="210" t="s">
        <v>1476</v>
      </c>
      <c r="B29">
        <v>8110</v>
      </c>
      <c r="C29" s="100">
        <v>46097</v>
      </c>
      <c r="D29" t="s">
        <v>49</v>
      </c>
      <c r="E29" t="s">
        <v>68</v>
      </c>
      <c r="F29" t="s">
        <v>69</v>
      </c>
      <c r="G29">
        <v>88</v>
      </c>
      <c r="I29">
        <v>0</v>
      </c>
    </row>
    <row r="30" spans="1:10" x14ac:dyDescent="0.25">
      <c r="A30" s="210" t="s">
        <v>1476</v>
      </c>
      <c r="B30">
        <v>8162</v>
      </c>
      <c r="C30" s="100">
        <v>46098</v>
      </c>
      <c r="D30" t="s">
        <v>49</v>
      </c>
      <c r="E30" t="s">
        <v>50</v>
      </c>
      <c r="F30" t="s">
        <v>70</v>
      </c>
      <c r="G30">
        <v>972</v>
      </c>
      <c r="I30">
        <v>0</v>
      </c>
    </row>
    <row r="31" spans="1:10" x14ac:dyDescent="0.25">
      <c r="A31" s="210" t="s">
        <v>1476</v>
      </c>
      <c r="B31">
        <v>8292</v>
      </c>
      <c r="C31" s="100">
        <v>46102</v>
      </c>
      <c r="D31" t="s">
        <v>49</v>
      </c>
      <c r="E31" t="s">
        <v>50</v>
      </c>
      <c r="F31" t="s">
        <v>71</v>
      </c>
      <c r="G31">
        <v>726</v>
      </c>
      <c r="I31">
        <v>0</v>
      </c>
    </row>
    <row r="32" spans="1:10" x14ac:dyDescent="0.25">
      <c r="A32" s="210" t="s">
        <v>1476</v>
      </c>
      <c r="B32">
        <v>8229</v>
      </c>
      <c r="C32" s="100">
        <v>46104</v>
      </c>
      <c r="D32" t="s">
        <v>49</v>
      </c>
      <c r="E32" t="s">
        <v>50</v>
      </c>
      <c r="F32" t="s">
        <v>72</v>
      </c>
      <c r="G32">
        <v>198</v>
      </c>
      <c r="I32">
        <v>0</v>
      </c>
    </row>
    <row r="33" spans="1:10" x14ac:dyDescent="0.25">
      <c r="A33" s="210" t="s">
        <v>1476</v>
      </c>
      <c r="B33">
        <v>8229</v>
      </c>
      <c r="C33" s="100">
        <v>46104</v>
      </c>
      <c r="D33" t="s">
        <v>49</v>
      </c>
      <c r="E33" t="s">
        <v>50</v>
      </c>
      <c r="F33" t="s">
        <v>73</v>
      </c>
      <c r="G33">
        <v>522</v>
      </c>
      <c r="I33">
        <v>0</v>
      </c>
    </row>
    <row r="34" spans="1:10" x14ac:dyDescent="0.25">
      <c r="A34" s="210" t="s">
        <v>1476</v>
      </c>
      <c r="B34">
        <v>8229</v>
      </c>
      <c r="C34" s="100">
        <v>46104</v>
      </c>
      <c r="D34" t="s">
        <v>49</v>
      </c>
      <c r="E34" t="s">
        <v>50</v>
      </c>
      <c r="F34" t="s">
        <v>74</v>
      </c>
      <c r="G34">
        <v>100</v>
      </c>
      <c r="I34">
        <v>0</v>
      </c>
    </row>
    <row r="35" spans="1:10" x14ac:dyDescent="0.25">
      <c r="A35" s="210" t="s">
        <v>1476</v>
      </c>
      <c r="B35">
        <v>8229</v>
      </c>
      <c r="C35" s="100">
        <v>46104</v>
      </c>
      <c r="D35" t="s">
        <v>49</v>
      </c>
      <c r="E35" t="s">
        <v>75</v>
      </c>
      <c r="F35" t="s">
        <v>76</v>
      </c>
      <c r="G35">
        <v>116</v>
      </c>
      <c r="I35">
        <v>0</v>
      </c>
    </row>
    <row r="36" spans="1:10" x14ac:dyDescent="0.25">
      <c r="A36" s="210" t="s">
        <v>1476</v>
      </c>
      <c r="B36">
        <v>8229</v>
      </c>
      <c r="C36" s="100">
        <v>46104</v>
      </c>
      <c r="D36" t="s">
        <v>49</v>
      </c>
      <c r="E36" t="s">
        <v>50</v>
      </c>
      <c r="F36" t="s">
        <v>37</v>
      </c>
      <c r="G36">
        <v>78</v>
      </c>
      <c r="I36">
        <v>0</v>
      </c>
    </row>
    <row r="37" spans="1:10" x14ac:dyDescent="0.25">
      <c r="A37" s="210" t="s">
        <v>1476</v>
      </c>
      <c r="B37">
        <v>8316</v>
      </c>
      <c r="C37" s="100">
        <v>46106</v>
      </c>
      <c r="D37" t="s">
        <v>49</v>
      </c>
      <c r="E37" t="s">
        <v>77</v>
      </c>
      <c r="F37" t="s">
        <v>78</v>
      </c>
      <c r="G37">
        <v>735</v>
      </c>
      <c r="I37">
        <v>0</v>
      </c>
    </row>
    <row r="38" spans="1:10" x14ac:dyDescent="0.25">
      <c r="A38" s="210" t="s">
        <v>1476</v>
      </c>
      <c r="B38">
        <v>8340</v>
      </c>
      <c r="C38" s="100">
        <v>46107</v>
      </c>
      <c r="D38" t="s">
        <v>49</v>
      </c>
      <c r="E38" t="s">
        <v>54</v>
      </c>
      <c r="F38" t="s">
        <v>79</v>
      </c>
      <c r="I38">
        <v>0</v>
      </c>
      <c r="J38" t="s">
        <v>80</v>
      </c>
    </row>
    <row r="39" spans="1:10" x14ac:dyDescent="0.25">
      <c r="A39" s="210" t="s">
        <v>1476</v>
      </c>
      <c r="B39">
        <v>8369</v>
      </c>
      <c r="C39" s="100">
        <v>46108</v>
      </c>
      <c r="D39" t="s">
        <v>49</v>
      </c>
      <c r="E39" t="s">
        <v>26</v>
      </c>
      <c r="F39" t="s">
        <v>81</v>
      </c>
      <c r="G39">
        <v>744</v>
      </c>
      <c r="I39">
        <v>0</v>
      </c>
    </row>
    <row r="40" spans="1:10" x14ac:dyDescent="0.25">
      <c r="A40" s="210" t="s">
        <v>1476</v>
      </c>
      <c r="B40">
        <v>8414</v>
      </c>
      <c r="C40" s="100">
        <v>46111</v>
      </c>
      <c r="D40" t="s">
        <v>49</v>
      </c>
      <c r="E40" t="s">
        <v>50</v>
      </c>
      <c r="F40" t="s">
        <v>82</v>
      </c>
      <c r="G40">
        <v>2636</v>
      </c>
      <c r="I40">
        <v>0</v>
      </c>
    </row>
    <row r="41" spans="1:10" x14ac:dyDescent="0.25">
      <c r="A41" s="210" t="s">
        <v>1476</v>
      </c>
      <c r="B41">
        <v>8414</v>
      </c>
      <c r="C41" s="100">
        <v>46111</v>
      </c>
      <c r="D41" t="s">
        <v>49</v>
      </c>
      <c r="E41" t="s">
        <v>14</v>
      </c>
      <c r="F41" t="s">
        <v>62</v>
      </c>
      <c r="G41">
        <v>48</v>
      </c>
      <c r="I41">
        <v>0</v>
      </c>
    </row>
    <row r="42" spans="1:10" x14ac:dyDescent="0.25">
      <c r="A42" s="210" t="s">
        <v>1476</v>
      </c>
      <c r="B42">
        <v>8453</v>
      </c>
      <c r="C42" s="100">
        <v>46113</v>
      </c>
      <c r="D42" t="s">
        <v>49</v>
      </c>
      <c r="E42" t="s">
        <v>50</v>
      </c>
      <c r="F42" t="s">
        <v>2005</v>
      </c>
      <c r="G42">
        <v>1126</v>
      </c>
      <c r="I42">
        <v>0</v>
      </c>
      <c r="J42" t="s">
        <v>85</v>
      </c>
    </row>
    <row r="43" spans="1:10" x14ac:dyDescent="0.25">
      <c r="A43" s="210" t="s">
        <v>1476</v>
      </c>
      <c r="B43">
        <v>8572</v>
      </c>
      <c r="C43" s="100">
        <v>46118</v>
      </c>
      <c r="D43" t="s">
        <v>49</v>
      </c>
      <c r="E43" t="s">
        <v>103</v>
      </c>
      <c r="F43" t="s">
        <v>106</v>
      </c>
      <c r="G43">
        <v>126</v>
      </c>
      <c r="I43">
        <v>0</v>
      </c>
      <c r="J43" t="s">
        <v>64</v>
      </c>
    </row>
    <row r="44" spans="1:10" x14ac:dyDescent="0.25">
      <c r="A44" s="210" t="s">
        <v>1476</v>
      </c>
      <c r="B44">
        <v>8572</v>
      </c>
      <c r="C44" s="100">
        <v>46118</v>
      </c>
      <c r="D44" t="s">
        <v>49</v>
      </c>
      <c r="E44" t="s">
        <v>107</v>
      </c>
      <c r="F44" t="s">
        <v>108</v>
      </c>
      <c r="G44">
        <v>302</v>
      </c>
      <c r="I44">
        <v>0</v>
      </c>
      <c r="J44" t="s">
        <v>64</v>
      </c>
    </row>
    <row r="45" spans="1:10" x14ac:dyDescent="0.25">
      <c r="A45" s="210" t="s">
        <v>1476</v>
      </c>
      <c r="B45">
        <v>8660</v>
      </c>
      <c r="C45" s="100">
        <v>46121</v>
      </c>
      <c r="D45" t="s">
        <v>49</v>
      </c>
      <c r="E45" t="s">
        <v>109</v>
      </c>
      <c r="F45" t="s">
        <v>73</v>
      </c>
      <c r="G45">
        <v>858</v>
      </c>
      <c r="I45">
        <v>0</v>
      </c>
      <c r="J45" t="s">
        <v>66</v>
      </c>
    </row>
    <row r="46" spans="1:10" x14ac:dyDescent="0.25">
      <c r="A46" s="210" t="s">
        <v>1476</v>
      </c>
      <c r="B46">
        <v>8724</v>
      </c>
      <c r="C46" s="100">
        <v>46125</v>
      </c>
      <c r="D46" t="s">
        <v>49</v>
      </c>
      <c r="E46" t="s">
        <v>27</v>
      </c>
      <c r="F46" t="s">
        <v>110</v>
      </c>
      <c r="G46">
        <v>830</v>
      </c>
      <c r="I46">
        <v>0</v>
      </c>
      <c r="J46" t="s">
        <v>64</v>
      </c>
    </row>
    <row r="47" spans="1:10" x14ac:dyDescent="0.25">
      <c r="A47" s="210" t="s">
        <v>1476</v>
      </c>
      <c r="B47">
        <v>8752</v>
      </c>
      <c r="C47" s="100">
        <v>46125</v>
      </c>
      <c r="D47" t="s">
        <v>49</v>
      </c>
      <c r="E47" t="s">
        <v>68</v>
      </c>
      <c r="F47" t="s">
        <v>112</v>
      </c>
      <c r="G47">
        <v>38</v>
      </c>
      <c r="I47">
        <v>0</v>
      </c>
      <c r="J47" t="s">
        <v>113</v>
      </c>
    </row>
    <row r="48" spans="1:10" x14ac:dyDescent="0.25">
      <c r="A48" s="210" t="s">
        <v>1476</v>
      </c>
      <c r="B48">
        <v>8752</v>
      </c>
      <c r="C48" s="100">
        <v>46125</v>
      </c>
      <c r="D48" t="s">
        <v>49</v>
      </c>
      <c r="E48" t="s">
        <v>68</v>
      </c>
      <c r="F48" t="s">
        <v>114</v>
      </c>
      <c r="G48">
        <v>34</v>
      </c>
      <c r="I48">
        <v>0</v>
      </c>
      <c r="J48" t="s">
        <v>113</v>
      </c>
    </row>
    <row r="49" spans="1:10" x14ac:dyDescent="0.25">
      <c r="A49" s="210" t="s">
        <v>1476</v>
      </c>
      <c r="B49">
        <v>8812</v>
      </c>
      <c r="C49" s="100">
        <v>46128</v>
      </c>
      <c r="D49" t="s">
        <v>49</v>
      </c>
      <c r="E49" t="s">
        <v>103</v>
      </c>
      <c r="F49" t="s">
        <v>115</v>
      </c>
      <c r="G49">
        <v>700</v>
      </c>
      <c r="I49">
        <v>0</v>
      </c>
    </row>
    <row r="50" spans="1:10" x14ac:dyDescent="0.25">
      <c r="A50" s="210" t="s">
        <v>1476</v>
      </c>
      <c r="B50">
        <v>8918</v>
      </c>
      <c r="C50" s="100">
        <v>46133</v>
      </c>
      <c r="D50" t="s">
        <v>49</v>
      </c>
      <c r="E50" t="s">
        <v>411</v>
      </c>
      <c r="F50" t="s">
        <v>122</v>
      </c>
      <c r="G50">
        <v>258</v>
      </c>
      <c r="I50">
        <v>0</v>
      </c>
      <c r="J50" t="s">
        <v>64</v>
      </c>
    </row>
    <row r="51" spans="1:10" x14ac:dyDescent="0.25">
      <c r="A51" s="210" t="s">
        <v>1476</v>
      </c>
      <c r="B51">
        <v>9077</v>
      </c>
      <c r="C51" s="100">
        <v>46140</v>
      </c>
      <c r="D51" t="s">
        <v>49</v>
      </c>
      <c r="E51" t="s">
        <v>68</v>
      </c>
      <c r="F51" t="s">
        <v>1859</v>
      </c>
      <c r="G51">
        <v>44</v>
      </c>
      <c r="I51">
        <v>0</v>
      </c>
      <c r="J51" t="s">
        <v>64</v>
      </c>
    </row>
    <row r="52" spans="1:10" x14ac:dyDescent="0.25">
      <c r="A52" s="210" t="s">
        <v>1476</v>
      </c>
      <c r="B52">
        <v>9077</v>
      </c>
      <c r="C52" s="100">
        <v>46140</v>
      </c>
      <c r="D52" t="s">
        <v>49</v>
      </c>
      <c r="E52" t="s">
        <v>103</v>
      </c>
      <c r="F52" t="s">
        <v>1860</v>
      </c>
      <c r="G52">
        <v>686</v>
      </c>
      <c r="I52">
        <v>0</v>
      </c>
      <c r="J52" t="s">
        <v>64</v>
      </c>
    </row>
    <row r="53" spans="1:10" x14ac:dyDescent="0.25">
      <c r="A53" s="210" t="s">
        <v>1476</v>
      </c>
      <c r="B53">
        <v>9137</v>
      </c>
      <c r="C53" s="100">
        <v>46146</v>
      </c>
      <c r="D53" t="s">
        <v>49</v>
      </c>
      <c r="E53" t="s">
        <v>50</v>
      </c>
      <c r="F53" t="s">
        <v>1915</v>
      </c>
      <c r="G53">
        <v>720</v>
      </c>
      <c r="I53">
        <v>0</v>
      </c>
      <c r="J53" t="s">
        <v>66</v>
      </c>
    </row>
    <row r="54" spans="1:10" x14ac:dyDescent="0.25">
      <c r="A54" s="210" t="s">
        <v>1476</v>
      </c>
      <c r="B54">
        <v>9137</v>
      </c>
      <c r="C54" s="100">
        <v>46146</v>
      </c>
      <c r="D54" t="s">
        <v>49</v>
      </c>
      <c r="E54" t="s">
        <v>50</v>
      </c>
      <c r="F54" t="s">
        <v>1916</v>
      </c>
      <c r="G54">
        <v>40</v>
      </c>
      <c r="I54">
        <v>0</v>
      </c>
      <c r="J54" t="s">
        <v>66</v>
      </c>
    </row>
    <row r="55" spans="1:10" x14ac:dyDescent="0.25">
      <c r="A55" s="210" t="s">
        <v>1476</v>
      </c>
      <c r="B55">
        <v>9190</v>
      </c>
      <c r="C55" s="100">
        <v>46148</v>
      </c>
      <c r="D55" t="s">
        <v>49</v>
      </c>
      <c r="E55" t="s">
        <v>54</v>
      </c>
      <c r="F55" t="s">
        <v>1948</v>
      </c>
      <c r="G55">
        <v>178</v>
      </c>
      <c r="I55">
        <v>0</v>
      </c>
      <c r="J55" t="s">
        <v>64</v>
      </c>
    </row>
    <row r="56" spans="1:10" x14ac:dyDescent="0.25">
      <c r="A56" s="210" t="s">
        <v>1476</v>
      </c>
      <c r="B56">
        <v>9260</v>
      </c>
      <c r="C56" s="100">
        <v>46150</v>
      </c>
      <c r="D56" t="s">
        <v>49</v>
      </c>
      <c r="E56" t="s">
        <v>14</v>
      </c>
      <c r="F56" t="s">
        <v>62</v>
      </c>
      <c r="G56">
        <v>100</v>
      </c>
      <c r="I56">
        <v>0</v>
      </c>
      <c r="J56" t="s">
        <v>1985</v>
      </c>
    </row>
    <row r="57" spans="1:10" x14ac:dyDescent="0.25">
      <c r="A57" s="210" t="s">
        <v>1476</v>
      </c>
      <c r="B57">
        <v>9266</v>
      </c>
      <c r="C57" s="100">
        <v>46150</v>
      </c>
      <c r="D57" t="s">
        <v>49</v>
      </c>
      <c r="E57" t="s">
        <v>50</v>
      </c>
      <c r="F57" t="s">
        <v>1988</v>
      </c>
      <c r="G57">
        <v>126</v>
      </c>
      <c r="I57">
        <v>0</v>
      </c>
      <c r="J57" t="s">
        <v>64</v>
      </c>
    </row>
    <row r="58" spans="1:10" x14ac:dyDescent="0.25">
      <c r="A58" s="210" t="s">
        <v>1476</v>
      </c>
      <c r="B58">
        <v>9268</v>
      </c>
      <c r="C58" s="100">
        <v>46150</v>
      </c>
      <c r="D58" t="s">
        <v>49</v>
      </c>
      <c r="E58" t="s">
        <v>703</v>
      </c>
      <c r="F58" t="s">
        <v>122</v>
      </c>
      <c r="G58">
        <v>1002</v>
      </c>
      <c r="I58">
        <v>0</v>
      </c>
      <c r="J58" t="s">
        <v>64</v>
      </c>
    </row>
    <row r="59" spans="1:10" x14ac:dyDescent="0.25">
      <c r="A59" s="210" t="s">
        <v>1476</v>
      </c>
      <c r="B59">
        <v>9302</v>
      </c>
      <c r="C59" s="100">
        <v>46153</v>
      </c>
      <c r="D59" t="s">
        <v>49</v>
      </c>
      <c r="E59" t="s">
        <v>50</v>
      </c>
      <c r="F59" t="s">
        <v>110</v>
      </c>
      <c r="G59">
        <v>1188</v>
      </c>
      <c r="I59">
        <v>0</v>
      </c>
      <c r="J59" t="s">
        <v>64</v>
      </c>
    </row>
    <row r="60" spans="1:10" x14ac:dyDescent="0.25">
      <c r="A60" s="210" t="s">
        <v>1476</v>
      </c>
      <c r="B60">
        <v>9413</v>
      </c>
      <c r="C60" s="100">
        <v>46157</v>
      </c>
      <c r="D60" t="s">
        <v>49</v>
      </c>
      <c r="E60" t="s">
        <v>50</v>
      </c>
      <c r="F60" t="s">
        <v>1106</v>
      </c>
      <c r="I60">
        <v>0</v>
      </c>
      <c r="J60" t="s">
        <v>64</v>
      </c>
    </row>
    <row r="61" spans="1:10" x14ac:dyDescent="0.25">
      <c r="A61" s="210" t="s">
        <v>1476</v>
      </c>
      <c r="B61">
        <v>9413</v>
      </c>
      <c r="C61" s="100">
        <v>46157</v>
      </c>
      <c r="D61" t="s">
        <v>49</v>
      </c>
      <c r="E61" t="s">
        <v>50</v>
      </c>
      <c r="F61" t="s">
        <v>28</v>
      </c>
      <c r="I61">
        <v>0</v>
      </c>
      <c r="J61" t="s">
        <v>64</v>
      </c>
    </row>
    <row r="62" spans="1:10" x14ac:dyDescent="0.25">
      <c r="A62" s="210" t="s">
        <v>1476</v>
      </c>
      <c r="B62">
        <v>9413</v>
      </c>
      <c r="C62" s="100">
        <v>46157</v>
      </c>
      <c r="D62" t="s">
        <v>49</v>
      </c>
      <c r="E62" t="s">
        <v>50</v>
      </c>
      <c r="F62" t="s">
        <v>2128</v>
      </c>
      <c r="I62">
        <v>0</v>
      </c>
      <c r="J62" t="s">
        <v>64</v>
      </c>
    </row>
    <row r="63" spans="1:10" x14ac:dyDescent="0.25">
      <c r="A63" s="210" t="s">
        <v>1476</v>
      </c>
      <c r="B63">
        <v>9455</v>
      </c>
      <c r="C63" s="100">
        <v>46160</v>
      </c>
      <c r="D63" t="s">
        <v>49</v>
      </c>
      <c r="E63" t="s">
        <v>26</v>
      </c>
      <c r="F63" t="s">
        <v>81</v>
      </c>
      <c r="G63">
        <v>648</v>
      </c>
      <c r="I63">
        <v>0</v>
      </c>
      <c r="J63" t="s">
        <v>1985</v>
      </c>
    </row>
    <row r="64" spans="1:10" x14ac:dyDescent="0.25">
      <c r="A64" s="210" t="s">
        <v>1476</v>
      </c>
      <c r="B64">
        <v>9492</v>
      </c>
      <c r="C64" s="100">
        <v>46161</v>
      </c>
      <c r="D64" t="s">
        <v>49</v>
      </c>
      <c r="E64" t="s">
        <v>50</v>
      </c>
      <c r="F64" t="s">
        <v>2226</v>
      </c>
      <c r="I64">
        <v>0</v>
      </c>
    </row>
    <row r="65" spans="1:10" x14ac:dyDescent="0.25">
      <c r="A65" s="210" t="s">
        <v>1476</v>
      </c>
      <c r="B65">
        <v>9492</v>
      </c>
      <c r="C65" s="100">
        <v>46161</v>
      </c>
      <c r="D65" t="s">
        <v>49</v>
      </c>
      <c r="E65" t="s">
        <v>50</v>
      </c>
      <c r="F65" t="s">
        <v>221</v>
      </c>
      <c r="I65">
        <v>0</v>
      </c>
    </row>
    <row r="66" spans="1:10" x14ac:dyDescent="0.25">
      <c r="A66" s="210" t="s">
        <v>1476</v>
      </c>
      <c r="B66">
        <v>9609</v>
      </c>
      <c r="C66" s="100">
        <v>46168</v>
      </c>
      <c r="D66" t="s">
        <v>49</v>
      </c>
      <c r="E66" t="s">
        <v>50</v>
      </c>
      <c r="F66" t="s">
        <v>177</v>
      </c>
      <c r="G66">
        <v>1344</v>
      </c>
      <c r="I66">
        <v>0</v>
      </c>
      <c r="J66" t="s">
        <v>64</v>
      </c>
    </row>
    <row r="67" spans="1:10" x14ac:dyDescent="0.25">
      <c r="A67" s="210" t="s">
        <v>1476</v>
      </c>
      <c r="B67">
        <v>9625</v>
      </c>
      <c r="C67" s="100">
        <v>46168</v>
      </c>
      <c r="D67" t="s">
        <v>49</v>
      </c>
      <c r="E67" t="s">
        <v>150</v>
      </c>
      <c r="F67" t="s">
        <v>1347</v>
      </c>
      <c r="G67">
        <v>108</v>
      </c>
      <c r="I67">
        <v>0</v>
      </c>
      <c r="J67" t="s">
        <v>64</v>
      </c>
    </row>
    <row r="68" spans="1:10" x14ac:dyDescent="0.25">
      <c r="A68" s="210" t="s">
        <v>1476</v>
      </c>
      <c r="B68">
        <v>7311</v>
      </c>
      <c r="C68" s="100">
        <v>46044</v>
      </c>
      <c r="D68" t="s">
        <v>49</v>
      </c>
      <c r="E68" t="s">
        <v>50</v>
      </c>
      <c r="F68" t="s">
        <v>73</v>
      </c>
      <c r="G68">
        <v>1154</v>
      </c>
      <c r="I68">
        <v>0</v>
      </c>
      <c r="J68" t="s">
        <v>64</v>
      </c>
    </row>
    <row r="69" spans="1:10" x14ac:dyDescent="0.25">
      <c r="A69" s="210" t="s">
        <v>1476</v>
      </c>
      <c r="B69">
        <v>7402</v>
      </c>
      <c r="C69" s="100">
        <v>46049</v>
      </c>
      <c r="D69" t="s">
        <v>49</v>
      </c>
      <c r="E69" t="s">
        <v>50</v>
      </c>
      <c r="F69" t="s">
        <v>2456</v>
      </c>
      <c r="I69">
        <v>0</v>
      </c>
      <c r="J69" t="s">
        <v>66</v>
      </c>
    </row>
    <row r="70" spans="1:10" x14ac:dyDescent="0.25">
      <c r="A70" s="210" t="s">
        <v>1476</v>
      </c>
      <c r="B70">
        <v>7402</v>
      </c>
      <c r="C70" s="100">
        <v>46049</v>
      </c>
      <c r="D70" t="s">
        <v>49</v>
      </c>
      <c r="E70" t="s">
        <v>50</v>
      </c>
      <c r="F70" t="s">
        <v>2455</v>
      </c>
      <c r="I70">
        <v>0</v>
      </c>
    </row>
    <row r="71" spans="1:10" x14ac:dyDescent="0.25">
      <c r="A71" s="210" t="s">
        <v>1476</v>
      </c>
      <c r="B71">
        <v>7459</v>
      </c>
      <c r="C71" s="100">
        <v>46051</v>
      </c>
      <c r="D71" t="s">
        <v>49</v>
      </c>
      <c r="E71" t="s">
        <v>77</v>
      </c>
      <c r="F71" t="s">
        <v>81</v>
      </c>
      <c r="G71">
        <v>418</v>
      </c>
      <c r="I71">
        <v>0</v>
      </c>
      <c r="J71" t="s">
        <v>113</v>
      </c>
    </row>
    <row r="72" spans="1:10" x14ac:dyDescent="0.25">
      <c r="A72" s="210" t="s">
        <v>1476</v>
      </c>
      <c r="B72">
        <v>9660</v>
      </c>
      <c r="C72" s="100">
        <v>46169</v>
      </c>
      <c r="D72" t="s">
        <v>49</v>
      </c>
      <c r="E72" t="s">
        <v>50</v>
      </c>
      <c r="F72" t="s">
        <v>110</v>
      </c>
      <c r="G72">
        <v>1422</v>
      </c>
      <c r="I72">
        <v>0</v>
      </c>
      <c r="J72" t="s">
        <v>64</v>
      </c>
    </row>
    <row r="73" spans="1:10" x14ac:dyDescent="0.25">
      <c r="A73" s="210" t="s">
        <v>1476</v>
      </c>
      <c r="B73">
        <v>9660</v>
      </c>
      <c r="C73" s="100">
        <v>46169</v>
      </c>
      <c r="D73" t="s">
        <v>49</v>
      </c>
      <c r="E73" t="s">
        <v>50</v>
      </c>
      <c r="F73" t="s">
        <v>2492</v>
      </c>
      <c r="G73">
        <v>28</v>
      </c>
      <c r="I73">
        <v>0</v>
      </c>
      <c r="J73" t="s">
        <v>64</v>
      </c>
    </row>
    <row r="74" spans="1:10" x14ac:dyDescent="0.25">
      <c r="A74" s="210" t="s">
        <v>1476</v>
      </c>
      <c r="B74">
        <v>7519</v>
      </c>
      <c r="C74" s="100">
        <v>46056</v>
      </c>
      <c r="D74" t="s">
        <v>49</v>
      </c>
      <c r="E74" t="s">
        <v>50</v>
      </c>
      <c r="F74" t="s">
        <v>1094</v>
      </c>
      <c r="G74">
        <v>234</v>
      </c>
      <c r="I74">
        <v>0</v>
      </c>
    </row>
    <row r="75" spans="1:10" x14ac:dyDescent="0.25">
      <c r="A75" s="210" t="s">
        <v>1476</v>
      </c>
      <c r="B75">
        <v>7603</v>
      </c>
      <c r="C75" s="100">
        <v>46062</v>
      </c>
      <c r="D75" t="s">
        <v>49</v>
      </c>
      <c r="E75" t="s">
        <v>109</v>
      </c>
      <c r="F75" t="s">
        <v>73</v>
      </c>
      <c r="G75">
        <v>1292</v>
      </c>
      <c r="I75">
        <v>0</v>
      </c>
    </row>
    <row r="76" spans="1:10" x14ac:dyDescent="0.25">
      <c r="A76" s="210" t="s">
        <v>1476</v>
      </c>
      <c r="B76">
        <v>7636</v>
      </c>
      <c r="C76" s="100">
        <v>46064</v>
      </c>
      <c r="D76" t="s">
        <v>49</v>
      </c>
      <c r="E76" t="s">
        <v>50</v>
      </c>
      <c r="F76" t="s">
        <v>717</v>
      </c>
      <c r="G76">
        <v>514</v>
      </c>
      <c r="I76">
        <v>0</v>
      </c>
    </row>
    <row r="77" spans="1:10" x14ac:dyDescent="0.25">
      <c r="A77" s="210" t="s">
        <v>1476</v>
      </c>
      <c r="B77">
        <v>7705</v>
      </c>
      <c r="C77" s="100">
        <v>46078</v>
      </c>
      <c r="D77" t="s">
        <v>49</v>
      </c>
      <c r="E77" t="s">
        <v>470</v>
      </c>
      <c r="F77" t="s">
        <v>81</v>
      </c>
      <c r="G77">
        <v>420</v>
      </c>
      <c r="I77">
        <v>0</v>
      </c>
    </row>
    <row r="78" spans="1:10" x14ac:dyDescent="0.25">
      <c r="A78" s="210" t="s">
        <v>1476</v>
      </c>
      <c r="B78">
        <v>7749</v>
      </c>
      <c r="C78" s="100">
        <v>46080</v>
      </c>
      <c r="D78" t="s">
        <v>49</v>
      </c>
      <c r="E78" t="s">
        <v>56</v>
      </c>
      <c r="F78" t="s">
        <v>2575</v>
      </c>
      <c r="G78">
        <v>158</v>
      </c>
      <c r="I78">
        <v>0</v>
      </c>
    </row>
    <row r="79" spans="1:10" x14ac:dyDescent="0.25">
      <c r="A79" s="210" t="s">
        <v>1476</v>
      </c>
      <c r="B79">
        <v>7774</v>
      </c>
      <c r="C79" s="100">
        <v>46081</v>
      </c>
      <c r="D79" t="s">
        <v>49</v>
      </c>
      <c r="E79" t="s">
        <v>50</v>
      </c>
      <c r="F79" t="s">
        <v>110</v>
      </c>
      <c r="G79">
        <v>1026</v>
      </c>
      <c r="I79">
        <v>0</v>
      </c>
    </row>
    <row r="80" spans="1:10" x14ac:dyDescent="0.25">
      <c r="A80" s="210" t="s">
        <v>1476</v>
      </c>
      <c r="B80">
        <v>7774</v>
      </c>
      <c r="C80" s="100">
        <v>46081</v>
      </c>
      <c r="D80" t="s">
        <v>49</v>
      </c>
      <c r="E80" t="s">
        <v>50</v>
      </c>
      <c r="F80" t="s">
        <v>122</v>
      </c>
      <c r="G80">
        <v>590</v>
      </c>
      <c r="I80">
        <v>0</v>
      </c>
    </row>
    <row r="81" spans="1:10" x14ac:dyDescent="0.25">
      <c r="A81" s="210" t="s">
        <v>1476</v>
      </c>
      <c r="B81">
        <v>7774</v>
      </c>
      <c r="C81" s="100">
        <v>46081</v>
      </c>
      <c r="D81" t="s">
        <v>49</v>
      </c>
      <c r="E81" t="s">
        <v>50</v>
      </c>
      <c r="F81" t="s">
        <v>116</v>
      </c>
      <c r="G81">
        <v>74</v>
      </c>
      <c r="I81">
        <v>0</v>
      </c>
    </row>
    <row r="82" spans="1:10" x14ac:dyDescent="0.25">
      <c r="A82" s="210" t="s">
        <v>1493</v>
      </c>
      <c r="B82">
        <v>9637</v>
      </c>
      <c r="C82" s="100">
        <v>46169</v>
      </c>
      <c r="D82" t="s">
        <v>13</v>
      </c>
      <c r="E82" t="s">
        <v>50</v>
      </c>
      <c r="F82" t="s">
        <v>122</v>
      </c>
      <c r="G82">
        <v>1726</v>
      </c>
      <c r="I82">
        <v>0</v>
      </c>
    </row>
    <row r="83" spans="1:10" x14ac:dyDescent="0.25">
      <c r="A83" s="210" t="s">
        <v>1493</v>
      </c>
      <c r="B83">
        <v>9637</v>
      </c>
      <c r="C83" s="100">
        <v>46169</v>
      </c>
      <c r="D83" t="s">
        <v>13</v>
      </c>
      <c r="E83" t="s">
        <v>50</v>
      </c>
      <c r="F83" t="s">
        <v>110</v>
      </c>
      <c r="G83">
        <v>2214</v>
      </c>
      <c r="I83">
        <v>0</v>
      </c>
    </row>
    <row r="84" spans="1:10" x14ac:dyDescent="0.25">
      <c r="A84" s="210" t="s">
        <v>1512</v>
      </c>
      <c r="B84">
        <v>8205</v>
      </c>
      <c r="C84" s="100">
        <v>46102</v>
      </c>
      <c r="D84" t="s">
        <v>49</v>
      </c>
      <c r="E84" t="s">
        <v>43</v>
      </c>
      <c r="F84" t="s">
        <v>134</v>
      </c>
      <c r="G84">
        <v>1178</v>
      </c>
      <c r="I84">
        <v>0</v>
      </c>
    </row>
    <row r="85" spans="1:10" x14ac:dyDescent="0.25">
      <c r="A85" s="210" t="s">
        <v>1512</v>
      </c>
      <c r="B85">
        <v>8205</v>
      </c>
      <c r="C85" s="100">
        <v>46102</v>
      </c>
      <c r="D85" t="s">
        <v>49</v>
      </c>
      <c r="E85" t="s">
        <v>17</v>
      </c>
      <c r="F85" t="s">
        <v>136</v>
      </c>
      <c r="G85">
        <v>652</v>
      </c>
      <c r="I85">
        <v>0</v>
      </c>
    </row>
    <row r="86" spans="1:10" x14ac:dyDescent="0.25">
      <c r="A86" s="210" t="s">
        <v>1512</v>
      </c>
      <c r="B86">
        <v>8692</v>
      </c>
      <c r="C86" s="100">
        <v>46122</v>
      </c>
      <c r="D86" t="s">
        <v>49</v>
      </c>
      <c r="E86" t="s">
        <v>17</v>
      </c>
      <c r="F86" t="s">
        <v>41</v>
      </c>
      <c r="G86">
        <v>535</v>
      </c>
      <c r="I86">
        <v>0</v>
      </c>
      <c r="J86" t="s">
        <v>424</v>
      </c>
    </row>
    <row r="87" spans="1:10" x14ac:dyDescent="0.25">
      <c r="A87" s="210" t="s">
        <v>1512</v>
      </c>
      <c r="B87">
        <v>8692</v>
      </c>
      <c r="C87" s="100">
        <v>46122</v>
      </c>
      <c r="D87" t="s">
        <v>49</v>
      </c>
      <c r="E87" t="s">
        <v>17</v>
      </c>
      <c r="F87" t="s">
        <v>416</v>
      </c>
      <c r="G87">
        <v>834</v>
      </c>
      <c r="I87">
        <v>0</v>
      </c>
      <c r="J87" t="s">
        <v>425</v>
      </c>
    </row>
    <row r="88" spans="1:10" x14ac:dyDescent="0.25">
      <c r="A88" s="210" t="s">
        <v>1512</v>
      </c>
      <c r="B88">
        <v>3737</v>
      </c>
      <c r="C88" s="100">
        <v>46123</v>
      </c>
      <c r="D88" t="s">
        <v>426</v>
      </c>
      <c r="E88" t="s">
        <v>17</v>
      </c>
      <c r="F88" t="s">
        <v>416</v>
      </c>
      <c r="G88">
        <v>670</v>
      </c>
      <c r="I88">
        <v>0</v>
      </c>
    </row>
    <row r="89" spans="1:10" x14ac:dyDescent="0.25">
      <c r="A89" s="210" t="s">
        <v>1512</v>
      </c>
      <c r="B89">
        <v>9454</v>
      </c>
      <c r="C89" s="100">
        <v>46160</v>
      </c>
      <c r="D89" t="s">
        <v>49</v>
      </c>
      <c r="E89" t="s">
        <v>17</v>
      </c>
      <c r="F89" t="s">
        <v>913</v>
      </c>
      <c r="G89">
        <v>3628</v>
      </c>
      <c r="I89">
        <v>0</v>
      </c>
      <c r="J89" t="s">
        <v>2202</v>
      </c>
    </row>
    <row r="90" spans="1:10" x14ac:dyDescent="0.25">
      <c r="A90" s="210" t="s">
        <v>1512</v>
      </c>
      <c r="B90">
        <v>9513</v>
      </c>
      <c r="C90" s="100">
        <v>46162</v>
      </c>
      <c r="D90" t="s">
        <v>49</v>
      </c>
      <c r="E90" t="s">
        <v>17</v>
      </c>
      <c r="F90" t="s">
        <v>41</v>
      </c>
      <c r="G90">
        <v>1420</v>
      </c>
      <c r="I90">
        <v>0</v>
      </c>
      <c r="J90" t="s">
        <v>2244</v>
      </c>
    </row>
    <row r="91" spans="1:10" x14ac:dyDescent="0.25">
      <c r="A91" s="210" t="s">
        <v>1512</v>
      </c>
      <c r="B91">
        <v>9513</v>
      </c>
      <c r="C91" s="100">
        <v>46162</v>
      </c>
      <c r="D91" t="s">
        <v>49</v>
      </c>
      <c r="E91" t="s">
        <v>17</v>
      </c>
      <c r="F91" t="s">
        <v>136</v>
      </c>
      <c r="G91">
        <v>1372</v>
      </c>
      <c r="I91">
        <v>0</v>
      </c>
      <c r="J91" t="s">
        <v>2244</v>
      </c>
    </row>
    <row r="92" spans="1:10" x14ac:dyDescent="0.25">
      <c r="A92" s="210" t="s">
        <v>1512</v>
      </c>
      <c r="B92">
        <v>2896</v>
      </c>
      <c r="C92" s="100">
        <v>46163</v>
      </c>
      <c r="D92" t="s">
        <v>426</v>
      </c>
      <c r="E92" t="s">
        <v>17</v>
      </c>
      <c r="F92" t="s">
        <v>134</v>
      </c>
      <c r="G92">
        <v>904</v>
      </c>
      <c r="I92">
        <v>0</v>
      </c>
    </row>
    <row r="93" spans="1:10" x14ac:dyDescent="0.25">
      <c r="A93" s="210" t="s">
        <v>1512</v>
      </c>
      <c r="B93">
        <v>2896</v>
      </c>
      <c r="C93" s="100">
        <v>46163</v>
      </c>
      <c r="D93" t="s">
        <v>84</v>
      </c>
      <c r="E93" t="s">
        <v>17</v>
      </c>
      <c r="F93" t="s">
        <v>251</v>
      </c>
      <c r="G93">
        <v>3118</v>
      </c>
      <c r="I93">
        <v>0</v>
      </c>
    </row>
    <row r="94" spans="1:10" x14ac:dyDescent="0.25">
      <c r="A94" s="210" t="s">
        <v>1512</v>
      </c>
      <c r="B94">
        <v>2896</v>
      </c>
      <c r="C94" s="100">
        <v>46163</v>
      </c>
      <c r="D94" t="s">
        <v>84</v>
      </c>
      <c r="E94" t="s">
        <v>17</v>
      </c>
      <c r="F94" t="s">
        <v>41</v>
      </c>
      <c r="G94">
        <v>1420</v>
      </c>
      <c r="I94">
        <v>0</v>
      </c>
    </row>
    <row r="95" spans="1:10" x14ac:dyDescent="0.25">
      <c r="A95" s="210" t="s">
        <v>1512</v>
      </c>
      <c r="B95">
        <v>2896</v>
      </c>
      <c r="C95" s="100">
        <v>46163</v>
      </c>
      <c r="D95" t="s">
        <v>84</v>
      </c>
      <c r="E95" t="s">
        <v>17</v>
      </c>
      <c r="F95" t="s">
        <v>136</v>
      </c>
      <c r="G95">
        <v>1378</v>
      </c>
      <c r="I95">
        <v>0</v>
      </c>
    </row>
    <row r="96" spans="1:10" x14ac:dyDescent="0.25">
      <c r="A96" s="210" t="s">
        <v>1512</v>
      </c>
      <c r="B96">
        <v>9619</v>
      </c>
      <c r="C96" s="100">
        <v>46168</v>
      </c>
      <c r="D96" t="s">
        <v>49</v>
      </c>
      <c r="E96" t="s">
        <v>43</v>
      </c>
      <c r="F96" t="s">
        <v>146</v>
      </c>
      <c r="G96">
        <v>5242</v>
      </c>
      <c r="I96">
        <v>0</v>
      </c>
      <c r="J96" t="s">
        <v>2358</v>
      </c>
    </row>
    <row r="97" spans="1:10" x14ac:dyDescent="0.25">
      <c r="A97" s="210" t="s">
        <v>1524</v>
      </c>
      <c r="B97">
        <v>6903</v>
      </c>
      <c r="C97" s="100">
        <v>46024</v>
      </c>
      <c r="D97" t="s">
        <v>49</v>
      </c>
      <c r="E97" t="s">
        <v>17</v>
      </c>
      <c r="F97" t="s">
        <v>469</v>
      </c>
      <c r="G97">
        <v>8612</v>
      </c>
      <c r="I97">
        <v>0</v>
      </c>
      <c r="J97" t="s">
        <v>2366</v>
      </c>
    </row>
    <row r="98" spans="1:10" x14ac:dyDescent="0.25">
      <c r="A98" s="210" t="s">
        <v>1524</v>
      </c>
      <c r="B98">
        <v>6904</v>
      </c>
      <c r="C98" s="100">
        <v>46024</v>
      </c>
      <c r="D98" t="s">
        <v>49</v>
      </c>
      <c r="E98" t="s">
        <v>17</v>
      </c>
      <c r="F98" t="s">
        <v>230</v>
      </c>
      <c r="G98">
        <v>1346</v>
      </c>
      <c r="I98">
        <v>0</v>
      </c>
      <c r="J98" t="s">
        <v>2367</v>
      </c>
    </row>
    <row r="99" spans="1:10" x14ac:dyDescent="0.25">
      <c r="A99" s="210" t="s">
        <v>1524</v>
      </c>
      <c r="B99">
        <v>6904</v>
      </c>
      <c r="C99" s="100">
        <v>46024</v>
      </c>
      <c r="D99" t="s">
        <v>49</v>
      </c>
      <c r="E99" t="s">
        <v>17</v>
      </c>
      <c r="F99" t="s">
        <v>40</v>
      </c>
      <c r="G99">
        <v>714</v>
      </c>
      <c r="I99">
        <v>0</v>
      </c>
      <c r="J99" t="s">
        <v>2368</v>
      </c>
    </row>
    <row r="100" spans="1:10" x14ac:dyDescent="0.25">
      <c r="A100" s="210" t="s">
        <v>1524</v>
      </c>
      <c r="B100">
        <v>6904</v>
      </c>
      <c r="C100" s="100">
        <v>46024</v>
      </c>
      <c r="D100" t="s">
        <v>49</v>
      </c>
      <c r="E100" t="s">
        <v>17</v>
      </c>
      <c r="F100" t="s">
        <v>469</v>
      </c>
      <c r="G100">
        <v>822</v>
      </c>
      <c r="I100">
        <v>0</v>
      </c>
      <c r="J100" t="s">
        <v>565</v>
      </c>
    </row>
    <row r="101" spans="1:10" x14ac:dyDescent="0.25">
      <c r="A101" s="210" t="s">
        <v>1524</v>
      </c>
      <c r="B101">
        <v>6912</v>
      </c>
      <c r="C101" s="100">
        <v>46024</v>
      </c>
      <c r="D101" t="s">
        <v>49</v>
      </c>
      <c r="E101" t="s">
        <v>17</v>
      </c>
      <c r="F101" t="s">
        <v>251</v>
      </c>
      <c r="G101">
        <v>940</v>
      </c>
      <c r="I101">
        <v>0</v>
      </c>
      <c r="J101" t="s">
        <v>2369</v>
      </c>
    </row>
    <row r="102" spans="1:10" x14ac:dyDescent="0.25">
      <c r="A102" s="210" t="s">
        <v>1524</v>
      </c>
      <c r="B102">
        <v>6912</v>
      </c>
      <c r="C102" s="100">
        <v>46024</v>
      </c>
      <c r="D102" t="s">
        <v>49</v>
      </c>
      <c r="E102" t="s">
        <v>17</v>
      </c>
      <c r="F102" t="s">
        <v>62</v>
      </c>
      <c r="G102">
        <v>5229</v>
      </c>
      <c r="I102">
        <v>0</v>
      </c>
      <c r="J102" t="s">
        <v>2369</v>
      </c>
    </row>
    <row r="103" spans="1:10" x14ac:dyDescent="0.25">
      <c r="A103" s="210" t="s">
        <v>1524</v>
      </c>
      <c r="B103">
        <v>6922</v>
      </c>
      <c r="C103" s="100">
        <v>46025</v>
      </c>
      <c r="D103" t="s">
        <v>49</v>
      </c>
      <c r="E103" t="s">
        <v>143</v>
      </c>
      <c r="F103" t="s">
        <v>146</v>
      </c>
      <c r="G103">
        <v>1083</v>
      </c>
      <c r="I103">
        <v>0</v>
      </c>
      <c r="J103" t="s">
        <v>1740</v>
      </c>
    </row>
    <row r="104" spans="1:10" x14ac:dyDescent="0.25">
      <c r="A104" s="210" t="s">
        <v>1524</v>
      </c>
      <c r="B104">
        <v>6922</v>
      </c>
      <c r="C104" s="100">
        <v>46025</v>
      </c>
      <c r="D104" t="s">
        <v>49</v>
      </c>
      <c r="E104" t="s">
        <v>43</v>
      </c>
      <c r="F104" t="s">
        <v>146</v>
      </c>
      <c r="G104">
        <v>748</v>
      </c>
      <c r="I104">
        <v>0</v>
      </c>
    </row>
    <row r="105" spans="1:10" x14ac:dyDescent="0.25">
      <c r="A105" s="210" t="s">
        <v>1524</v>
      </c>
      <c r="B105">
        <v>6925</v>
      </c>
      <c r="C105" s="100">
        <v>46025</v>
      </c>
      <c r="D105" t="s">
        <v>49</v>
      </c>
      <c r="E105" t="s">
        <v>1048</v>
      </c>
      <c r="F105" t="s">
        <v>148</v>
      </c>
      <c r="G105">
        <v>5168</v>
      </c>
      <c r="I105">
        <v>0</v>
      </c>
    </row>
    <row r="106" spans="1:10" x14ac:dyDescent="0.25">
      <c r="A106" s="210" t="s">
        <v>1524</v>
      </c>
      <c r="B106">
        <v>6950</v>
      </c>
      <c r="C106" s="100">
        <v>46027</v>
      </c>
      <c r="D106" t="s">
        <v>49</v>
      </c>
      <c r="E106" t="s">
        <v>43</v>
      </c>
      <c r="F106" t="s">
        <v>249</v>
      </c>
      <c r="G106">
        <v>2092</v>
      </c>
      <c r="I106">
        <v>0</v>
      </c>
      <c r="J106" t="s">
        <v>2371</v>
      </c>
    </row>
    <row r="107" spans="1:10" x14ac:dyDescent="0.25">
      <c r="A107" s="210" t="s">
        <v>1524</v>
      </c>
      <c r="B107">
        <v>7006</v>
      </c>
      <c r="C107" s="100">
        <v>46027</v>
      </c>
      <c r="D107" t="s">
        <v>49</v>
      </c>
      <c r="E107" t="s">
        <v>43</v>
      </c>
      <c r="F107" t="s">
        <v>2372</v>
      </c>
      <c r="G107">
        <v>237</v>
      </c>
      <c r="I107">
        <v>0</v>
      </c>
      <c r="J107" t="s">
        <v>2373</v>
      </c>
    </row>
    <row r="108" spans="1:10" x14ac:dyDescent="0.25">
      <c r="A108" s="210" t="s">
        <v>1524</v>
      </c>
      <c r="B108">
        <v>7006</v>
      </c>
      <c r="C108" s="100">
        <v>46027</v>
      </c>
      <c r="D108" t="s">
        <v>49</v>
      </c>
      <c r="E108" t="s">
        <v>17</v>
      </c>
      <c r="F108" t="s">
        <v>953</v>
      </c>
      <c r="G108">
        <v>669</v>
      </c>
      <c r="I108">
        <v>0</v>
      </c>
      <c r="J108" t="s">
        <v>2374</v>
      </c>
    </row>
    <row r="109" spans="1:10" x14ac:dyDescent="0.25">
      <c r="A109" s="210" t="s">
        <v>1524</v>
      </c>
      <c r="B109">
        <v>7009</v>
      </c>
      <c r="C109" s="100">
        <v>46027</v>
      </c>
      <c r="D109" t="s">
        <v>49</v>
      </c>
      <c r="E109" t="s">
        <v>32</v>
      </c>
      <c r="F109" t="s">
        <v>40</v>
      </c>
      <c r="G109">
        <v>1424</v>
      </c>
      <c r="I109">
        <v>0</v>
      </c>
      <c r="J109" t="s">
        <v>2375</v>
      </c>
    </row>
    <row r="110" spans="1:10" x14ac:dyDescent="0.25">
      <c r="A110" s="210" t="s">
        <v>1524</v>
      </c>
      <c r="B110">
        <v>7012</v>
      </c>
      <c r="C110" s="100">
        <v>46028</v>
      </c>
      <c r="D110" t="s">
        <v>49</v>
      </c>
      <c r="E110" t="s">
        <v>143</v>
      </c>
      <c r="F110" t="s">
        <v>469</v>
      </c>
      <c r="G110">
        <v>5223</v>
      </c>
      <c r="I110">
        <v>0</v>
      </c>
      <c r="J110" t="s">
        <v>565</v>
      </c>
    </row>
    <row r="111" spans="1:10" x14ac:dyDescent="0.25">
      <c r="A111" s="210" t="s">
        <v>1524</v>
      </c>
      <c r="B111">
        <v>7041</v>
      </c>
      <c r="C111" s="100">
        <v>46029</v>
      </c>
      <c r="D111" t="s">
        <v>49</v>
      </c>
      <c r="E111" t="s">
        <v>43</v>
      </c>
      <c r="F111" t="s">
        <v>259</v>
      </c>
      <c r="G111">
        <v>620</v>
      </c>
      <c r="I111">
        <v>0</v>
      </c>
      <c r="J111" t="s">
        <v>2388</v>
      </c>
    </row>
    <row r="112" spans="1:10" x14ac:dyDescent="0.25">
      <c r="A112" s="210" t="s">
        <v>1524</v>
      </c>
      <c r="B112">
        <v>7051</v>
      </c>
      <c r="C112" s="100">
        <v>46030</v>
      </c>
      <c r="D112" t="s">
        <v>49</v>
      </c>
      <c r="E112" t="s">
        <v>26</v>
      </c>
      <c r="F112" t="s">
        <v>1760</v>
      </c>
      <c r="G112">
        <v>6080</v>
      </c>
      <c r="I112">
        <v>0</v>
      </c>
      <c r="J112" t="s">
        <v>2395</v>
      </c>
    </row>
    <row r="113" spans="1:10" x14ac:dyDescent="0.25">
      <c r="A113" s="210" t="s">
        <v>1524</v>
      </c>
      <c r="B113">
        <v>7059</v>
      </c>
      <c r="C113" s="100">
        <v>46030</v>
      </c>
      <c r="D113" t="s">
        <v>49</v>
      </c>
      <c r="E113" t="s">
        <v>301</v>
      </c>
      <c r="F113" t="s">
        <v>2396</v>
      </c>
      <c r="G113">
        <v>5140</v>
      </c>
      <c r="I113">
        <v>0</v>
      </c>
      <c r="J113" t="s">
        <v>2397</v>
      </c>
    </row>
    <row r="114" spans="1:10" x14ac:dyDescent="0.25">
      <c r="A114" s="210" t="s">
        <v>1524</v>
      </c>
      <c r="B114">
        <v>7062</v>
      </c>
      <c r="C114" s="100">
        <v>46030</v>
      </c>
      <c r="D114" t="s">
        <v>49</v>
      </c>
      <c r="E114" t="s">
        <v>301</v>
      </c>
      <c r="F114" t="s">
        <v>2398</v>
      </c>
      <c r="G114">
        <v>3324</v>
      </c>
      <c r="I114">
        <v>0</v>
      </c>
      <c r="J114" t="s">
        <v>2397</v>
      </c>
    </row>
    <row r="115" spans="1:10" x14ac:dyDescent="0.25">
      <c r="A115" s="210" t="s">
        <v>1524</v>
      </c>
      <c r="B115">
        <v>7082</v>
      </c>
      <c r="C115" s="100">
        <v>46031</v>
      </c>
      <c r="D115" t="s">
        <v>49</v>
      </c>
      <c r="E115" t="s">
        <v>301</v>
      </c>
      <c r="F115" t="s">
        <v>2407</v>
      </c>
      <c r="G115">
        <v>6644</v>
      </c>
      <c r="I115">
        <v>0</v>
      </c>
      <c r="J115" t="s">
        <v>2408</v>
      </c>
    </row>
    <row r="116" spans="1:10" x14ac:dyDescent="0.25">
      <c r="A116" s="210" t="s">
        <v>1524</v>
      </c>
      <c r="B116">
        <v>7084</v>
      </c>
      <c r="C116" s="100">
        <v>46031</v>
      </c>
      <c r="D116" t="s">
        <v>49</v>
      </c>
      <c r="E116" t="s">
        <v>43</v>
      </c>
      <c r="F116" t="s">
        <v>146</v>
      </c>
      <c r="G116">
        <v>1740</v>
      </c>
      <c r="I116">
        <v>0</v>
      </c>
      <c r="J116" t="s">
        <v>1740</v>
      </c>
    </row>
    <row r="117" spans="1:10" x14ac:dyDescent="0.25">
      <c r="A117" s="210" t="s">
        <v>1524</v>
      </c>
      <c r="B117">
        <v>7095</v>
      </c>
      <c r="C117" s="100">
        <v>46032</v>
      </c>
      <c r="D117" t="s">
        <v>49</v>
      </c>
      <c r="E117" t="s">
        <v>45</v>
      </c>
      <c r="F117" t="s">
        <v>487</v>
      </c>
      <c r="G117">
        <v>4202</v>
      </c>
      <c r="I117">
        <v>0</v>
      </c>
      <c r="J117" t="s">
        <v>2409</v>
      </c>
    </row>
    <row r="118" spans="1:10" x14ac:dyDescent="0.25">
      <c r="A118" s="210" t="s">
        <v>1524</v>
      </c>
      <c r="B118">
        <v>7095</v>
      </c>
      <c r="C118" s="100">
        <v>46032</v>
      </c>
      <c r="D118" t="s">
        <v>49</v>
      </c>
      <c r="E118" t="s">
        <v>45</v>
      </c>
      <c r="F118" t="s">
        <v>462</v>
      </c>
      <c r="G118">
        <v>3734</v>
      </c>
      <c r="I118">
        <v>0</v>
      </c>
      <c r="J118" t="s">
        <v>2410</v>
      </c>
    </row>
    <row r="119" spans="1:10" x14ac:dyDescent="0.25">
      <c r="A119" s="210" t="s">
        <v>1524</v>
      </c>
      <c r="B119">
        <v>7132</v>
      </c>
      <c r="C119" s="100">
        <v>46034</v>
      </c>
      <c r="D119" t="s">
        <v>49</v>
      </c>
      <c r="E119" t="s">
        <v>43</v>
      </c>
      <c r="F119" t="s">
        <v>41</v>
      </c>
      <c r="G119">
        <v>5398</v>
      </c>
      <c r="I119">
        <v>0</v>
      </c>
      <c r="J119" t="s">
        <v>2415</v>
      </c>
    </row>
    <row r="120" spans="1:10" x14ac:dyDescent="0.25">
      <c r="A120" s="210" t="s">
        <v>1524</v>
      </c>
      <c r="B120">
        <v>7153</v>
      </c>
      <c r="C120" s="100">
        <v>46035</v>
      </c>
      <c r="D120" t="s">
        <v>49</v>
      </c>
      <c r="E120" t="s">
        <v>45</v>
      </c>
      <c r="F120" t="s">
        <v>462</v>
      </c>
      <c r="G120">
        <v>3790</v>
      </c>
      <c r="I120">
        <v>0</v>
      </c>
      <c r="J120" t="s">
        <v>2416</v>
      </c>
    </row>
    <row r="121" spans="1:10" x14ac:dyDescent="0.25">
      <c r="A121" s="210" t="s">
        <v>1524</v>
      </c>
      <c r="B121">
        <v>7153</v>
      </c>
      <c r="C121" s="100">
        <v>46035</v>
      </c>
      <c r="D121" t="s">
        <v>49</v>
      </c>
      <c r="E121" t="s">
        <v>940</v>
      </c>
      <c r="F121" t="s">
        <v>2417</v>
      </c>
      <c r="G121">
        <v>2706</v>
      </c>
      <c r="I121">
        <v>0</v>
      </c>
      <c r="J121" t="s">
        <v>2418</v>
      </c>
    </row>
    <row r="122" spans="1:10" x14ac:dyDescent="0.25">
      <c r="A122" s="210" t="s">
        <v>1524</v>
      </c>
      <c r="B122">
        <v>7173</v>
      </c>
      <c r="C122" s="100">
        <v>46036</v>
      </c>
      <c r="D122" t="s">
        <v>49</v>
      </c>
      <c r="E122" t="s">
        <v>301</v>
      </c>
      <c r="F122" t="s">
        <v>2423</v>
      </c>
      <c r="G122">
        <v>5238</v>
      </c>
      <c r="I122">
        <v>0</v>
      </c>
      <c r="J122" t="s">
        <v>2424</v>
      </c>
    </row>
    <row r="123" spans="1:10" x14ac:dyDescent="0.25">
      <c r="A123" s="210" t="s">
        <v>1524</v>
      </c>
      <c r="B123">
        <v>7181</v>
      </c>
      <c r="C123" s="100">
        <v>46037</v>
      </c>
      <c r="D123" t="s">
        <v>49</v>
      </c>
      <c r="E123" t="s">
        <v>43</v>
      </c>
      <c r="F123" t="s">
        <v>251</v>
      </c>
      <c r="G123">
        <v>3310</v>
      </c>
      <c r="I123">
        <v>0</v>
      </c>
      <c r="J123" t="s">
        <v>2415</v>
      </c>
    </row>
    <row r="124" spans="1:10" x14ac:dyDescent="0.25">
      <c r="A124" s="210" t="s">
        <v>1524</v>
      </c>
      <c r="B124">
        <v>7188</v>
      </c>
      <c r="C124" s="100">
        <v>46037</v>
      </c>
      <c r="D124" t="s">
        <v>49</v>
      </c>
      <c r="E124" t="s">
        <v>17</v>
      </c>
      <c r="F124" t="s">
        <v>2426</v>
      </c>
      <c r="G124">
        <v>2588</v>
      </c>
      <c r="I124">
        <v>0</v>
      </c>
      <c r="J124" t="s">
        <v>2427</v>
      </c>
    </row>
    <row r="125" spans="1:10" x14ac:dyDescent="0.25">
      <c r="A125" s="210" t="s">
        <v>1524</v>
      </c>
      <c r="B125">
        <v>7194</v>
      </c>
      <c r="C125" s="100">
        <v>46037</v>
      </c>
      <c r="D125" t="s">
        <v>49</v>
      </c>
      <c r="E125" t="s">
        <v>17</v>
      </c>
      <c r="F125" t="s">
        <v>78</v>
      </c>
      <c r="G125">
        <v>1517</v>
      </c>
      <c r="I125">
        <v>0</v>
      </c>
      <c r="J125" t="s">
        <v>2428</v>
      </c>
    </row>
    <row r="126" spans="1:10" x14ac:dyDescent="0.25">
      <c r="A126" s="210" t="s">
        <v>1524</v>
      </c>
      <c r="B126">
        <v>7194</v>
      </c>
      <c r="C126" s="100">
        <v>46037</v>
      </c>
      <c r="D126" t="s">
        <v>49</v>
      </c>
      <c r="E126" t="s">
        <v>17</v>
      </c>
      <c r="F126" t="s">
        <v>78</v>
      </c>
      <c r="G126">
        <v>1040</v>
      </c>
      <c r="I126">
        <v>0</v>
      </c>
    </row>
    <row r="127" spans="1:10" x14ac:dyDescent="0.25">
      <c r="A127" s="210" t="s">
        <v>1524</v>
      </c>
      <c r="B127">
        <v>7199</v>
      </c>
      <c r="C127" s="100">
        <v>46037</v>
      </c>
      <c r="D127" t="s">
        <v>49</v>
      </c>
      <c r="E127" t="s">
        <v>45</v>
      </c>
      <c r="F127" t="s">
        <v>40</v>
      </c>
      <c r="G127">
        <v>2212</v>
      </c>
      <c r="I127">
        <v>0</v>
      </c>
      <c r="J127" t="s">
        <v>2429</v>
      </c>
    </row>
    <row r="128" spans="1:10" x14ac:dyDescent="0.25">
      <c r="A128" s="210" t="s">
        <v>1524</v>
      </c>
      <c r="B128">
        <v>7205</v>
      </c>
      <c r="C128" s="100">
        <v>46038</v>
      </c>
      <c r="D128" t="s">
        <v>49</v>
      </c>
      <c r="E128" t="s">
        <v>43</v>
      </c>
      <c r="F128" t="s">
        <v>134</v>
      </c>
      <c r="G128">
        <v>1068</v>
      </c>
      <c r="I128">
        <v>0</v>
      </c>
      <c r="J128" t="s">
        <v>1740</v>
      </c>
    </row>
    <row r="129" spans="1:10" x14ac:dyDescent="0.25">
      <c r="A129" s="210" t="s">
        <v>1524</v>
      </c>
      <c r="B129">
        <v>7246</v>
      </c>
      <c r="C129" s="100">
        <v>46039</v>
      </c>
      <c r="D129" t="s">
        <v>49</v>
      </c>
      <c r="E129" t="s">
        <v>301</v>
      </c>
      <c r="F129" t="s">
        <v>2430</v>
      </c>
      <c r="G129">
        <v>3426</v>
      </c>
      <c r="I129">
        <v>0</v>
      </c>
      <c r="J129" t="s">
        <v>2431</v>
      </c>
    </row>
    <row r="130" spans="1:10" x14ac:dyDescent="0.25">
      <c r="A130" s="210" t="s">
        <v>1524</v>
      </c>
      <c r="B130">
        <v>7246</v>
      </c>
      <c r="C130" s="100">
        <v>46039</v>
      </c>
      <c r="D130" t="s">
        <v>49</v>
      </c>
      <c r="E130" t="s">
        <v>17</v>
      </c>
      <c r="F130" t="s">
        <v>40</v>
      </c>
      <c r="G130">
        <v>6200</v>
      </c>
      <c r="I130">
        <v>0</v>
      </c>
      <c r="J130" t="s">
        <v>2432</v>
      </c>
    </row>
    <row r="131" spans="1:10" x14ac:dyDescent="0.25">
      <c r="A131" s="210" t="s">
        <v>1524</v>
      </c>
      <c r="B131">
        <v>7292</v>
      </c>
      <c r="C131" s="100">
        <v>46042</v>
      </c>
      <c r="D131" t="s">
        <v>49</v>
      </c>
      <c r="E131" t="s">
        <v>143</v>
      </c>
      <c r="F131" t="s">
        <v>251</v>
      </c>
      <c r="G131">
        <v>404</v>
      </c>
      <c r="I131">
        <v>0</v>
      </c>
      <c r="J131" t="s">
        <v>1740</v>
      </c>
    </row>
    <row r="132" spans="1:10" x14ac:dyDescent="0.25">
      <c r="A132" s="210" t="s">
        <v>1524</v>
      </c>
      <c r="B132">
        <v>7292</v>
      </c>
      <c r="C132" s="100">
        <v>46042</v>
      </c>
      <c r="D132" t="s">
        <v>49</v>
      </c>
      <c r="E132" t="s">
        <v>43</v>
      </c>
      <c r="F132" t="s">
        <v>41</v>
      </c>
      <c r="G132">
        <v>582</v>
      </c>
      <c r="I132">
        <v>0</v>
      </c>
      <c r="J132" t="s">
        <v>1740</v>
      </c>
    </row>
    <row r="133" spans="1:10" x14ac:dyDescent="0.25">
      <c r="A133" s="210" t="s">
        <v>1524</v>
      </c>
      <c r="B133">
        <v>7293</v>
      </c>
      <c r="C133" s="100">
        <v>46042</v>
      </c>
      <c r="D133" t="s">
        <v>49</v>
      </c>
      <c r="E133" t="s">
        <v>26</v>
      </c>
      <c r="F133" t="s">
        <v>40</v>
      </c>
      <c r="G133">
        <v>3818</v>
      </c>
      <c r="I133">
        <v>0</v>
      </c>
      <c r="J133" t="s">
        <v>2434</v>
      </c>
    </row>
    <row r="134" spans="1:10" x14ac:dyDescent="0.25">
      <c r="A134" s="210" t="s">
        <v>1524</v>
      </c>
      <c r="B134">
        <v>7306</v>
      </c>
      <c r="C134" s="100">
        <v>46043</v>
      </c>
      <c r="D134" t="s">
        <v>49</v>
      </c>
      <c r="E134" t="s">
        <v>43</v>
      </c>
      <c r="F134" t="s">
        <v>134</v>
      </c>
      <c r="G134">
        <v>940</v>
      </c>
      <c r="I134">
        <v>0</v>
      </c>
      <c r="J134" t="s">
        <v>1740</v>
      </c>
    </row>
    <row r="135" spans="1:10" x14ac:dyDescent="0.25">
      <c r="A135" s="210" t="s">
        <v>1524</v>
      </c>
      <c r="B135">
        <v>7306</v>
      </c>
      <c r="C135" s="100">
        <v>46043</v>
      </c>
      <c r="D135" t="s">
        <v>49</v>
      </c>
      <c r="E135" t="s">
        <v>43</v>
      </c>
      <c r="F135" t="s">
        <v>134</v>
      </c>
      <c r="G135">
        <v>2726</v>
      </c>
      <c r="I135">
        <v>0</v>
      </c>
    </row>
    <row r="136" spans="1:10" x14ac:dyDescent="0.25">
      <c r="A136" s="210" t="s">
        <v>1524</v>
      </c>
      <c r="B136">
        <v>7310</v>
      </c>
      <c r="C136" s="100">
        <v>46043</v>
      </c>
      <c r="D136" t="s">
        <v>49</v>
      </c>
      <c r="E136" t="s">
        <v>26</v>
      </c>
      <c r="F136" t="s">
        <v>2437</v>
      </c>
      <c r="G136">
        <v>4750</v>
      </c>
      <c r="I136">
        <v>0</v>
      </c>
      <c r="J136" t="s">
        <v>2438</v>
      </c>
    </row>
    <row r="137" spans="1:10" x14ac:dyDescent="0.25">
      <c r="A137" s="210" t="s">
        <v>1524</v>
      </c>
      <c r="B137">
        <v>7313</v>
      </c>
      <c r="C137" s="100">
        <v>46044</v>
      </c>
      <c r="D137" t="s">
        <v>49</v>
      </c>
      <c r="E137" t="s">
        <v>17</v>
      </c>
      <c r="F137" t="s">
        <v>254</v>
      </c>
      <c r="G137">
        <v>1224</v>
      </c>
      <c r="I137">
        <v>0</v>
      </c>
      <c r="J137" t="s">
        <v>2439</v>
      </c>
    </row>
    <row r="138" spans="1:10" x14ac:dyDescent="0.25">
      <c r="A138" s="210" t="s">
        <v>1524</v>
      </c>
      <c r="B138">
        <v>7313</v>
      </c>
      <c r="C138" s="100">
        <v>46044</v>
      </c>
      <c r="D138" t="s">
        <v>49</v>
      </c>
      <c r="E138" t="s">
        <v>17</v>
      </c>
      <c r="F138" t="s">
        <v>2440</v>
      </c>
      <c r="G138">
        <v>1002</v>
      </c>
      <c r="I138">
        <v>0</v>
      </c>
      <c r="J138" t="s">
        <v>2441</v>
      </c>
    </row>
    <row r="139" spans="1:10" x14ac:dyDescent="0.25">
      <c r="A139" s="210" t="s">
        <v>1524</v>
      </c>
      <c r="B139">
        <v>7313</v>
      </c>
      <c r="C139" s="100">
        <v>46044</v>
      </c>
      <c r="D139" t="s">
        <v>49</v>
      </c>
      <c r="E139" t="s">
        <v>301</v>
      </c>
      <c r="F139" t="s">
        <v>2442</v>
      </c>
      <c r="G139">
        <v>2008</v>
      </c>
      <c r="I139">
        <v>0</v>
      </c>
      <c r="J139" t="s">
        <v>2443</v>
      </c>
    </row>
    <row r="140" spans="1:10" x14ac:dyDescent="0.25">
      <c r="A140" s="210" t="s">
        <v>1524</v>
      </c>
      <c r="B140">
        <v>7317</v>
      </c>
      <c r="C140" s="100">
        <v>46044</v>
      </c>
      <c r="D140" t="s">
        <v>49</v>
      </c>
      <c r="E140" t="s">
        <v>26</v>
      </c>
      <c r="F140" t="s">
        <v>41</v>
      </c>
      <c r="G140">
        <v>424</v>
      </c>
      <c r="I140">
        <v>0</v>
      </c>
      <c r="J140" t="s">
        <v>2444</v>
      </c>
    </row>
    <row r="141" spans="1:10" x14ac:dyDescent="0.25">
      <c r="A141" s="210" t="s">
        <v>1524</v>
      </c>
      <c r="B141">
        <v>7331</v>
      </c>
      <c r="C141" s="100">
        <v>46044</v>
      </c>
      <c r="D141" t="s">
        <v>49</v>
      </c>
      <c r="E141" t="s">
        <v>1048</v>
      </c>
      <c r="F141" t="s">
        <v>148</v>
      </c>
      <c r="G141">
        <v>6166</v>
      </c>
      <c r="I141">
        <v>0</v>
      </c>
      <c r="J141" t="s">
        <v>2445</v>
      </c>
    </row>
    <row r="142" spans="1:10" x14ac:dyDescent="0.25">
      <c r="A142" s="210" t="s">
        <v>1524</v>
      </c>
      <c r="B142">
        <v>7339</v>
      </c>
      <c r="C142" s="100">
        <v>46045</v>
      </c>
      <c r="D142" t="s">
        <v>49</v>
      </c>
      <c r="E142" t="s">
        <v>841</v>
      </c>
      <c r="F142" t="s">
        <v>2447</v>
      </c>
      <c r="G142">
        <v>330</v>
      </c>
      <c r="I142">
        <v>0</v>
      </c>
      <c r="J142" t="s">
        <v>2448</v>
      </c>
    </row>
    <row r="143" spans="1:10" x14ac:dyDescent="0.25">
      <c r="A143" s="210" t="s">
        <v>1524</v>
      </c>
      <c r="B143">
        <v>7339</v>
      </c>
      <c r="C143" s="100">
        <v>46045</v>
      </c>
      <c r="D143" t="s">
        <v>49</v>
      </c>
      <c r="E143" t="s">
        <v>17</v>
      </c>
      <c r="F143" t="s">
        <v>482</v>
      </c>
      <c r="G143">
        <v>5530</v>
      </c>
      <c r="I143">
        <v>0</v>
      </c>
      <c r="J143" t="s">
        <v>2449</v>
      </c>
    </row>
    <row r="144" spans="1:10" x14ac:dyDescent="0.25">
      <c r="A144" s="210" t="s">
        <v>1524</v>
      </c>
      <c r="B144">
        <v>7387</v>
      </c>
      <c r="C144" s="100">
        <v>46048</v>
      </c>
      <c r="D144" t="s">
        <v>49</v>
      </c>
      <c r="E144" t="s">
        <v>660</v>
      </c>
      <c r="F144" t="s">
        <v>793</v>
      </c>
      <c r="G144">
        <v>1282</v>
      </c>
      <c r="I144">
        <v>0</v>
      </c>
      <c r="J144" t="s">
        <v>2452</v>
      </c>
    </row>
    <row r="145" spans="1:10" x14ac:dyDescent="0.25">
      <c r="A145" s="210" t="s">
        <v>1524</v>
      </c>
      <c r="B145">
        <v>7387</v>
      </c>
      <c r="C145" s="100">
        <v>46048</v>
      </c>
      <c r="D145" t="s">
        <v>49</v>
      </c>
      <c r="E145" t="s">
        <v>841</v>
      </c>
      <c r="F145" t="s">
        <v>2453</v>
      </c>
      <c r="G145">
        <v>2987</v>
      </c>
      <c r="I145">
        <v>0</v>
      </c>
      <c r="J145" t="s">
        <v>2454</v>
      </c>
    </row>
    <row r="146" spans="1:10" x14ac:dyDescent="0.25">
      <c r="A146" s="210" t="s">
        <v>1524</v>
      </c>
      <c r="B146">
        <v>7401</v>
      </c>
      <c r="C146" s="100">
        <v>46048</v>
      </c>
      <c r="D146" t="s">
        <v>49</v>
      </c>
      <c r="E146" t="s">
        <v>43</v>
      </c>
      <c r="F146" t="s">
        <v>41</v>
      </c>
      <c r="G146">
        <v>882</v>
      </c>
      <c r="I146">
        <v>0</v>
      </c>
      <c r="J146" t="s">
        <v>1740</v>
      </c>
    </row>
    <row r="147" spans="1:10" x14ac:dyDescent="0.25">
      <c r="A147" s="210" t="s">
        <v>1524</v>
      </c>
      <c r="B147">
        <v>7406</v>
      </c>
      <c r="C147" s="100">
        <v>46049</v>
      </c>
      <c r="D147" t="s">
        <v>49</v>
      </c>
      <c r="E147" t="s">
        <v>26</v>
      </c>
      <c r="F147" t="s">
        <v>2457</v>
      </c>
      <c r="G147">
        <v>4697</v>
      </c>
      <c r="I147">
        <v>0</v>
      </c>
      <c r="J147" t="s">
        <v>2458</v>
      </c>
    </row>
    <row r="148" spans="1:10" x14ac:dyDescent="0.25">
      <c r="A148" s="210" t="s">
        <v>1524</v>
      </c>
      <c r="B148">
        <v>7414</v>
      </c>
      <c r="C148" s="100">
        <v>46049</v>
      </c>
      <c r="D148" t="s">
        <v>49</v>
      </c>
      <c r="E148" t="s">
        <v>17</v>
      </c>
      <c r="F148" t="s">
        <v>134</v>
      </c>
      <c r="G148">
        <v>2761</v>
      </c>
      <c r="I148">
        <v>0</v>
      </c>
      <c r="J148" t="s">
        <v>2459</v>
      </c>
    </row>
    <row r="149" spans="1:10" x14ac:dyDescent="0.25">
      <c r="A149" s="210" t="s">
        <v>1524</v>
      </c>
      <c r="B149">
        <v>7433</v>
      </c>
      <c r="C149" s="100">
        <v>46050</v>
      </c>
      <c r="D149" t="s">
        <v>49</v>
      </c>
      <c r="E149" t="s">
        <v>301</v>
      </c>
      <c r="F149" t="s">
        <v>2461</v>
      </c>
      <c r="G149">
        <v>1326</v>
      </c>
      <c r="I149">
        <v>0</v>
      </c>
      <c r="J149" t="s">
        <v>2462</v>
      </c>
    </row>
    <row r="150" spans="1:10" x14ac:dyDescent="0.25">
      <c r="A150" s="210" t="s">
        <v>1524</v>
      </c>
      <c r="B150">
        <v>7433</v>
      </c>
      <c r="C150" s="100">
        <v>46050</v>
      </c>
      <c r="D150" t="s">
        <v>49</v>
      </c>
      <c r="E150" t="s">
        <v>301</v>
      </c>
      <c r="F150" t="s">
        <v>2463</v>
      </c>
      <c r="G150">
        <v>1204</v>
      </c>
      <c r="I150">
        <v>0</v>
      </c>
      <c r="J150" t="s">
        <v>2464</v>
      </c>
    </row>
    <row r="151" spans="1:10" x14ac:dyDescent="0.25">
      <c r="A151" s="210" t="s">
        <v>1524</v>
      </c>
      <c r="B151">
        <v>7440</v>
      </c>
      <c r="C151" s="100">
        <v>46050</v>
      </c>
      <c r="D151" t="s">
        <v>49</v>
      </c>
      <c r="E151" t="s">
        <v>26</v>
      </c>
      <c r="F151" t="s">
        <v>782</v>
      </c>
      <c r="G151">
        <v>2401</v>
      </c>
      <c r="I151">
        <v>0</v>
      </c>
      <c r="J151" t="s">
        <v>2465</v>
      </c>
    </row>
    <row r="152" spans="1:10" x14ac:dyDescent="0.25">
      <c r="A152" s="210" t="s">
        <v>1524</v>
      </c>
      <c r="B152">
        <v>7440</v>
      </c>
      <c r="C152" s="100">
        <v>46050</v>
      </c>
      <c r="D152" t="s">
        <v>49</v>
      </c>
      <c r="E152" t="s">
        <v>17</v>
      </c>
      <c r="F152" t="s">
        <v>469</v>
      </c>
      <c r="G152">
        <v>6406</v>
      </c>
      <c r="I152">
        <v>0</v>
      </c>
      <c r="J152" t="s">
        <v>2466</v>
      </c>
    </row>
    <row r="153" spans="1:10" x14ac:dyDescent="0.25">
      <c r="A153" s="210" t="s">
        <v>1524</v>
      </c>
      <c r="B153">
        <v>7485</v>
      </c>
      <c r="C153" s="100">
        <v>46053</v>
      </c>
      <c r="D153" t="s">
        <v>49</v>
      </c>
      <c r="E153" t="s">
        <v>17</v>
      </c>
      <c r="F153" t="s">
        <v>25</v>
      </c>
      <c r="G153">
        <v>2000</v>
      </c>
      <c r="I153">
        <v>0</v>
      </c>
      <c r="J153" t="s">
        <v>2468</v>
      </c>
    </row>
    <row r="154" spans="1:10" x14ac:dyDescent="0.25">
      <c r="A154" s="210" t="s">
        <v>1524</v>
      </c>
      <c r="B154">
        <v>7485</v>
      </c>
      <c r="C154" s="100">
        <v>46053</v>
      </c>
      <c r="D154" t="s">
        <v>49</v>
      </c>
      <c r="E154" t="s">
        <v>17</v>
      </c>
      <c r="F154" t="s">
        <v>25</v>
      </c>
      <c r="G154">
        <v>970</v>
      </c>
      <c r="I154">
        <v>0</v>
      </c>
      <c r="J154" t="s">
        <v>2469</v>
      </c>
    </row>
    <row r="155" spans="1:10" x14ac:dyDescent="0.25">
      <c r="A155" s="210" t="s">
        <v>1524</v>
      </c>
      <c r="B155">
        <v>7485</v>
      </c>
      <c r="C155" s="100">
        <v>46053</v>
      </c>
      <c r="D155" t="s">
        <v>49</v>
      </c>
      <c r="E155" t="s">
        <v>17</v>
      </c>
      <c r="F155" t="s">
        <v>469</v>
      </c>
      <c r="G155">
        <v>15032</v>
      </c>
      <c r="I155">
        <v>0</v>
      </c>
      <c r="J155" t="s">
        <v>2470</v>
      </c>
    </row>
    <row r="156" spans="1:10" x14ac:dyDescent="0.25">
      <c r="A156" s="210" t="s">
        <v>1524</v>
      </c>
      <c r="B156">
        <v>7487</v>
      </c>
      <c r="C156" s="100">
        <v>46055</v>
      </c>
      <c r="D156" t="s">
        <v>49</v>
      </c>
      <c r="E156" t="s">
        <v>43</v>
      </c>
      <c r="F156" t="s">
        <v>41</v>
      </c>
      <c r="G156">
        <v>1777</v>
      </c>
      <c r="I156">
        <v>0</v>
      </c>
    </row>
    <row r="157" spans="1:10" x14ac:dyDescent="0.25">
      <c r="A157" s="210" t="s">
        <v>1524</v>
      </c>
      <c r="B157">
        <v>7487</v>
      </c>
      <c r="C157" s="100">
        <v>46055</v>
      </c>
      <c r="D157" t="s">
        <v>49</v>
      </c>
      <c r="E157" t="s">
        <v>43</v>
      </c>
      <c r="F157" t="s">
        <v>146</v>
      </c>
      <c r="G157">
        <v>2336</v>
      </c>
      <c r="I157">
        <v>0</v>
      </c>
    </row>
    <row r="158" spans="1:10" x14ac:dyDescent="0.25">
      <c r="A158" s="210" t="s">
        <v>1524</v>
      </c>
      <c r="B158">
        <v>7512</v>
      </c>
      <c r="C158" s="100">
        <v>46056</v>
      </c>
      <c r="D158" t="s">
        <v>49</v>
      </c>
      <c r="E158" t="s">
        <v>32</v>
      </c>
      <c r="F158" t="s">
        <v>40</v>
      </c>
      <c r="G158">
        <v>5040</v>
      </c>
      <c r="I158">
        <v>0</v>
      </c>
    </row>
    <row r="159" spans="1:10" x14ac:dyDescent="0.25">
      <c r="A159" s="210" t="s">
        <v>1524</v>
      </c>
      <c r="B159">
        <v>5030</v>
      </c>
      <c r="C159" s="100">
        <v>46084</v>
      </c>
      <c r="D159" t="s">
        <v>426</v>
      </c>
      <c r="E159" t="s">
        <v>93</v>
      </c>
      <c r="F159" t="s">
        <v>40</v>
      </c>
      <c r="G159">
        <v>6796</v>
      </c>
      <c r="I159">
        <v>0</v>
      </c>
    </row>
    <row r="160" spans="1:10" x14ac:dyDescent="0.25">
      <c r="A160" s="210" t="s">
        <v>1524</v>
      </c>
      <c r="B160">
        <v>5045</v>
      </c>
      <c r="C160" s="100">
        <v>46087</v>
      </c>
      <c r="D160" t="s">
        <v>426</v>
      </c>
      <c r="E160" t="s">
        <v>93</v>
      </c>
      <c r="F160" t="s">
        <v>637</v>
      </c>
      <c r="G160">
        <v>800</v>
      </c>
      <c r="I160">
        <v>0</v>
      </c>
    </row>
    <row r="161" spans="1:10" x14ac:dyDescent="0.25">
      <c r="A161" s="210" t="s">
        <v>1524</v>
      </c>
      <c r="B161">
        <v>7884</v>
      </c>
      <c r="C161" s="100">
        <v>46087</v>
      </c>
      <c r="D161" t="s">
        <v>49</v>
      </c>
      <c r="E161" t="s">
        <v>301</v>
      </c>
      <c r="F161" t="s">
        <v>465</v>
      </c>
      <c r="G161">
        <v>3338</v>
      </c>
      <c r="I161">
        <v>0</v>
      </c>
    </row>
    <row r="162" spans="1:10" x14ac:dyDescent="0.25">
      <c r="A162" s="210" t="s">
        <v>1524</v>
      </c>
      <c r="B162">
        <v>7884</v>
      </c>
      <c r="C162" s="100">
        <v>46087</v>
      </c>
      <c r="D162" t="s">
        <v>49</v>
      </c>
      <c r="E162" t="s">
        <v>301</v>
      </c>
      <c r="F162" t="s">
        <v>466</v>
      </c>
      <c r="G162">
        <v>6644</v>
      </c>
      <c r="I162">
        <v>0</v>
      </c>
    </row>
    <row r="163" spans="1:10" x14ac:dyDescent="0.25">
      <c r="A163" s="210" t="s">
        <v>1524</v>
      </c>
      <c r="B163">
        <v>7896</v>
      </c>
      <c r="C163" s="100">
        <v>46087</v>
      </c>
      <c r="D163" t="s">
        <v>49</v>
      </c>
      <c r="E163" t="s">
        <v>77</v>
      </c>
      <c r="F163" t="s">
        <v>211</v>
      </c>
      <c r="G163">
        <v>1329</v>
      </c>
      <c r="I163">
        <v>0</v>
      </c>
    </row>
    <row r="164" spans="1:10" x14ac:dyDescent="0.25">
      <c r="A164" s="210" t="s">
        <v>1524</v>
      </c>
      <c r="B164">
        <v>7896</v>
      </c>
      <c r="C164" s="100">
        <v>46087</v>
      </c>
      <c r="D164" t="s">
        <v>49</v>
      </c>
      <c r="E164" t="s">
        <v>77</v>
      </c>
      <c r="F164" t="s">
        <v>211</v>
      </c>
      <c r="G164">
        <v>1896</v>
      </c>
      <c r="I164">
        <v>0</v>
      </c>
      <c r="J164" t="s">
        <v>467</v>
      </c>
    </row>
    <row r="165" spans="1:10" x14ac:dyDescent="0.25">
      <c r="A165" s="210" t="s">
        <v>1524</v>
      </c>
      <c r="B165">
        <v>7903</v>
      </c>
      <c r="C165" s="100">
        <v>46087</v>
      </c>
      <c r="D165" t="s">
        <v>49</v>
      </c>
      <c r="E165" t="s">
        <v>17</v>
      </c>
      <c r="F165" t="s">
        <v>468</v>
      </c>
      <c r="G165">
        <v>5720</v>
      </c>
      <c r="I165">
        <v>0</v>
      </c>
    </row>
    <row r="166" spans="1:10" x14ac:dyDescent="0.25">
      <c r="A166" s="210" t="s">
        <v>1524</v>
      </c>
      <c r="B166">
        <v>7907</v>
      </c>
      <c r="C166" s="100">
        <v>46087</v>
      </c>
      <c r="D166" t="s">
        <v>49</v>
      </c>
      <c r="E166" t="s">
        <v>17</v>
      </c>
      <c r="F166" t="s">
        <v>469</v>
      </c>
      <c r="G166">
        <v>9355</v>
      </c>
      <c r="I166">
        <v>0</v>
      </c>
    </row>
    <row r="167" spans="1:10" x14ac:dyDescent="0.25">
      <c r="A167" s="210" t="s">
        <v>1524</v>
      </c>
      <c r="B167">
        <v>7913</v>
      </c>
      <c r="C167" s="100">
        <v>46088</v>
      </c>
      <c r="D167" t="s">
        <v>49</v>
      </c>
      <c r="E167" t="s">
        <v>470</v>
      </c>
      <c r="F167" t="s">
        <v>65</v>
      </c>
      <c r="G167">
        <v>1140</v>
      </c>
      <c r="I167">
        <v>0</v>
      </c>
      <c r="J167" t="s">
        <v>471</v>
      </c>
    </row>
    <row r="168" spans="1:10" x14ac:dyDescent="0.25">
      <c r="A168" s="210" t="s">
        <v>1524</v>
      </c>
      <c r="B168">
        <v>7928</v>
      </c>
      <c r="C168" s="100">
        <v>46088</v>
      </c>
      <c r="D168" t="s">
        <v>49</v>
      </c>
      <c r="E168" t="s">
        <v>472</v>
      </c>
      <c r="F168" t="s">
        <v>62</v>
      </c>
      <c r="G168">
        <v>1180</v>
      </c>
      <c r="I168">
        <v>0</v>
      </c>
      <c r="J168" t="s">
        <v>473</v>
      </c>
    </row>
    <row r="169" spans="1:10" x14ac:dyDescent="0.25">
      <c r="A169" s="210" t="s">
        <v>1524</v>
      </c>
      <c r="B169">
        <v>7941</v>
      </c>
      <c r="C169" s="100">
        <v>46090</v>
      </c>
      <c r="D169" t="s">
        <v>49</v>
      </c>
      <c r="E169" t="s">
        <v>17</v>
      </c>
      <c r="F169" t="s">
        <v>415</v>
      </c>
      <c r="G169">
        <v>5730</v>
      </c>
      <c r="I169">
        <v>0</v>
      </c>
      <c r="J169" t="s">
        <v>474</v>
      </c>
    </row>
    <row r="170" spans="1:10" x14ac:dyDescent="0.25">
      <c r="A170" s="210" t="s">
        <v>1524</v>
      </c>
      <c r="B170">
        <v>7957</v>
      </c>
      <c r="C170" s="100">
        <v>46090</v>
      </c>
      <c r="D170" t="s">
        <v>49</v>
      </c>
      <c r="E170" t="s">
        <v>26</v>
      </c>
      <c r="F170" t="s">
        <v>65</v>
      </c>
      <c r="G170">
        <v>1091</v>
      </c>
      <c r="I170">
        <v>0</v>
      </c>
      <c r="J170" t="s">
        <v>475</v>
      </c>
    </row>
    <row r="171" spans="1:10" x14ac:dyDescent="0.25">
      <c r="A171" s="210" t="s">
        <v>1524</v>
      </c>
      <c r="B171">
        <v>7957</v>
      </c>
      <c r="C171" s="100">
        <v>46090</v>
      </c>
      <c r="D171" t="s">
        <v>49</v>
      </c>
      <c r="E171" t="s">
        <v>26</v>
      </c>
      <c r="F171" t="s">
        <v>65</v>
      </c>
      <c r="G171">
        <v>1717</v>
      </c>
      <c r="I171">
        <v>0</v>
      </c>
      <c r="J171" t="s">
        <v>476</v>
      </c>
    </row>
    <row r="172" spans="1:10" x14ac:dyDescent="0.25">
      <c r="A172" s="210" t="s">
        <v>1524</v>
      </c>
      <c r="B172">
        <v>7957</v>
      </c>
      <c r="C172" s="100">
        <v>46090</v>
      </c>
      <c r="D172" t="s">
        <v>49</v>
      </c>
      <c r="E172" t="s">
        <v>26</v>
      </c>
      <c r="F172" t="s">
        <v>211</v>
      </c>
      <c r="G172">
        <v>1458</v>
      </c>
      <c r="I172">
        <v>0</v>
      </c>
      <c r="J172" t="s">
        <v>475</v>
      </c>
    </row>
    <row r="173" spans="1:10" x14ac:dyDescent="0.25">
      <c r="A173" s="210" t="s">
        <v>1524</v>
      </c>
      <c r="B173">
        <v>7957</v>
      </c>
      <c r="C173" s="100">
        <v>46090</v>
      </c>
      <c r="D173" t="s">
        <v>49</v>
      </c>
      <c r="E173" t="s">
        <v>26</v>
      </c>
      <c r="F173" t="s">
        <v>477</v>
      </c>
      <c r="G173">
        <v>4177</v>
      </c>
      <c r="I173">
        <v>0</v>
      </c>
    </row>
    <row r="174" spans="1:10" x14ac:dyDescent="0.25">
      <c r="A174" s="210" t="s">
        <v>1524</v>
      </c>
      <c r="B174">
        <v>7960</v>
      </c>
      <c r="C174" s="100">
        <v>46090</v>
      </c>
      <c r="D174" t="s">
        <v>49</v>
      </c>
      <c r="E174" t="s">
        <v>77</v>
      </c>
      <c r="F174" t="s">
        <v>478</v>
      </c>
      <c r="G174">
        <v>1014</v>
      </c>
      <c r="I174">
        <v>0</v>
      </c>
      <c r="J174" t="s">
        <v>479</v>
      </c>
    </row>
    <row r="175" spans="1:10" x14ac:dyDescent="0.25">
      <c r="A175" s="210" t="s">
        <v>1524</v>
      </c>
      <c r="B175">
        <v>7960</v>
      </c>
      <c r="C175" s="100">
        <v>46090</v>
      </c>
      <c r="D175" t="s">
        <v>49</v>
      </c>
      <c r="E175" t="s">
        <v>77</v>
      </c>
      <c r="F175" t="s">
        <v>480</v>
      </c>
      <c r="G175">
        <v>1856</v>
      </c>
      <c r="I175">
        <v>0</v>
      </c>
      <c r="J175" t="s">
        <v>481</v>
      </c>
    </row>
    <row r="176" spans="1:10" x14ac:dyDescent="0.25">
      <c r="A176" s="210" t="s">
        <v>1524</v>
      </c>
      <c r="B176">
        <v>7960</v>
      </c>
      <c r="C176" s="100">
        <v>46090</v>
      </c>
      <c r="D176" t="s">
        <v>49</v>
      </c>
      <c r="E176" t="s">
        <v>17</v>
      </c>
      <c r="F176" t="s">
        <v>482</v>
      </c>
      <c r="G176">
        <v>5600</v>
      </c>
      <c r="I176">
        <v>0</v>
      </c>
      <c r="J176" t="s">
        <v>483</v>
      </c>
    </row>
    <row r="177" spans="1:10" x14ac:dyDescent="0.25">
      <c r="A177" s="210" t="s">
        <v>1524</v>
      </c>
      <c r="B177">
        <v>7960</v>
      </c>
      <c r="C177" s="100">
        <v>46090</v>
      </c>
      <c r="D177" t="s">
        <v>49</v>
      </c>
      <c r="E177" t="s">
        <v>17</v>
      </c>
      <c r="F177" t="s">
        <v>484</v>
      </c>
      <c r="G177">
        <v>3146</v>
      </c>
      <c r="I177">
        <v>0</v>
      </c>
    </row>
    <row r="178" spans="1:10" x14ac:dyDescent="0.25">
      <c r="A178" s="210" t="s">
        <v>1524</v>
      </c>
      <c r="B178">
        <v>5068</v>
      </c>
      <c r="C178" s="100">
        <v>46092</v>
      </c>
      <c r="D178" t="s">
        <v>426</v>
      </c>
      <c r="E178" t="s">
        <v>93</v>
      </c>
      <c r="F178" t="s">
        <v>148</v>
      </c>
      <c r="G178">
        <v>4860</v>
      </c>
      <c r="I178">
        <v>0</v>
      </c>
    </row>
    <row r="179" spans="1:10" x14ac:dyDescent="0.25">
      <c r="A179" s="210" t="s">
        <v>1524</v>
      </c>
      <c r="B179">
        <v>7997</v>
      </c>
      <c r="C179" s="100">
        <v>46092</v>
      </c>
      <c r="D179" t="s">
        <v>49</v>
      </c>
      <c r="E179" t="s">
        <v>17</v>
      </c>
      <c r="F179" t="s">
        <v>162</v>
      </c>
      <c r="G179">
        <v>1510</v>
      </c>
      <c r="I179">
        <v>0</v>
      </c>
      <c r="J179" t="s">
        <v>485</v>
      </c>
    </row>
    <row r="180" spans="1:10" x14ac:dyDescent="0.25">
      <c r="A180" s="210" t="s">
        <v>1524</v>
      </c>
      <c r="B180">
        <v>7997</v>
      </c>
      <c r="C180" s="100">
        <v>46092</v>
      </c>
      <c r="D180" t="s">
        <v>49</v>
      </c>
      <c r="E180" t="s">
        <v>14</v>
      </c>
      <c r="F180" t="s">
        <v>141</v>
      </c>
      <c r="G180">
        <v>4856</v>
      </c>
      <c r="I180">
        <v>0</v>
      </c>
    </row>
    <row r="181" spans="1:10" x14ac:dyDescent="0.25">
      <c r="A181" s="210" t="s">
        <v>1524</v>
      </c>
      <c r="B181">
        <v>7997</v>
      </c>
      <c r="C181" s="100">
        <v>46092</v>
      </c>
      <c r="D181" t="s">
        <v>49</v>
      </c>
      <c r="E181" t="s">
        <v>17</v>
      </c>
      <c r="F181" t="s">
        <v>211</v>
      </c>
      <c r="G181">
        <v>5530</v>
      </c>
      <c r="I181">
        <v>0</v>
      </c>
    </row>
    <row r="182" spans="1:10" x14ac:dyDescent="0.25">
      <c r="A182" s="210" t="s">
        <v>1524</v>
      </c>
      <c r="B182">
        <v>8001</v>
      </c>
      <c r="C182" s="100">
        <v>46092</v>
      </c>
      <c r="D182" t="s">
        <v>49</v>
      </c>
      <c r="E182" t="s">
        <v>17</v>
      </c>
      <c r="F182" t="s">
        <v>211</v>
      </c>
      <c r="G182">
        <v>5410</v>
      </c>
      <c r="I182">
        <v>0</v>
      </c>
    </row>
    <row r="183" spans="1:10" x14ac:dyDescent="0.25">
      <c r="A183" s="210" t="s">
        <v>1524</v>
      </c>
      <c r="B183">
        <v>8021</v>
      </c>
      <c r="C183" s="100">
        <v>46093</v>
      </c>
      <c r="D183" t="s">
        <v>49</v>
      </c>
      <c r="E183" t="s">
        <v>301</v>
      </c>
      <c r="F183" t="s">
        <v>486</v>
      </c>
      <c r="G183">
        <v>1878</v>
      </c>
      <c r="I183">
        <v>0</v>
      </c>
    </row>
    <row r="184" spans="1:10" x14ac:dyDescent="0.25">
      <c r="A184" s="210" t="s">
        <v>1524</v>
      </c>
      <c r="B184">
        <v>8021</v>
      </c>
      <c r="C184" s="100">
        <v>46093</v>
      </c>
      <c r="D184" t="s">
        <v>49</v>
      </c>
      <c r="E184" t="s">
        <v>45</v>
      </c>
      <c r="F184" t="s">
        <v>487</v>
      </c>
      <c r="G184">
        <v>720</v>
      </c>
      <c r="I184">
        <v>0</v>
      </c>
    </row>
    <row r="185" spans="1:10" x14ac:dyDescent="0.25">
      <c r="A185" s="210" t="s">
        <v>1524</v>
      </c>
      <c r="B185">
        <v>8024</v>
      </c>
      <c r="C185" s="100">
        <v>46093</v>
      </c>
      <c r="D185" t="s">
        <v>49</v>
      </c>
      <c r="E185" t="s">
        <v>43</v>
      </c>
      <c r="F185" t="s">
        <v>161</v>
      </c>
      <c r="G185">
        <v>5004</v>
      </c>
      <c r="I185">
        <v>0</v>
      </c>
    </row>
    <row r="186" spans="1:10" x14ac:dyDescent="0.25">
      <c r="A186" s="210" t="s">
        <v>1524</v>
      </c>
      <c r="B186">
        <v>8046</v>
      </c>
      <c r="C186" s="100">
        <v>46093</v>
      </c>
      <c r="D186" t="s">
        <v>49</v>
      </c>
      <c r="E186" t="s">
        <v>253</v>
      </c>
      <c r="F186" t="s">
        <v>251</v>
      </c>
      <c r="G186">
        <v>1695</v>
      </c>
      <c r="I186">
        <v>0</v>
      </c>
    </row>
    <row r="187" spans="1:10" x14ac:dyDescent="0.25">
      <c r="A187" s="210" t="s">
        <v>1524</v>
      </c>
      <c r="B187">
        <v>8070</v>
      </c>
      <c r="C187" s="100">
        <v>46094</v>
      </c>
      <c r="D187" t="s">
        <v>49</v>
      </c>
      <c r="E187" t="s">
        <v>17</v>
      </c>
      <c r="F187" t="s">
        <v>40</v>
      </c>
      <c r="G187">
        <v>5730</v>
      </c>
      <c r="I187">
        <v>0</v>
      </c>
    </row>
    <row r="188" spans="1:10" x14ac:dyDescent="0.25">
      <c r="A188" s="210" t="s">
        <v>1524</v>
      </c>
      <c r="B188">
        <v>8071</v>
      </c>
      <c r="C188" s="100">
        <v>46094</v>
      </c>
      <c r="D188" t="s">
        <v>49</v>
      </c>
      <c r="E188" t="s">
        <v>32</v>
      </c>
      <c r="F188" t="s">
        <v>40</v>
      </c>
      <c r="G188">
        <v>2324</v>
      </c>
      <c r="I188">
        <v>0</v>
      </c>
    </row>
    <row r="189" spans="1:10" x14ac:dyDescent="0.25">
      <c r="A189" s="210" t="s">
        <v>1524</v>
      </c>
      <c r="B189">
        <v>3</v>
      </c>
      <c r="C189" s="100">
        <v>46095</v>
      </c>
      <c r="D189" t="s">
        <v>426</v>
      </c>
      <c r="E189" t="s">
        <v>93</v>
      </c>
      <c r="F189" t="s">
        <v>62</v>
      </c>
      <c r="G189">
        <v>2190</v>
      </c>
      <c r="I189">
        <v>0</v>
      </c>
    </row>
    <row r="190" spans="1:10" x14ac:dyDescent="0.25">
      <c r="A190" s="210" t="s">
        <v>1524</v>
      </c>
      <c r="B190">
        <v>8077</v>
      </c>
      <c r="C190" s="100">
        <v>46095</v>
      </c>
      <c r="D190" t="s">
        <v>49</v>
      </c>
      <c r="E190" t="s">
        <v>17</v>
      </c>
      <c r="F190" t="s">
        <v>489</v>
      </c>
      <c r="G190">
        <v>1612</v>
      </c>
      <c r="I190">
        <v>0</v>
      </c>
    </row>
    <row r="191" spans="1:10" x14ac:dyDescent="0.25">
      <c r="A191" s="210" t="s">
        <v>1524</v>
      </c>
      <c r="B191">
        <v>8095</v>
      </c>
      <c r="C191" s="100">
        <v>46095</v>
      </c>
      <c r="D191" t="s">
        <v>49</v>
      </c>
      <c r="E191" t="s">
        <v>43</v>
      </c>
      <c r="F191" t="s">
        <v>251</v>
      </c>
      <c r="G191">
        <v>552</v>
      </c>
      <c r="I191">
        <v>0</v>
      </c>
    </row>
    <row r="192" spans="1:10" x14ac:dyDescent="0.25">
      <c r="A192" s="210" t="s">
        <v>1524</v>
      </c>
      <c r="B192">
        <v>2463</v>
      </c>
      <c r="C192" s="100">
        <v>46097</v>
      </c>
      <c r="D192" t="s">
        <v>84</v>
      </c>
      <c r="E192" t="s">
        <v>93</v>
      </c>
      <c r="F192" t="s">
        <v>2531</v>
      </c>
      <c r="G192">
        <v>1788</v>
      </c>
      <c r="I192">
        <v>0</v>
      </c>
    </row>
    <row r="193" spans="1:9" x14ac:dyDescent="0.25">
      <c r="A193" s="210" t="s">
        <v>1524</v>
      </c>
      <c r="B193">
        <v>5090</v>
      </c>
      <c r="C193" s="100">
        <v>46097</v>
      </c>
      <c r="D193" t="s">
        <v>426</v>
      </c>
      <c r="E193" t="s">
        <v>93</v>
      </c>
      <c r="F193" t="s">
        <v>2531</v>
      </c>
      <c r="G193">
        <v>2528</v>
      </c>
      <c r="I193">
        <v>0</v>
      </c>
    </row>
    <row r="194" spans="1:9" x14ac:dyDescent="0.25">
      <c r="A194" s="210" t="s">
        <v>1524</v>
      </c>
      <c r="B194">
        <v>8103</v>
      </c>
      <c r="C194" s="100">
        <v>46097</v>
      </c>
      <c r="D194" t="s">
        <v>49</v>
      </c>
      <c r="E194" t="s">
        <v>17</v>
      </c>
      <c r="F194" t="s">
        <v>415</v>
      </c>
      <c r="G194">
        <v>3810</v>
      </c>
      <c r="I194">
        <v>0</v>
      </c>
    </row>
    <row r="195" spans="1:9" x14ac:dyDescent="0.25">
      <c r="A195" s="210" t="s">
        <v>1524</v>
      </c>
      <c r="B195">
        <v>8103</v>
      </c>
      <c r="C195" s="100">
        <v>46097</v>
      </c>
      <c r="D195" t="s">
        <v>49</v>
      </c>
      <c r="E195" t="s">
        <v>17</v>
      </c>
      <c r="F195" t="s">
        <v>490</v>
      </c>
      <c r="G195">
        <v>3508</v>
      </c>
      <c r="I195">
        <v>0</v>
      </c>
    </row>
    <row r="196" spans="1:9" x14ac:dyDescent="0.25">
      <c r="A196" s="210" t="s">
        <v>1524</v>
      </c>
      <c r="B196">
        <v>8116</v>
      </c>
      <c r="C196" s="100">
        <v>46097</v>
      </c>
      <c r="D196" t="s">
        <v>49</v>
      </c>
      <c r="E196" t="s">
        <v>43</v>
      </c>
      <c r="F196" t="s">
        <v>134</v>
      </c>
      <c r="G196">
        <v>4370</v>
      </c>
      <c r="I196">
        <v>0</v>
      </c>
    </row>
    <row r="197" spans="1:9" x14ac:dyDescent="0.25">
      <c r="A197" s="210" t="s">
        <v>1524</v>
      </c>
      <c r="B197">
        <v>5099</v>
      </c>
      <c r="C197" s="100">
        <v>46098</v>
      </c>
      <c r="D197" t="s">
        <v>426</v>
      </c>
      <c r="E197" t="s">
        <v>93</v>
      </c>
      <c r="F197" t="s">
        <v>2531</v>
      </c>
      <c r="G197">
        <v>1244</v>
      </c>
      <c r="I197">
        <v>0</v>
      </c>
    </row>
    <row r="198" spans="1:9" x14ac:dyDescent="0.25">
      <c r="A198" s="210" t="s">
        <v>1524</v>
      </c>
      <c r="B198">
        <v>8140</v>
      </c>
      <c r="C198" s="100">
        <v>46098</v>
      </c>
      <c r="D198" t="s">
        <v>49</v>
      </c>
      <c r="E198" t="s">
        <v>17</v>
      </c>
      <c r="F198" t="s">
        <v>230</v>
      </c>
      <c r="G198">
        <v>2540</v>
      </c>
      <c r="I198">
        <v>0</v>
      </c>
    </row>
    <row r="199" spans="1:9" x14ac:dyDescent="0.25">
      <c r="A199" s="210" t="s">
        <v>1524</v>
      </c>
      <c r="B199">
        <v>8148</v>
      </c>
      <c r="C199" s="100">
        <v>46098</v>
      </c>
      <c r="D199" t="s">
        <v>49</v>
      </c>
      <c r="E199" t="s">
        <v>17</v>
      </c>
      <c r="F199" t="s">
        <v>491</v>
      </c>
      <c r="G199">
        <v>5448</v>
      </c>
      <c r="I199">
        <v>0</v>
      </c>
    </row>
    <row r="200" spans="1:9" x14ac:dyDescent="0.25">
      <c r="A200" s="210" t="s">
        <v>1524</v>
      </c>
      <c r="B200">
        <v>8156</v>
      </c>
      <c r="C200" s="100">
        <v>46098</v>
      </c>
      <c r="D200" t="s">
        <v>49</v>
      </c>
      <c r="E200" t="s">
        <v>355</v>
      </c>
      <c r="F200" t="s">
        <v>134</v>
      </c>
      <c r="G200">
        <v>1416</v>
      </c>
      <c r="I200">
        <v>0</v>
      </c>
    </row>
    <row r="201" spans="1:9" x14ac:dyDescent="0.25">
      <c r="A201" s="210" t="s">
        <v>1524</v>
      </c>
      <c r="B201">
        <v>8160</v>
      </c>
      <c r="C201" s="100">
        <v>46098</v>
      </c>
      <c r="D201" t="s">
        <v>49</v>
      </c>
      <c r="E201" t="s">
        <v>17</v>
      </c>
      <c r="F201" t="s">
        <v>492</v>
      </c>
      <c r="G201">
        <v>5670</v>
      </c>
      <c r="I201">
        <v>0</v>
      </c>
    </row>
    <row r="202" spans="1:9" x14ac:dyDescent="0.25">
      <c r="A202" s="210" t="s">
        <v>1524</v>
      </c>
      <c r="B202">
        <v>8165</v>
      </c>
      <c r="C202" s="100">
        <v>46098</v>
      </c>
      <c r="D202" t="s">
        <v>49</v>
      </c>
      <c r="E202" t="s">
        <v>26</v>
      </c>
      <c r="F202" t="s">
        <v>78</v>
      </c>
      <c r="G202">
        <v>851</v>
      </c>
      <c r="I202">
        <v>0</v>
      </c>
    </row>
    <row r="203" spans="1:9" x14ac:dyDescent="0.25">
      <c r="A203" s="210" t="s">
        <v>1524</v>
      </c>
      <c r="B203">
        <v>8165</v>
      </c>
      <c r="C203" s="100">
        <v>46098</v>
      </c>
      <c r="D203" t="s">
        <v>49</v>
      </c>
      <c r="E203" t="s">
        <v>43</v>
      </c>
      <c r="F203" t="s">
        <v>78</v>
      </c>
      <c r="G203">
        <v>1031</v>
      </c>
      <c r="I203">
        <v>0</v>
      </c>
    </row>
    <row r="204" spans="1:9" x14ac:dyDescent="0.25">
      <c r="A204" s="210" t="s">
        <v>1524</v>
      </c>
      <c r="B204">
        <v>8169</v>
      </c>
      <c r="C204" s="100">
        <v>46099</v>
      </c>
      <c r="D204" t="s">
        <v>49</v>
      </c>
      <c r="E204" t="s">
        <v>43</v>
      </c>
      <c r="F204" t="s">
        <v>134</v>
      </c>
      <c r="G204">
        <v>1788</v>
      </c>
      <c r="I204">
        <v>0</v>
      </c>
    </row>
    <row r="205" spans="1:9" x14ac:dyDescent="0.25">
      <c r="A205" s="210" t="s">
        <v>1524</v>
      </c>
      <c r="B205">
        <v>8169</v>
      </c>
      <c r="C205" s="100">
        <v>46099</v>
      </c>
      <c r="D205" t="s">
        <v>49</v>
      </c>
      <c r="E205" t="s">
        <v>43</v>
      </c>
      <c r="F205" t="s">
        <v>282</v>
      </c>
      <c r="G205">
        <v>1942</v>
      </c>
      <c r="I205">
        <v>0</v>
      </c>
    </row>
    <row r="206" spans="1:9" x14ac:dyDescent="0.25">
      <c r="A206" s="210" t="s">
        <v>1524</v>
      </c>
      <c r="B206">
        <v>8170</v>
      </c>
      <c r="C206" s="100">
        <v>46099</v>
      </c>
      <c r="D206" t="s">
        <v>49</v>
      </c>
      <c r="E206" t="s">
        <v>26</v>
      </c>
      <c r="F206" t="s">
        <v>446</v>
      </c>
      <c r="G206">
        <v>894</v>
      </c>
      <c r="I206">
        <v>0</v>
      </c>
    </row>
    <row r="207" spans="1:9" x14ac:dyDescent="0.25">
      <c r="A207" s="210" t="s">
        <v>1524</v>
      </c>
      <c r="B207">
        <v>8170</v>
      </c>
      <c r="C207" s="100">
        <v>46099</v>
      </c>
      <c r="D207" t="s">
        <v>49</v>
      </c>
      <c r="E207" t="s">
        <v>26</v>
      </c>
      <c r="F207" t="s">
        <v>446</v>
      </c>
      <c r="G207">
        <v>926</v>
      </c>
      <c r="I207">
        <v>0</v>
      </c>
    </row>
    <row r="208" spans="1:9" x14ac:dyDescent="0.25">
      <c r="A208" s="210" t="s">
        <v>1524</v>
      </c>
      <c r="B208">
        <v>5105</v>
      </c>
      <c r="C208" s="100">
        <v>46100</v>
      </c>
      <c r="D208" t="s">
        <v>84</v>
      </c>
      <c r="E208" t="s">
        <v>2533</v>
      </c>
      <c r="G208">
        <v>236</v>
      </c>
      <c r="I208">
        <v>0</v>
      </c>
    </row>
    <row r="209" spans="1:9" x14ac:dyDescent="0.25">
      <c r="A209" s="210" t="s">
        <v>1524</v>
      </c>
      <c r="B209">
        <v>8194</v>
      </c>
      <c r="C209" s="100">
        <v>46100</v>
      </c>
      <c r="D209" t="s">
        <v>49</v>
      </c>
      <c r="E209" t="s">
        <v>17</v>
      </c>
      <c r="F209" t="s">
        <v>469</v>
      </c>
      <c r="G209">
        <v>451</v>
      </c>
      <c r="I209">
        <v>0</v>
      </c>
    </row>
    <row r="210" spans="1:9" x14ac:dyDescent="0.25">
      <c r="A210" s="210" t="s">
        <v>1524</v>
      </c>
      <c r="B210">
        <v>8258</v>
      </c>
      <c r="C210" s="100">
        <v>46100</v>
      </c>
      <c r="D210" t="s">
        <v>49</v>
      </c>
      <c r="E210" t="s">
        <v>17</v>
      </c>
      <c r="F210" t="s">
        <v>40</v>
      </c>
      <c r="G210">
        <v>5670</v>
      </c>
      <c r="I210">
        <v>0</v>
      </c>
    </row>
    <row r="211" spans="1:9" x14ac:dyDescent="0.25">
      <c r="A211" s="210" t="s">
        <v>1524</v>
      </c>
      <c r="B211">
        <v>8260</v>
      </c>
      <c r="C211" s="100">
        <v>46100</v>
      </c>
      <c r="D211" t="s">
        <v>49</v>
      </c>
      <c r="E211" t="s">
        <v>135</v>
      </c>
      <c r="F211" t="s">
        <v>148</v>
      </c>
      <c r="G211">
        <v>2740</v>
      </c>
      <c r="I211">
        <v>0</v>
      </c>
    </row>
    <row r="212" spans="1:9" x14ac:dyDescent="0.25">
      <c r="A212" s="210" t="s">
        <v>1524</v>
      </c>
      <c r="B212">
        <v>8272</v>
      </c>
      <c r="C212" s="100">
        <v>46101</v>
      </c>
      <c r="D212" t="s">
        <v>49</v>
      </c>
      <c r="E212" t="s">
        <v>17</v>
      </c>
      <c r="F212" t="s">
        <v>493</v>
      </c>
      <c r="G212">
        <v>8320</v>
      </c>
      <c r="I212">
        <v>0</v>
      </c>
    </row>
    <row r="213" spans="1:9" x14ac:dyDescent="0.25">
      <c r="A213" s="210" t="s">
        <v>1524</v>
      </c>
      <c r="B213">
        <v>8220</v>
      </c>
      <c r="C213" s="100">
        <v>46104</v>
      </c>
      <c r="D213" t="s">
        <v>49</v>
      </c>
      <c r="E213" t="s">
        <v>17</v>
      </c>
      <c r="F213" t="s">
        <v>494</v>
      </c>
      <c r="G213">
        <v>2952</v>
      </c>
      <c r="I213">
        <v>0</v>
      </c>
    </row>
    <row r="214" spans="1:9" x14ac:dyDescent="0.25">
      <c r="A214" s="210" t="s">
        <v>1524</v>
      </c>
      <c r="B214">
        <v>8231</v>
      </c>
      <c r="C214" s="100">
        <v>46104</v>
      </c>
      <c r="D214" t="s">
        <v>49</v>
      </c>
      <c r="E214" t="s">
        <v>77</v>
      </c>
      <c r="F214" t="s">
        <v>469</v>
      </c>
      <c r="G214">
        <v>1274</v>
      </c>
      <c r="I214">
        <v>0</v>
      </c>
    </row>
    <row r="215" spans="1:9" x14ac:dyDescent="0.25">
      <c r="A215" s="210" t="s">
        <v>1524</v>
      </c>
      <c r="B215">
        <v>8231</v>
      </c>
      <c r="C215" s="100">
        <v>46104</v>
      </c>
      <c r="D215" t="s">
        <v>49</v>
      </c>
      <c r="E215" t="s">
        <v>77</v>
      </c>
      <c r="F215" t="s">
        <v>40</v>
      </c>
      <c r="G215">
        <v>733</v>
      </c>
      <c r="I215">
        <v>0</v>
      </c>
    </row>
    <row r="216" spans="1:9" x14ac:dyDescent="0.25">
      <c r="A216" s="210" t="s">
        <v>1524</v>
      </c>
      <c r="B216">
        <v>8231</v>
      </c>
      <c r="C216" s="100">
        <v>46104</v>
      </c>
      <c r="D216" t="s">
        <v>49</v>
      </c>
      <c r="E216" t="s">
        <v>277</v>
      </c>
      <c r="F216" t="s">
        <v>495</v>
      </c>
      <c r="G216">
        <v>2564</v>
      </c>
      <c r="I216">
        <v>0</v>
      </c>
    </row>
    <row r="217" spans="1:9" x14ac:dyDescent="0.25">
      <c r="A217" s="210" t="s">
        <v>1524</v>
      </c>
      <c r="B217">
        <v>8231</v>
      </c>
      <c r="C217" s="100">
        <v>46104</v>
      </c>
      <c r="D217" t="s">
        <v>49</v>
      </c>
      <c r="E217" t="s">
        <v>277</v>
      </c>
      <c r="F217" t="s">
        <v>496</v>
      </c>
      <c r="G217">
        <v>5158</v>
      </c>
      <c r="I217">
        <v>0</v>
      </c>
    </row>
    <row r="218" spans="1:9" x14ac:dyDescent="0.25">
      <c r="A218" s="210" t="s">
        <v>1524</v>
      </c>
      <c r="B218">
        <v>2538</v>
      </c>
      <c r="C218" s="100">
        <v>46105</v>
      </c>
      <c r="D218" t="s">
        <v>84</v>
      </c>
      <c r="E218" t="s">
        <v>93</v>
      </c>
      <c r="F218" t="s">
        <v>2531</v>
      </c>
      <c r="G218">
        <v>2417</v>
      </c>
      <c r="I218">
        <v>0</v>
      </c>
    </row>
    <row r="219" spans="1:9" x14ac:dyDescent="0.25">
      <c r="A219" s="210" t="s">
        <v>1524</v>
      </c>
      <c r="B219">
        <v>8236</v>
      </c>
      <c r="C219" s="100">
        <v>46105</v>
      </c>
      <c r="D219" t="s">
        <v>49</v>
      </c>
      <c r="E219" t="s">
        <v>43</v>
      </c>
      <c r="F219" t="s">
        <v>148</v>
      </c>
      <c r="G219">
        <v>5991</v>
      </c>
      <c r="I219">
        <v>0</v>
      </c>
    </row>
    <row r="220" spans="1:9" x14ac:dyDescent="0.25">
      <c r="A220" s="210" t="s">
        <v>1524</v>
      </c>
      <c r="B220">
        <v>8312</v>
      </c>
      <c r="C220" s="100">
        <v>46105</v>
      </c>
      <c r="D220" t="s">
        <v>49</v>
      </c>
      <c r="E220" t="s">
        <v>17</v>
      </c>
      <c r="F220" t="s">
        <v>161</v>
      </c>
      <c r="G220">
        <v>886</v>
      </c>
      <c r="I220">
        <v>0</v>
      </c>
    </row>
    <row r="221" spans="1:9" x14ac:dyDescent="0.25">
      <c r="A221" s="210" t="s">
        <v>1524</v>
      </c>
      <c r="B221">
        <v>5129</v>
      </c>
      <c r="C221" s="100">
        <v>46106</v>
      </c>
      <c r="D221" t="s">
        <v>84</v>
      </c>
      <c r="E221" t="s">
        <v>93</v>
      </c>
      <c r="F221" t="s">
        <v>469</v>
      </c>
      <c r="G221">
        <v>252</v>
      </c>
      <c r="I221">
        <v>0</v>
      </c>
    </row>
    <row r="222" spans="1:9" x14ac:dyDescent="0.25">
      <c r="A222" s="210" t="s">
        <v>1524</v>
      </c>
      <c r="B222">
        <v>5129</v>
      </c>
      <c r="C222" s="100">
        <v>46106</v>
      </c>
      <c r="D222" t="s">
        <v>84</v>
      </c>
      <c r="E222" t="s">
        <v>93</v>
      </c>
      <c r="F222" t="s">
        <v>2531</v>
      </c>
      <c r="G222">
        <v>748</v>
      </c>
      <c r="I222">
        <v>0</v>
      </c>
    </row>
    <row r="223" spans="1:9" x14ac:dyDescent="0.25">
      <c r="A223" s="210" t="s">
        <v>1524</v>
      </c>
      <c r="B223">
        <v>5129</v>
      </c>
      <c r="C223" s="100">
        <v>46106</v>
      </c>
      <c r="D223" t="s">
        <v>84</v>
      </c>
      <c r="E223" t="s">
        <v>93</v>
      </c>
      <c r="F223" t="s">
        <v>40</v>
      </c>
      <c r="G223">
        <v>56</v>
      </c>
      <c r="I223">
        <v>0</v>
      </c>
    </row>
    <row r="224" spans="1:9" x14ac:dyDescent="0.25">
      <c r="A224" s="210" t="s">
        <v>1524</v>
      </c>
      <c r="B224">
        <v>8318</v>
      </c>
      <c r="C224" s="100">
        <v>46106</v>
      </c>
      <c r="D224" t="s">
        <v>49</v>
      </c>
      <c r="E224" t="s">
        <v>17</v>
      </c>
      <c r="F224" t="s">
        <v>415</v>
      </c>
      <c r="G224">
        <v>5480</v>
      </c>
      <c r="I224">
        <v>0</v>
      </c>
    </row>
    <row r="225" spans="1:9" x14ac:dyDescent="0.25">
      <c r="A225" s="210" t="s">
        <v>1524</v>
      </c>
      <c r="B225">
        <v>8318</v>
      </c>
      <c r="C225" s="100">
        <v>46106</v>
      </c>
      <c r="D225" t="s">
        <v>49</v>
      </c>
      <c r="E225" t="s">
        <v>17</v>
      </c>
      <c r="F225" t="s">
        <v>492</v>
      </c>
      <c r="G225">
        <v>5320</v>
      </c>
      <c r="I225">
        <v>0</v>
      </c>
    </row>
    <row r="226" spans="1:9" x14ac:dyDescent="0.25">
      <c r="A226" s="210" t="s">
        <v>1524</v>
      </c>
      <c r="B226">
        <v>8322</v>
      </c>
      <c r="C226" s="100">
        <v>46106</v>
      </c>
      <c r="D226" t="s">
        <v>49</v>
      </c>
      <c r="E226" t="s">
        <v>17</v>
      </c>
      <c r="F226" t="s">
        <v>469</v>
      </c>
      <c r="G226">
        <v>4104</v>
      </c>
      <c r="I226">
        <v>0</v>
      </c>
    </row>
    <row r="227" spans="1:9" x14ac:dyDescent="0.25">
      <c r="A227" s="210" t="s">
        <v>1524</v>
      </c>
      <c r="B227">
        <v>8344</v>
      </c>
      <c r="C227" s="100">
        <v>46107</v>
      </c>
      <c r="D227" t="s">
        <v>49</v>
      </c>
      <c r="E227" t="s">
        <v>17</v>
      </c>
      <c r="F227" t="s">
        <v>497</v>
      </c>
      <c r="G227">
        <v>1570</v>
      </c>
      <c r="I227">
        <v>0</v>
      </c>
    </row>
    <row r="228" spans="1:9" x14ac:dyDescent="0.25">
      <c r="A228" s="210" t="s">
        <v>1524</v>
      </c>
      <c r="B228">
        <v>8344</v>
      </c>
      <c r="C228" s="100">
        <v>46107</v>
      </c>
      <c r="D228" t="s">
        <v>49</v>
      </c>
      <c r="E228" t="s">
        <v>77</v>
      </c>
      <c r="F228" t="s">
        <v>498</v>
      </c>
      <c r="G228">
        <v>858</v>
      </c>
      <c r="I228">
        <v>0</v>
      </c>
    </row>
    <row r="229" spans="1:9" x14ac:dyDescent="0.25">
      <c r="A229" s="210" t="s">
        <v>1524</v>
      </c>
      <c r="B229">
        <v>8364</v>
      </c>
      <c r="C229" s="100">
        <v>46108</v>
      </c>
      <c r="D229" t="s">
        <v>49</v>
      </c>
      <c r="E229" t="s">
        <v>17</v>
      </c>
      <c r="F229" t="s">
        <v>499</v>
      </c>
      <c r="G229">
        <v>1323</v>
      </c>
      <c r="I229">
        <v>0</v>
      </c>
    </row>
    <row r="230" spans="1:9" x14ac:dyDescent="0.25">
      <c r="A230" s="210" t="s">
        <v>1524</v>
      </c>
      <c r="B230">
        <v>8364</v>
      </c>
      <c r="C230" s="100">
        <v>46108</v>
      </c>
      <c r="D230" t="s">
        <v>49</v>
      </c>
      <c r="E230" t="s">
        <v>17</v>
      </c>
      <c r="F230" t="s">
        <v>243</v>
      </c>
      <c r="G230">
        <v>2149</v>
      </c>
      <c r="I230">
        <v>0</v>
      </c>
    </row>
    <row r="231" spans="1:9" x14ac:dyDescent="0.25">
      <c r="A231" s="210" t="s">
        <v>1524</v>
      </c>
      <c r="B231">
        <v>8386</v>
      </c>
      <c r="C231" s="100">
        <v>46109</v>
      </c>
      <c r="D231" t="s">
        <v>49</v>
      </c>
      <c r="E231" t="s">
        <v>17</v>
      </c>
      <c r="F231" t="s">
        <v>134</v>
      </c>
      <c r="G231">
        <v>2776</v>
      </c>
      <c r="I231">
        <v>0</v>
      </c>
    </row>
    <row r="232" spans="1:9" x14ac:dyDescent="0.25">
      <c r="A232" s="210" t="s">
        <v>1524</v>
      </c>
      <c r="B232">
        <v>8386</v>
      </c>
      <c r="C232" s="100">
        <v>46109</v>
      </c>
      <c r="D232" t="s">
        <v>49</v>
      </c>
      <c r="E232" t="s">
        <v>17</v>
      </c>
      <c r="F232" t="s">
        <v>211</v>
      </c>
      <c r="G232">
        <v>1242</v>
      </c>
      <c r="I232">
        <v>0</v>
      </c>
    </row>
    <row r="233" spans="1:9" x14ac:dyDescent="0.25">
      <c r="A233" s="210" t="s">
        <v>1524</v>
      </c>
      <c r="B233">
        <v>8386</v>
      </c>
      <c r="C233" s="100">
        <v>46109</v>
      </c>
      <c r="D233" t="s">
        <v>49</v>
      </c>
      <c r="E233" t="s">
        <v>500</v>
      </c>
      <c r="F233" t="s">
        <v>501</v>
      </c>
      <c r="G233">
        <v>1688</v>
      </c>
      <c r="I233">
        <v>0</v>
      </c>
    </row>
    <row r="234" spans="1:9" x14ac:dyDescent="0.25">
      <c r="A234" s="210" t="s">
        <v>1524</v>
      </c>
      <c r="B234">
        <v>8404</v>
      </c>
      <c r="C234" s="100">
        <v>46109</v>
      </c>
      <c r="D234" t="s">
        <v>49</v>
      </c>
      <c r="E234" t="s">
        <v>43</v>
      </c>
      <c r="F234" t="s">
        <v>146</v>
      </c>
      <c r="G234">
        <v>1444</v>
      </c>
      <c r="I234">
        <v>0</v>
      </c>
    </row>
    <row r="235" spans="1:9" x14ac:dyDescent="0.25">
      <c r="A235" s="210" t="s">
        <v>1524</v>
      </c>
      <c r="B235">
        <v>8404</v>
      </c>
      <c r="C235" s="100">
        <v>46109</v>
      </c>
      <c r="D235" t="s">
        <v>49</v>
      </c>
      <c r="E235" t="s">
        <v>43</v>
      </c>
      <c r="F235" t="s">
        <v>41</v>
      </c>
      <c r="G235">
        <v>4796</v>
      </c>
      <c r="I235">
        <v>0</v>
      </c>
    </row>
    <row r="236" spans="1:9" x14ac:dyDescent="0.25">
      <c r="A236" s="210" t="s">
        <v>1524</v>
      </c>
      <c r="B236">
        <v>5147</v>
      </c>
      <c r="C236" s="100">
        <v>46111</v>
      </c>
      <c r="D236" t="s">
        <v>84</v>
      </c>
      <c r="E236" t="s">
        <v>93</v>
      </c>
      <c r="F236" t="s">
        <v>2531</v>
      </c>
      <c r="G236">
        <v>1314</v>
      </c>
      <c r="I236">
        <v>0</v>
      </c>
    </row>
    <row r="237" spans="1:9" x14ac:dyDescent="0.25">
      <c r="A237" s="210" t="s">
        <v>1524</v>
      </c>
      <c r="B237">
        <v>8405</v>
      </c>
      <c r="C237" s="100">
        <v>46111</v>
      </c>
      <c r="D237" t="s">
        <v>49</v>
      </c>
      <c r="E237" t="s">
        <v>17</v>
      </c>
      <c r="F237" t="s">
        <v>502</v>
      </c>
      <c r="G237">
        <v>6740</v>
      </c>
      <c r="I237">
        <v>0</v>
      </c>
    </row>
    <row r="238" spans="1:9" x14ac:dyDescent="0.25">
      <c r="A238" s="210" t="s">
        <v>1524</v>
      </c>
      <c r="B238">
        <v>8407</v>
      </c>
      <c r="C238" s="100">
        <v>46111</v>
      </c>
      <c r="D238" t="s">
        <v>49</v>
      </c>
      <c r="E238" t="s">
        <v>43</v>
      </c>
      <c r="F238" t="s">
        <v>146</v>
      </c>
      <c r="G238">
        <v>5117</v>
      </c>
      <c r="I238">
        <v>0</v>
      </c>
    </row>
    <row r="239" spans="1:9" x14ac:dyDescent="0.25">
      <c r="A239" s="210" t="s">
        <v>1524</v>
      </c>
      <c r="B239">
        <v>8419</v>
      </c>
      <c r="C239" s="100">
        <v>46111</v>
      </c>
      <c r="D239" t="s">
        <v>49</v>
      </c>
      <c r="E239" t="s">
        <v>17</v>
      </c>
      <c r="F239" t="s">
        <v>502</v>
      </c>
      <c r="G239">
        <v>1900</v>
      </c>
      <c r="I239">
        <v>0</v>
      </c>
    </row>
    <row r="240" spans="1:9" x14ac:dyDescent="0.25">
      <c r="A240" s="210" t="s">
        <v>1524</v>
      </c>
      <c r="B240">
        <v>8419</v>
      </c>
      <c r="C240" s="100">
        <v>46111</v>
      </c>
      <c r="D240" t="s">
        <v>49</v>
      </c>
      <c r="E240" t="s">
        <v>192</v>
      </c>
      <c r="F240" t="s">
        <v>134</v>
      </c>
      <c r="G240">
        <v>5160</v>
      </c>
      <c r="I240">
        <v>0</v>
      </c>
    </row>
    <row r="241" spans="1:10" x14ac:dyDescent="0.25">
      <c r="A241" s="210" t="s">
        <v>1524</v>
      </c>
      <c r="B241">
        <v>2593</v>
      </c>
      <c r="C241" s="100">
        <v>46112</v>
      </c>
      <c r="D241" t="s">
        <v>426</v>
      </c>
      <c r="E241" t="s">
        <v>17</v>
      </c>
      <c r="F241" t="s">
        <v>41</v>
      </c>
      <c r="G241">
        <v>348</v>
      </c>
      <c r="I241">
        <v>0</v>
      </c>
    </row>
    <row r="242" spans="1:10" x14ac:dyDescent="0.25">
      <c r="A242" s="210" t="s">
        <v>1524</v>
      </c>
      <c r="B242">
        <v>2593</v>
      </c>
      <c r="C242" s="100">
        <v>46112</v>
      </c>
      <c r="D242" t="s">
        <v>426</v>
      </c>
      <c r="E242" t="s">
        <v>43</v>
      </c>
      <c r="F242" t="s">
        <v>146</v>
      </c>
      <c r="G242">
        <v>1444</v>
      </c>
      <c r="I242">
        <v>0</v>
      </c>
    </row>
    <row r="243" spans="1:10" x14ac:dyDescent="0.25">
      <c r="A243" s="210" t="s">
        <v>1524</v>
      </c>
      <c r="B243">
        <v>5149</v>
      </c>
      <c r="C243" s="100">
        <v>46112</v>
      </c>
      <c r="D243" t="s">
        <v>84</v>
      </c>
      <c r="E243" t="s">
        <v>93</v>
      </c>
      <c r="F243" t="s">
        <v>2531</v>
      </c>
      <c r="G243">
        <v>660</v>
      </c>
      <c r="I243">
        <v>0</v>
      </c>
    </row>
    <row r="244" spans="1:10" x14ac:dyDescent="0.25">
      <c r="A244" s="210" t="s">
        <v>1524</v>
      </c>
      <c r="B244">
        <v>8429</v>
      </c>
      <c r="C244" s="100">
        <v>46112</v>
      </c>
      <c r="D244" t="s">
        <v>49</v>
      </c>
      <c r="E244" t="s">
        <v>45</v>
      </c>
      <c r="F244" t="s">
        <v>462</v>
      </c>
      <c r="G244">
        <v>5706</v>
      </c>
      <c r="I244">
        <v>0</v>
      </c>
    </row>
    <row r="245" spans="1:10" x14ac:dyDescent="0.25">
      <c r="A245" s="210" t="s">
        <v>1524</v>
      </c>
      <c r="B245">
        <v>8438</v>
      </c>
      <c r="C245" s="100">
        <v>46112</v>
      </c>
      <c r="D245" t="s">
        <v>49</v>
      </c>
      <c r="E245" t="s">
        <v>26</v>
      </c>
      <c r="F245" t="s">
        <v>148</v>
      </c>
      <c r="G245">
        <v>7433</v>
      </c>
      <c r="I245">
        <v>0</v>
      </c>
    </row>
    <row r="246" spans="1:10" x14ac:dyDescent="0.25">
      <c r="A246" s="210" t="s">
        <v>1524</v>
      </c>
      <c r="B246">
        <v>8443</v>
      </c>
      <c r="C246" s="100">
        <v>46112</v>
      </c>
      <c r="D246" t="s">
        <v>49</v>
      </c>
      <c r="E246" t="s">
        <v>26</v>
      </c>
      <c r="F246" t="s">
        <v>78</v>
      </c>
      <c r="G246">
        <v>5078</v>
      </c>
      <c r="I246">
        <v>0</v>
      </c>
    </row>
    <row r="247" spans="1:10" x14ac:dyDescent="0.25">
      <c r="A247" s="210" t="s">
        <v>1524</v>
      </c>
      <c r="B247">
        <v>5157</v>
      </c>
      <c r="C247" s="100">
        <v>46113</v>
      </c>
      <c r="D247" t="s">
        <v>426</v>
      </c>
      <c r="E247" t="s">
        <v>93</v>
      </c>
      <c r="F247" t="s">
        <v>78</v>
      </c>
      <c r="G247">
        <v>2238</v>
      </c>
      <c r="I247">
        <v>0</v>
      </c>
    </row>
    <row r="248" spans="1:10" x14ac:dyDescent="0.25">
      <c r="A248" s="210" t="s">
        <v>1524</v>
      </c>
      <c r="B248">
        <v>8462</v>
      </c>
      <c r="C248" s="100">
        <v>46113</v>
      </c>
      <c r="D248" t="s">
        <v>49</v>
      </c>
      <c r="E248" t="s">
        <v>17</v>
      </c>
      <c r="F248" t="s">
        <v>562</v>
      </c>
      <c r="G248">
        <v>5480</v>
      </c>
      <c r="I248">
        <v>0</v>
      </c>
      <c r="J248" t="s">
        <v>563</v>
      </c>
    </row>
    <row r="249" spans="1:10" x14ac:dyDescent="0.25">
      <c r="A249" s="210" t="s">
        <v>1524</v>
      </c>
      <c r="B249">
        <v>8484</v>
      </c>
      <c r="C249" s="100">
        <v>46113</v>
      </c>
      <c r="D249" t="s">
        <v>49</v>
      </c>
      <c r="E249" t="s">
        <v>43</v>
      </c>
      <c r="F249" t="s">
        <v>148</v>
      </c>
      <c r="G249">
        <v>4546</v>
      </c>
      <c r="I249">
        <v>0</v>
      </c>
      <c r="J249" t="s">
        <v>564</v>
      </c>
    </row>
    <row r="250" spans="1:10" x14ac:dyDescent="0.25">
      <c r="A250" s="210" t="s">
        <v>1524</v>
      </c>
      <c r="B250">
        <v>8484</v>
      </c>
      <c r="C250" s="100">
        <v>46113</v>
      </c>
      <c r="D250" t="s">
        <v>49</v>
      </c>
      <c r="E250" t="s">
        <v>17</v>
      </c>
      <c r="F250" t="s">
        <v>469</v>
      </c>
      <c r="G250">
        <v>560</v>
      </c>
      <c r="I250">
        <v>0</v>
      </c>
      <c r="J250" t="s">
        <v>565</v>
      </c>
    </row>
    <row r="251" spans="1:10" x14ac:dyDescent="0.25">
      <c r="A251" s="210" t="s">
        <v>1524</v>
      </c>
      <c r="B251">
        <v>31</v>
      </c>
      <c r="C251" s="100">
        <v>46114</v>
      </c>
      <c r="D251" t="s">
        <v>426</v>
      </c>
      <c r="E251" t="s">
        <v>277</v>
      </c>
      <c r="F251" t="s">
        <v>148</v>
      </c>
      <c r="G251">
        <v>4546</v>
      </c>
      <c r="I251">
        <v>0</v>
      </c>
    </row>
    <row r="252" spans="1:10" x14ac:dyDescent="0.25">
      <c r="A252" s="210" t="s">
        <v>1524</v>
      </c>
      <c r="B252">
        <v>8492</v>
      </c>
      <c r="C252" s="100">
        <v>46114</v>
      </c>
      <c r="D252" t="s">
        <v>49</v>
      </c>
      <c r="E252" t="s">
        <v>17</v>
      </c>
      <c r="F252" t="s">
        <v>469</v>
      </c>
      <c r="G252">
        <v>4064</v>
      </c>
      <c r="I252">
        <v>0</v>
      </c>
      <c r="J252" t="s">
        <v>566</v>
      </c>
    </row>
    <row r="253" spans="1:10" x14ac:dyDescent="0.25">
      <c r="A253" s="210" t="s">
        <v>1524</v>
      </c>
      <c r="B253">
        <v>8494</v>
      </c>
      <c r="C253" s="100">
        <v>46114</v>
      </c>
      <c r="D253" t="s">
        <v>49</v>
      </c>
      <c r="E253" t="s">
        <v>43</v>
      </c>
      <c r="F253" t="s">
        <v>141</v>
      </c>
      <c r="G253">
        <v>4546</v>
      </c>
      <c r="I253">
        <v>0</v>
      </c>
      <c r="J253" t="s">
        <v>567</v>
      </c>
    </row>
    <row r="254" spans="1:10" x14ac:dyDescent="0.25">
      <c r="A254" s="210" t="s">
        <v>1524</v>
      </c>
      <c r="B254">
        <v>8494</v>
      </c>
      <c r="C254" s="100">
        <v>46114</v>
      </c>
      <c r="D254" t="s">
        <v>49</v>
      </c>
      <c r="E254" t="s">
        <v>26</v>
      </c>
      <c r="F254" t="s">
        <v>141</v>
      </c>
      <c r="G254">
        <v>4560</v>
      </c>
      <c r="I254">
        <v>0</v>
      </c>
      <c r="J254" t="s">
        <v>568</v>
      </c>
    </row>
    <row r="255" spans="1:10" x14ac:dyDescent="0.25">
      <c r="A255" s="210" t="s">
        <v>1524</v>
      </c>
      <c r="B255">
        <v>8502</v>
      </c>
      <c r="C255" s="100">
        <v>46114</v>
      </c>
      <c r="D255" t="s">
        <v>49</v>
      </c>
      <c r="E255" t="s">
        <v>26</v>
      </c>
      <c r="F255" t="s">
        <v>148</v>
      </c>
      <c r="G255">
        <v>4560</v>
      </c>
      <c r="I255">
        <v>0</v>
      </c>
      <c r="J255" t="s">
        <v>569</v>
      </c>
    </row>
    <row r="256" spans="1:10" x14ac:dyDescent="0.25">
      <c r="A256" s="210" t="s">
        <v>1524</v>
      </c>
      <c r="B256">
        <v>8506</v>
      </c>
      <c r="C256" s="100">
        <v>46114</v>
      </c>
      <c r="D256" t="s">
        <v>49</v>
      </c>
      <c r="E256" t="s">
        <v>26</v>
      </c>
      <c r="F256" t="s">
        <v>148</v>
      </c>
      <c r="G256">
        <v>6294</v>
      </c>
      <c r="I256">
        <v>0</v>
      </c>
      <c r="J256" t="s">
        <v>570</v>
      </c>
    </row>
    <row r="257" spans="1:10" x14ac:dyDescent="0.25">
      <c r="A257" s="210" t="s">
        <v>1524</v>
      </c>
      <c r="B257">
        <v>8513</v>
      </c>
      <c r="C257" s="100">
        <v>46114</v>
      </c>
      <c r="D257" t="s">
        <v>49</v>
      </c>
      <c r="E257" t="s">
        <v>32</v>
      </c>
      <c r="F257" t="s">
        <v>211</v>
      </c>
      <c r="G257">
        <v>4362</v>
      </c>
      <c r="I257">
        <v>0</v>
      </c>
      <c r="J257" t="s">
        <v>571</v>
      </c>
    </row>
    <row r="258" spans="1:10" x14ac:dyDescent="0.25">
      <c r="A258" s="210" t="s">
        <v>1524</v>
      </c>
      <c r="B258">
        <v>32</v>
      </c>
      <c r="C258" s="100">
        <v>46115</v>
      </c>
      <c r="D258" t="s">
        <v>426</v>
      </c>
      <c r="E258" t="s">
        <v>540</v>
      </c>
      <c r="F258" t="s">
        <v>637</v>
      </c>
      <c r="G258">
        <v>2340</v>
      </c>
      <c r="I258">
        <v>0</v>
      </c>
    </row>
    <row r="259" spans="1:10" x14ac:dyDescent="0.25">
      <c r="A259" s="210" t="s">
        <v>1524</v>
      </c>
      <c r="B259">
        <v>33</v>
      </c>
      <c r="C259" s="100">
        <v>46115</v>
      </c>
      <c r="D259" t="s">
        <v>426</v>
      </c>
      <c r="E259" t="s">
        <v>135</v>
      </c>
      <c r="F259" t="s">
        <v>148</v>
      </c>
      <c r="G259">
        <v>5375</v>
      </c>
      <c r="I259">
        <v>0</v>
      </c>
    </row>
    <row r="260" spans="1:10" x14ac:dyDescent="0.25">
      <c r="A260" s="210" t="s">
        <v>1524</v>
      </c>
      <c r="B260">
        <v>2611</v>
      </c>
      <c r="C260" s="100">
        <v>46115</v>
      </c>
      <c r="D260" t="s">
        <v>426</v>
      </c>
      <c r="E260" t="s">
        <v>26</v>
      </c>
      <c r="F260" t="s">
        <v>148</v>
      </c>
      <c r="G260">
        <v>2204</v>
      </c>
      <c r="I260">
        <v>0</v>
      </c>
    </row>
    <row r="261" spans="1:10" x14ac:dyDescent="0.25">
      <c r="A261" s="210" t="s">
        <v>1524</v>
      </c>
      <c r="B261">
        <v>2618</v>
      </c>
      <c r="C261" s="100">
        <v>46115</v>
      </c>
      <c r="D261" t="s">
        <v>426</v>
      </c>
      <c r="E261" t="s">
        <v>26</v>
      </c>
      <c r="F261" t="s">
        <v>148</v>
      </c>
      <c r="G261">
        <v>2127</v>
      </c>
      <c r="I261">
        <v>0</v>
      </c>
    </row>
    <row r="262" spans="1:10" x14ac:dyDescent="0.25">
      <c r="A262" s="210" t="s">
        <v>1524</v>
      </c>
      <c r="B262">
        <v>2620</v>
      </c>
      <c r="C262" s="100">
        <v>46115</v>
      </c>
      <c r="D262" t="s">
        <v>426</v>
      </c>
      <c r="E262" t="s">
        <v>43</v>
      </c>
      <c r="F262" t="s">
        <v>148</v>
      </c>
      <c r="G262">
        <v>2476</v>
      </c>
      <c r="I262">
        <v>0</v>
      </c>
    </row>
    <row r="263" spans="1:10" x14ac:dyDescent="0.25">
      <c r="A263" s="210" t="s">
        <v>1524</v>
      </c>
      <c r="B263">
        <v>8520</v>
      </c>
      <c r="C263" s="100">
        <v>46115</v>
      </c>
      <c r="D263" t="s">
        <v>49</v>
      </c>
      <c r="E263" t="s">
        <v>43</v>
      </c>
      <c r="F263" t="s">
        <v>148</v>
      </c>
      <c r="G263">
        <v>4540</v>
      </c>
      <c r="I263">
        <v>0</v>
      </c>
      <c r="J263" t="s">
        <v>572</v>
      </c>
    </row>
    <row r="264" spans="1:10" x14ac:dyDescent="0.25">
      <c r="A264" s="210" t="s">
        <v>1524</v>
      </c>
      <c r="B264">
        <v>8520</v>
      </c>
      <c r="C264" s="100">
        <v>46115</v>
      </c>
      <c r="D264" t="s">
        <v>49</v>
      </c>
      <c r="E264" t="s">
        <v>135</v>
      </c>
      <c r="F264" t="s">
        <v>148</v>
      </c>
      <c r="G264">
        <v>5202</v>
      </c>
      <c r="I264">
        <v>0</v>
      </c>
      <c r="J264" t="s">
        <v>572</v>
      </c>
    </row>
    <row r="265" spans="1:10" x14ac:dyDescent="0.25">
      <c r="A265" s="210" t="s">
        <v>1524</v>
      </c>
      <c r="B265">
        <v>8535</v>
      </c>
      <c r="C265" s="100">
        <v>46115</v>
      </c>
      <c r="D265" t="s">
        <v>49</v>
      </c>
      <c r="E265" t="s">
        <v>43</v>
      </c>
      <c r="F265" t="s">
        <v>243</v>
      </c>
      <c r="G265">
        <v>5070</v>
      </c>
      <c r="I265">
        <v>0</v>
      </c>
      <c r="J265" t="s">
        <v>573</v>
      </c>
    </row>
    <row r="266" spans="1:10" x14ac:dyDescent="0.25">
      <c r="A266" s="210" t="s">
        <v>1524</v>
      </c>
      <c r="B266">
        <v>8536</v>
      </c>
      <c r="C266" s="100">
        <v>46115</v>
      </c>
      <c r="D266" t="s">
        <v>49</v>
      </c>
      <c r="E266" t="s">
        <v>43</v>
      </c>
      <c r="F266" t="s">
        <v>574</v>
      </c>
      <c r="G266">
        <v>1841</v>
      </c>
      <c r="I266">
        <v>0</v>
      </c>
      <c r="J266" t="s">
        <v>575</v>
      </c>
    </row>
    <row r="267" spans="1:10" x14ac:dyDescent="0.25">
      <c r="A267" s="210" t="s">
        <v>1524</v>
      </c>
      <c r="B267">
        <v>8536</v>
      </c>
      <c r="C267" s="100">
        <v>46115</v>
      </c>
      <c r="D267" t="s">
        <v>49</v>
      </c>
      <c r="E267" t="s">
        <v>17</v>
      </c>
      <c r="F267" t="s">
        <v>576</v>
      </c>
      <c r="G267">
        <v>1500</v>
      </c>
      <c r="I267">
        <v>0</v>
      </c>
      <c r="J267" t="s">
        <v>577</v>
      </c>
    </row>
    <row r="268" spans="1:10" x14ac:dyDescent="0.25">
      <c r="A268" s="210" t="s">
        <v>1524</v>
      </c>
      <c r="B268">
        <v>8539</v>
      </c>
      <c r="C268" s="100">
        <v>46115</v>
      </c>
      <c r="D268" t="s">
        <v>49</v>
      </c>
      <c r="E268" t="s">
        <v>32</v>
      </c>
      <c r="F268" t="s">
        <v>40</v>
      </c>
      <c r="G268">
        <v>1422</v>
      </c>
      <c r="I268">
        <v>0</v>
      </c>
      <c r="J268" t="s">
        <v>578</v>
      </c>
    </row>
    <row r="269" spans="1:10" x14ac:dyDescent="0.25">
      <c r="A269" s="210" t="s">
        <v>1524</v>
      </c>
      <c r="B269">
        <v>2625</v>
      </c>
      <c r="C269" s="100">
        <v>46116</v>
      </c>
      <c r="D269" t="s">
        <v>426</v>
      </c>
      <c r="E269" t="s">
        <v>135</v>
      </c>
      <c r="F269" t="s">
        <v>148</v>
      </c>
      <c r="G269">
        <v>1604</v>
      </c>
      <c r="I269">
        <v>0</v>
      </c>
    </row>
    <row r="270" spans="1:10" x14ac:dyDescent="0.25">
      <c r="A270" s="210" t="s">
        <v>1524</v>
      </c>
      <c r="B270">
        <v>5173</v>
      </c>
      <c r="C270" s="100">
        <v>46116</v>
      </c>
      <c r="D270" t="s">
        <v>84</v>
      </c>
      <c r="E270" t="s">
        <v>93</v>
      </c>
      <c r="F270" t="s">
        <v>2531</v>
      </c>
      <c r="G270">
        <v>992</v>
      </c>
      <c r="I270">
        <v>0</v>
      </c>
    </row>
    <row r="271" spans="1:10" x14ac:dyDescent="0.25">
      <c r="A271" s="210" t="s">
        <v>1524</v>
      </c>
      <c r="B271">
        <v>8542</v>
      </c>
      <c r="C271" s="100">
        <v>46116</v>
      </c>
      <c r="D271" t="s">
        <v>49</v>
      </c>
      <c r="E271" t="s">
        <v>135</v>
      </c>
      <c r="F271" t="s">
        <v>148</v>
      </c>
      <c r="G271">
        <v>9321</v>
      </c>
      <c r="I271">
        <v>0</v>
      </c>
      <c r="J271" t="s">
        <v>579</v>
      </c>
    </row>
    <row r="272" spans="1:10" x14ac:dyDescent="0.25">
      <c r="A272" s="210" t="s">
        <v>1524</v>
      </c>
      <c r="B272">
        <v>8551</v>
      </c>
      <c r="C272" s="100">
        <v>46116</v>
      </c>
      <c r="D272" t="s">
        <v>49</v>
      </c>
      <c r="E272" t="s">
        <v>17</v>
      </c>
      <c r="F272" t="s">
        <v>78</v>
      </c>
      <c r="G272">
        <v>691</v>
      </c>
      <c r="I272">
        <v>0</v>
      </c>
      <c r="J272" t="s">
        <v>580</v>
      </c>
    </row>
    <row r="273" spans="1:10" x14ac:dyDescent="0.25">
      <c r="A273" s="210" t="s">
        <v>1524</v>
      </c>
      <c r="B273">
        <v>8551</v>
      </c>
      <c r="C273" s="100">
        <v>46116</v>
      </c>
      <c r="D273" t="s">
        <v>49</v>
      </c>
      <c r="E273" t="s">
        <v>26</v>
      </c>
      <c r="F273" t="s">
        <v>211</v>
      </c>
      <c r="G273">
        <v>7559</v>
      </c>
      <c r="I273">
        <v>0</v>
      </c>
      <c r="J273" t="s">
        <v>581</v>
      </c>
    </row>
    <row r="274" spans="1:10" x14ac:dyDescent="0.25">
      <c r="A274" s="210" t="s">
        <v>1524</v>
      </c>
      <c r="B274">
        <v>2641</v>
      </c>
      <c r="C274" s="100">
        <v>46118</v>
      </c>
      <c r="D274" t="s">
        <v>426</v>
      </c>
      <c r="E274" t="s">
        <v>26</v>
      </c>
      <c r="F274" t="s">
        <v>40</v>
      </c>
      <c r="G274">
        <v>2735</v>
      </c>
      <c r="I274">
        <v>0</v>
      </c>
    </row>
    <row r="275" spans="1:10" x14ac:dyDescent="0.25">
      <c r="A275" s="210" t="s">
        <v>1524</v>
      </c>
      <c r="B275">
        <v>8570</v>
      </c>
      <c r="C275" s="100">
        <v>46118</v>
      </c>
      <c r="D275" t="s">
        <v>49</v>
      </c>
      <c r="E275" t="s">
        <v>43</v>
      </c>
      <c r="F275" t="s">
        <v>444</v>
      </c>
      <c r="G275">
        <v>8048</v>
      </c>
      <c r="I275">
        <v>0</v>
      </c>
      <c r="J275" t="s">
        <v>582</v>
      </c>
    </row>
    <row r="276" spans="1:10" x14ac:dyDescent="0.25">
      <c r="A276" s="210" t="s">
        <v>1524</v>
      </c>
      <c r="B276">
        <v>8574</v>
      </c>
      <c r="C276" s="100">
        <v>46118</v>
      </c>
      <c r="D276" t="s">
        <v>49</v>
      </c>
      <c r="E276" t="s">
        <v>169</v>
      </c>
      <c r="F276" t="s">
        <v>148</v>
      </c>
      <c r="G276">
        <v>9324</v>
      </c>
      <c r="I276">
        <v>0</v>
      </c>
      <c r="J276" t="s">
        <v>583</v>
      </c>
    </row>
    <row r="277" spans="1:10" x14ac:dyDescent="0.25">
      <c r="A277" s="210" t="s">
        <v>1524</v>
      </c>
      <c r="B277">
        <v>8575</v>
      </c>
      <c r="C277" s="100">
        <v>46118</v>
      </c>
      <c r="D277" t="s">
        <v>49</v>
      </c>
      <c r="E277" t="s">
        <v>43</v>
      </c>
      <c r="F277" t="s">
        <v>146</v>
      </c>
      <c r="G277">
        <v>1674</v>
      </c>
      <c r="I277">
        <v>0</v>
      </c>
      <c r="J277" t="s">
        <v>584</v>
      </c>
    </row>
    <row r="278" spans="1:10" x14ac:dyDescent="0.25">
      <c r="A278" s="210" t="s">
        <v>1524</v>
      </c>
      <c r="B278">
        <v>8575</v>
      </c>
      <c r="C278" s="100">
        <v>46118</v>
      </c>
      <c r="D278" t="s">
        <v>49</v>
      </c>
      <c r="E278" t="s">
        <v>43</v>
      </c>
      <c r="F278" t="s">
        <v>136</v>
      </c>
      <c r="G278">
        <v>1386</v>
      </c>
      <c r="I278">
        <v>0</v>
      </c>
      <c r="J278" t="s">
        <v>585</v>
      </c>
    </row>
    <row r="279" spans="1:10" x14ac:dyDescent="0.25">
      <c r="A279" s="210" t="s">
        <v>1524</v>
      </c>
      <c r="B279">
        <v>8575</v>
      </c>
      <c r="C279" s="100">
        <v>46118</v>
      </c>
      <c r="D279" t="s">
        <v>49</v>
      </c>
      <c r="E279" t="s">
        <v>43</v>
      </c>
      <c r="F279" t="s">
        <v>363</v>
      </c>
      <c r="G279">
        <v>632</v>
      </c>
      <c r="I279">
        <v>0</v>
      </c>
      <c r="J279" t="s">
        <v>586</v>
      </c>
    </row>
    <row r="280" spans="1:10" x14ac:dyDescent="0.25">
      <c r="A280" s="210" t="s">
        <v>1524</v>
      </c>
      <c r="B280">
        <v>8579</v>
      </c>
      <c r="C280" s="100">
        <v>46118</v>
      </c>
      <c r="D280" t="s">
        <v>49</v>
      </c>
      <c r="E280" t="s">
        <v>17</v>
      </c>
      <c r="F280" t="s">
        <v>469</v>
      </c>
      <c r="G280">
        <v>4004</v>
      </c>
      <c r="I280">
        <v>0</v>
      </c>
      <c r="J280" t="s">
        <v>587</v>
      </c>
    </row>
    <row r="281" spans="1:10" x14ac:dyDescent="0.25">
      <c r="A281" s="210" t="s">
        <v>1524</v>
      </c>
      <c r="B281">
        <v>8597</v>
      </c>
      <c r="C281" s="100">
        <v>46119</v>
      </c>
      <c r="D281" t="s">
        <v>49</v>
      </c>
      <c r="E281" t="s">
        <v>43</v>
      </c>
      <c r="F281" t="s">
        <v>146</v>
      </c>
      <c r="G281">
        <v>5396</v>
      </c>
      <c r="I281">
        <v>0</v>
      </c>
      <c r="J281" t="s">
        <v>588</v>
      </c>
    </row>
    <row r="282" spans="1:10" x14ac:dyDescent="0.25">
      <c r="A282" s="210" t="s">
        <v>1524</v>
      </c>
      <c r="B282">
        <v>8600</v>
      </c>
      <c r="C282" s="100">
        <v>46119</v>
      </c>
      <c r="D282" t="s">
        <v>49</v>
      </c>
      <c r="E282" t="s">
        <v>135</v>
      </c>
      <c r="F282" t="s">
        <v>62</v>
      </c>
      <c r="G282">
        <v>5098</v>
      </c>
      <c r="I282">
        <v>0</v>
      </c>
      <c r="J282" t="s">
        <v>589</v>
      </c>
    </row>
    <row r="283" spans="1:10" x14ac:dyDescent="0.25">
      <c r="A283" s="210" t="s">
        <v>1524</v>
      </c>
      <c r="B283">
        <v>8600</v>
      </c>
      <c r="C283" s="100">
        <v>46119</v>
      </c>
      <c r="D283" t="s">
        <v>49</v>
      </c>
      <c r="E283" t="s">
        <v>17</v>
      </c>
      <c r="F283" t="s">
        <v>482</v>
      </c>
      <c r="G283">
        <v>1570</v>
      </c>
      <c r="I283">
        <v>0</v>
      </c>
      <c r="J283" t="s">
        <v>590</v>
      </c>
    </row>
    <row r="284" spans="1:10" x14ac:dyDescent="0.25">
      <c r="A284" s="210" t="s">
        <v>1524</v>
      </c>
      <c r="B284">
        <v>8607</v>
      </c>
      <c r="C284" s="100">
        <v>46119</v>
      </c>
      <c r="D284" t="s">
        <v>49</v>
      </c>
      <c r="E284" t="s">
        <v>43</v>
      </c>
      <c r="F284" t="s">
        <v>134</v>
      </c>
      <c r="G284">
        <v>5040</v>
      </c>
      <c r="I284">
        <v>0</v>
      </c>
      <c r="J284" t="s">
        <v>584</v>
      </c>
    </row>
    <row r="285" spans="1:10" x14ac:dyDescent="0.25">
      <c r="A285" s="210" t="s">
        <v>1524</v>
      </c>
      <c r="B285">
        <v>8624</v>
      </c>
      <c r="C285" s="100">
        <v>46120</v>
      </c>
      <c r="D285" t="s">
        <v>49</v>
      </c>
      <c r="E285" t="s">
        <v>17</v>
      </c>
      <c r="F285" t="s">
        <v>482</v>
      </c>
      <c r="G285">
        <v>1534</v>
      </c>
      <c r="I285">
        <v>0</v>
      </c>
      <c r="J285" t="s">
        <v>591</v>
      </c>
    </row>
    <row r="286" spans="1:10" x14ac:dyDescent="0.25">
      <c r="A286" s="210" t="s">
        <v>1524</v>
      </c>
      <c r="B286">
        <v>0</v>
      </c>
      <c r="C286" s="100">
        <v>46121</v>
      </c>
      <c r="D286" t="s">
        <v>426</v>
      </c>
      <c r="E286" t="s">
        <v>169</v>
      </c>
      <c r="F286" t="s">
        <v>148</v>
      </c>
      <c r="G286">
        <v>572</v>
      </c>
      <c r="I286">
        <v>0</v>
      </c>
    </row>
    <row r="287" spans="1:10" x14ac:dyDescent="0.25">
      <c r="A287" s="210" t="s">
        <v>1524</v>
      </c>
      <c r="B287">
        <v>37</v>
      </c>
      <c r="C287" s="100">
        <v>46121</v>
      </c>
      <c r="D287" t="s">
        <v>426</v>
      </c>
      <c r="E287" t="s">
        <v>93</v>
      </c>
      <c r="F287" t="s">
        <v>416</v>
      </c>
      <c r="G287">
        <v>1752</v>
      </c>
      <c r="I287">
        <v>0</v>
      </c>
    </row>
    <row r="288" spans="1:10" x14ac:dyDescent="0.25">
      <c r="A288" s="210" t="s">
        <v>1524</v>
      </c>
      <c r="B288">
        <v>8643</v>
      </c>
      <c r="C288" s="100">
        <v>46121</v>
      </c>
      <c r="D288" t="s">
        <v>49</v>
      </c>
      <c r="E288" t="s">
        <v>17</v>
      </c>
      <c r="F288" t="s">
        <v>40</v>
      </c>
      <c r="G288">
        <v>688</v>
      </c>
      <c r="I288">
        <v>0</v>
      </c>
      <c r="J288" t="s">
        <v>592</v>
      </c>
    </row>
    <row r="289" spans="1:10" x14ac:dyDescent="0.25">
      <c r="A289" s="210" t="s">
        <v>1524</v>
      </c>
      <c r="B289">
        <v>8643</v>
      </c>
      <c r="C289" s="100">
        <v>46121</v>
      </c>
      <c r="D289" t="s">
        <v>49</v>
      </c>
      <c r="E289" t="s">
        <v>17</v>
      </c>
      <c r="F289" t="s">
        <v>502</v>
      </c>
      <c r="G289">
        <v>2120</v>
      </c>
      <c r="I289">
        <v>0</v>
      </c>
      <c r="J289" t="s">
        <v>593</v>
      </c>
    </row>
    <row r="290" spans="1:10" x14ac:dyDescent="0.25">
      <c r="A290" s="210" t="s">
        <v>1524</v>
      </c>
      <c r="B290">
        <v>8643</v>
      </c>
      <c r="C290" s="100">
        <v>46121</v>
      </c>
      <c r="D290" t="s">
        <v>49</v>
      </c>
      <c r="E290" t="s">
        <v>26</v>
      </c>
      <c r="F290" t="s">
        <v>416</v>
      </c>
      <c r="G290">
        <v>1754</v>
      </c>
      <c r="I290">
        <v>0</v>
      </c>
      <c r="J290" t="s">
        <v>594</v>
      </c>
    </row>
    <row r="291" spans="1:10" x14ac:dyDescent="0.25">
      <c r="A291" s="210" t="s">
        <v>1524</v>
      </c>
      <c r="B291">
        <v>8650</v>
      </c>
      <c r="C291" s="100">
        <v>46121</v>
      </c>
      <c r="D291" t="s">
        <v>49</v>
      </c>
      <c r="E291" t="s">
        <v>270</v>
      </c>
      <c r="F291" t="s">
        <v>134</v>
      </c>
      <c r="G291">
        <v>2222</v>
      </c>
      <c r="I291">
        <v>0</v>
      </c>
      <c r="J291" t="s">
        <v>595</v>
      </c>
    </row>
    <row r="292" spans="1:10" x14ac:dyDescent="0.25">
      <c r="A292" s="210" t="s">
        <v>1524</v>
      </c>
      <c r="B292">
        <v>8653</v>
      </c>
      <c r="C292" s="100">
        <v>46121</v>
      </c>
      <c r="D292" t="s">
        <v>49</v>
      </c>
      <c r="E292" t="s">
        <v>26</v>
      </c>
      <c r="F292" t="s">
        <v>596</v>
      </c>
      <c r="G292">
        <v>1216</v>
      </c>
      <c r="I292">
        <v>0</v>
      </c>
      <c r="J292" t="s">
        <v>597</v>
      </c>
    </row>
    <row r="293" spans="1:10" x14ac:dyDescent="0.25">
      <c r="A293" s="210" t="s">
        <v>1524</v>
      </c>
      <c r="B293">
        <v>8667</v>
      </c>
      <c r="C293" s="100">
        <v>46121</v>
      </c>
      <c r="D293" t="s">
        <v>49</v>
      </c>
      <c r="E293" t="s">
        <v>26</v>
      </c>
      <c r="F293" t="s">
        <v>416</v>
      </c>
      <c r="G293">
        <v>1310</v>
      </c>
      <c r="I293">
        <v>0</v>
      </c>
      <c r="J293" t="s">
        <v>598</v>
      </c>
    </row>
    <row r="294" spans="1:10" x14ac:dyDescent="0.25">
      <c r="A294" s="210" t="s">
        <v>1524</v>
      </c>
      <c r="B294">
        <v>5201</v>
      </c>
      <c r="C294" s="100">
        <v>46122</v>
      </c>
      <c r="D294" t="s">
        <v>426</v>
      </c>
      <c r="E294" t="s">
        <v>541</v>
      </c>
      <c r="F294" t="s">
        <v>651</v>
      </c>
      <c r="G294">
        <v>485</v>
      </c>
      <c r="I294">
        <v>0</v>
      </c>
    </row>
    <row r="295" spans="1:10" x14ac:dyDescent="0.25">
      <c r="A295" s="210" t="s">
        <v>1524</v>
      </c>
      <c r="B295">
        <v>8701</v>
      </c>
      <c r="C295" s="100">
        <v>46123</v>
      </c>
      <c r="D295" t="s">
        <v>49</v>
      </c>
      <c r="E295" t="s">
        <v>14</v>
      </c>
      <c r="F295" t="s">
        <v>148</v>
      </c>
      <c r="G295">
        <v>4518</v>
      </c>
      <c r="I295">
        <v>0</v>
      </c>
      <c r="J295" t="s">
        <v>599</v>
      </c>
    </row>
    <row r="296" spans="1:10" x14ac:dyDescent="0.25">
      <c r="A296" s="210" t="s">
        <v>1524</v>
      </c>
      <c r="B296">
        <v>5208</v>
      </c>
      <c r="C296" s="100">
        <v>46125</v>
      </c>
      <c r="D296" t="s">
        <v>426</v>
      </c>
      <c r="E296" t="s">
        <v>648</v>
      </c>
      <c r="F296" t="s">
        <v>148</v>
      </c>
      <c r="G296">
        <v>3516</v>
      </c>
      <c r="I296">
        <v>0</v>
      </c>
    </row>
    <row r="297" spans="1:10" x14ac:dyDescent="0.25">
      <c r="A297" s="210" t="s">
        <v>1524</v>
      </c>
      <c r="B297">
        <v>8720</v>
      </c>
      <c r="C297" s="100">
        <v>46125</v>
      </c>
      <c r="D297" t="s">
        <v>49</v>
      </c>
      <c r="E297" t="s">
        <v>26</v>
      </c>
      <c r="F297" t="s">
        <v>600</v>
      </c>
      <c r="G297">
        <v>2163</v>
      </c>
      <c r="I297">
        <v>0</v>
      </c>
      <c r="J297" t="s">
        <v>601</v>
      </c>
    </row>
    <row r="298" spans="1:10" x14ac:dyDescent="0.25">
      <c r="A298" s="210" t="s">
        <v>1524</v>
      </c>
      <c r="B298">
        <v>8720</v>
      </c>
      <c r="C298" s="100">
        <v>46125</v>
      </c>
      <c r="D298" t="s">
        <v>49</v>
      </c>
      <c r="E298" t="s">
        <v>26</v>
      </c>
      <c r="F298" t="s">
        <v>602</v>
      </c>
      <c r="G298">
        <v>1086</v>
      </c>
      <c r="I298">
        <v>0</v>
      </c>
      <c r="J298" t="s">
        <v>471</v>
      </c>
    </row>
    <row r="299" spans="1:10" x14ac:dyDescent="0.25">
      <c r="A299" s="210" t="s">
        <v>1524</v>
      </c>
      <c r="B299">
        <v>8720</v>
      </c>
      <c r="C299" s="100">
        <v>46125</v>
      </c>
      <c r="D299" t="s">
        <v>49</v>
      </c>
      <c r="E299" t="s">
        <v>26</v>
      </c>
      <c r="F299" t="s">
        <v>603</v>
      </c>
      <c r="G299">
        <v>1168</v>
      </c>
      <c r="I299">
        <v>0</v>
      </c>
      <c r="J299" t="s">
        <v>604</v>
      </c>
    </row>
    <row r="300" spans="1:10" x14ac:dyDescent="0.25">
      <c r="A300" s="210" t="s">
        <v>1524</v>
      </c>
      <c r="B300">
        <v>8720</v>
      </c>
      <c r="C300" s="100">
        <v>46125</v>
      </c>
      <c r="D300" t="s">
        <v>49</v>
      </c>
      <c r="E300" t="s">
        <v>26</v>
      </c>
      <c r="F300" t="s">
        <v>344</v>
      </c>
      <c r="G300">
        <v>1914</v>
      </c>
      <c r="I300">
        <v>0</v>
      </c>
      <c r="J300" t="s">
        <v>605</v>
      </c>
    </row>
    <row r="301" spans="1:10" x14ac:dyDescent="0.25">
      <c r="A301" s="210" t="s">
        <v>1524</v>
      </c>
      <c r="B301">
        <v>8720</v>
      </c>
      <c r="C301" s="100">
        <v>46125</v>
      </c>
      <c r="D301" t="s">
        <v>49</v>
      </c>
      <c r="E301" t="s">
        <v>26</v>
      </c>
      <c r="F301" t="s">
        <v>606</v>
      </c>
      <c r="G301">
        <v>2660</v>
      </c>
      <c r="I301">
        <v>0</v>
      </c>
      <c r="J301" t="s">
        <v>607</v>
      </c>
    </row>
    <row r="302" spans="1:10" x14ac:dyDescent="0.25">
      <c r="A302" s="210" t="s">
        <v>1524</v>
      </c>
      <c r="B302">
        <v>8727</v>
      </c>
      <c r="C302" s="100">
        <v>46125</v>
      </c>
      <c r="D302" t="s">
        <v>49</v>
      </c>
      <c r="E302" t="s">
        <v>17</v>
      </c>
      <c r="F302" t="s">
        <v>502</v>
      </c>
      <c r="G302">
        <v>5020</v>
      </c>
      <c r="I302">
        <v>0</v>
      </c>
      <c r="J302" t="s">
        <v>608</v>
      </c>
    </row>
    <row r="303" spans="1:10" x14ac:dyDescent="0.25">
      <c r="A303" s="210" t="s">
        <v>1524</v>
      </c>
      <c r="B303">
        <v>8727</v>
      </c>
      <c r="C303" s="100">
        <v>46125</v>
      </c>
      <c r="D303" t="s">
        <v>49</v>
      </c>
      <c r="E303" t="s">
        <v>17</v>
      </c>
      <c r="F303" t="s">
        <v>46</v>
      </c>
      <c r="G303">
        <v>4900</v>
      </c>
      <c r="I303">
        <v>0</v>
      </c>
      <c r="J303" t="s">
        <v>609</v>
      </c>
    </row>
    <row r="304" spans="1:10" x14ac:dyDescent="0.25">
      <c r="A304" s="210" t="s">
        <v>1524</v>
      </c>
      <c r="B304">
        <v>8739</v>
      </c>
      <c r="C304" s="100">
        <v>46125</v>
      </c>
      <c r="D304" t="s">
        <v>49</v>
      </c>
      <c r="E304" t="s">
        <v>17</v>
      </c>
      <c r="F304" t="s">
        <v>610</v>
      </c>
      <c r="G304">
        <v>4970</v>
      </c>
      <c r="I304">
        <v>0</v>
      </c>
      <c r="J304" t="s">
        <v>611</v>
      </c>
    </row>
    <row r="305" spans="1:10" x14ac:dyDescent="0.25">
      <c r="A305" s="210" t="s">
        <v>1524</v>
      </c>
      <c r="B305">
        <v>8739</v>
      </c>
      <c r="C305" s="100">
        <v>46125</v>
      </c>
      <c r="D305" t="s">
        <v>49</v>
      </c>
      <c r="E305" t="s">
        <v>26</v>
      </c>
      <c r="F305" t="s">
        <v>612</v>
      </c>
      <c r="G305">
        <v>1000</v>
      </c>
      <c r="I305">
        <v>0</v>
      </c>
      <c r="J305" t="s">
        <v>475</v>
      </c>
    </row>
    <row r="306" spans="1:10" x14ac:dyDescent="0.25">
      <c r="A306" s="210" t="s">
        <v>1524</v>
      </c>
      <c r="B306">
        <v>36</v>
      </c>
      <c r="C306" s="100">
        <v>46126</v>
      </c>
      <c r="D306" t="s">
        <v>426</v>
      </c>
      <c r="E306" t="s">
        <v>540</v>
      </c>
      <c r="F306" t="s">
        <v>62</v>
      </c>
      <c r="G306">
        <v>3626</v>
      </c>
      <c r="I306">
        <v>0</v>
      </c>
    </row>
    <row r="307" spans="1:10" x14ac:dyDescent="0.25">
      <c r="A307" s="210" t="s">
        <v>1524</v>
      </c>
      <c r="B307">
        <v>5126</v>
      </c>
      <c r="C307" s="100">
        <v>46126</v>
      </c>
      <c r="D307" t="s">
        <v>426</v>
      </c>
      <c r="E307" t="s">
        <v>93</v>
      </c>
      <c r="F307" t="s">
        <v>444</v>
      </c>
      <c r="G307">
        <v>6965</v>
      </c>
      <c r="I307">
        <v>0</v>
      </c>
    </row>
    <row r="308" spans="1:10" x14ac:dyDescent="0.25">
      <c r="A308" s="210" t="s">
        <v>1524</v>
      </c>
      <c r="B308">
        <v>8754</v>
      </c>
      <c r="C308" s="100">
        <v>46126</v>
      </c>
      <c r="D308" t="s">
        <v>49</v>
      </c>
      <c r="E308" t="s">
        <v>43</v>
      </c>
      <c r="F308" t="s">
        <v>136</v>
      </c>
      <c r="G308">
        <v>4990</v>
      </c>
      <c r="I308">
        <v>0</v>
      </c>
      <c r="J308" t="s">
        <v>613</v>
      </c>
    </row>
    <row r="309" spans="1:10" x14ac:dyDescent="0.25">
      <c r="A309" s="210" t="s">
        <v>1524</v>
      </c>
      <c r="B309">
        <v>8761</v>
      </c>
      <c r="C309" s="100">
        <v>46126</v>
      </c>
      <c r="D309" t="s">
        <v>49</v>
      </c>
      <c r="E309" t="s">
        <v>45</v>
      </c>
      <c r="F309" t="s">
        <v>46</v>
      </c>
      <c r="G309">
        <v>3955</v>
      </c>
      <c r="I309">
        <v>0</v>
      </c>
      <c r="J309" t="s">
        <v>614</v>
      </c>
    </row>
    <row r="310" spans="1:10" x14ac:dyDescent="0.25">
      <c r="A310" s="210" t="s">
        <v>1524</v>
      </c>
      <c r="B310">
        <v>8771</v>
      </c>
      <c r="C310" s="100">
        <v>46126</v>
      </c>
      <c r="D310" t="s">
        <v>49</v>
      </c>
      <c r="E310" t="s">
        <v>43</v>
      </c>
      <c r="F310" t="s">
        <v>615</v>
      </c>
      <c r="G310">
        <v>1751</v>
      </c>
      <c r="I310">
        <v>0</v>
      </c>
      <c r="J310" t="s">
        <v>616</v>
      </c>
    </row>
    <row r="311" spans="1:10" x14ac:dyDescent="0.25">
      <c r="A311" s="210" t="s">
        <v>1524</v>
      </c>
      <c r="B311">
        <v>8771</v>
      </c>
      <c r="C311" s="100">
        <v>46126</v>
      </c>
      <c r="D311" t="s">
        <v>49</v>
      </c>
      <c r="E311" t="s">
        <v>43</v>
      </c>
      <c r="F311" t="s">
        <v>148</v>
      </c>
      <c r="G311">
        <v>3664</v>
      </c>
      <c r="I311">
        <v>0</v>
      </c>
      <c r="J311" t="s">
        <v>617</v>
      </c>
    </row>
    <row r="312" spans="1:10" x14ac:dyDescent="0.25">
      <c r="A312" s="210" t="s">
        <v>1524</v>
      </c>
      <c r="B312">
        <v>5220</v>
      </c>
      <c r="C312" s="100">
        <v>46127</v>
      </c>
      <c r="D312" t="s">
        <v>426</v>
      </c>
      <c r="E312" t="s">
        <v>541</v>
      </c>
      <c r="F312" t="s">
        <v>46</v>
      </c>
      <c r="G312">
        <v>2966</v>
      </c>
      <c r="I312">
        <v>0</v>
      </c>
    </row>
    <row r="313" spans="1:10" x14ac:dyDescent="0.25">
      <c r="A313" s="210" t="s">
        <v>1524</v>
      </c>
      <c r="B313">
        <v>8784</v>
      </c>
      <c r="C313" s="100">
        <v>46127</v>
      </c>
      <c r="D313" t="s">
        <v>49</v>
      </c>
      <c r="E313" t="s">
        <v>43</v>
      </c>
      <c r="F313" t="s">
        <v>154</v>
      </c>
      <c r="G313">
        <v>7114</v>
      </c>
      <c r="I313">
        <v>0</v>
      </c>
      <c r="J313" t="s">
        <v>618</v>
      </c>
    </row>
    <row r="314" spans="1:10" x14ac:dyDescent="0.25">
      <c r="A314" s="210" t="s">
        <v>1524</v>
      </c>
      <c r="B314">
        <v>8798</v>
      </c>
      <c r="C314" s="100">
        <v>46127</v>
      </c>
      <c r="D314" t="s">
        <v>49</v>
      </c>
      <c r="E314" t="s">
        <v>17</v>
      </c>
      <c r="F314" t="s">
        <v>40</v>
      </c>
      <c r="G314">
        <v>2818</v>
      </c>
      <c r="I314">
        <v>0</v>
      </c>
      <c r="J314" t="s">
        <v>475</v>
      </c>
    </row>
    <row r="315" spans="1:10" x14ac:dyDescent="0.25">
      <c r="A315" s="210" t="s">
        <v>1524</v>
      </c>
      <c r="B315">
        <v>214</v>
      </c>
      <c r="C315" s="100">
        <v>46128</v>
      </c>
      <c r="D315" t="s">
        <v>426</v>
      </c>
      <c r="E315" t="s">
        <v>43</v>
      </c>
      <c r="F315" t="s">
        <v>148</v>
      </c>
      <c r="G315">
        <v>2544</v>
      </c>
      <c r="I315">
        <v>0</v>
      </c>
    </row>
    <row r="316" spans="1:10" x14ac:dyDescent="0.25">
      <c r="A316" s="210" t="s">
        <v>1524</v>
      </c>
      <c r="B316">
        <v>214</v>
      </c>
      <c r="C316" s="100">
        <v>46128</v>
      </c>
      <c r="D316" t="s">
        <v>426</v>
      </c>
      <c r="E316" t="s">
        <v>43</v>
      </c>
      <c r="F316" t="s">
        <v>136</v>
      </c>
      <c r="G316">
        <v>2943</v>
      </c>
      <c r="I316">
        <v>0</v>
      </c>
    </row>
    <row r="317" spans="1:10" x14ac:dyDescent="0.25">
      <c r="A317" s="210" t="s">
        <v>1524</v>
      </c>
      <c r="B317">
        <v>8809</v>
      </c>
      <c r="C317" s="100">
        <v>46128</v>
      </c>
      <c r="D317" t="s">
        <v>49</v>
      </c>
      <c r="E317" t="s">
        <v>43</v>
      </c>
      <c r="F317" t="s">
        <v>619</v>
      </c>
      <c r="G317">
        <v>307</v>
      </c>
      <c r="I317">
        <v>0</v>
      </c>
      <c r="J317" t="s">
        <v>620</v>
      </c>
    </row>
    <row r="318" spans="1:10" x14ac:dyDescent="0.25">
      <c r="A318" s="210" t="s">
        <v>1524</v>
      </c>
      <c r="B318">
        <v>8809</v>
      </c>
      <c r="C318" s="100">
        <v>46128</v>
      </c>
      <c r="D318" t="s">
        <v>49</v>
      </c>
      <c r="E318" t="s">
        <v>43</v>
      </c>
      <c r="F318" t="s">
        <v>621</v>
      </c>
      <c r="G318">
        <v>734</v>
      </c>
      <c r="I318">
        <v>0</v>
      </c>
      <c r="J318" t="s">
        <v>622</v>
      </c>
    </row>
    <row r="319" spans="1:10" x14ac:dyDescent="0.25">
      <c r="A319" s="210" t="s">
        <v>1524</v>
      </c>
      <c r="B319">
        <v>8809</v>
      </c>
      <c r="C319" s="100">
        <v>46128</v>
      </c>
      <c r="D319" t="s">
        <v>49</v>
      </c>
      <c r="E319" t="s">
        <v>26</v>
      </c>
      <c r="F319" t="s">
        <v>621</v>
      </c>
      <c r="G319">
        <v>986</v>
      </c>
      <c r="I319">
        <v>0</v>
      </c>
      <c r="J319" t="s">
        <v>623</v>
      </c>
    </row>
    <row r="320" spans="1:10" x14ac:dyDescent="0.25">
      <c r="A320" s="210" t="s">
        <v>1524</v>
      </c>
      <c r="B320">
        <v>8810</v>
      </c>
      <c r="C320" s="100">
        <v>46128</v>
      </c>
      <c r="D320" t="s">
        <v>49</v>
      </c>
      <c r="E320" t="s">
        <v>43</v>
      </c>
      <c r="F320" t="s">
        <v>78</v>
      </c>
      <c r="G320">
        <v>1012</v>
      </c>
      <c r="I320">
        <v>0</v>
      </c>
      <c r="J320" t="s">
        <v>624</v>
      </c>
    </row>
    <row r="321" spans="1:10" x14ac:dyDescent="0.25">
      <c r="A321" s="210" t="s">
        <v>1524</v>
      </c>
      <c r="B321">
        <v>8810</v>
      </c>
      <c r="C321" s="100">
        <v>46128</v>
      </c>
      <c r="D321" t="s">
        <v>49</v>
      </c>
      <c r="E321" t="s">
        <v>17</v>
      </c>
      <c r="F321" t="s">
        <v>62</v>
      </c>
      <c r="G321">
        <v>5562</v>
      </c>
      <c r="I321">
        <v>0</v>
      </c>
      <c r="J321" t="s">
        <v>625</v>
      </c>
    </row>
    <row r="322" spans="1:10" x14ac:dyDescent="0.25">
      <c r="A322" s="210" t="s">
        <v>1524</v>
      </c>
      <c r="B322">
        <v>8832</v>
      </c>
      <c r="C322" s="100">
        <v>46128</v>
      </c>
      <c r="D322" t="s">
        <v>49</v>
      </c>
      <c r="E322" t="s">
        <v>43</v>
      </c>
      <c r="F322" t="s">
        <v>146</v>
      </c>
      <c r="G322">
        <v>1798</v>
      </c>
      <c r="I322">
        <v>0</v>
      </c>
      <c r="J322" t="s">
        <v>626</v>
      </c>
    </row>
    <row r="323" spans="1:10" x14ac:dyDescent="0.25">
      <c r="A323" s="210" t="s">
        <v>1524</v>
      </c>
      <c r="B323">
        <v>38</v>
      </c>
      <c r="C323" s="100">
        <v>46129</v>
      </c>
      <c r="D323" t="s">
        <v>426</v>
      </c>
      <c r="E323" t="s">
        <v>93</v>
      </c>
      <c r="F323" t="s">
        <v>62</v>
      </c>
      <c r="G323">
        <v>4382</v>
      </c>
      <c r="I323">
        <v>0</v>
      </c>
    </row>
    <row r="324" spans="1:10" x14ac:dyDescent="0.25">
      <c r="A324" s="210" t="s">
        <v>1524</v>
      </c>
      <c r="B324">
        <v>38</v>
      </c>
      <c r="C324" s="100">
        <v>46129</v>
      </c>
      <c r="D324" t="s">
        <v>426</v>
      </c>
      <c r="E324" t="s">
        <v>93</v>
      </c>
      <c r="F324" t="s">
        <v>154</v>
      </c>
      <c r="G324">
        <v>4430</v>
      </c>
      <c r="I324">
        <v>0</v>
      </c>
    </row>
    <row r="325" spans="1:10" x14ac:dyDescent="0.25">
      <c r="A325" s="210" t="s">
        <v>1524</v>
      </c>
      <c r="B325">
        <v>2713</v>
      </c>
      <c r="C325" s="100">
        <v>46129</v>
      </c>
      <c r="D325" t="s">
        <v>426</v>
      </c>
      <c r="E325" t="s">
        <v>43</v>
      </c>
      <c r="F325" t="s">
        <v>146</v>
      </c>
      <c r="G325">
        <v>754</v>
      </c>
      <c r="I325">
        <v>0</v>
      </c>
    </row>
    <row r="326" spans="1:10" x14ac:dyDescent="0.25">
      <c r="A326" s="210" t="s">
        <v>1524</v>
      </c>
      <c r="B326">
        <v>8852</v>
      </c>
      <c r="C326" s="100">
        <v>46129</v>
      </c>
      <c r="D326" t="s">
        <v>49</v>
      </c>
      <c r="E326" t="s">
        <v>17</v>
      </c>
      <c r="F326" t="s">
        <v>482</v>
      </c>
      <c r="G326">
        <v>2000</v>
      </c>
      <c r="I326">
        <v>0</v>
      </c>
      <c r="J326" t="s">
        <v>627</v>
      </c>
    </row>
    <row r="327" spans="1:10" x14ac:dyDescent="0.25">
      <c r="A327" s="210" t="s">
        <v>1524</v>
      </c>
      <c r="B327">
        <v>8853</v>
      </c>
      <c r="C327" s="100">
        <v>46129</v>
      </c>
      <c r="D327" t="s">
        <v>49</v>
      </c>
      <c r="E327" t="s">
        <v>17</v>
      </c>
      <c r="F327" t="s">
        <v>628</v>
      </c>
      <c r="G327">
        <v>11094</v>
      </c>
      <c r="I327">
        <v>0</v>
      </c>
      <c r="J327" t="s">
        <v>629</v>
      </c>
    </row>
    <row r="328" spans="1:10" x14ac:dyDescent="0.25">
      <c r="A328" s="210" t="s">
        <v>1524</v>
      </c>
      <c r="B328">
        <v>8855</v>
      </c>
      <c r="C328" s="100">
        <v>46129</v>
      </c>
      <c r="D328" t="s">
        <v>49</v>
      </c>
      <c r="E328" t="s">
        <v>17</v>
      </c>
      <c r="F328" t="s">
        <v>469</v>
      </c>
      <c r="G328">
        <v>4087</v>
      </c>
      <c r="I328">
        <v>0</v>
      </c>
      <c r="J328" t="s">
        <v>630</v>
      </c>
    </row>
    <row r="329" spans="1:10" x14ac:dyDescent="0.25">
      <c r="A329" s="210" t="s">
        <v>1524</v>
      </c>
      <c r="B329">
        <v>8869</v>
      </c>
      <c r="C329" s="100">
        <v>46130</v>
      </c>
      <c r="D329" t="s">
        <v>49</v>
      </c>
      <c r="E329" t="s">
        <v>26</v>
      </c>
      <c r="F329" t="s">
        <v>62</v>
      </c>
      <c r="G329">
        <v>2826</v>
      </c>
      <c r="I329">
        <v>0</v>
      </c>
      <c r="J329" t="s">
        <v>631</v>
      </c>
    </row>
    <row r="330" spans="1:10" x14ac:dyDescent="0.25">
      <c r="A330" s="210" t="s">
        <v>1524</v>
      </c>
      <c r="B330">
        <v>8869</v>
      </c>
      <c r="C330" s="100">
        <v>46130</v>
      </c>
      <c r="D330" t="s">
        <v>49</v>
      </c>
      <c r="E330" t="s">
        <v>43</v>
      </c>
      <c r="F330" t="s">
        <v>136</v>
      </c>
      <c r="G330">
        <v>2943</v>
      </c>
      <c r="I330">
        <v>0</v>
      </c>
      <c r="J330" t="s">
        <v>632</v>
      </c>
    </row>
    <row r="331" spans="1:10" x14ac:dyDescent="0.25">
      <c r="A331" s="210" t="s">
        <v>1524</v>
      </c>
      <c r="B331">
        <v>8869</v>
      </c>
      <c r="C331" s="100">
        <v>46130</v>
      </c>
      <c r="D331" t="s">
        <v>49</v>
      </c>
      <c r="E331" t="s">
        <v>43</v>
      </c>
      <c r="F331" t="s">
        <v>62</v>
      </c>
      <c r="G331">
        <v>1086</v>
      </c>
      <c r="I331">
        <v>0</v>
      </c>
      <c r="J331" t="s">
        <v>633</v>
      </c>
    </row>
    <row r="332" spans="1:10" x14ac:dyDescent="0.25">
      <c r="A332" s="210" t="s">
        <v>1524</v>
      </c>
      <c r="B332">
        <v>8869</v>
      </c>
      <c r="C332" s="100">
        <v>46130</v>
      </c>
      <c r="D332" t="s">
        <v>49</v>
      </c>
      <c r="E332" t="s">
        <v>43</v>
      </c>
      <c r="F332" t="s">
        <v>146</v>
      </c>
      <c r="G332">
        <v>754</v>
      </c>
      <c r="I332">
        <v>0</v>
      </c>
      <c r="J332" t="s">
        <v>633</v>
      </c>
    </row>
    <row r="333" spans="1:10" x14ac:dyDescent="0.25">
      <c r="A333" s="210" t="s">
        <v>1524</v>
      </c>
      <c r="B333">
        <v>8879</v>
      </c>
      <c r="C333" s="100">
        <v>46130</v>
      </c>
      <c r="D333" t="s">
        <v>49</v>
      </c>
      <c r="E333" t="s">
        <v>26</v>
      </c>
      <c r="F333" t="s">
        <v>78</v>
      </c>
      <c r="G333">
        <v>5014</v>
      </c>
      <c r="I333">
        <v>0</v>
      </c>
      <c r="J333" t="s">
        <v>634</v>
      </c>
    </row>
    <row r="334" spans="1:10" x14ac:dyDescent="0.25">
      <c r="A334" s="210" t="s">
        <v>1524</v>
      </c>
      <c r="B334">
        <v>8883</v>
      </c>
      <c r="C334" s="100">
        <v>46130</v>
      </c>
      <c r="D334" t="s">
        <v>49</v>
      </c>
      <c r="E334" t="s">
        <v>135</v>
      </c>
      <c r="F334" t="s">
        <v>62</v>
      </c>
      <c r="G334">
        <v>3620</v>
      </c>
      <c r="I334">
        <v>0</v>
      </c>
      <c r="J334" t="s">
        <v>635</v>
      </c>
    </row>
    <row r="335" spans="1:10" x14ac:dyDescent="0.25">
      <c r="A335" s="210" t="s">
        <v>1524</v>
      </c>
      <c r="B335">
        <v>5243</v>
      </c>
      <c r="C335" s="100">
        <v>46132</v>
      </c>
      <c r="D335" t="s">
        <v>426</v>
      </c>
      <c r="E335" t="s">
        <v>541</v>
      </c>
      <c r="F335" t="s">
        <v>657</v>
      </c>
      <c r="G335">
        <v>266</v>
      </c>
      <c r="I335">
        <v>0</v>
      </c>
    </row>
    <row r="336" spans="1:10" x14ac:dyDescent="0.25">
      <c r="A336" s="210" t="s">
        <v>1524</v>
      </c>
      <c r="B336">
        <v>5243</v>
      </c>
      <c r="C336" s="100">
        <v>46132</v>
      </c>
      <c r="D336" t="s">
        <v>426</v>
      </c>
      <c r="E336" t="s">
        <v>541</v>
      </c>
      <c r="F336" t="s">
        <v>637</v>
      </c>
      <c r="G336">
        <v>32</v>
      </c>
      <c r="I336">
        <v>0</v>
      </c>
    </row>
    <row r="337" spans="1:10" x14ac:dyDescent="0.25">
      <c r="A337" s="210" t="s">
        <v>1524</v>
      </c>
      <c r="B337">
        <v>5246</v>
      </c>
      <c r="C337" s="100">
        <v>46132</v>
      </c>
      <c r="D337" t="s">
        <v>426</v>
      </c>
      <c r="E337" t="s">
        <v>541</v>
      </c>
      <c r="F337" t="s">
        <v>62</v>
      </c>
      <c r="G337">
        <v>2122</v>
      </c>
      <c r="I337">
        <v>0</v>
      </c>
    </row>
    <row r="338" spans="1:10" x14ac:dyDescent="0.25">
      <c r="A338" s="210" t="s">
        <v>1524</v>
      </c>
      <c r="B338">
        <v>5246</v>
      </c>
      <c r="C338" s="100">
        <v>46132</v>
      </c>
      <c r="D338" t="s">
        <v>426</v>
      </c>
      <c r="E338" t="s">
        <v>541</v>
      </c>
      <c r="F338" t="s">
        <v>78</v>
      </c>
      <c r="G338">
        <v>1406</v>
      </c>
      <c r="I338">
        <v>0</v>
      </c>
    </row>
    <row r="339" spans="1:10" x14ac:dyDescent="0.25">
      <c r="A339" s="210" t="s">
        <v>1524</v>
      </c>
      <c r="B339">
        <v>8903</v>
      </c>
      <c r="C339" s="100">
        <v>46132</v>
      </c>
      <c r="D339" t="s">
        <v>49</v>
      </c>
      <c r="E339" t="s">
        <v>17</v>
      </c>
      <c r="F339" t="s">
        <v>251</v>
      </c>
      <c r="G339">
        <v>616</v>
      </c>
      <c r="I339">
        <v>0</v>
      </c>
      <c r="J339" t="s">
        <v>1740</v>
      </c>
    </row>
    <row r="340" spans="1:10" x14ac:dyDescent="0.25">
      <c r="A340" s="210" t="s">
        <v>1524</v>
      </c>
      <c r="B340">
        <v>8903</v>
      </c>
      <c r="C340" s="100">
        <v>46132</v>
      </c>
      <c r="D340" t="s">
        <v>49</v>
      </c>
      <c r="E340" t="s">
        <v>17</v>
      </c>
      <c r="F340" t="s">
        <v>136</v>
      </c>
      <c r="G340">
        <v>812</v>
      </c>
      <c r="I340">
        <v>0</v>
      </c>
      <c r="J340" t="s">
        <v>1741</v>
      </c>
    </row>
    <row r="341" spans="1:10" x14ac:dyDescent="0.25">
      <c r="A341" s="210" t="s">
        <v>1524</v>
      </c>
      <c r="B341">
        <v>8903</v>
      </c>
      <c r="C341" s="100">
        <v>46132</v>
      </c>
      <c r="D341" t="s">
        <v>49</v>
      </c>
      <c r="E341" t="s">
        <v>26</v>
      </c>
      <c r="F341" t="s">
        <v>446</v>
      </c>
      <c r="G341">
        <v>451</v>
      </c>
      <c r="I341">
        <v>0</v>
      </c>
      <c r="J341" t="s">
        <v>1742</v>
      </c>
    </row>
    <row r="342" spans="1:10" x14ac:dyDescent="0.25">
      <c r="A342" s="210" t="s">
        <v>1524</v>
      </c>
      <c r="B342">
        <v>8908</v>
      </c>
      <c r="C342" s="100">
        <v>46132</v>
      </c>
      <c r="D342" t="s">
        <v>49</v>
      </c>
      <c r="E342" t="s">
        <v>17</v>
      </c>
      <c r="F342" t="s">
        <v>78</v>
      </c>
      <c r="G342">
        <v>856</v>
      </c>
      <c r="I342">
        <v>0</v>
      </c>
      <c r="J342" t="s">
        <v>476</v>
      </c>
    </row>
    <row r="343" spans="1:10" x14ac:dyDescent="0.25">
      <c r="A343" s="210" t="s">
        <v>1524</v>
      </c>
      <c r="B343">
        <v>8908</v>
      </c>
      <c r="C343" s="100">
        <v>46132</v>
      </c>
      <c r="D343" t="s">
        <v>49</v>
      </c>
      <c r="E343" t="s">
        <v>17</v>
      </c>
      <c r="F343" t="s">
        <v>40</v>
      </c>
      <c r="G343">
        <v>4933</v>
      </c>
      <c r="I343">
        <v>0</v>
      </c>
      <c r="J343" t="s">
        <v>1752</v>
      </c>
    </row>
    <row r="344" spans="1:10" x14ac:dyDescent="0.25">
      <c r="A344" s="210" t="s">
        <v>1524</v>
      </c>
      <c r="B344">
        <v>2732</v>
      </c>
      <c r="C344" s="100">
        <v>46133</v>
      </c>
      <c r="D344" t="s">
        <v>426</v>
      </c>
      <c r="E344" t="s">
        <v>659</v>
      </c>
      <c r="F344" t="s">
        <v>78</v>
      </c>
      <c r="G344">
        <v>3771</v>
      </c>
      <c r="I344">
        <v>0</v>
      </c>
    </row>
    <row r="345" spans="1:10" x14ac:dyDescent="0.25">
      <c r="A345" s="210" t="s">
        <v>1524</v>
      </c>
      <c r="B345">
        <v>8912</v>
      </c>
      <c r="C345" s="100">
        <v>46133</v>
      </c>
      <c r="D345" t="s">
        <v>49</v>
      </c>
      <c r="E345" t="s">
        <v>43</v>
      </c>
      <c r="F345" t="s">
        <v>148</v>
      </c>
      <c r="G345">
        <v>5142</v>
      </c>
      <c r="I345">
        <v>0</v>
      </c>
      <c r="J345" t="s">
        <v>1754</v>
      </c>
    </row>
    <row r="346" spans="1:10" x14ac:dyDescent="0.25">
      <c r="A346" s="210" t="s">
        <v>1524</v>
      </c>
      <c r="B346">
        <v>5254</v>
      </c>
      <c r="C346" s="100">
        <v>46134</v>
      </c>
      <c r="D346" t="s">
        <v>426</v>
      </c>
      <c r="E346" t="s">
        <v>93</v>
      </c>
      <c r="F346" t="s">
        <v>40</v>
      </c>
      <c r="G346">
        <v>4652</v>
      </c>
      <c r="I346">
        <v>0</v>
      </c>
    </row>
    <row r="347" spans="1:10" x14ac:dyDescent="0.25">
      <c r="A347" s="210" t="s">
        <v>1524</v>
      </c>
      <c r="B347">
        <v>8940</v>
      </c>
      <c r="C347" s="100">
        <v>46134</v>
      </c>
      <c r="D347" t="s">
        <v>49</v>
      </c>
      <c r="E347" t="s">
        <v>301</v>
      </c>
      <c r="F347" t="s">
        <v>1768</v>
      </c>
      <c r="G347">
        <v>1616</v>
      </c>
      <c r="I347">
        <v>0</v>
      </c>
      <c r="J347" t="s">
        <v>786</v>
      </c>
    </row>
    <row r="348" spans="1:10" x14ac:dyDescent="0.25">
      <c r="A348" s="210" t="s">
        <v>1524</v>
      </c>
      <c r="B348">
        <v>8940</v>
      </c>
      <c r="C348" s="100">
        <v>46134</v>
      </c>
      <c r="D348" t="s">
        <v>49</v>
      </c>
      <c r="E348" t="s">
        <v>301</v>
      </c>
      <c r="F348" t="s">
        <v>1769</v>
      </c>
      <c r="G348">
        <v>2050</v>
      </c>
      <c r="I348">
        <v>0</v>
      </c>
      <c r="J348" t="s">
        <v>1770</v>
      </c>
    </row>
    <row r="349" spans="1:10" x14ac:dyDescent="0.25">
      <c r="A349" s="210" t="s">
        <v>1524</v>
      </c>
      <c r="B349">
        <v>8940</v>
      </c>
      <c r="C349" s="100">
        <v>46134</v>
      </c>
      <c r="D349" t="s">
        <v>49</v>
      </c>
      <c r="E349" t="s">
        <v>17</v>
      </c>
      <c r="F349" t="s">
        <v>464</v>
      </c>
      <c r="G349">
        <v>659</v>
      </c>
      <c r="I349">
        <v>0</v>
      </c>
    </row>
    <row r="350" spans="1:10" x14ac:dyDescent="0.25">
      <c r="A350" s="210" t="s">
        <v>1524</v>
      </c>
      <c r="B350">
        <v>8946</v>
      </c>
      <c r="C350" s="100">
        <v>46134</v>
      </c>
      <c r="D350" t="s">
        <v>49</v>
      </c>
      <c r="E350" t="s">
        <v>135</v>
      </c>
      <c r="F350" t="s">
        <v>62</v>
      </c>
      <c r="G350">
        <v>2122</v>
      </c>
      <c r="I350">
        <v>0</v>
      </c>
      <c r="J350" t="s">
        <v>1771</v>
      </c>
    </row>
    <row r="351" spans="1:10" x14ac:dyDescent="0.25">
      <c r="A351" s="210" t="s">
        <v>1524</v>
      </c>
      <c r="B351">
        <v>221</v>
      </c>
      <c r="C351" s="100">
        <v>46135</v>
      </c>
      <c r="D351" t="s">
        <v>426</v>
      </c>
      <c r="E351" t="s">
        <v>43</v>
      </c>
      <c r="F351" t="s">
        <v>148</v>
      </c>
      <c r="G351">
        <v>3094</v>
      </c>
      <c r="I351">
        <v>0</v>
      </c>
    </row>
    <row r="352" spans="1:10" x14ac:dyDescent="0.25">
      <c r="A352" s="210" t="s">
        <v>1524</v>
      </c>
      <c r="B352">
        <v>8953</v>
      </c>
      <c r="C352" s="100">
        <v>46135</v>
      </c>
      <c r="D352" t="s">
        <v>49</v>
      </c>
      <c r="E352" t="s">
        <v>17</v>
      </c>
      <c r="F352" t="s">
        <v>46</v>
      </c>
      <c r="G352">
        <v>5005</v>
      </c>
      <c r="I352">
        <v>0</v>
      </c>
      <c r="J352" t="s">
        <v>1789</v>
      </c>
    </row>
    <row r="353" spans="1:10" x14ac:dyDescent="0.25">
      <c r="A353" s="210" t="s">
        <v>1524</v>
      </c>
      <c r="B353">
        <v>8953</v>
      </c>
      <c r="C353" s="100">
        <v>46135</v>
      </c>
      <c r="D353" t="s">
        <v>49</v>
      </c>
      <c r="E353" t="s">
        <v>17</v>
      </c>
      <c r="F353" t="s">
        <v>154</v>
      </c>
      <c r="G353">
        <v>4430</v>
      </c>
      <c r="I353">
        <v>0</v>
      </c>
      <c r="J353" t="s">
        <v>1790</v>
      </c>
    </row>
    <row r="354" spans="1:10" x14ac:dyDescent="0.25">
      <c r="A354" s="210" t="s">
        <v>1524</v>
      </c>
      <c r="B354">
        <v>8953</v>
      </c>
      <c r="C354" s="100">
        <v>46135</v>
      </c>
      <c r="D354" t="s">
        <v>49</v>
      </c>
      <c r="E354" t="s">
        <v>17</v>
      </c>
      <c r="F354" t="s">
        <v>40</v>
      </c>
      <c r="G354">
        <v>2982</v>
      </c>
      <c r="I354">
        <v>0</v>
      </c>
      <c r="J354" t="s">
        <v>476</v>
      </c>
    </row>
    <row r="355" spans="1:10" x14ac:dyDescent="0.25">
      <c r="A355" s="210" t="s">
        <v>1524</v>
      </c>
      <c r="B355">
        <v>8953</v>
      </c>
      <c r="C355" s="100">
        <v>46135</v>
      </c>
      <c r="D355" t="s">
        <v>49</v>
      </c>
      <c r="E355" t="s">
        <v>17</v>
      </c>
      <c r="F355" t="s">
        <v>40</v>
      </c>
      <c r="G355">
        <v>1366</v>
      </c>
      <c r="I355">
        <v>0</v>
      </c>
      <c r="J355" t="s">
        <v>475</v>
      </c>
    </row>
    <row r="356" spans="1:10" x14ac:dyDescent="0.25">
      <c r="A356" s="210" t="s">
        <v>1524</v>
      </c>
      <c r="B356">
        <v>8953</v>
      </c>
      <c r="C356" s="100">
        <v>46135</v>
      </c>
      <c r="D356" t="s">
        <v>49</v>
      </c>
      <c r="E356" t="s">
        <v>77</v>
      </c>
      <c r="F356" t="s">
        <v>1791</v>
      </c>
      <c r="G356">
        <v>576</v>
      </c>
      <c r="I356">
        <v>0</v>
      </c>
      <c r="J356" t="s">
        <v>1792</v>
      </c>
    </row>
    <row r="357" spans="1:10" x14ac:dyDescent="0.25">
      <c r="A357" s="210" t="s">
        <v>1524</v>
      </c>
      <c r="B357">
        <v>8953</v>
      </c>
      <c r="C357" s="100">
        <v>46135</v>
      </c>
      <c r="D357" t="s">
        <v>49</v>
      </c>
      <c r="E357" t="s">
        <v>77</v>
      </c>
      <c r="F357" t="s">
        <v>249</v>
      </c>
      <c r="G357">
        <v>406</v>
      </c>
      <c r="I357">
        <v>0</v>
      </c>
    </row>
    <row r="358" spans="1:10" x14ac:dyDescent="0.25">
      <c r="A358" s="210" t="s">
        <v>1524</v>
      </c>
      <c r="B358">
        <v>8960</v>
      </c>
      <c r="C358" s="100">
        <v>46135</v>
      </c>
      <c r="D358" t="s">
        <v>49</v>
      </c>
      <c r="E358" t="s">
        <v>17</v>
      </c>
      <c r="F358" t="s">
        <v>146</v>
      </c>
      <c r="G358">
        <v>1354</v>
      </c>
      <c r="I358">
        <v>0</v>
      </c>
      <c r="J358" t="s">
        <v>1740</v>
      </c>
    </row>
    <row r="359" spans="1:10" x14ac:dyDescent="0.25">
      <c r="A359" s="210" t="s">
        <v>1524</v>
      </c>
      <c r="B359">
        <v>8971</v>
      </c>
      <c r="C359" s="100">
        <v>46135</v>
      </c>
      <c r="D359" t="s">
        <v>49</v>
      </c>
      <c r="E359" t="s">
        <v>32</v>
      </c>
      <c r="F359" t="s">
        <v>40</v>
      </c>
      <c r="G359">
        <v>4990</v>
      </c>
      <c r="I359">
        <v>0</v>
      </c>
      <c r="J359" t="s">
        <v>1801</v>
      </c>
    </row>
    <row r="360" spans="1:10" x14ac:dyDescent="0.25">
      <c r="A360" s="210" t="s">
        <v>1524</v>
      </c>
      <c r="B360">
        <v>8974</v>
      </c>
      <c r="C360" s="100">
        <v>46135</v>
      </c>
      <c r="D360" t="s">
        <v>49</v>
      </c>
      <c r="E360" t="s">
        <v>14</v>
      </c>
      <c r="F360" t="s">
        <v>62</v>
      </c>
      <c r="G360">
        <v>2994</v>
      </c>
      <c r="I360">
        <v>0</v>
      </c>
      <c r="J360" t="s">
        <v>1803</v>
      </c>
    </row>
    <row r="361" spans="1:10" x14ac:dyDescent="0.25">
      <c r="A361" s="210" t="s">
        <v>1524</v>
      </c>
      <c r="B361">
        <v>5161</v>
      </c>
      <c r="C361" s="100">
        <v>46136</v>
      </c>
      <c r="D361" t="s">
        <v>426</v>
      </c>
      <c r="E361" t="s">
        <v>540</v>
      </c>
      <c r="F361" t="s">
        <v>40</v>
      </c>
      <c r="G361">
        <v>1562</v>
      </c>
      <c r="I361">
        <v>0</v>
      </c>
    </row>
    <row r="362" spans="1:10" x14ac:dyDescent="0.25">
      <c r="A362" s="210" t="s">
        <v>1524</v>
      </c>
      <c r="B362">
        <v>8976</v>
      </c>
      <c r="C362" s="100">
        <v>46136</v>
      </c>
      <c r="D362" t="s">
        <v>49</v>
      </c>
      <c r="E362" t="s">
        <v>17</v>
      </c>
      <c r="F362" t="s">
        <v>469</v>
      </c>
      <c r="G362">
        <v>5916</v>
      </c>
      <c r="I362">
        <v>0</v>
      </c>
      <c r="J362" t="s">
        <v>1806</v>
      </c>
    </row>
    <row r="363" spans="1:10" x14ac:dyDescent="0.25">
      <c r="A363" s="210" t="s">
        <v>1524</v>
      </c>
      <c r="B363">
        <v>8976</v>
      </c>
      <c r="C363" s="100">
        <v>46136</v>
      </c>
      <c r="D363" t="s">
        <v>49</v>
      </c>
      <c r="E363" t="s">
        <v>26</v>
      </c>
      <c r="F363" t="s">
        <v>249</v>
      </c>
      <c r="G363">
        <v>406</v>
      </c>
      <c r="I363">
        <v>0</v>
      </c>
      <c r="J363" t="s">
        <v>1807</v>
      </c>
    </row>
    <row r="364" spans="1:10" x14ac:dyDescent="0.25">
      <c r="A364" s="210" t="s">
        <v>1524</v>
      </c>
      <c r="B364">
        <v>8988</v>
      </c>
      <c r="C364" s="100">
        <v>46136</v>
      </c>
      <c r="D364" t="s">
        <v>49</v>
      </c>
      <c r="E364" t="s">
        <v>43</v>
      </c>
      <c r="F364" t="s">
        <v>136</v>
      </c>
      <c r="G364">
        <v>3106</v>
      </c>
      <c r="I364">
        <v>0</v>
      </c>
      <c r="J364" t="s">
        <v>1813</v>
      </c>
    </row>
    <row r="365" spans="1:10" x14ac:dyDescent="0.25">
      <c r="A365" s="210" t="s">
        <v>1524</v>
      </c>
      <c r="B365">
        <v>8999</v>
      </c>
      <c r="C365" s="100">
        <v>46136</v>
      </c>
      <c r="D365" t="s">
        <v>49</v>
      </c>
      <c r="E365" t="s">
        <v>26</v>
      </c>
      <c r="F365" t="s">
        <v>148</v>
      </c>
      <c r="G365">
        <v>5570</v>
      </c>
      <c r="I365">
        <v>0</v>
      </c>
      <c r="J365" t="s">
        <v>1819</v>
      </c>
    </row>
    <row r="366" spans="1:10" x14ac:dyDescent="0.25">
      <c r="A366" s="210" t="s">
        <v>1524</v>
      </c>
      <c r="B366">
        <v>9008</v>
      </c>
      <c r="C366" s="100">
        <v>46136</v>
      </c>
      <c r="D366" t="s">
        <v>49</v>
      </c>
      <c r="E366" t="s">
        <v>45</v>
      </c>
      <c r="F366" t="s">
        <v>487</v>
      </c>
      <c r="G366">
        <v>6472</v>
      </c>
      <c r="I366">
        <v>0</v>
      </c>
      <c r="J366" t="s">
        <v>1824</v>
      </c>
    </row>
    <row r="367" spans="1:10" x14ac:dyDescent="0.25">
      <c r="A367" s="210" t="s">
        <v>1524</v>
      </c>
      <c r="B367">
        <v>2768</v>
      </c>
      <c r="C367" s="100">
        <v>46137</v>
      </c>
      <c r="D367" t="s">
        <v>426</v>
      </c>
      <c r="E367" t="s">
        <v>659</v>
      </c>
      <c r="F367" t="s">
        <v>148</v>
      </c>
      <c r="G367">
        <v>2074</v>
      </c>
      <c r="I367">
        <v>0</v>
      </c>
    </row>
    <row r="368" spans="1:10" x14ac:dyDescent="0.25">
      <c r="A368" s="210" t="s">
        <v>1524</v>
      </c>
      <c r="B368">
        <v>9011</v>
      </c>
      <c r="C368" s="100">
        <v>46137</v>
      </c>
      <c r="D368" t="s">
        <v>49</v>
      </c>
      <c r="E368" t="s">
        <v>26</v>
      </c>
      <c r="F368" t="s">
        <v>148</v>
      </c>
      <c r="G368">
        <v>5361</v>
      </c>
      <c r="I368">
        <v>0</v>
      </c>
      <c r="J368" t="s">
        <v>1828</v>
      </c>
    </row>
    <row r="369" spans="1:10" x14ac:dyDescent="0.25">
      <c r="A369" s="210" t="s">
        <v>1524</v>
      </c>
      <c r="B369">
        <v>9012</v>
      </c>
      <c r="C369" s="100">
        <v>46137</v>
      </c>
      <c r="D369" t="s">
        <v>49</v>
      </c>
      <c r="E369" t="s">
        <v>17</v>
      </c>
      <c r="F369" t="s">
        <v>469</v>
      </c>
      <c r="G369">
        <v>916</v>
      </c>
      <c r="I369">
        <v>0</v>
      </c>
      <c r="J369" t="s">
        <v>1829</v>
      </c>
    </row>
    <row r="370" spans="1:10" x14ac:dyDescent="0.25">
      <c r="A370" s="210" t="s">
        <v>1524</v>
      </c>
      <c r="B370">
        <v>9012</v>
      </c>
      <c r="C370" s="100">
        <v>46137</v>
      </c>
      <c r="D370" t="s">
        <v>49</v>
      </c>
      <c r="E370" t="s">
        <v>17</v>
      </c>
      <c r="F370" t="s">
        <v>469</v>
      </c>
      <c r="G370">
        <v>413</v>
      </c>
      <c r="I370">
        <v>0</v>
      </c>
      <c r="J370" t="s">
        <v>1830</v>
      </c>
    </row>
    <row r="371" spans="1:10" x14ac:dyDescent="0.25">
      <c r="A371" s="210" t="s">
        <v>1524</v>
      </c>
      <c r="B371">
        <v>2782</v>
      </c>
      <c r="C371" s="100">
        <v>46140</v>
      </c>
      <c r="D371" t="s">
        <v>426</v>
      </c>
      <c r="E371" t="s">
        <v>659</v>
      </c>
      <c r="F371" t="s">
        <v>148</v>
      </c>
      <c r="G371">
        <v>3783</v>
      </c>
      <c r="I371">
        <v>0</v>
      </c>
    </row>
    <row r="372" spans="1:10" x14ac:dyDescent="0.25">
      <c r="A372" s="210" t="s">
        <v>1524</v>
      </c>
      <c r="B372">
        <v>5277</v>
      </c>
      <c r="C372" s="100">
        <v>46140</v>
      </c>
      <c r="D372" t="s">
        <v>426</v>
      </c>
      <c r="E372" t="s">
        <v>93</v>
      </c>
      <c r="F372" t="s">
        <v>136</v>
      </c>
      <c r="G372">
        <v>2012</v>
      </c>
      <c r="I372">
        <v>0</v>
      </c>
    </row>
    <row r="373" spans="1:10" x14ac:dyDescent="0.25">
      <c r="A373" s="210" t="s">
        <v>1524</v>
      </c>
      <c r="B373">
        <v>9085</v>
      </c>
      <c r="C373" s="100">
        <v>46140</v>
      </c>
      <c r="D373" t="s">
        <v>49</v>
      </c>
      <c r="E373" t="s">
        <v>301</v>
      </c>
      <c r="F373" t="s">
        <v>1866</v>
      </c>
      <c r="G373">
        <v>3354</v>
      </c>
      <c r="I373">
        <v>0</v>
      </c>
      <c r="J373" t="s">
        <v>1867</v>
      </c>
    </row>
    <row r="374" spans="1:10" x14ac:dyDescent="0.25">
      <c r="A374" s="210" t="s">
        <v>1524</v>
      </c>
      <c r="B374">
        <v>9101</v>
      </c>
      <c r="C374" s="100">
        <v>46141</v>
      </c>
      <c r="D374" t="s">
        <v>49</v>
      </c>
      <c r="E374" t="s">
        <v>301</v>
      </c>
      <c r="F374" t="s">
        <v>81</v>
      </c>
      <c r="G374">
        <v>5965</v>
      </c>
      <c r="I374">
        <v>0</v>
      </c>
      <c r="J374" t="s">
        <v>1882</v>
      </c>
    </row>
    <row r="375" spans="1:10" x14ac:dyDescent="0.25">
      <c r="A375" s="210" t="s">
        <v>1524</v>
      </c>
      <c r="B375">
        <v>9101</v>
      </c>
      <c r="C375" s="100">
        <v>46141</v>
      </c>
      <c r="D375" t="s">
        <v>49</v>
      </c>
      <c r="E375" t="s">
        <v>17</v>
      </c>
      <c r="F375" t="s">
        <v>446</v>
      </c>
      <c r="G375">
        <v>1425</v>
      </c>
      <c r="I375">
        <v>0</v>
      </c>
      <c r="J375" t="s">
        <v>1883</v>
      </c>
    </row>
    <row r="376" spans="1:10" x14ac:dyDescent="0.25">
      <c r="A376" s="210" t="s">
        <v>1524</v>
      </c>
      <c r="B376">
        <v>9101</v>
      </c>
      <c r="C376" s="100">
        <v>46141</v>
      </c>
      <c r="D376" t="s">
        <v>49</v>
      </c>
      <c r="E376" t="s">
        <v>26</v>
      </c>
      <c r="F376" t="s">
        <v>230</v>
      </c>
      <c r="G376">
        <v>418</v>
      </c>
      <c r="I376">
        <v>0</v>
      </c>
      <c r="J376" t="s">
        <v>1884</v>
      </c>
    </row>
    <row r="377" spans="1:10" x14ac:dyDescent="0.25">
      <c r="A377" s="210" t="s">
        <v>1524</v>
      </c>
      <c r="B377">
        <v>9102</v>
      </c>
      <c r="C377" s="100">
        <v>46141</v>
      </c>
      <c r="D377" t="s">
        <v>49</v>
      </c>
      <c r="E377" t="s">
        <v>17</v>
      </c>
      <c r="F377" t="s">
        <v>62</v>
      </c>
      <c r="G377">
        <v>658</v>
      </c>
      <c r="I377">
        <v>0</v>
      </c>
      <c r="J377" t="s">
        <v>1885</v>
      </c>
    </row>
    <row r="378" spans="1:10" x14ac:dyDescent="0.25">
      <c r="A378" s="210" t="s">
        <v>1524</v>
      </c>
      <c r="B378">
        <v>9102</v>
      </c>
      <c r="C378" s="100">
        <v>46141</v>
      </c>
      <c r="D378" t="s">
        <v>49</v>
      </c>
      <c r="E378" t="s">
        <v>43</v>
      </c>
      <c r="F378" t="s">
        <v>62</v>
      </c>
      <c r="G378">
        <v>520</v>
      </c>
      <c r="I378">
        <v>0</v>
      </c>
      <c r="J378" t="s">
        <v>1740</v>
      </c>
    </row>
    <row r="379" spans="1:10" x14ac:dyDescent="0.25">
      <c r="A379" s="210" t="s">
        <v>1524</v>
      </c>
      <c r="B379">
        <v>9130</v>
      </c>
      <c r="C379" s="100">
        <v>46141</v>
      </c>
      <c r="D379" t="s">
        <v>49</v>
      </c>
      <c r="E379" t="s">
        <v>14</v>
      </c>
      <c r="F379" t="s">
        <v>62</v>
      </c>
      <c r="G379">
        <v>5331</v>
      </c>
      <c r="I379">
        <v>0</v>
      </c>
      <c r="J379" t="s">
        <v>1902</v>
      </c>
    </row>
    <row r="380" spans="1:10" x14ac:dyDescent="0.25">
      <c r="A380" s="210" t="s">
        <v>1524</v>
      </c>
      <c r="B380">
        <v>9143</v>
      </c>
      <c r="C380" s="100">
        <v>46146</v>
      </c>
      <c r="D380" t="s">
        <v>49</v>
      </c>
      <c r="E380" t="s">
        <v>32</v>
      </c>
      <c r="F380" t="s">
        <v>230</v>
      </c>
      <c r="G380">
        <v>2814</v>
      </c>
      <c r="I380">
        <v>0</v>
      </c>
      <c r="J380" t="s">
        <v>1921</v>
      </c>
    </row>
    <row r="381" spans="1:10" x14ac:dyDescent="0.25">
      <c r="A381" s="210" t="s">
        <v>1524</v>
      </c>
      <c r="B381">
        <v>9158</v>
      </c>
      <c r="C381" s="100">
        <v>46146</v>
      </c>
      <c r="D381" t="s">
        <v>49</v>
      </c>
      <c r="E381" t="s">
        <v>143</v>
      </c>
      <c r="F381" t="s">
        <v>136</v>
      </c>
      <c r="G381">
        <v>1355</v>
      </c>
      <c r="I381">
        <v>0</v>
      </c>
      <c r="J381" t="s">
        <v>1740</v>
      </c>
    </row>
    <row r="382" spans="1:10" x14ac:dyDescent="0.25">
      <c r="A382" s="210" t="s">
        <v>1524</v>
      </c>
      <c r="B382">
        <v>5284</v>
      </c>
      <c r="C382" s="100">
        <v>46147</v>
      </c>
      <c r="D382" t="s">
        <v>426</v>
      </c>
      <c r="E382" t="s">
        <v>540</v>
      </c>
      <c r="F382" t="s">
        <v>230</v>
      </c>
      <c r="G382">
        <v>2004</v>
      </c>
      <c r="I382">
        <v>0</v>
      </c>
    </row>
    <row r="383" spans="1:10" x14ac:dyDescent="0.25">
      <c r="A383" s="210" t="s">
        <v>1524</v>
      </c>
      <c r="B383">
        <v>5284</v>
      </c>
      <c r="C383" s="100">
        <v>46147</v>
      </c>
      <c r="D383" t="s">
        <v>426</v>
      </c>
      <c r="E383" t="s">
        <v>14</v>
      </c>
      <c r="F383" t="s">
        <v>62</v>
      </c>
      <c r="G383">
        <v>3388</v>
      </c>
      <c r="I383">
        <v>0</v>
      </c>
    </row>
    <row r="384" spans="1:10" x14ac:dyDescent="0.25">
      <c r="A384" s="210" t="s">
        <v>1524</v>
      </c>
      <c r="B384">
        <v>5284</v>
      </c>
      <c r="C384" s="100">
        <v>46147</v>
      </c>
      <c r="D384" t="s">
        <v>426</v>
      </c>
      <c r="E384" t="s">
        <v>77</v>
      </c>
      <c r="F384" t="s">
        <v>230</v>
      </c>
      <c r="G384">
        <v>16</v>
      </c>
      <c r="I384">
        <v>0</v>
      </c>
    </row>
    <row r="385" spans="1:10" x14ac:dyDescent="0.25">
      <c r="A385" s="210" t="s">
        <v>1524</v>
      </c>
      <c r="B385">
        <v>9160</v>
      </c>
      <c r="C385" s="100">
        <v>46147</v>
      </c>
      <c r="D385" t="s">
        <v>49</v>
      </c>
      <c r="E385" t="s">
        <v>17</v>
      </c>
      <c r="F385" t="s">
        <v>40</v>
      </c>
      <c r="G385">
        <v>5133</v>
      </c>
      <c r="I385">
        <v>0</v>
      </c>
      <c r="J385" t="s">
        <v>1927</v>
      </c>
    </row>
    <row r="386" spans="1:10" x14ac:dyDescent="0.25">
      <c r="A386" s="210" t="s">
        <v>1524</v>
      </c>
      <c r="B386">
        <v>9160</v>
      </c>
      <c r="C386" s="100">
        <v>46147</v>
      </c>
      <c r="D386" t="s">
        <v>49</v>
      </c>
      <c r="E386" t="s">
        <v>45</v>
      </c>
      <c r="F386" t="s">
        <v>891</v>
      </c>
      <c r="G386">
        <v>7219</v>
      </c>
      <c r="I386">
        <v>0</v>
      </c>
      <c r="J386" t="s">
        <v>1928</v>
      </c>
    </row>
    <row r="387" spans="1:10" x14ac:dyDescent="0.25">
      <c r="A387" s="210" t="s">
        <v>1524</v>
      </c>
      <c r="B387">
        <v>9160</v>
      </c>
      <c r="C387" s="100">
        <v>46147</v>
      </c>
      <c r="D387" t="s">
        <v>49</v>
      </c>
      <c r="E387" t="s">
        <v>43</v>
      </c>
      <c r="F387" t="s">
        <v>1929</v>
      </c>
      <c r="G387">
        <v>760</v>
      </c>
      <c r="I387">
        <v>0</v>
      </c>
      <c r="J387" t="s">
        <v>1930</v>
      </c>
    </row>
    <row r="388" spans="1:10" x14ac:dyDescent="0.25">
      <c r="A388" s="210" t="s">
        <v>1524</v>
      </c>
      <c r="B388">
        <v>9187</v>
      </c>
      <c r="C388" s="100">
        <v>46147</v>
      </c>
      <c r="D388" t="s">
        <v>49</v>
      </c>
      <c r="E388" t="s">
        <v>192</v>
      </c>
      <c r="F388" t="s">
        <v>1945</v>
      </c>
      <c r="G388">
        <v>2538</v>
      </c>
      <c r="I388">
        <v>0</v>
      </c>
      <c r="J388" t="s">
        <v>1946</v>
      </c>
    </row>
    <row r="389" spans="1:10" x14ac:dyDescent="0.25">
      <c r="A389" s="210" t="s">
        <v>1524</v>
      </c>
      <c r="B389">
        <v>9193</v>
      </c>
      <c r="C389" s="100">
        <v>46148</v>
      </c>
      <c r="D389" t="s">
        <v>49</v>
      </c>
      <c r="E389" t="s">
        <v>43</v>
      </c>
      <c r="F389" t="s">
        <v>403</v>
      </c>
      <c r="G389">
        <v>756</v>
      </c>
      <c r="I389">
        <v>0</v>
      </c>
      <c r="J389" t="s">
        <v>1740</v>
      </c>
    </row>
    <row r="390" spans="1:10" x14ac:dyDescent="0.25">
      <c r="A390" s="210" t="s">
        <v>1524</v>
      </c>
      <c r="B390">
        <v>9225</v>
      </c>
      <c r="C390" s="100">
        <v>46149</v>
      </c>
      <c r="D390" t="s">
        <v>49</v>
      </c>
      <c r="E390" t="s">
        <v>301</v>
      </c>
      <c r="F390" t="s">
        <v>81</v>
      </c>
      <c r="G390">
        <v>2240</v>
      </c>
      <c r="I390">
        <v>0</v>
      </c>
      <c r="J390" t="s">
        <v>1971</v>
      </c>
    </row>
    <row r="391" spans="1:10" x14ac:dyDescent="0.25">
      <c r="A391" s="210" t="s">
        <v>1524</v>
      </c>
      <c r="B391">
        <v>5302</v>
      </c>
      <c r="C391" s="100">
        <v>46150</v>
      </c>
      <c r="D391" t="s">
        <v>426</v>
      </c>
      <c r="E391" t="s">
        <v>17</v>
      </c>
      <c r="F391" t="s">
        <v>446</v>
      </c>
      <c r="G391">
        <v>854</v>
      </c>
      <c r="I391">
        <v>0</v>
      </c>
      <c r="J391" t="s">
        <v>1990</v>
      </c>
    </row>
    <row r="392" spans="1:10" x14ac:dyDescent="0.25">
      <c r="A392" s="210" t="s">
        <v>1524</v>
      </c>
      <c r="B392">
        <v>9247</v>
      </c>
      <c r="C392" s="100">
        <v>46150</v>
      </c>
      <c r="D392" t="s">
        <v>49</v>
      </c>
      <c r="E392" t="s">
        <v>143</v>
      </c>
      <c r="F392" t="s">
        <v>78</v>
      </c>
      <c r="G392">
        <v>338</v>
      </c>
      <c r="I392">
        <v>0</v>
      </c>
      <c r="J392" t="s">
        <v>1978</v>
      </c>
    </row>
    <row r="393" spans="1:10" x14ac:dyDescent="0.25">
      <c r="A393" s="210" t="s">
        <v>1524</v>
      </c>
      <c r="B393">
        <v>9248</v>
      </c>
      <c r="C393" s="100">
        <v>46150</v>
      </c>
      <c r="D393" t="s">
        <v>49</v>
      </c>
      <c r="E393" t="s">
        <v>43</v>
      </c>
      <c r="F393" t="s">
        <v>62</v>
      </c>
      <c r="G393">
        <v>649</v>
      </c>
      <c r="I393">
        <v>0</v>
      </c>
      <c r="J393" t="s">
        <v>1740</v>
      </c>
    </row>
    <row r="394" spans="1:10" x14ac:dyDescent="0.25">
      <c r="A394" s="210" t="s">
        <v>1524</v>
      </c>
      <c r="B394">
        <v>9295</v>
      </c>
      <c r="C394" s="100">
        <v>46151</v>
      </c>
      <c r="D394" t="s">
        <v>49</v>
      </c>
      <c r="E394" t="s">
        <v>1831</v>
      </c>
      <c r="F394" t="s">
        <v>148</v>
      </c>
      <c r="G394">
        <v>5410</v>
      </c>
      <c r="I394">
        <v>0</v>
      </c>
      <c r="J394" t="s">
        <v>1828</v>
      </c>
    </row>
    <row r="395" spans="1:10" x14ac:dyDescent="0.25">
      <c r="A395" s="210" t="s">
        <v>1524</v>
      </c>
      <c r="B395">
        <v>231</v>
      </c>
      <c r="C395" s="100">
        <v>46153</v>
      </c>
      <c r="D395" t="s">
        <v>426</v>
      </c>
      <c r="E395" t="s">
        <v>26</v>
      </c>
      <c r="F395" t="s">
        <v>148</v>
      </c>
      <c r="G395">
        <v>3670</v>
      </c>
      <c r="I395">
        <v>0</v>
      </c>
    </row>
    <row r="396" spans="1:10" x14ac:dyDescent="0.25">
      <c r="A396" s="210" t="s">
        <v>1524</v>
      </c>
      <c r="B396">
        <v>9301</v>
      </c>
      <c r="C396" s="100">
        <v>46153</v>
      </c>
      <c r="D396" t="s">
        <v>49</v>
      </c>
      <c r="E396" t="s">
        <v>43</v>
      </c>
      <c r="F396" t="s">
        <v>230</v>
      </c>
      <c r="G396">
        <v>2302</v>
      </c>
      <c r="I396">
        <v>0</v>
      </c>
      <c r="J396" t="s">
        <v>2007</v>
      </c>
    </row>
    <row r="397" spans="1:10" x14ac:dyDescent="0.25">
      <c r="A397" s="210" t="s">
        <v>1524</v>
      </c>
      <c r="B397">
        <v>9311</v>
      </c>
      <c r="C397" s="100">
        <v>46153</v>
      </c>
      <c r="D397" t="s">
        <v>49</v>
      </c>
      <c r="E397" t="s">
        <v>26</v>
      </c>
      <c r="F397" t="s">
        <v>148</v>
      </c>
      <c r="G397">
        <v>3670</v>
      </c>
      <c r="I397">
        <v>0</v>
      </c>
      <c r="J397" t="s">
        <v>2012</v>
      </c>
    </row>
    <row r="398" spans="1:10" x14ac:dyDescent="0.25">
      <c r="A398" s="210" t="s">
        <v>1524</v>
      </c>
      <c r="B398">
        <v>5311</v>
      </c>
      <c r="C398" s="100">
        <v>46154</v>
      </c>
      <c r="D398" t="s">
        <v>426</v>
      </c>
      <c r="E398" t="s">
        <v>43</v>
      </c>
      <c r="F398" t="s">
        <v>230</v>
      </c>
      <c r="G398">
        <v>1892</v>
      </c>
      <c r="I398">
        <v>0</v>
      </c>
    </row>
    <row r="399" spans="1:10" x14ac:dyDescent="0.25">
      <c r="A399" s="210" t="s">
        <v>1524</v>
      </c>
      <c r="B399">
        <v>5311</v>
      </c>
      <c r="C399" s="100">
        <v>46154</v>
      </c>
      <c r="D399" t="s">
        <v>426</v>
      </c>
      <c r="E399" t="s">
        <v>1831</v>
      </c>
      <c r="F399" t="s">
        <v>148</v>
      </c>
      <c r="G399">
        <v>3926</v>
      </c>
      <c r="I399">
        <v>0</v>
      </c>
    </row>
    <row r="400" spans="1:10" x14ac:dyDescent="0.25">
      <c r="A400" s="210" t="s">
        <v>1524</v>
      </c>
      <c r="B400">
        <v>9360</v>
      </c>
      <c r="C400" s="100">
        <v>46155</v>
      </c>
      <c r="D400" t="s">
        <v>49</v>
      </c>
      <c r="E400" t="s">
        <v>77</v>
      </c>
      <c r="F400" t="s">
        <v>2078</v>
      </c>
      <c r="G400">
        <v>1826</v>
      </c>
      <c r="I400">
        <v>0</v>
      </c>
      <c r="J400" t="s">
        <v>2079</v>
      </c>
    </row>
    <row r="401" spans="1:10" x14ac:dyDescent="0.25">
      <c r="A401" s="210" t="s">
        <v>1524</v>
      </c>
      <c r="B401">
        <v>9360</v>
      </c>
      <c r="C401" s="100">
        <v>46155</v>
      </c>
      <c r="D401" t="s">
        <v>49</v>
      </c>
      <c r="E401" t="s">
        <v>77</v>
      </c>
      <c r="F401" t="s">
        <v>2080</v>
      </c>
      <c r="G401">
        <v>1816</v>
      </c>
      <c r="I401">
        <v>0</v>
      </c>
      <c r="J401" t="s">
        <v>2081</v>
      </c>
    </row>
    <row r="402" spans="1:10" x14ac:dyDescent="0.25">
      <c r="A402" s="210" t="s">
        <v>1524</v>
      </c>
      <c r="B402">
        <v>9360</v>
      </c>
      <c r="C402" s="100">
        <v>46155</v>
      </c>
      <c r="D402" t="s">
        <v>49</v>
      </c>
      <c r="E402" t="s">
        <v>77</v>
      </c>
      <c r="F402" t="s">
        <v>2082</v>
      </c>
      <c r="G402">
        <v>764</v>
      </c>
      <c r="I402">
        <v>0</v>
      </c>
      <c r="J402" t="s">
        <v>2083</v>
      </c>
    </row>
    <row r="403" spans="1:10" x14ac:dyDescent="0.25">
      <c r="A403" s="210" t="s">
        <v>1524</v>
      </c>
      <c r="B403">
        <v>9360</v>
      </c>
      <c r="C403" s="100">
        <v>46155</v>
      </c>
      <c r="D403" t="s">
        <v>49</v>
      </c>
      <c r="E403" t="s">
        <v>77</v>
      </c>
      <c r="F403" t="s">
        <v>2084</v>
      </c>
      <c r="G403">
        <v>1367</v>
      </c>
      <c r="I403">
        <v>0</v>
      </c>
      <c r="J403" t="s">
        <v>2085</v>
      </c>
    </row>
    <row r="404" spans="1:10" x14ac:dyDescent="0.25">
      <c r="A404" s="210" t="s">
        <v>1524</v>
      </c>
      <c r="B404">
        <v>9360</v>
      </c>
      <c r="C404" s="100">
        <v>46155</v>
      </c>
      <c r="D404" t="s">
        <v>49</v>
      </c>
      <c r="E404" t="s">
        <v>77</v>
      </c>
      <c r="F404" t="s">
        <v>2086</v>
      </c>
      <c r="G404">
        <v>715</v>
      </c>
      <c r="I404">
        <v>0</v>
      </c>
      <c r="J404" t="s">
        <v>2087</v>
      </c>
    </row>
    <row r="405" spans="1:10" x14ac:dyDescent="0.25">
      <c r="A405" s="210" t="s">
        <v>1524</v>
      </c>
      <c r="B405">
        <v>9360</v>
      </c>
      <c r="C405" s="100">
        <v>46155</v>
      </c>
      <c r="D405" t="s">
        <v>49</v>
      </c>
      <c r="E405" t="s">
        <v>77</v>
      </c>
      <c r="F405" t="s">
        <v>2088</v>
      </c>
      <c r="G405">
        <v>208</v>
      </c>
      <c r="I405">
        <v>0</v>
      </c>
      <c r="J405" t="s">
        <v>2089</v>
      </c>
    </row>
    <row r="406" spans="1:10" x14ac:dyDescent="0.25">
      <c r="A406" s="210" t="s">
        <v>1524</v>
      </c>
      <c r="B406">
        <v>9380</v>
      </c>
      <c r="C406" s="100">
        <v>46156</v>
      </c>
      <c r="D406" t="s">
        <v>49</v>
      </c>
      <c r="E406" t="s">
        <v>17</v>
      </c>
      <c r="F406" t="s">
        <v>891</v>
      </c>
      <c r="G406">
        <v>4432</v>
      </c>
      <c r="I406">
        <v>0</v>
      </c>
      <c r="J406" t="s">
        <v>2109</v>
      </c>
    </row>
    <row r="407" spans="1:10" x14ac:dyDescent="0.25">
      <c r="A407" s="210" t="s">
        <v>1524</v>
      </c>
      <c r="B407">
        <v>9380</v>
      </c>
      <c r="C407" s="100">
        <v>46156</v>
      </c>
      <c r="D407" t="s">
        <v>49</v>
      </c>
      <c r="E407" t="s">
        <v>17</v>
      </c>
      <c r="F407" t="s">
        <v>842</v>
      </c>
      <c r="G407">
        <v>3804</v>
      </c>
      <c r="I407">
        <v>0</v>
      </c>
      <c r="J407" t="s">
        <v>2110</v>
      </c>
    </row>
    <row r="408" spans="1:10" x14ac:dyDescent="0.25">
      <c r="A408" s="210" t="s">
        <v>1524</v>
      </c>
      <c r="B408">
        <v>9375</v>
      </c>
      <c r="C408" s="100">
        <v>46157</v>
      </c>
      <c r="D408" t="s">
        <v>49</v>
      </c>
      <c r="E408" t="s">
        <v>14</v>
      </c>
      <c r="F408" t="s">
        <v>62</v>
      </c>
      <c r="G408">
        <v>5135</v>
      </c>
      <c r="I408">
        <v>0</v>
      </c>
      <c r="J408" t="s">
        <v>2100</v>
      </c>
    </row>
    <row r="409" spans="1:10" x14ac:dyDescent="0.25">
      <c r="A409" s="210" t="s">
        <v>1524</v>
      </c>
      <c r="B409">
        <v>9375</v>
      </c>
      <c r="C409" s="100">
        <v>46157</v>
      </c>
      <c r="D409" t="s">
        <v>49</v>
      </c>
      <c r="E409" t="s">
        <v>192</v>
      </c>
      <c r="F409" t="s">
        <v>2101</v>
      </c>
      <c r="G409">
        <v>1102</v>
      </c>
      <c r="I409">
        <v>0</v>
      </c>
      <c r="J409" t="s">
        <v>2102</v>
      </c>
    </row>
    <row r="410" spans="1:10" x14ac:dyDescent="0.25">
      <c r="A410" s="210" t="s">
        <v>1524</v>
      </c>
      <c r="B410">
        <v>9375</v>
      </c>
      <c r="C410" s="100">
        <v>46157</v>
      </c>
      <c r="D410" t="s">
        <v>49</v>
      </c>
      <c r="E410" t="s">
        <v>192</v>
      </c>
      <c r="F410" t="s">
        <v>2103</v>
      </c>
      <c r="G410">
        <v>913</v>
      </c>
      <c r="I410">
        <v>0</v>
      </c>
      <c r="J410" t="s">
        <v>2104</v>
      </c>
    </row>
    <row r="411" spans="1:10" x14ac:dyDescent="0.25">
      <c r="A411" s="210" t="s">
        <v>1524</v>
      </c>
      <c r="B411">
        <v>9394</v>
      </c>
      <c r="C411" s="100">
        <v>46157</v>
      </c>
      <c r="D411" t="s">
        <v>49</v>
      </c>
      <c r="E411" t="s">
        <v>17</v>
      </c>
      <c r="F411" t="s">
        <v>891</v>
      </c>
      <c r="G411">
        <v>3750</v>
      </c>
      <c r="I411">
        <v>0</v>
      </c>
      <c r="J411" t="s">
        <v>2117</v>
      </c>
    </row>
    <row r="412" spans="1:10" x14ac:dyDescent="0.25">
      <c r="A412" s="210" t="s">
        <v>1524</v>
      </c>
      <c r="B412">
        <v>9395</v>
      </c>
      <c r="C412" s="100">
        <v>46157</v>
      </c>
      <c r="D412" t="s">
        <v>49</v>
      </c>
      <c r="E412" t="s">
        <v>841</v>
      </c>
      <c r="F412" t="s">
        <v>2118</v>
      </c>
      <c r="G412">
        <v>1514</v>
      </c>
      <c r="I412">
        <v>0</v>
      </c>
      <c r="J412" t="s">
        <v>2119</v>
      </c>
    </row>
    <row r="413" spans="1:10" x14ac:dyDescent="0.25">
      <c r="A413" s="210" t="s">
        <v>1524</v>
      </c>
      <c r="B413">
        <v>9395</v>
      </c>
      <c r="C413" s="100">
        <v>46157</v>
      </c>
      <c r="D413" t="s">
        <v>49</v>
      </c>
      <c r="E413" t="s">
        <v>14</v>
      </c>
      <c r="F413" t="s">
        <v>40</v>
      </c>
      <c r="G413">
        <v>5170</v>
      </c>
      <c r="I413">
        <v>0</v>
      </c>
      <c r="J413" t="s">
        <v>2120</v>
      </c>
    </row>
    <row r="414" spans="1:10" x14ac:dyDescent="0.25">
      <c r="A414" s="210" t="s">
        <v>1524</v>
      </c>
      <c r="B414">
        <v>238</v>
      </c>
      <c r="C414" s="100">
        <v>46158</v>
      </c>
      <c r="D414" t="s">
        <v>426</v>
      </c>
      <c r="E414" t="s">
        <v>17</v>
      </c>
      <c r="F414" t="s">
        <v>78</v>
      </c>
      <c r="G414">
        <v>3832</v>
      </c>
      <c r="I414">
        <v>0</v>
      </c>
    </row>
    <row r="415" spans="1:10" x14ac:dyDescent="0.25">
      <c r="A415" s="210" t="s">
        <v>1524</v>
      </c>
      <c r="B415">
        <v>238</v>
      </c>
      <c r="C415" s="100">
        <v>46158</v>
      </c>
      <c r="D415" t="s">
        <v>426</v>
      </c>
      <c r="E415" t="s">
        <v>135</v>
      </c>
      <c r="F415" t="s">
        <v>62</v>
      </c>
      <c r="G415">
        <v>1083</v>
      </c>
      <c r="I415">
        <v>0</v>
      </c>
    </row>
    <row r="416" spans="1:10" x14ac:dyDescent="0.25">
      <c r="A416" s="210" t="s">
        <v>1524</v>
      </c>
      <c r="B416">
        <v>5327</v>
      </c>
      <c r="C416" s="100">
        <v>46158</v>
      </c>
      <c r="D416" t="s">
        <v>426</v>
      </c>
      <c r="E416" t="s">
        <v>14</v>
      </c>
      <c r="F416" t="s">
        <v>40</v>
      </c>
      <c r="G416">
        <v>3580</v>
      </c>
      <c r="I416">
        <v>0</v>
      </c>
    </row>
    <row r="417" spans="1:10" x14ac:dyDescent="0.25">
      <c r="A417" s="210" t="s">
        <v>1524</v>
      </c>
      <c r="B417">
        <v>9421</v>
      </c>
      <c r="C417" s="100">
        <v>46158</v>
      </c>
      <c r="D417" t="s">
        <v>49</v>
      </c>
      <c r="E417" t="s">
        <v>43</v>
      </c>
      <c r="F417" t="s">
        <v>444</v>
      </c>
      <c r="G417">
        <v>6840</v>
      </c>
      <c r="I417">
        <v>0</v>
      </c>
      <c r="J417" t="s">
        <v>2167</v>
      </c>
    </row>
    <row r="418" spans="1:10" x14ac:dyDescent="0.25">
      <c r="A418" s="210" t="s">
        <v>1524</v>
      </c>
      <c r="B418">
        <v>9421</v>
      </c>
      <c r="C418" s="100">
        <v>46158</v>
      </c>
      <c r="D418" t="s">
        <v>49</v>
      </c>
      <c r="E418" t="s">
        <v>43</v>
      </c>
      <c r="F418" t="s">
        <v>953</v>
      </c>
      <c r="G418">
        <v>669</v>
      </c>
      <c r="I418">
        <v>0</v>
      </c>
      <c r="J418" t="s">
        <v>2168</v>
      </c>
    </row>
    <row r="419" spans="1:10" x14ac:dyDescent="0.25">
      <c r="A419" s="210" t="s">
        <v>1524</v>
      </c>
      <c r="B419">
        <v>9422</v>
      </c>
      <c r="C419" s="100">
        <v>46158</v>
      </c>
      <c r="D419" t="s">
        <v>49</v>
      </c>
      <c r="E419" t="s">
        <v>26</v>
      </c>
      <c r="F419" t="s">
        <v>78</v>
      </c>
      <c r="G419">
        <v>7326</v>
      </c>
      <c r="I419">
        <v>0</v>
      </c>
      <c r="J419" t="s">
        <v>2181</v>
      </c>
    </row>
    <row r="420" spans="1:10" x14ac:dyDescent="0.25">
      <c r="A420" s="210" t="s">
        <v>1524</v>
      </c>
      <c r="B420">
        <v>9422</v>
      </c>
      <c r="C420" s="100">
        <v>46158</v>
      </c>
      <c r="D420" t="s">
        <v>49</v>
      </c>
      <c r="E420" t="s">
        <v>270</v>
      </c>
      <c r="F420" t="s">
        <v>62</v>
      </c>
      <c r="G420">
        <v>1334</v>
      </c>
      <c r="I420">
        <v>0</v>
      </c>
      <c r="J420" t="s">
        <v>2182</v>
      </c>
    </row>
    <row r="421" spans="1:10" x14ac:dyDescent="0.25">
      <c r="A421" s="210" t="s">
        <v>1524</v>
      </c>
      <c r="B421">
        <v>9424</v>
      </c>
      <c r="C421" s="100">
        <v>46158</v>
      </c>
      <c r="D421" t="s">
        <v>49</v>
      </c>
      <c r="E421" t="s">
        <v>26</v>
      </c>
      <c r="F421" t="s">
        <v>2183</v>
      </c>
      <c r="G421">
        <v>9412</v>
      </c>
      <c r="I421">
        <v>0</v>
      </c>
      <c r="J421" t="s">
        <v>2184</v>
      </c>
    </row>
    <row r="422" spans="1:10" x14ac:dyDescent="0.25">
      <c r="A422" s="210" t="s">
        <v>1524</v>
      </c>
      <c r="B422">
        <v>9426</v>
      </c>
      <c r="C422" s="100">
        <v>46158</v>
      </c>
      <c r="D422" t="s">
        <v>49</v>
      </c>
      <c r="E422" t="s">
        <v>17</v>
      </c>
      <c r="F422" t="s">
        <v>891</v>
      </c>
      <c r="G422">
        <v>8860</v>
      </c>
      <c r="I422">
        <v>0</v>
      </c>
      <c r="J422" t="s">
        <v>2185</v>
      </c>
    </row>
    <row r="423" spans="1:10" x14ac:dyDescent="0.25">
      <c r="A423" s="210" t="s">
        <v>1524</v>
      </c>
      <c r="B423">
        <v>9435</v>
      </c>
      <c r="C423" s="100">
        <v>46158</v>
      </c>
      <c r="D423" t="s">
        <v>49</v>
      </c>
      <c r="E423" t="s">
        <v>17</v>
      </c>
      <c r="F423" t="s">
        <v>913</v>
      </c>
      <c r="G423">
        <v>3628</v>
      </c>
      <c r="I423">
        <v>0</v>
      </c>
      <c r="J423" t="s">
        <v>1885</v>
      </c>
    </row>
    <row r="424" spans="1:10" x14ac:dyDescent="0.25">
      <c r="A424" s="210" t="s">
        <v>1524</v>
      </c>
      <c r="B424">
        <v>9452</v>
      </c>
      <c r="C424" s="100">
        <v>46160</v>
      </c>
      <c r="D424" t="s">
        <v>49</v>
      </c>
      <c r="E424" t="s">
        <v>301</v>
      </c>
      <c r="F424" t="s">
        <v>466</v>
      </c>
      <c r="G424">
        <v>4366</v>
      </c>
      <c r="I424">
        <v>0</v>
      </c>
      <c r="J424" t="s">
        <v>2201</v>
      </c>
    </row>
    <row r="425" spans="1:10" x14ac:dyDescent="0.25">
      <c r="A425" s="210" t="s">
        <v>1524</v>
      </c>
      <c r="B425">
        <v>9456</v>
      </c>
      <c r="C425" s="100">
        <v>46160</v>
      </c>
      <c r="D425" t="s">
        <v>49</v>
      </c>
      <c r="E425" t="s">
        <v>17</v>
      </c>
      <c r="F425" t="s">
        <v>842</v>
      </c>
      <c r="G425">
        <v>3846</v>
      </c>
      <c r="I425">
        <v>0</v>
      </c>
      <c r="J425" t="s">
        <v>2203</v>
      </c>
    </row>
    <row r="426" spans="1:10" x14ac:dyDescent="0.25">
      <c r="A426" s="210" t="s">
        <v>1524</v>
      </c>
      <c r="B426">
        <v>9476</v>
      </c>
      <c r="C426" s="100">
        <v>46161</v>
      </c>
      <c r="D426" t="s">
        <v>49</v>
      </c>
      <c r="E426" t="s">
        <v>17</v>
      </c>
      <c r="F426" t="s">
        <v>842</v>
      </c>
      <c r="G426">
        <v>8122</v>
      </c>
      <c r="I426">
        <v>0</v>
      </c>
      <c r="J426" t="s">
        <v>2242</v>
      </c>
    </row>
    <row r="427" spans="1:10" x14ac:dyDescent="0.25">
      <c r="A427" s="210" t="s">
        <v>1524</v>
      </c>
      <c r="B427">
        <v>9495</v>
      </c>
      <c r="C427" s="100">
        <v>46161</v>
      </c>
      <c r="D427" t="s">
        <v>49</v>
      </c>
      <c r="E427" t="s">
        <v>14</v>
      </c>
      <c r="F427" t="s">
        <v>148</v>
      </c>
      <c r="I427">
        <v>0</v>
      </c>
      <c r="J427" t="s">
        <v>2243</v>
      </c>
    </row>
    <row r="428" spans="1:10" x14ac:dyDescent="0.25">
      <c r="A428" s="210" t="s">
        <v>1524</v>
      </c>
      <c r="B428">
        <v>2913</v>
      </c>
      <c r="C428" s="100">
        <v>46162</v>
      </c>
      <c r="D428" t="s">
        <v>426</v>
      </c>
      <c r="E428" t="s">
        <v>26</v>
      </c>
      <c r="F428" t="s">
        <v>78</v>
      </c>
      <c r="G428">
        <v>3686</v>
      </c>
      <c r="I428">
        <v>0</v>
      </c>
    </row>
    <row r="429" spans="1:10" x14ac:dyDescent="0.25">
      <c r="A429" s="210" t="s">
        <v>1524</v>
      </c>
      <c r="B429">
        <v>2917</v>
      </c>
      <c r="C429" s="100">
        <v>46162</v>
      </c>
      <c r="D429" t="s">
        <v>426</v>
      </c>
      <c r="E429" t="s">
        <v>14</v>
      </c>
      <c r="F429" t="s">
        <v>148</v>
      </c>
      <c r="G429">
        <v>2344</v>
      </c>
      <c r="I429">
        <v>0</v>
      </c>
    </row>
    <row r="430" spans="1:10" x14ac:dyDescent="0.25">
      <c r="A430" s="210" t="s">
        <v>1524</v>
      </c>
      <c r="B430">
        <v>5340</v>
      </c>
      <c r="C430" s="100">
        <v>46162</v>
      </c>
      <c r="D430" t="s">
        <v>426</v>
      </c>
      <c r="E430" t="s">
        <v>17</v>
      </c>
      <c r="F430" t="s">
        <v>2241</v>
      </c>
      <c r="G430">
        <v>1576</v>
      </c>
      <c r="I430">
        <v>0</v>
      </c>
    </row>
    <row r="431" spans="1:10" x14ac:dyDescent="0.25">
      <c r="A431" s="210" t="s">
        <v>1524</v>
      </c>
      <c r="B431">
        <v>9500</v>
      </c>
      <c r="C431" s="100">
        <v>46162</v>
      </c>
      <c r="D431" t="s">
        <v>49</v>
      </c>
      <c r="E431" t="s">
        <v>26</v>
      </c>
      <c r="F431" t="s">
        <v>2228</v>
      </c>
      <c r="G431">
        <v>4834</v>
      </c>
      <c r="I431">
        <v>0</v>
      </c>
      <c r="J431" t="s">
        <v>2229</v>
      </c>
    </row>
    <row r="432" spans="1:10" x14ac:dyDescent="0.25">
      <c r="A432" s="210" t="s">
        <v>1524</v>
      </c>
      <c r="B432">
        <v>9500</v>
      </c>
      <c r="C432" s="100">
        <v>46162</v>
      </c>
      <c r="D432" t="s">
        <v>49</v>
      </c>
      <c r="E432" t="s">
        <v>26</v>
      </c>
      <c r="F432" t="s">
        <v>2230</v>
      </c>
      <c r="G432">
        <v>1346</v>
      </c>
      <c r="I432">
        <v>0</v>
      </c>
      <c r="J432" t="s">
        <v>2231</v>
      </c>
    </row>
    <row r="433" spans="1:10" x14ac:dyDescent="0.25">
      <c r="A433" s="210" t="s">
        <v>1524</v>
      </c>
      <c r="B433">
        <v>9500</v>
      </c>
      <c r="C433" s="100">
        <v>46162</v>
      </c>
      <c r="D433" t="s">
        <v>49</v>
      </c>
      <c r="E433" t="s">
        <v>43</v>
      </c>
      <c r="F433" t="s">
        <v>2232</v>
      </c>
      <c r="G433">
        <v>844</v>
      </c>
      <c r="I433">
        <v>0</v>
      </c>
      <c r="J433" t="s">
        <v>2233</v>
      </c>
    </row>
    <row r="434" spans="1:10" x14ac:dyDescent="0.25">
      <c r="A434" s="210" t="s">
        <v>1524</v>
      </c>
      <c r="B434">
        <v>9519</v>
      </c>
      <c r="C434" s="100">
        <v>46163</v>
      </c>
      <c r="D434" t="s">
        <v>49</v>
      </c>
      <c r="E434" t="s">
        <v>26</v>
      </c>
      <c r="F434" t="s">
        <v>416</v>
      </c>
      <c r="G434">
        <v>1189</v>
      </c>
      <c r="I434">
        <v>0</v>
      </c>
      <c r="J434" t="s">
        <v>2245</v>
      </c>
    </row>
    <row r="435" spans="1:10" x14ac:dyDescent="0.25">
      <c r="A435" s="210" t="s">
        <v>1524</v>
      </c>
      <c r="B435">
        <v>9519</v>
      </c>
      <c r="C435" s="100">
        <v>46163</v>
      </c>
      <c r="D435" t="s">
        <v>49</v>
      </c>
      <c r="E435" t="s">
        <v>17</v>
      </c>
      <c r="F435" t="s">
        <v>891</v>
      </c>
      <c r="G435">
        <v>4458</v>
      </c>
      <c r="I435">
        <v>0</v>
      </c>
      <c r="J435" t="s">
        <v>2246</v>
      </c>
    </row>
    <row r="436" spans="1:10" x14ac:dyDescent="0.25">
      <c r="A436" s="210" t="s">
        <v>1524</v>
      </c>
      <c r="B436">
        <v>9524</v>
      </c>
      <c r="C436" s="100">
        <v>46163</v>
      </c>
      <c r="D436" t="s">
        <v>49</v>
      </c>
      <c r="E436" t="s">
        <v>135</v>
      </c>
      <c r="F436" t="s">
        <v>62</v>
      </c>
      <c r="G436">
        <v>1083</v>
      </c>
      <c r="I436">
        <v>0</v>
      </c>
      <c r="J436" t="s">
        <v>2263</v>
      </c>
    </row>
    <row r="437" spans="1:10" x14ac:dyDescent="0.25">
      <c r="A437" s="210" t="s">
        <v>1524</v>
      </c>
      <c r="B437">
        <v>9544</v>
      </c>
      <c r="C437" s="100">
        <v>46164</v>
      </c>
      <c r="D437" t="s">
        <v>49</v>
      </c>
      <c r="E437" t="s">
        <v>17</v>
      </c>
      <c r="F437" t="s">
        <v>891</v>
      </c>
      <c r="G437">
        <v>4532</v>
      </c>
      <c r="I437">
        <v>0</v>
      </c>
      <c r="J437" t="s">
        <v>2277</v>
      </c>
    </row>
    <row r="438" spans="1:10" x14ac:dyDescent="0.25">
      <c r="A438" s="210" t="s">
        <v>1524</v>
      </c>
      <c r="B438">
        <v>9558</v>
      </c>
      <c r="C438" s="100">
        <v>46164</v>
      </c>
      <c r="D438" t="s">
        <v>49</v>
      </c>
      <c r="E438" t="s">
        <v>26</v>
      </c>
      <c r="F438" t="s">
        <v>2282</v>
      </c>
      <c r="G438">
        <v>2376</v>
      </c>
      <c r="I438">
        <v>0</v>
      </c>
      <c r="J438" t="s">
        <v>2283</v>
      </c>
    </row>
    <row r="439" spans="1:10" x14ac:dyDescent="0.25">
      <c r="A439" s="210" t="s">
        <v>1524</v>
      </c>
      <c r="B439">
        <v>9558</v>
      </c>
      <c r="C439" s="100">
        <v>46164</v>
      </c>
      <c r="D439" t="s">
        <v>49</v>
      </c>
      <c r="E439" t="s">
        <v>26</v>
      </c>
      <c r="F439" t="s">
        <v>2282</v>
      </c>
      <c r="G439">
        <v>2452</v>
      </c>
      <c r="I439">
        <v>0</v>
      </c>
      <c r="J439" t="s">
        <v>2284</v>
      </c>
    </row>
    <row r="440" spans="1:10" x14ac:dyDescent="0.25">
      <c r="A440" s="210" t="s">
        <v>1524</v>
      </c>
      <c r="B440">
        <v>9558</v>
      </c>
      <c r="C440" s="100">
        <v>46164</v>
      </c>
      <c r="D440" t="s">
        <v>49</v>
      </c>
      <c r="E440" t="s">
        <v>26</v>
      </c>
      <c r="F440" t="s">
        <v>2285</v>
      </c>
      <c r="G440">
        <v>2106</v>
      </c>
      <c r="I440">
        <v>0</v>
      </c>
      <c r="J440" t="s">
        <v>2286</v>
      </c>
    </row>
    <row r="441" spans="1:10" x14ac:dyDescent="0.25">
      <c r="A441" s="210" t="s">
        <v>1524</v>
      </c>
      <c r="B441">
        <v>9558</v>
      </c>
      <c r="C441" s="100">
        <v>46164</v>
      </c>
      <c r="D441" t="s">
        <v>49</v>
      </c>
      <c r="E441" t="s">
        <v>26</v>
      </c>
      <c r="F441" t="s">
        <v>2287</v>
      </c>
      <c r="G441">
        <v>2345</v>
      </c>
      <c r="I441">
        <v>0</v>
      </c>
      <c r="J441" t="s">
        <v>2288</v>
      </c>
    </row>
    <row r="442" spans="1:10" x14ac:dyDescent="0.25">
      <c r="A442" s="210" t="s">
        <v>1524</v>
      </c>
      <c r="B442">
        <v>246</v>
      </c>
      <c r="C442" s="100">
        <v>46167</v>
      </c>
      <c r="D442" t="s">
        <v>426</v>
      </c>
      <c r="E442" t="s">
        <v>135</v>
      </c>
      <c r="F442" t="s">
        <v>148</v>
      </c>
      <c r="G442">
        <v>3871</v>
      </c>
      <c r="I442">
        <v>0</v>
      </c>
    </row>
    <row r="443" spans="1:10" x14ac:dyDescent="0.25">
      <c r="A443" s="210" t="s">
        <v>1524</v>
      </c>
      <c r="B443">
        <v>9590</v>
      </c>
      <c r="C443" s="100">
        <v>46167</v>
      </c>
      <c r="D443" t="s">
        <v>49</v>
      </c>
      <c r="E443" t="s">
        <v>135</v>
      </c>
      <c r="F443" t="s">
        <v>148</v>
      </c>
      <c r="G443">
        <v>5402</v>
      </c>
      <c r="I443">
        <v>0</v>
      </c>
      <c r="J443" t="s">
        <v>2329</v>
      </c>
    </row>
    <row r="444" spans="1:10" x14ac:dyDescent="0.25">
      <c r="A444" s="210" t="s">
        <v>1524</v>
      </c>
      <c r="B444">
        <v>9602</v>
      </c>
      <c r="C444" s="100">
        <v>46167</v>
      </c>
      <c r="D444" t="s">
        <v>49</v>
      </c>
      <c r="E444" t="s">
        <v>17</v>
      </c>
      <c r="F444" t="s">
        <v>2335</v>
      </c>
      <c r="G444">
        <v>2727</v>
      </c>
      <c r="I444">
        <v>0</v>
      </c>
      <c r="J444" t="s">
        <v>2336</v>
      </c>
    </row>
    <row r="445" spans="1:10" x14ac:dyDescent="0.25">
      <c r="A445" s="210" t="s">
        <v>1524</v>
      </c>
      <c r="B445">
        <v>9602</v>
      </c>
      <c r="C445" s="100">
        <v>46167</v>
      </c>
      <c r="D445" t="s">
        <v>49</v>
      </c>
      <c r="E445" t="s">
        <v>17</v>
      </c>
      <c r="F445" t="s">
        <v>2337</v>
      </c>
      <c r="G445">
        <v>3515</v>
      </c>
      <c r="I445">
        <v>0</v>
      </c>
      <c r="J445" t="s">
        <v>2338</v>
      </c>
    </row>
    <row r="446" spans="1:10" x14ac:dyDescent="0.25">
      <c r="A446" s="210" t="s">
        <v>1524</v>
      </c>
      <c r="B446">
        <v>9607</v>
      </c>
      <c r="C446" s="100">
        <v>46167</v>
      </c>
      <c r="D446" t="s">
        <v>49</v>
      </c>
      <c r="E446" t="s">
        <v>17</v>
      </c>
      <c r="F446" t="s">
        <v>40</v>
      </c>
      <c r="G446">
        <v>5580</v>
      </c>
      <c r="I446">
        <v>0</v>
      </c>
      <c r="J446" t="s">
        <v>2346</v>
      </c>
    </row>
    <row r="447" spans="1:10" x14ac:dyDescent="0.25">
      <c r="A447" s="210" t="s">
        <v>1524</v>
      </c>
      <c r="B447">
        <v>9608</v>
      </c>
      <c r="C447" s="100">
        <v>46167</v>
      </c>
      <c r="D447" t="s">
        <v>49</v>
      </c>
      <c r="E447" t="s">
        <v>43</v>
      </c>
      <c r="F447" t="s">
        <v>915</v>
      </c>
      <c r="G447">
        <v>5273</v>
      </c>
      <c r="I447">
        <v>0</v>
      </c>
      <c r="J447" t="s">
        <v>564</v>
      </c>
    </row>
    <row r="448" spans="1:10" x14ac:dyDescent="0.25">
      <c r="A448" s="210" t="s">
        <v>1524</v>
      </c>
      <c r="B448">
        <v>249</v>
      </c>
      <c r="C448" s="100">
        <v>46169</v>
      </c>
      <c r="D448" t="s">
        <v>426</v>
      </c>
      <c r="E448" t="s">
        <v>43</v>
      </c>
      <c r="F448" t="s">
        <v>148</v>
      </c>
      <c r="G448">
        <v>3039</v>
      </c>
      <c r="I448">
        <v>0</v>
      </c>
    </row>
    <row r="449" spans="1:10" x14ac:dyDescent="0.25">
      <c r="A449" s="210" t="s">
        <v>1524</v>
      </c>
      <c r="B449">
        <v>9639</v>
      </c>
      <c r="C449" s="100">
        <v>46169</v>
      </c>
      <c r="D449" t="s">
        <v>49</v>
      </c>
      <c r="E449" t="s">
        <v>17</v>
      </c>
      <c r="F449" t="s">
        <v>446</v>
      </c>
      <c r="G449">
        <v>1183</v>
      </c>
      <c r="I449">
        <v>0</v>
      </c>
      <c r="J449" t="s">
        <v>2475</v>
      </c>
    </row>
    <row r="450" spans="1:10" x14ac:dyDescent="0.25">
      <c r="A450" s="210" t="s">
        <v>1524</v>
      </c>
      <c r="B450">
        <v>9639</v>
      </c>
      <c r="C450" s="100">
        <v>46169</v>
      </c>
      <c r="D450" t="s">
        <v>49</v>
      </c>
      <c r="E450" t="s">
        <v>17</v>
      </c>
      <c r="F450" t="s">
        <v>2476</v>
      </c>
      <c r="G450">
        <v>962</v>
      </c>
      <c r="I450">
        <v>0</v>
      </c>
      <c r="J450" t="s">
        <v>2477</v>
      </c>
    </row>
    <row r="451" spans="1:10" x14ac:dyDescent="0.25">
      <c r="A451" s="210" t="s">
        <v>1524</v>
      </c>
      <c r="B451">
        <v>9652</v>
      </c>
      <c r="C451" s="100">
        <v>46169</v>
      </c>
      <c r="D451" t="s">
        <v>49</v>
      </c>
      <c r="E451" t="s">
        <v>17</v>
      </c>
      <c r="F451" t="s">
        <v>62</v>
      </c>
      <c r="G451">
        <v>773</v>
      </c>
      <c r="I451">
        <v>0</v>
      </c>
      <c r="J451" t="s">
        <v>2483</v>
      </c>
    </row>
    <row r="452" spans="1:10" x14ac:dyDescent="0.25">
      <c r="A452" s="210" t="s">
        <v>1524</v>
      </c>
      <c r="B452">
        <v>9655</v>
      </c>
      <c r="C452" s="100">
        <v>46169</v>
      </c>
      <c r="D452" t="s">
        <v>49</v>
      </c>
      <c r="E452" t="s">
        <v>26</v>
      </c>
      <c r="F452" t="s">
        <v>2287</v>
      </c>
      <c r="G452">
        <v>978</v>
      </c>
      <c r="I452">
        <v>0</v>
      </c>
      <c r="J452" t="s">
        <v>2487</v>
      </c>
    </row>
    <row r="453" spans="1:10" x14ac:dyDescent="0.25">
      <c r="A453" s="210" t="s">
        <v>1524</v>
      </c>
      <c r="B453">
        <v>9655</v>
      </c>
      <c r="C453" s="100">
        <v>46169</v>
      </c>
      <c r="D453" t="s">
        <v>49</v>
      </c>
      <c r="E453" t="s">
        <v>17</v>
      </c>
      <c r="F453" t="s">
        <v>2488</v>
      </c>
      <c r="G453">
        <v>2050</v>
      </c>
      <c r="I453">
        <v>0</v>
      </c>
      <c r="J453" t="s">
        <v>2489</v>
      </c>
    </row>
    <row r="454" spans="1:10" x14ac:dyDescent="0.25">
      <c r="A454" s="210" t="s">
        <v>1524</v>
      </c>
      <c r="B454">
        <v>9665</v>
      </c>
      <c r="C454" s="100">
        <v>46170</v>
      </c>
      <c r="D454" t="s">
        <v>49</v>
      </c>
      <c r="E454" t="s">
        <v>43</v>
      </c>
      <c r="F454" t="s">
        <v>136</v>
      </c>
      <c r="G454">
        <v>3028</v>
      </c>
      <c r="I454">
        <v>0</v>
      </c>
      <c r="J454" t="s">
        <v>1740</v>
      </c>
    </row>
    <row r="455" spans="1:10" x14ac:dyDescent="0.25">
      <c r="A455" s="210" t="s">
        <v>1524</v>
      </c>
      <c r="B455">
        <v>9670</v>
      </c>
      <c r="C455" s="100">
        <v>46170</v>
      </c>
      <c r="D455" t="s">
        <v>49</v>
      </c>
      <c r="E455" t="s">
        <v>17</v>
      </c>
      <c r="F455" t="s">
        <v>2503</v>
      </c>
      <c r="G455">
        <v>517</v>
      </c>
      <c r="I455">
        <v>0</v>
      </c>
      <c r="J455" t="s">
        <v>2504</v>
      </c>
    </row>
    <row r="456" spans="1:10" x14ac:dyDescent="0.25">
      <c r="A456" s="210" t="s">
        <v>1524</v>
      </c>
      <c r="B456">
        <v>9670</v>
      </c>
      <c r="C456" s="100">
        <v>46170</v>
      </c>
      <c r="D456" t="s">
        <v>49</v>
      </c>
      <c r="E456" t="s">
        <v>17</v>
      </c>
      <c r="F456" t="s">
        <v>446</v>
      </c>
      <c r="G456">
        <v>905</v>
      </c>
      <c r="I456">
        <v>0</v>
      </c>
      <c r="J456" t="s">
        <v>565</v>
      </c>
    </row>
    <row r="457" spans="1:10" x14ac:dyDescent="0.25">
      <c r="A457" s="210" t="s">
        <v>1524</v>
      </c>
      <c r="B457">
        <v>5367</v>
      </c>
      <c r="C457" s="100">
        <v>46171</v>
      </c>
      <c r="D457" t="s">
        <v>84</v>
      </c>
      <c r="E457" t="s">
        <v>93</v>
      </c>
      <c r="F457">
        <v>0.5</v>
      </c>
      <c r="G457">
        <v>1738</v>
      </c>
      <c r="I457">
        <v>0</v>
      </c>
    </row>
    <row r="458" spans="1:10" x14ac:dyDescent="0.25">
      <c r="A458" s="210" t="s">
        <v>1524</v>
      </c>
      <c r="B458">
        <v>9697</v>
      </c>
      <c r="C458" s="100">
        <v>46171</v>
      </c>
      <c r="D458" t="s">
        <v>49</v>
      </c>
      <c r="E458" t="s">
        <v>17</v>
      </c>
      <c r="F458" t="s">
        <v>891</v>
      </c>
      <c r="G458">
        <v>4379</v>
      </c>
      <c r="I458">
        <v>0</v>
      </c>
      <c r="J458" t="s">
        <v>2410</v>
      </c>
    </row>
    <row r="459" spans="1:10" x14ac:dyDescent="0.25">
      <c r="A459" s="210" t="s">
        <v>1524</v>
      </c>
      <c r="B459">
        <v>9715</v>
      </c>
      <c r="C459" s="100">
        <v>46172</v>
      </c>
      <c r="D459" t="s">
        <v>49</v>
      </c>
      <c r="E459" t="s">
        <v>17</v>
      </c>
      <c r="F459" t="s">
        <v>136</v>
      </c>
      <c r="G459">
        <v>1060</v>
      </c>
      <c r="I459">
        <v>0</v>
      </c>
      <c r="J459" t="s">
        <v>2483</v>
      </c>
    </row>
    <row r="460" spans="1:10" x14ac:dyDescent="0.25">
      <c r="A460" s="210" t="s">
        <v>1524</v>
      </c>
      <c r="B460">
        <v>5377</v>
      </c>
      <c r="C460" s="100">
        <v>46174</v>
      </c>
      <c r="D460" t="s">
        <v>426</v>
      </c>
      <c r="E460" t="s">
        <v>520</v>
      </c>
      <c r="F460" t="s">
        <v>2554</v>
      </c>
      <c r="G460">
        <v>894</v>
      </c>
      <c r="I460">
        <v>0</v>
      </c>
    </row>
    <row r="461" spans="1:10" x14ac:dyDescent="0.25">
      <c r="A461" s="210" t="s">
        <v>1524</v>
      </c>
      <c r="B461">
        <v>5377</v>
      </c>
      <c r="C461" s="100">
        <v>46174</v>
      </c>
      <c r="D461" t="s">
        <v>426</v>
      </c>
      <c r="E461" t="s">
        <v>520</v>
      </c>
      <c r="F461" t="s">
        <v>2555</v>
      </c>
      <c r="G461">
        <v>964</v>
      </c>
      <c r="I461">
        <v>0</v>
      </c>
    </row>
    <row r="462" spans="1:10" x14ac:dyDescent="0.25">
      <c r="A462" s="210" t="s">
        <v>1524</v>
      </c>
      <c r="B462">
        <v>9732</v>
      </c>
      <c r="C462" s="100">
        <v>46174</v>
      </c>
      <c r="D462" t="s">
        <v>49</v>
      </c>
      <c r="E462" t="s">
        <v>17</v>
      </c>
      <c r="F462" t="s">
        <v>891</v>
      </c>
      <c r="G462">
        <v>4420</v>
      </c>
      <c r="I462">
        <v>0</v>
      </c>
      <c r="J462" t="s">
        <v>2557</v>
      </c>
    </row>
    <row r="463" spans="1:10" x14ac:dyDescent="0.25">
      <c r="A463" s="210" t="s">
        <v>1524</v>
      </c>
      <c r="B463">
        <v>9738</v>
      </c>
      <c r="C463" s="100">
        <v>46174</v>
      </c>
      <c r="D463" t="s">
        <v>49</v>
      </c>
      <c r="E463" t="s">
        <v>729</v>
      </c>
      <c r="F463" t="s">
        <v>460</v>
      </c>
      <c r="G463">
        <v>4053</v>
      </c>
      <c r="I463">
        <v>0</v>
      </c>
      <c r="J463" t="s">
        <v>2542</v>
      </c>
    </row>
    <row r="464" spans="1:10" x14ac:dyDescent="0.25">
      <c r="A464" s="210" t="s">
        <v>1524</v>
      </c>
      <c r="B464">
        <v>9738</v>
      </c>
      <c r="C464" s="100">
        <v>46174</v>
      </c>
      <c r="D464" t="s">
        <v>49</v>
      </c>
      <c r="E464" t="s">
        <v>17</v>
      </c>
      <c r="F464" t="s">
        <v>46</v>
      </c>
      <c r="G464">
        <v>3760</v>
      </c>
      <c r="I464">
        <v>0</v>
      </c>
      <c r="J464" t="s">
        <v>2556</v>
      </c>
    </row>
    <row r="465" spans="1:10" x14ac:dyDescent="0.25">
      <c r="A465" s="210" t="s">
        <v>1524</v>
      </c>
      <c r="B465">
        <v>9738</v>
      </c>
      <c r="C465" s="100">
        <v>46174</v>
      </c>
      <c r="D465" t="s">
        <v>49</v>
      </c>
      <c r="E465" t="s">
        <v>17</v>
      </c>
      <c r="F465" t="s">
        <v>2543</v>
      </c>
      <c r="G465">
        <v>1718</v>
      </c>
      <c r="I465">
        <v>0</v>
      </c>
      <c r="J465" t="s">
        <v>2558</v>
      </c>
    </row>
    <row r="466" spans="1:10" x14ac:dyDescent="0.25">
      <c r="A466" s="210" t="s">
        <v>1524</v>
      </c>
      <c r="B466">
        <v>7522</v>
      </c>
      <c r="C466" s="100">
        <v>46056</v>
      </c>
      <c r="D466" t="s">
        <v>49</v>
      </c>
      <c r="E466" t="s">
        <v>17</v>
      </c>
      <c r="F466" t="s">
        <v>469</v>
      </c>
      <c r="G466">
        <v>8318</v>
      </c>
      <c r="I466">
        <v>0</v>
      </c>
    </row>
    <row r="467" spans="1:10" x14ac:dyDescent="0.25">
      <c r="A467" s="210" t="s">
        <v>1524</v>
      </c>
      <c r="B467">
        <v>7531</v>
      </c>
      <c r="C467" s="100">
        <v>46057</v>
      </c>
      <c r="D467" t="s">
        <v>49</v>
      </c>
      <c r="E467" t="s">
        <v>43</v>
      </c>
      <c r="F467" t="s">
        <v>267</v>
      </c>
      <c r="G467">
        <v>3624</v>
      </c>
      <c r="I467">
        <v>0</v>
      </c>
    </row>
    <row r="468" spans="1:10" x14ac:dyDescent="0.25">
      <c r="A468" s="210" t="s">
        <v>1524</v>
      </c>
      <c r="B468">
        <v>7531</v>
      </c>
      <c r="C468" s="100">
        <v>46057</v>
      </c>
      <c r="D468" t="s">
        <v>49</v>
      </c>
      <c r="E468" t="s">
        <v>26</v>
      </c>
      <c r="F468" t="s">
        <v>2457</v>
      </c>
      <c r="G468">
        <v>1921</v>
      </c>
      <c r="I468">
        <v>0</v>
      </c>
    </row>
    <row r="469" spans="1:10" x14ac:dyDescent="0.25">
      <c r="A469" s="210" t="s">
        <v>1524</v>
      </c>
      <c r="B469">
        <v>7538</v>
      </c>
      <c r="C469" s="100">
        <v>46057</v>
      </c>
      <c r="D469" t="s">
        <v>49</v>
      </c>
      <c r="E469" t="s">
        <v>277</v>
      </c>
      <c r="F469" t="s">
        <v>2561</v>
      </c>
      <c r="G469">
        <v>1962</v>
      </c>
      <c r="I469">
        <v>0</v>
      </c>
    </row>
    <row r="470" spans="1:10" x14ac:dyDescent="0.25">
      <c r="A470" s="210" t="s">
        <v>1524</v>
      </c>
      <c r="B470">
        <v>7538</v>
      </c>
      <c r="C470" s="100">
        <v>46057</v>
      </c>
      <c r="D470" t="s">
        <v>49</v>
      </c>
      <c r="E470" t="s">
        <v>26</v>
      </c>
      <c r="F470" t="s">
        <v>2457</v>
      </c>
      <c r="G470">
        <v>1564</v>
      </c>
      <c r="I470">
        <v>0</v>
      </c>
    </row>
    <row r="471" spans="1:10" x14ac:dyDescent="0.25">
      <c r="A471" s="210" t="s">
        <v>1524</v>
      </c>
      <c r="B471">
        <v>7570</v>
      </c>
      <c r="C471" s="100">
        <v>46058</v>
      </c>
      <c r="D471" t="s">
        <v>49</v>
      </c>
      <c r="E471" t="s">
        <v>17</v>
      </c>
      <c r="F471" t="s">
        <v>415</v>
      </c>
      <c r="G471">
        <v>5420</v>
      </c>
      <c r="I471">
        <v>0</v>
      </c>
    </row>
    <row r="472" spans="1:10" x14ac:dyDescent="0.25">
      <c r="A472" s="210" t="s">
        <v>1524</v>
      </c>
      <c r="B472">
        <v>7574</v>
      </c>
      <c r="C472" s="100">
        <v>46059</v>
      </c>
      <c r="D472" t="s">
        <v>49</v>
      </c>
      <c r="E472" t="s">
        <v>17</v>
      </c>
      <c r="F472" t="s">
        <v>2563</v>
      </c>
      <c r="G472">
        <v>5570</v>
      </c>
      <c r="I472">
        <v>0</v>
      </c>
    </row>
    <row r="473" spans="1:10" x14ac:dyDescent="0.25">
      <c r="A473" s="210" t="s">
        <v>1524</v>
      </c>
      <c r="B473">
        <v>7595</v>
      </c>
      <c r="C473" s="100">
        <v>46059</v>
      </c>
      <c r="D473" t="s">
        <v>49</v>
      </c>
      <c r="E473" t="s">
        <v>17</v>
      </c>
      <c r="F473" t="s">
        <v>469</v>
      </c>
      <c r="G473">
        <v>8270</v>
      </c>
      <c r="I473">
        <v>0</v>
      </c>
    </row>
    <row r="474" spans="1:10" x14ac:dyDescent="0.25">
      <c r="A474" s="210" t="s">
        <v>1524</v>
      </c>
      <c r="B474">
        <v>7595</v>
      </c>
      <c r="C474" s="100">
        <v>46059</v>
      </c>
      <c r="D474" t="s">
        <v>49</v>
      </c>
      <c r="E474" t="s">
        <v>26</v>
      </c>
      <c r="F474" t="s">
        <v>820</v>
      </c>
      <c r="G474">
        <v>1325</v>
      </c>
      <c r="I474">
        <v>0</v>
      </c>
    </row>
    <row r="475" spans="1:10" x14ac:dyDescent="0.25">
      <c r="A475" s="210" t="s">
        <v>1524</v>
      </c>
      <c r="B475">
        <v>7609</v>
      </c>
      <c r="C475" s="100">
        <v>46062</v>
      </c>
      <c r="D475" t="s">
        <v>49</v>
      </c>
      <c r="E475" t="s">
        <v>26</v>
      </c>
      <c r="F475" t="s">
        <v>2564</v>
      </c>
      <c r="G475">
        <v>8846</v>
      </c>
      <c r="I475">
        <v>0</v>
      </c>
    </row>
    <row r="476" spans="1:10" x14ac:dyDescent="0.25">
      <c r="A476" s="210" t="s">
        <v>1524</v>
      </c>
      <c r="B476">
        <v>7648</v>
      </c>
      <c r="C476" s="100">
        <v>46065</v>
      </c>
      <c r="D476" t="s">
        <v>49</v>
      </c>
      <c r="E476" t="s">
        <v>17</v>
      </c>
      <c r="F476" t="s">
        <v>2114</v>
      </c>
      <c r="G476">
        <v>2211</v>
      </c>
      <c r="I476">
        <v>0</v>
      </c>
    </row>
    <row r="477" spans="1:10" x14ac:dyDescent="0.25">
      <c r="A477" s="210" t="s">
        <v>1524</v>
      </c>
      <c r="B477">
        <v>7648</v>
      </c>
      <c r="C477" s="100">
        <v>46065</v>
      </c>
      <c r="D477" t="s">
        <v>49</v>
      </c>
      <c r="E477" t="s">
        <v>17</v>
      </c>
      <c r="F477" t="s">
        <v>2114</v>
      </c>
      <c r="G477">
        <v>864</v>
      </c>
      <c r="I477">
        <v>0</v>
      </c>
    </row>
    <row r="478" spans="1:10" x14ac:dyDescent="0.25">
      <c r="A478" s="210" t="s">
        <v>1524</v>
      </c>
      <c r="B478">
        <v>7648</v>
      </c>
      <c r="C478" s="100">
        <v>46065</v>
      </c>
      <c r="D478" t="s">
        <v>49</v>
      </c>
      <c r="E478" t="s">
        <v>17</v>
      </c>
      <c r="F478" t="s">
        <v>723</v>
      </c>
      <c r="G478">
        <v>1966</v>
      </c>
      <c r="I478">
        <v>0</v>
      </c>
    </row>
    <row r="479" spans="1:10" x14ac:dyDescent="0.25">
      <c r="A479" s="210" t="s">
        <v>1524</v>
      </c>
      <c r="B479">
        <v>7649</v>
      </c>
      <c r="C479" s="100">
        <v>46065</v>
      </c>
      <c r="D479" t="s">
        <v>49</v>
      </c>
      <c r="E479" t="s">
        <v>17</v>
      </c>
      <c r="F479" t="s">
        <v>2567</v>
      </c>
      <c r="G479">
        <v>694</v>
      </c>
      <c r="I479">
        <v>0</v>
      </c>
    </row>
    <row r="480" spans="1:10" x14ac:dyDescent="0.25">
      <c r="A480" s="210" t="s">
        <v>1524</v>
      </c>
      <c r="B480">
        <v>7649</v>
      </c>
      <c r="C480" s="100">
        <v>46065</v>
      </c>
      <c r="D480" t="s">
        <v>49</v>
      </c>
      <c r="E480" t="s">
        <v>17</v>
      </c>
      <c r="F480" t="s">
        <v>2568</v>
      </c>
      <c r="G480">
        <v>657</v>
      </c>
      <c r="I480">
        <v>0</v>
      </c>
    </row>
    <row r="481" spans="1:9" x14ac:dyDescent="0.25">
      <c r="A481" s="210" t="s">
        <v>1524</v>
      </c>
      <c r="B481">
        <v>7649</v>
      </c>
      <c r="C481" s="100">
        <v>46065</v>
      </c>
      <c r="D481" t="s">
        <v>49</v>
      </c>
      <c r="E481" t="s">
        <v>17</v>
      </c>
      <c r="F481" t="s">
        <v>2569</v>
      </c>
      <c r="G481">
        <v>1153</v>
      </c>
      <c r="I481">
        <v>0</v>
      </c>
    </row>
    <row r="482" spans="1:9" x14ac:dyDescent="0.25">
      <c r="A482" s="210" t="s">
        <v>1524</v>
      </c>
      <c r="B482">
        <v>7649</v>
      </c>
      <c r="C482" s="100">
        <v>46065</v>
      </c>
      <c r="D482" t="s">
        <v>49</v>
      </c>
      <c r="E482" t="s">
        <v>17</v>
      </c>
      <c r="F482" t="s">
        <v>2114</v>
      </c>
      <c r="G482">
        <v>1225</v>
      </c>
      <c r="I482">
        <v>0</v>
      </c>
    </row>
    <row r="483" spans="1:9" x14ac:dyDescent="0.25">
      <c r="A483" s="210" t="s">
        <v>1524</v>
      </c>
      <c r="B483">
        <v>7649</v>
      </c>
      <c r="C483" s="100">
        <v>46065</v>
      </c>
      <c r="D483" t="s">
        <v>49</v>
      </c>
      <c r="E483" t="s">
        <v>17</v>
      </c>
      <c r="F483" t="s">
        <v>2337</v>
      </c>
      <c r="G483">
        <v>486</v>
      </c>
      <c r="I483">
        <v>0</v>
      </c>
    </row>
    <row r="484" spans="1:9" x14ac:dyDescent="0.25">
      <c r="A484" s="210" t="s">
        <v>1524</v>
      </c>
      <c r="B484">
        <v>7672</v>
      </c>
      <c r="C484" s="100">
        <v>46077</v>
      </c>
      <c r="D484" t="s">
        <v>49</v>
      </c>
      <c r="E484" t="s">
        <v>17</v>
      </c>
      <c r="F484" t="s">
        <v>2570</v>
      </c>
      <c r="G484">
        <v>924</v>
      </c>
      <c r="I484">
        <v>0</v>
      </c>
    </row>
    <row r="485" spans="1:9" x14ac:dyDescent="0.25">
      <c r="A485" s="210" t="s">
        <v>1524</v>
      </c>
      <c r="B485">
        <v>7672</v>
      </c>
      <c r="C485" s="100">
        <v>46077</v>
      </c>
      <c r="D485" t="s">
        <v>49</v>
      </c>
      <c r="E485" t="s">
        <v>17</v>
      </c>
      <c r="F485" t="s">
        <v>2571</v>
      </c>
      <c r="G485">
        <v>515</v>
      </c>
      <c r="I485">
        <v>0</v>
      </c>
    </row>
    <row r="486" spans="1:9" x14ac:dyDescent="0.25">
      <c r="A486" s="210" t="s">
        <v>1524</v>
      </c>
      <c r="B486">
        <v>7672</v>
      </c>
      <c r="C486" s="100">
        <v>46077</v>
      </c>
      <c r="D486" t="s">
        <v>49</v>
      </c>
      <c r="E486" t="s">
        <v>17</v>
      </c>
      <c r="F486" t="s">
        <v>469</v>
      </c>
      <c r="G486">
        <v>3691</v>
      </c>
      <c r="I486">
        <v>0</v>
      </c>
    </row>
    <row r="487" spans="1:9" x14ac:dyDescent="0.25">
      <c r="A487" s="210" t="s">
        <v>1524</v>
      </c>
      <c r="B487">
        <v>7672</v>
      </c>
      <c r="C487" s="100">
        <v>46077</v>
      </c>
      <c r="D487" t="s">
        <v>49</v>
      </c>
      <c r="E487" t="s">
        <v>17</v>
      </c>
      <c r="F487" t="s">
        <v>469</v>
      </c>
      <c r="G487">
        <v>958</v>
      </c>
      <c r="I487">
        <v>0</v>
      </c>
    </row>
    <row r="488" spans="1:9" x14ac:dyDescent="0.25">
      <c r="A488" s="210" t="s">
        <v>1524</v>
      </c>
      <c r="B488">
        <v>7672</v>
      </c>
      <c r="C488" s="100">
        <v>46077</v>
      </c>
      <c r="D488" t="s">
        <v>49</v>
      </c>
      <c r="E488" t="s">
        <v>470</v>
      </c>
      <c r="F488" t="s">
        <v>661</v>
      </c>
      <c r="G488">
        <v>1020</v>
      </c>
      <c r="I488">
        <v>0</v>
      </c>
    </row>
    <row r="489" spans="1:9" x14ac:dyDescent="0.25">
      <c r="A489" s="210" t="s">
        <v>1524</v>
      </c>
      <c r="B489">
        <v>7680</v>
      </c>
      <c r="C489" s="100">
        <v>46077</v>
      </c>
      <c r="D489" t="s">
        <v>49</v>
      </c>
      <c r="E489" t="s">
        <v>17</v>
      </c>
      <c r="F489" t="s">
        <v>1082</v>
      </c>
      <c r="G489">
        <v>2664</v>
      </c>
      <c r="I489">
        <v>0</v>
      </c>
    </row>
    <row r="490" spans="1:9" x14ac:dyDescent="0.25">
      <c r="A490" s="210" t="s">
        <v>1524</v>
      </c>
      <c r="B490">
        <v>7691</v>
      </c>
      <c r="C490" s="100">
        <v>46078</v>
      </c>
      <c r="D490" t="s">
        <v>49</v>
      </c>
      <c r="E490" t="s">
        <v>43</v>
      </c>
      <c r="F490" t="s">
        <v>146</v>
      </c>
      <c r="G490">
        <v>956</v>
      </c>
      <c r="I490">
        <v>0</v>
      </c>
    </row>
    <row r="491" spans="1:9" x14ac:dyDescent="0.25">
      <c r="A491" s="210" t="s">
        <v>1524</v>
      </c>
      <c r="B491">
        <v>7701</v>
      </c>
      <c r="C491" s="100">
        <v>46078</v>
      </c>
      <c r="D491" t="s">
        <v>49</v>
      </c>
      <c r="E491" t="s">
        <v>32</v>
      </c>
      <c r="F491" t="s">
        <v>40</v>
      </c>
      <c r="G491">
        <v>4082</v>
      </c>
      <c r="I491">
        <v>0</v>
      </c>
    </row>
    <row r="492" spans="1:9" x14ac:dyDescent="0.25">
      <c r="A492" s="210" t="s">
        <v>1524</v>
      </c>
      <c r="B492">
        <v>7709</v>
      </c>
      <c r="C492" s="100">
        <v>46078</v>
      </c>
      <c r="D492" t="s">
        <v>49</v>
      </c>
      <c r="E492" t="s">
        <v>43</v>
      </c>
      <c r="F492" t="s">
        <v>344</v>
      </c>
      <c r="G492">
        <v>3196</v>
      </c>
      <c r="I492">
        <v>0</v>
      </c>
    </row>
    <row r="493" spans="1:9" x14ac:dyDescent="0.25">
      <c r="A493" s="210" t="s">
        <v>1524</v>
      </c>
      <c r="B493">
        <v>7722</v>
      </c>
      <c r="C493" s="100">
        <v>46079</v>
      </c>
      <c r="D493" t="s">
        <v>49</v>
      </c>
      <c r="E493" t="s">
        <v>17</v>
      </c>
      <c r="F493" t="s">
        <v>40</v>
      </c>
      <c r="G493">
        <v>7410</v>
      </c>
      <c r="I493">
        <v>0</v>
      </c>
    </row>
    <row r="494" spans="1:9" x14ac:dyDescent="0.25">
      <c r="A494" s="210" t="s">
        <v>1524</v>
      </c>
      <c r="B494">
        <v>7735</v>
      </c>
      <c r="C494" s="100">
        <v>46080</v>
      </c>
      <c r="D494" t="s">
        <v>49</v>
      </c>
      <c r="E494" t="s">
        <v>45</v>
      </c>
      <c r="F494" t="s">
        <v>462</v>
      </c>
      <c r="G494">
        <v>3066</v>
      </c>
      <c r="I494">
        <v>0</v>
      </c>
    </row>
    <row r="495" spans="1:9" x14ac:dyDescent="0.25">
      <c r="A495" s="210" t="s">
        <v>1524</v>
      </c>
      <c r="B495">
        <v>7735</v>
      </c>
      <c r="C495" s="100">
        <v>46080</v>
      </c>
      <c r="D495" t="s">
        <v>49</v>
      </c>
      <c r="E495" t="s">
        <v>17</v>
      </c>
      <c r="F495" t="s">
        <v>469</v>
      </c>
      <c r="G495">
        <v>8673</v>
      </c>
      <c r="I495">
        <v>0</v>
      </c>
    </row>
    <row r="496" spans="1:9" x14ac:dyDescent="0.25">
      <c r="A496" s="210" t="s">
        <v>1524</v>
      </c>
      <c r="B496">
        <v>7754</v>
      </c>
      <c r="C496" s="100">
        <v>46081</v>
      </c>
      <c r="D496" t="s">
        <v>49</v>
      </c>
      <c r="E496" t="s">
        <v>17</v>
      </c>
      <c r="F496" t="s">
        <v>40</v>
      </c>
      <c r="G496">
        <v>5800</v>
      </c>
      <c r="I496">
        <v>0</v>
      </c>
    </row>
    <row r="497" spans="1:10" x14ac:dyDescent="0.25">
      <c r="A497" s="210" t="s">
        <v>1524</v>
      </c>
      <c r="B497">
        <v>7754</v>
      </c>
      <c r="C497" s="100">
        <v>46081</v>
      </c>
      <c r="D497" t="s">
        <v>49</v>
      </c>
      <c r="E497" t="s">
        <v>301</v>
      </c>
      <c r="F497" t="s">
        <v>465</v>
      </c>
      <c r="G497">
        <v>3314</v>
      </c>
      <c r="I497">
        <v>0</v>
      </c>
    </row>
    <row r="498" spans="1:10" x14ac:dyDescent="0.25">
      <c r="A498" s="210" t="s">
        <v>1524</v>
      </c>
      <c r="B498">
        <v>7773</v>
      </c>
      <c r="C498" s="100">
        <v>46081</v>
      </c>
      <c r="D498" t="s">
        <v>49</v>
      </c>
      <c r="E498" t="s">
        <v>45</v>
      </c>
      <c r="F498" t="s">
        <v>2578</v>
      </c>
      <c r="G498">
        <v>1600</v>
      </c>
      <c r="I498">
        <v>0</v>
      </c>
    </row>
    <row r="499" spans="1:10" x14ac:dyDescent="0.25">
      <c r="A499" s="210" t="s">
        <v>1524</v>
      </c>
      <c r="B499">
        <v>7773</v>
      </c>
      <c r="C499" s="100">
        <v>46081</v>
      </c>
      <c r="D499" t="s">
        <v>49</v>
      </c>
      <c r="E499" t="s">
        <v>43</v>
      </c>
      <c r="F499" t="s">
        <v>259</v>
      </c>
      <c r="G499">
        <v>560</v>
      </c>
      <c r="I499">
        <v>0</v>
      </c>
    </row>
    <row r="500" spans="1:10" x14ac:dyDescent="0.25">
      <c r="A500" s="210" t="s">
        <v>1530</v>
      </c>
      <c r="B500">
        <v>2768</v>
      </c>
      <c r="C500" s="100">
        <v>46127</v>
      </c>
      <c r="D500" t="s">
        <v>692</v>
      </c>
      <c r="E500" t="s">
        <v>109</v>
      </c>
      <c r="F500" t="s">
        <v>708</v>
      </c>
      <c r="G500">
        <v>874</v>
      </c>
      <c r="I500">
        <v>0</v>
      </c>
    </row>
    <row r="501" spans="1:10" x14ac:dyDescent="0.25">
      <c r="A501" s="210" t="s">
        <v>1531</v>
      </c>
      <c r="B501">
        <v>9226</v>
      </c>
      <c r="C501" s="100">
        <v>46149</v>
      </c>
      <c r="D501" t="s">
        <v>13</v>
      </c>
      <c r="E501" t="s">
        <v>17</v>
      </c>
      <c r="F501" t="s">
        <v>446</v>
      </c>
      <c r="G501">
        <v>687</v>
      </c>
      <c r="I501">
        <v>0</v>
      </c>
    </row>
    <row r="502" spans="1:10" x14ac:dyDescent="0.25">
      <c r="A502" s="210" t="s">
        <v>1532</v>
      </c>
      <c r="B502">
        <v>7013</v>
      </c>
      <c r="C502" s="100">
        <v>46028</v>
      </c>
      <c r="D502" t="s">
        <v>49</v>
      </c>
      <c r="E502" t="s">
        <v>43</v>
      </c>
      <c r="F502" t="s">
        <v>344</v>
      </c>
      <c r="G502">
        <v>15778</v>
      </c>
      <c r="I502">
        <v>0</v>
      </c>
      <c r="J502" t="s">
        <v>2376</v>
      </c>
    </row>
    <row r="503" spans="1:10" x14ac:dyDescent="0.25">
      <c r="A503" s="210" t="s">
        <v>1532</v>
      </c>
      <c r="B503">
        <v>7013</v>
      </c>
      <c r="C503" s="100">
        <v>46028</v>
      </c>
      <c r="D503" t="s">
        <v>49</v>
      </c>
      <c r="E503" t="s">
        <v>143</v>
      </c>
      <c r="F503" t="s">
        <v>2333</v>
      </c>
      <c r="G503">
        <v>17434</v>
      </c>
      <c r="I503">
        <v>0</v>
      </c>
      <c r="J503" t="s">
        <v>2377</v>
      </c>
    </row>
    <row r="504" spans="1:10" x14ac:dyDescent="0.25">
      <c r="A504" s="210" t="s">
        <v>1532</v>
      </c>
      <c r="B504">
        <v>7013</v>
      </c>
      <c r="C504" s="100">
        <v>46028</v>
      </c>
      <c r="D504" t="s">
        <v>49</v>
      </c>
      <c r="E504" t="s">
        <v>43</v>
      </c>
      <c r="F504" t="s">
        <v>2378</v>
      </c>
      <c r="G504">
        <v>858</v>
      </c>
      <c r="I504">
        <v>0</v>
      </c>
    </row>
    <row r="505" spans="1:10" x14ac:dyDescent="0.25">
      <c r="A505" s="210" t="s">
        <v>1532</v>
      </c>
      <c r="B505">
        <v>7013</v>
      </c>
      <c r="C505" s="100">
        <v>46028</v>
      </c>
      <c r="D505" t="s">
        <v>49</v>
      </c>
      <c r="E505" t="s">
        <v>43</v>
      </c>
      <c r="F505" t="s">
        <v>2378</v>
      </c>
      <c r="G505">
        <v>2819</v>
      </c>
      <c r="I505">
        <v>0</v>
      </c>
    </row>
    <row r="506" spans="1:10" x14ac:dyDescent="0.25">
      <c r="A506" s="210" t="s">
        <v>1532</v>
      </c>
      <c r="B506">
        <v>7013</v>
      </c>
      <c r="C506" s="100">
        <v>46028</v>
      </c>
      <c r="D506" t="s">
        <v>49</v>
      </c>
      <c r="E506" t="s">
        <v>43</v>
      </c>
      <c r="F506" t="s">
        <v>2378</v>
      </c>
      <c r="G506">
        <v>1751</v>
      </c>
      <c r="I506">
        <v>0</v>
      </c>
    </row>
    <row r="507" spans="1:10" x14ac:dyDescent="0.25">
      <c r="A507" s="210" t="s">
        <v>1532</v>
      </c>
      <c r="B507">
        <v>7013</v>
      </c>
      <c r="C507" s="100">
        <v>46028</v>
      </c>
      <c r="D507" t="s">
        <v>49</v>
      </c>
      <c r="E507" t="s">
        <v>43</v>
      </c>
      <c r="F507" t="s">
        <v>2379</v>
      </c>
      <c r="G507">
        <v>931</v>
      </c>
      <c r="I507">
        <v>0</v>
      </c>
    </row>
    <row r="508" spans="1:10" x14ac:dyDescent="0.25">
      <c r="A508" s="210" t="s">
        <v>1532</v>
      </c>
      <c r="B508">
        <v>7013</v>
      </c>
      <c r="C508" s="100">
        <v>46028</v>
      </c>
      <c r="D508" t="s">
        <v>49</v>
      </c>
      <c r="E508" t="s">
        <v>43</v>
      </c>
      <c r="F508" t="s">
        <v>2380</v>
      </c>
      <c r="G508">
        <v>13731</v>
      </c>
      <c r="I508">
        <v>0</v>
      </c>
    </row>
    <row r="509" spans="1:10" x14ac:dyDescent="0.25">
      <c r="A509" s="210" t="s">
        <v>1532</v>
      </c>
      <c r="B509">
        <v>7013</v>
      </c>
      <c r="C509" s="100">
        <v>46028</v>
      </c>
      <c r="D509" t="s">
        <v>49</v>
      </c>
      <c r="E509" t="s">
        <v>143</v>
      </c>
      <c r="F509" t="s">
        <v>146</v>
      </c>
      <c r="G509">
        <v>969</v>
      </c>
      <c r="I509">
        <v>0</v>
      </c>
    </row>
    <row r="510" spans="1:10" x14ac:dyDescent="0.25">
      <c r="A510" s="210" t="s">
        <v>1532</v>
      </c>
      <c r="B510">
        <v>7013</v>
      </c>
      <c r="C510" s="100">
        <v>46028</v>
      </c>
      <c r="D510" t="s">
        <v>49</v>
      </c>
      <c r="E510" t="s">
        <v>143</v>
      </c>
      <c r="F510" t="s">
        <v>490</v>
      </c>
      <c r="G510">
        <v>5331</v>
      </c>
      <c r="I510">
        <v>0</v>
      </c>
    </row>
    <row r="511" spans="1:10" x14ac:dyDescent="0.25">
      <c r="A511" s="210" t="s">
        <v>1532</v>
      </c>
      <c r="B511">
        <v>7016</v>
      </c>
      <c r="C511" s="100">
        <v>46028</v>
      </c>
      <c r="D511" t="s">
        <v>49</v>
      </c>
      <c r="E511" t="s">
        <v>192</v>
      </c>
      <c r="F511" t="s">
        <v>2386</v>
      </c>
      <c r="G511">
        <v>4900</v>
      </c>
      <c r="I511">
        <v>0</v>
      </c>
      <c r="J511" t="s">
        <v>2387</v>
      </c>
    </row>
    <row r="512" spans="1:10" x14ac:dyDescent="0.25">
      <c r="A512" s="210" t="s">
        <v>1532</v>
      </c>
      <c r="B512">
        <v>7045</v>
      </c>
      <c r="C512" s="100">
        <v>46030</v>
      </c>
      <c r="D512" t="s">
        <v>49</v>
      </c>
      <c r="E512" t="s">
        <v>301</v>
      </c>
      <c r="F512" t="s">
        <v>2390</v>
      </c>
      <c r="G512">
        <v>1016</v>
      </c>
      <c r="I512">
        <v>0</v>
      </c>
      <c r="J512" t="s">
        <v>1770</v>
      </c>
    </row>
    <row r="513" spans="1:10" x14ac:dyDescent="0.25">
      <c r="A513" s="210" t="s">
        <v>1532</v>
      </c>
      <c r="B513">
        <v>7046</v>
      </c>
      <c r="C513" s="100">
        <v>46030</v>
      </c>
      <c r="D513" t="s">
        <v>49</v>
      </c>
      <c r="E513" t="s">
        <v>77</v>
      </c>
      <c r="F513" t="s">
        <v>2391</v>
      </c>
      <c r="G513">
        <v>6141</v>
      </c>
      <c r="I513">
        <v>0</v>
      </c>
      <c r="J513" t="s">
        <v>2392</v>
      </c>
    </row>
    <row r="514" spans="1:10" x14ac:dyDescent="0.25">
      <c r="A514" s="210" t="s">
        <v>1532</v>
      </c>
      <c r="B514">
        <v>7046</v>
      </c>
      <c r="C514" s="100">
        <v>46030</v>
      </c>
      <c r="D514" t="s">
        <v>49</v>
      </c>
      <c r="E514" t="s">
        <v>77</v>
      </c>
      <c r="F514" t="s">
        <v>2393</v>
      </c>
      <c r="G514">
        <v>1632</v>
      </c>
      <c r="I514">
        <v>0</v>
      </c>
      <c r="J514" t="s">
        <v>2394</v>
      </c>
    </row>
    <row r="515" spans="1:10" x14ac:dyDescent="0.25">
      <c r="A515" s="210" t="s">
        <v>1532</v>
      </c>
      <c r="B515">
        <v>7076</v>
      </c>
      <c r="C515" s="100">
        <v>46031</v>
      </c>
      <c r="D515" t="s">
        <v>49</v>
      </c>
      <c r="E515" t="s">
        <v>301</v>
      </c>
      <c r="F515" t="s">
        <v>2390</v>
      </c>
      <c r="G515">
        <v>946</v>
      </c>
      <c r="I515">
        <v>0</v>
      </c>
      <c r="J515" t="s">
        <v>2402</v>
      </c>
    </row>
    <row r="516" spans="1:10" x14ac:dyDescent="0.25">
      <c r="A516" s="210" t="s">
        <v>1532</v>
      </c>
      <c r="B516">
        <v>7080</v>
      </c>
      <c r="C516" s="100">
        <v>46031</v>
      </c>
      <c r="D516" t="s">
        <v>49</v>
      </c>
      <c r="E516" t="s">
        <v>301</v>
      </c>
      <c r="F516" t="s">
        <v>2405</v>
      </c>
      <c r="G516">
        <v>9064</v>
      </c>
      <c r="I516">
        <v>0</v>
      </c>
      <c r="J516" t="s">
        <v>2406</v>
      </c>
    </row>
    <row r="517" spans="1:10" x14ac:dyDescent="0.25">
      <c r="A517" s="210" t="s">
        <v>1532</v>
      </c>
      <c r="B517">
        <v>7252</v>
      </c>
      <c r="C517" s="100">
        <v>46041</v>
      </c>
      <c r="D517" t="s">
        <v>49</v>
      </c>
      <c r="E517" t="s">
        <v>17</v>
      </c>
      <c r="F517" t="s">
        <v>78</v>
      </c>
      <c r="G517">
        <v>17434</v>
      </c>
      <c r="I517">
        <v>0</v>
      </c>
      <c r="J517" t="s">
        <v>2433</v>
      </c>
    </row>
    <row r="518" spans="1:10" x14ac:dyDescent="0.25">
      <c r="A518" s="210" t="s">
        <v>1532</v>
      </c>
      <c r="B518">
        <v>7480</v>
      </c>
      <c r="C518" s="100">
        <v>46052</v>
      </c>
      <c r="D518" t="s">
        <v>49</v>
      </c>
      <c r="E518" t="s">
        <v>143</v>
      </c>
      <c r="F518" t="s">
        <v>469</v>
      </c>
      <c r="G518">
        <v>55875</v>
      </c>
      <c r="I518">
        <v>0</v>
      </c>
      <c r="J518" t="s">
        <v>2467</v>
      </c>
    </row>
    <row r="519" spans="1:10" x14ac:dyDescent="0.25">
      <c r="A519" s="210" t="s">
        <v>1532</v>
      </c>
      <c r="B519">
        <v>7817</v>
      </c>
      <c r="C519" s="100">
        <v>46084</v>
      </c>
      <c r="D519" t="s">
        <v>49</v>
      </c>
      <c r="E519" t="s">
        <v>729</v>
      </c>
      <c r="F519" t="s">
        <v>730</v>
      </c>
      <c r="G519">
        <v>6806</v>
      </c>
      <c r="I519">
        <v>0</v>
      </c>
    </row>
    <row r="520" spans="1:10" x14ac:dyDescent="0.25">
      <c r="A520" s="210" t="s">
        <v>1532</v>
      </c>
      <c r="B520">
        <v>7817</v>
      </c>
      <c r="C520" s="100">
        <v>46084</v>
      </c>
      <c r="D520" t="s">
        <v>49</v>
      </c>
      <c r="E520" t="s">
        <v>729</v>
      </c>
      <c r="F520" t="s">
        <v>480</v>
      </c>
      <c r="G520">
        <v>974</v>
      </c>
      <c r="I520">
        <v>0</v>
      </c>
    </row>
    <row r="521" spans="1:10" x14ac:dyDescent="0.25">
      <c r="A521" s="210" t="s">
        <v>1532</v>
      </c>
      <c r="B521">
        <v>7943</v>
      </c>
      <c r="C521" s="100">
        <v>46090</v>
      </c>
      <c r="D521" t="s">
        <v>49</v>
      </c>
      <c r="E521" t="s">
        <v>729</v>
      </c>
      <c r="F521" t="s">
        <v>731</v>
      </c>
      <c r="G521">
        <v>3712</v>
      </c>
      <c r="I521">
        <v>0</v>
      </c>
    </row>
    <row r="522" spans="1:10" x14ac:dyDescent="0.25">
      <c r="A522" s="210" t="s">
        <v>1532</v>
      </c>
      <c r="B522">
        <v>7943</v>
      </c>
      <c r="C522" s="100">
        <v>46090</v>
      </c>
      <c r="D522" t="s">
        <v>49</v>
      </c>
      <c r="E522" t="s">
        <v>729</v>
      </c>
      <c r="F522" t="s">
        <v>732</v>
      </c>
      <c r="G522">
        <v>305</v>
      </c>
      <c r="I522">
        <v>0</v>
      </c>
    </row>
    <row r="523" spans="1:10" x14ac:dyDescent="0.25">
      <c r="A523" s="210" t="s">
        <v>1532</v>
      </c>
      <c r="B523">
        <v>8019</v>
      </c>
      <c r="C523" s="100">
        <v>46092</v>
      </c>
      <c r="D523" t="s">
        <v>49</v>
      </c>
      <c r="E523" t="s">
        <v>26</v>
      </c>
      <c r="F523" t="s">
        <v>733</v>
      </c>
      <c r="G523">
        <v>25944</v>
      </c>
      <c r="I523">
        <v>0</v>
      </c>
    </row>
    <row r="524" spans="1:10" x14ac:dyDescent="0.25">
      <c r="A524" s="210" t="s">
        <v>1532</v>
      </c>
      <c r="C524" s="100">
        <v>46092</v>
      </c>
      <c r="D524" t="s">
        <v>426</v>
      </c>
      <c r="E524" t="s">
        <v>26</v>
      </c>
      <c r="F524" t="s">
        <v>733</v>
      </c>
      <c r="G524">
        <v>17036</v>
      </c>
      <c r="I524">
        <v>0</v>
      </c>
    </row>
    <row r="525" spans="1:10" x14ac:dyDescent="0.25">
      <c r="A525" s="210" t="s">
        <v>1532</v>
      </c>
      <c r="B525">
        <v>8056</v>
      </c>
      <c r="C525" s="100">
        <v>46094</v>
      </c>
      <c r="D525" t="s">
        <v>49</v>
      </c>
      <c r="E525" t="s">
        <v>729</v>
      </c>
      <c r="F525" t="s">
        <v>734</v>
      </c>
      <c r="G525">
        <v>8908</v>
      </c>
      <c r="I525">
        <v>0</v>
      </c>
    </row>
    <row r="526" spans="1:10" x14ac:dyDescent="0.25">
      <c r="A526" s="210" t="s">
        <v>1532</v>
      </c>
      <c r="B526">
        <v>8108</v>
      </c>
      <c r="C526" s="100">
        <v>46097</v>
      </c>
      <c r="D526" t="s">
        <v>49</v>
      </c>
      <c r="E526" t="s">
        <v>26</v>
      </c>
      <c r="F526" t="s">
        <v>738</v>
      </c>
      <c r="G526">
        <v>1233</v>
      </c>
      <c r="I526">
        <v>0</v>
      </c>
    </row>
    <row r="527" spans="1:10" x14ac:dyDescent="0.25">
      <c r="A527" s="210" t="s">
        <v>1532</v>
      </c>
      <c r="B527">
        <v>8161</v>
      </c>
      <c r="C527" s="100">
        <v>46098</v>
      </c>
      <c r="D527" t="s">
        <v>49</v>
      </c>
      <c r="E527" t="s">
        <v>26</v>
      </c>
      <c r="F527" t="s">
        <v>739</v>
      </c>
      <c r="G527">
        <v>4239</v>
      </c>
      <c r="I527">
        <v>0</v>
      </c>
    </row>
    <row r="528" spans="1:10" x14ac:dyDescent="0.25">
      <c r="A528" s="210" t="s">
        <v>1532</v>
      </c>
      <c r="B528">
        <v>8286</v>
      </c>
      <c r="C528" s="100">
        <v>46101</v>
      </c>
      <c r="D528" t="s">
        <v>49</v>
      </c>
      <c r="E528" t="s">
        <v>26</v>
      </c>
      <c r="F528" t="s">
        <v>741</v>
      </c>
      <c r="G528">
        <v>4276</v>
      </c>
      <c r="I528">
        <v>0</v>
      </c>
    </row>
    <row r="529" spans="1:10" x14ac:dyDescent="0.25">
      <c r="A529" s="210" t="s">
        <v>1532</v>
      </c>
      <c r="B529">
        <v>8286</v>
      </c>
      <c r="C529" s="100">
        <v>46101</v>
      </c>
      <c r="D529" t="s">
        <v>49</v>
      </c>
      <c r="E529" t="s">
        <v>26</v>
      </c>
      <c r="F529" t="s">
        <v>742</v>
      </c>
      <c r="G529">
        <v>2345</v>
      </c>
      <c r="I529">
        <v>0</v>
      </c>
    </row>
    <row r="530" spans="1:10" x14ac:dyDescent="0.25">
      <c r="A530" s="210" t="s">
        <v>1532</v>
      </c>
      <c r="B530">
        <v>8203</v>
      </c>
      <c r="C530" s="100">
        <v>46102</v>
      </c>
      <c r="D530" t="s">
        <v>49</v>
      </c>
      <c r="E530" t="s">
        <v>77</v>
      </c>
      <c r="F530" t="s">
        <v>743</v>
      </c>
      <c r="G530">
        <v>1001</v>
      </c>
      <c r="I530">
        <v>0</v>
      </c>
    </row>
    <row r="531" spans="1:10" x14ac:dyDescent="0.25">
      <c r="A531" s="210" t="s">
        <v>1532</v>
      </c>
      <c r="B531">
        <v>8341</v>
      </c>
      <c r="C531" s="100">
        <v>46107</v>
      </c>
      <c r="D531" t="s">
        <v>49</v>
      </c>
      <c r="E531" t="s">
        <v>301</v>
      </c>
      <c r="F531" t="s">
        <v>501</v>
      </c>
      <c r="G531">
        <v>7102</v>
      </c>
      <c r="I531">
        <v>0</v>
      </c>
    </row>
    <row r="532" spans="1:10" x14ac:dyDescent="0.25">
      <c r="A532" s="210" t="s">
        <v>1532</v>
      </c>
      <c r="B532">
        <v>8395</v>
      </c>
      <c r="C532" s="100">
        <v>46109</v>
      </c>
      <c r="D532" t="s">
        <v>49</v>
      </c>
      <c r="E532" t="s">
        <v>26</v>
      </c>
      <c r="F532" t="s">
        <v>744</v>
      </c>
      <c r="G532">
        <v>7325</v>
      </c>
      <c r="I532">
        <v>0</v>
      </c>
    </row>
    <row r="533" spans="1:10" x14ac:dyDescent="0.25">
      <c r="A533" s="210" t="s">
        <v>1532</v>
      </c>
      <c r="B533">
        <v>8395</v>
      </c>
      <c r="C533" s="100">
        <v>46109</v>
      </c>
      <c r="D533" t="s">
        <v>49</v>
      </c>
      <c r="E533" t="s">
        <v>26</v>
      </c>
      <c r="F533" t="s">
        <v>745</v>
      </c>
      <c r="G533">
        <v>2077</v>
      </c>
      <c r="I533">
        <v>0</v>
      </c>
    </row>
    <row r="534" spans="1:10" x14ac:dyDescent="0.25">
      <c r="A534" s="210" t="s">
        <v>1532</v>
      </c>
      <c r="B534">
        <v>8416</v>
      </c>
      <c r="C534" s="100">
        <v>46111</v>
      </c>
      <c r="D534" t="s">
        <v>49</v>
      </c>
      <c r="E534" t="s">
        <v>301</v>
      </c>
      <c r="F534" t="s">
        <v>501</v>
      </c>
      <c r="G534">
        <v>6416</v>
      </c>
      <c r="I534">
        <v>0</v>
      </c>
    </row>
    <row r="535" spans="1:10" x14ac:dyDescent="0.25">
      <c r="A535" s="210" t="s">
        <v>1532</v>
      </c>
      <c r="B535">
        <v>8416</v>
      </c>
      <c r="C535" s="100">
        <v>46111</v>
      </c>
      <c r="D535" t="s">
        <v>49</v>
      </c>
      <c r="E535" t="s">
        <v>43</v>
      </c>
      <c r="F535" t="s">
        <v>748</v>
      </c>
      <c r="G535">
        <v>1710</v>
      </c>
      <c r="I535">
        <v>0</v>
      </c>
    </row>
    <row r="536" spans="1:10" x14ac:dyDescent="0.25">
      <c r="A536" s="210" t="s">
        <v>1532</v>
      </c>
      <c r="B536">
        <v>8491</v>
      </c>
      <c r="C536" s="100">
        <v>46114</v>
      </c>
      <c r="D536" t="s">
        <v>49</v>
      </c>
      <c r="E536" t="s">
        <v>301</v>
      </c>
      <c r="F536" t="s">
        <v>466</v>
      </c>
      <c r="G536">
        <v>2544</v>
      </c>
      <c r="I536">
        <v>0</v>
      </c>
      <c r="J536" t="s">
        <v>775</v>
      </c>
    </row>
    <row r="537" spans="1:10" x14ac:dyDescent="0.25">
      <c r="A537" s="210" t="s">
        <v>1532</v>
      </c>
      <c r="B537">
        <v>8556</v>
      </c>
      <c r="C537" s="100">
        <v>46116</v>
      </c>
      <c r="D537" t="s">
        <v>49</v>
      </c>
      <c r="E537" t="s">
        <v>26</v>
      </c>
      <c r="F537" t="s">
        <v>776</v>
      </c>
      <c r="G537">
        <v>686</v>
      </c>
      <c r="I537">
        <v>0</v>
      </c>
      <c r="J537" t="s">
        <v>777</v>
      </c>
    </row>
    <row r="538" spans="1:10" x14ac:dyDescent="0.25">
      <c r="A538" s="210" t="s">
        <v>1532</v>
      </c>
      <c r="B538">
        <v>8556</v>
      </c>
      <c r="C538" s="100">
        <v>46116</v>
      </c>
      <c r="D538" t="s">
        <v>49</v>
      </c>
      <c r="E538" t="s">
        <v>26</v>
      </c>
      <c r="F538" t="s">
        <v>778</v>
      </c>
      <c r="G538">
        <v>424</v>
      </c>
      <c r="I538">
        <v>0</v>
      </c>
      <c r="J538" t="s">
        <v>779</v>
      </c>
    </row>
    <row r="539" spans="1:10" x14ac:dyDescent="0.25">
      <c r="A539" s="210" t="s">
        <v>1532</v>
      </c>
      <c r="B539">
        <v>8556</v>
      </c>
      <c r="C539" s="100">
        <v>46116</v>
      </c>
      <c r="D539" t="s">
        <v>49</v>
      </c>
      <c r="E539" t="s">
        <v>26</v>
      </c>
      <c r="F539" t="s">
        <v>780</v>
      </c>
      <c r="G539">
        <v>1466</v>
      </c>
      <c r="I539">
        <v>0</v>
      </c>
      <c r="J539" t="s">
        <v>781</v>
      </c>
    </row>
    <row r="540" spans="1:10" x14ac:dyDescent="0.25">
      <c r="A540" s="210" t="s">
        <v>1532</v>
      </c>
      <c r="B540">
        <v>8605</v>
      </c>
      <c r="C540" s="100">
        <v>46119</v>
      </c>
      <c r="D540" t="s">
        <v>49</v>
      </c>
      <c r="E540" t="s">
        <v>26</v>
      </c>
      <c r="F540" t="s">
        <v>782</v>
      </c>
      <c r="G540">
        <v>2473</v>
      </c>
      <c r="I540">
        <v>0</v>
      </c>
      <c r="J540" t="s">
        <v>783</v>
      </c>
    </row>
    <row r="541" spans="1:10" x14ac:dyDescent="0.25">
      <c r="A541" s="210" t="s">
        <v>1532</v>
      </c>
      <c r="B541">
        <v>8605</v>
      </c>
      <c r="C541" s="100">
        <v>46119</v>
      </c>
      <c r="D541" t="s">
        <v>49</v>
      </c>
      <c r="E541" t="s">
        <v>26</v>
      </c>
      <c r="F541" t="s">
        <v>782</v>
      </c>
      <c r="G541">
        <v>2251</v>
      </c>
      <c r="I541">
        <v>0</v>
      </c>
      <c r="J541" t="s">
        <v>784</v>
      </c>
    </row>
    <row r="542" spans="1:10" x14ac:dyDescent="0.25">
      <c r="A542" s="210" t="s">
        <v>1532</v>
      </c>
      <c r="B542">
        <v>8605</v>
      </c>
      <c r="C542" s="100">
        <v>46119</v>
      </c>
      <c r="D542" t="s">
        <v>49</v>
      </c>
      <c r="E542" t="s">
        <v>26</v>
      </c>
      <c r="F542" t="s">
        <v>785</v>
      </c>
      <c r="G542">
        <v>3319</v>
      </c>
      <c r="I542">
        <v>0</v>
      </c>
      <c r="J542" t="s">
        <v>786</v>
      </c>
    </row>
    <row r="543" spans="1:10" x14ac:dyDescent="0.25">
      <c r="A543" s="210" t="s">
        <v>1532</v>
      </c>
      <c r="B543">
        <v>8663</v>
      </c>
      <c r="C543" s="100">
        <v>46121</v>
      </c>
      <c r="D543" t="s">
        <v>49</v>
      </c>
      <c r="E543" t="s">
        <v>26</v>
      </c>
      <c r="F543" t="s">
        <v>788</v>
      </c>
      <c r="G543">
        <v>3945</v>
      </c>
      <c r="I543">
        <v>0</v>
      </c>
      <c r="J543" t="s">
        <v>789</v>
      </c>
    </row>
    <row r="544" spans="1:10" x14ac:dyDescent="0.25">
      <c r="A544" s="210" t="s">
        <v>1532</v>
      </c>
      <c r="B544">
        <v>8663</v>
      </c>
      <c r="C544" s="100">
        <v>46121</v>
      </c>
      <c r="D544" t="s">
        <v>49</v>
      </c>
      <c r="E544" t="s">
        <v>301</v>
      </c>
      <c r="F544" t="s">
        <v>466</v>
      </c>
      <c r="G544">
        <v>1536</v>
      </c>
      <c r="I544">
        <v>0</v>
      </c>
      <c r="J544" t="s">
        <v>790</v>
      </c>
    </row>
    <row r="545" spans="1:10" x14ac:dyDescent="0.25">
      <c r="A545" s="210" t="s">
        <v>1532</v>
      </c>
      <c r="B545">
        <v>8717</v>
      </c>
      <c r="C545" s="100">
        <v>46123</v>
      </c>
      <c r="D545" t="s">
        <v>49</v>
      </c>
      <c r="E545" t="s">
        <v>77</v>
      </c>
      <c r="F545" t="s">
        <v>791</v>
      </c>
      <c r="G545">
        <v>1937</v>
      </c>
      <c r="I545">
        <v>0</v>
      </c>
      <c r="J545" t="s">
        <v>792</v>
      </c>
    </row>
    <row r="546" spans="1:10" x14ac:dyDescent="0.25">
      <c r="A546" s="210" t="s">
        <v>1532</v>
      </c>
      <c r="B546">
        <v>8800</v>
      </c>
      <c r="C546" s="100">
        <v>46127</v>
      </c>
      <c r="D546" t="s">
        <v>49</v>
      </c>
      <c r="E546" t="s">
        <v>77</v>
      </c>
      <c r="F546" t="s">
        <v>793</v>
      </c>
      <c r="G546">
        <v>2344</v>
      </c>
      <c r="I546">
        <v>0</v>
      </c>
      <c r="J546" t="s">
        <v>789</v>
      </c>
    </row>
    <row r="547" spans="1:10" x14ac:dyDescent="0.25">
      <c r="A547" s="210" t="s">
        <v>1532</v>
      </c>
      <c r="B547">
        <v>8850</v>
      </c>
      <c r="C547" s="100">
        <v>46129</v>
      </c>
      <c r="D547" t="s">
        <v>49</v>
      </c>
      <c r="E547" t="s">
        <v>77</v>
      </c>
      <c r="F547" t="s">
        <v>794</v>
      </c>
      <c r="G547">
        <v>1242</v>
      </c>
      <c r="I547">
        <v>0</v>
      </c>
      <c r="J547" t="s">
        <v>795</v>
      </c>
    </row>
    <row r="548" spans="1:10" x14ac:dyDescent="0.25">
      <c r="A548" s="210" t="s">
        <v>1532</v>
      </c>
      <c r="B548">
        <v>8905</v>
      </c>
      <c r="C548" s="100">
        <v>46132</v>
      </c>
      <c r="D548" t="s">
        <v>49</v>
      </c>
      <c r="E548" t="s">
        <v>43</v>
      </c>
      <c r="F548" t="s">
        <v>1743</v>
      </c>
      <c r="G548">
        <v>1280</v>
      </c>
      <c r="I548">
        <v>0</v>
      </c>
      <c r="J548" t="s">
        <v>1744</v>
      </c>
    </row>
    <row r="549" spans="1:10" x14ac:dyDescent="0.25">
      <c r="A549" s="210" t="s">
        <v>1532</v>
      </c>
      <c r="B549">
        <v>8905</v>
      </c>
      <c r="C549" s="100">
        <v>46132</v>
      </c>
      <c r="D549" t="s">
        <v>49</v>
      </c>
      <c r="E549" t="s">
        <v>77</v>
      </c>
      <c r="F549" t="s">
        <v>794</v>
      </c>
      <c r="G549">
        <v>1340</v>
      </c>
      <c r="I549">
        <v>0</v>
      </c>
      <c r="J549" t="s">
        <v>1745</v>
      </c>
    </row>
    <row r="550" spans="1:10" x14ac:dyDescent="0.25">
      <c r="A550" s="210" t="s">
        <v>1532</v>
      </c>
      <c r="B550">
        <v>8905</v>
      </c>
      <c r="C550" s="100">
        <v>46132</v>
      </c>
      <c r="D550" t="s">
        <v>49</v>
      </c>
      <c r="E550" t="s">
        <v>77</v>
      </c>
      <c r="F550" t="s">
        <v>1746</v>
      </c>
      <c r="G550">
        <v>1322</v>
      </c>
      <c r="I550">
        <v>0</v>
      </c>
      <c r="J550" t="s">
        <v>1747</v>
      </c>
    </row>
    <row r="551" spans="1:10" x14ac:dyDescent="0.25">
      <c r="A551" s="210" t="s">
        <v>1532</v>
      </c>
      <c r="B551">
        <v>8905</v>
      </c>
      <c r="C551" s="100">
        <v>46132</v>
      </c>
      <c r="D551" t="s">
        <v>49</v>
      </c>
      <c r="E551" t="s">
        <v>77</v>
      </c>
      <c r="F551" t="s">
        <v>1748</v>
      </c>
      <c r="G551">
        <v>1375</v>
      </c>
      <c r="I551">
        <v>0</v>
      </c>
      <c r="J551" t="s">
        <v>1749</v>
      </c>
    </row>
    <row r="552" spans="1:10" x14ac:dyDescent="0.25">
      <c r="A552" s="210" t="s">
        <v>1532</v>
      </c>
      <c r="B552">
        <v>8905</v>
      </c>
      <c r="C552" s="100">
        <v>46132</v>
      </c>
      <c r="D552" t="s">
        <v>49</v>
      </c>
      <c r="E552" t="s">
        <v>77</v>
      </c>
      <c r="F552" t="s">
        <v>1750</v>
      </c>
      <c r="G552">
        <v>2388</v>
      </c>
      <c r="I552">
        <v>0</v>
      </c>
      <c r="J552" t="s">
        <v>1751</v>
      </c>
    </row>
    <row r="553" spans="1:10" x14ac:dyDescent="0.25">
      <c r="A553" s="210" t="s">
        <v>1532</v>
      </c>
      <c r="B553">
        <v>8950</v>
      </c>
      <c r="C553" s="100">
        <v>46135</v>
      </c>
      <c r="D553" t="s">
        <v>49</v>
      </c>
      <c r="E553" t="s">
        <v>729</v>
      </c>
      <c r="F553" t="s">
        <v>1773</v>
      </c>
      <c r="G553">
        <v>1057</v>
      </c>
      <c r="I553">
        <v>0</v>
      </c>
      <c r="J553" t="s">
        <v>1774</v>
      </c>
    </row>
    <row r="554" spans="1:10" x14ac:dyDescent="0.25">
      <c r="A554" s="210" t="s">
        <v>1532</v>
      </c>
      <c r="B554">
        <v>8950</v>
      </c>
      <c r="C554" s="100">
        <v>46135</v>
      </c>
      <c r="D554" t="s">
        <v>49</v>
      </c>
      <c r="E554" t="s">
        <v>729</v>
      </c>
      <c r="F554" t="s">
        <v>1775</v>
      </c>
      <c r="G554">
        <v>1235</v>
      </c>
      <c r="I554">
        <v>0</v>
      </c>
      <c r="J554" t="s">
        <v>1776</v>
      </c>
    </row>
    <row r="555" spans="1:10" x14ac:dyDescent="0.25">
      <c r="A555" s="210" t="s">
        <v>1532</v>
      </c>
      <c r="B555">
        <v>8950</v>
      </c>
      <c r="C555" s="100">
        <v>46135</v>
      </c>
      <c r="D555" t="s">
        <v>49</v>
      </c>
      <c r="E555" t="s">
        <v>729</v>
      </c>
      <c r="F555" t="s">
        <v>1777</v>
      </c>
      <c r="G555">
        <v>1045</v>
      </c>
      <c r="I555">
        <v>0</v>
      </c>
      <c r="J555" t="s">
        <v>597</v>
      </c>
    </row>
    <row r="556" spans="1:10" x14ac:dyDescent="0.25">
      <c r="A556" s="210" t="s">
        <v>1532</v>
      </c>
      <c r="B556">
        <v>8950</v>
      </c>
      <c r="C556" s="100">
        <v>46135</v>
      </c>
      <c r="D556" t="s">
        <v>49</v>
      </c>
      <c r="E556" t="s">
        <v>729</v>
      </c>
      <c r="F556" t="s">
        <v>1778</v>
      </c>
      <c r="G556">
        <v>706</v>
      </c>
      <c r="I556">
        <v>0</v>
      </c>
      <c r="J556" t="s">
        <v>1779</v>
      </c>
    </row>
    <row r="557" spans="1:10" x14ac:dyDescent="0.25">
      <c r="A557" s="210" t="s">
        <v>1532</v>
      </c>
      <c r="B557">
        <v>8950</v>
      </c>
      <c r="C557" s="100">
        <v>46135</v>
      </c>
      <c r="D557" t="s">
        <v>49</v>
      </c>
      <c r="E557" t="s">
        <v>729</v>
      </c>
      <c r="F557" t="s">
        <v>820</v>
      </c>
      <c r="G557">
        <v>2276</v>
      </c>
      <c r="I557">
        <v>0</v>
      </c>
      <c r="J557" t="s">
        <v>783</v>
      </c>
    </row>
    <row r="558" spans="1:10" x14ac:dyDescent="0.25">
      <c r="A558" s="210" t="s">
        <v>1532</v>
      </c>
      <c r="B558">
        <v>8951</v>
      </c>
      <c r="C558" s="100">
        <v>46135</v>
      </c>
      <c r="D558" t="s">
        <v>49</v>
      </c>
      <c r="E558" t="s">
        <v>753</v>
      </c>
      <c r="F558" t="s">
        <v>1780</v>
      </c>
      <c r="G558">
        <v>403</v>
      </c>
      <c r="I558">
        <v>0</v>
      </c>
      <c r="J558" t="s">
        <v>1781</v>
      </c>
    </row>
    <row r="559" spans="1:10" x14ac:dyDescent="0.25">
      <c r="A559" s="210" t="s">
        <v>1532</v>
      </c>
      <c r="B559">
        <v>8951</v>
      </c>
      <c r="C559" s="100">
        <v>46135</v>
      </c>
      <c r="D559" t="s">
        <v>49</v>
      </c>
      <c r="E559" t="s">
        <v>753</v>
      </c>
      <c r="F559" t="s">
        <v>1782</v>
      </c>
      <c r="G559">
        <v>1269</v>
      </c>
      <c r="I559">
        <v>0</v>
      </c>
      <c r="J559" t="s">
        <v>1783</v>
      </c>
    </row>
    <row r="560" spans="1:10" x14ac:dyDescent="0.25">
      <c r="A560" s="210" t="s">
        <v>1532</v>
      </c>
      <c r="B560">
        <v>8951</v>
      </c>
      <c r="C560" s="100">
        <v>46135</v>
      </c>
      <c r="D560" t="s">
        <v>49</v>
      </c>
      <c r="E560" t="s">
        <v>753</v>
      </c>
      <c r="F560" t="s">
        <v>1784</v>
      </c>
      <c r="G560">
        <v>452</v>
      </c>
      <c r="I560">
        <v>0</v>
      </c>
      <c r="J560" t="s">
        <v>1785</v>
      </c>
    </row>
    <row r="561" spans="1:10" x14ac:dyDescent="0.25">
      <c r="A561" s="210" t="s">
        <v>1532</v>
      </c>
      <c r="B561">
        <v>8951</v>
      </c>
      <c r="C561" s="100">
        <v>46135</v>
      </c>
      <c r="D561" t="s">
        <v>49</v>
      </c>
      <c r="E561" t="s">
        <v>753</v>
      </c>
      <c r="F561" t="s">
        <v>1786</v>
      </c>
      <c r="G561">
        <v>696</v>
      </c>
      <c r="I561">
        <v>0</v>
      </c>
      <c r="J561" t="s">
        <v>1787</v>
      </c>
    </row>
    <row r="562" spans="1:10" x14ac:dyDescent="0.25">
      <c r="A562" s="210" t="s">
        <v>1532</v>
      </c>
      <c r="B562">
        <v>9091</v>
      </c>
      <c r="C562" s="100">
        <v>46140</v>
      </c>
      <c r="D562" t="s">
        <v>49</v>
      </c>
      <c r="E562" t="s">
        <v>26</v>
      </c>
      <c r="F562" t="s">
        <v>1870</v>
      </c>
      <c r="G562">
        <v>3840</v>
      </c>
      <c r="I562">
        <v>0</v>
      </c>
      <c r="J562" t="s">
        <v>1871</v>
      </c>
    </row>
    <row r="563" spans="1:10" x14ac:dyDescent="0.25">
      <c r="A563" s="210" t="s">
        <v>1532</v>
      </c>
      <c r="B563">
        <v>9091</v>
      </c>
      <c r="C563" s="100">
        <v>46140</v>
      </c>
      <c r="D563" t="s">
        <v>49</v>
      </c>
      <c r="E563" t="s">
        <v>26</v>
      </c>
      <c r="F563" t="s">
        <v>40</v>
      </c>
      <c r="G563">
        <v>1406</v>
      </c>
      <c r="I563">
        <v>0</v>
      </c>
      <c r="J563" t="s">
        <v>475</v>
      </c>
    </row>
    <row r="564" spans="1:10" x14ac:dyDescent="0.25">
      <c r="A564" s="210" t="s">
        <v>1532</v>
      </c>
      <c r="B564">
        <v>9139</v>
      </c>
      <c r="C564" s="100">
        <v>46146</v>
      </c>
      <c r="D564" t="s">
        <v>49</v>
      </c>
      <c r="E564" t="s">
        <v>301</v>
      </c>
      <c r="F564" t="s">
        <v>78</v>
      </c>
      <c r="G564">
        <v>3520</v>
      </c>
      <c r="I564">
        <v>0</v>
      </c>
      <c r="J564" t="s">
        <v>1918</v>
      </c>
    </row>
    <row r="565" spans="1:10" x14ac:dyDescent="0.25">
      <c r="A565" s="210" t="s">
        <v>1532</v>
      </c>
      <c r="B565">
        <v>9139</v>
      </c>
      <c r="C565" s="100">
        <v>46146</v>
      </c>
      <c r="D565" t="s">
        <v>49</v>
      </c>
      <c r="E565" t="s">
        <v>45</v>
      </c>
      <c r="F565" t="s">
        <v>1919</v>
      </c>
      <c r="G565">
        <v>1301</v>
      </c>
      <c r="I565">
        <v>0</v>
      </c>
    </row>
    <row r="566" spans="1:10" x14ac:dyDescent="0.25">
      <c r="A566" s="210" t="s">
        <v>1532</v>
      </c>
      <c r="B566">
        <v>9139</v>
      </c>
      <c r="C566" s="100">
        <v>46146</v>
      </c>
      <c r="D566" t="s">
        <v>49</v>
      </c>
      <c r="E566" t="s">
        <v>192</v>
      </c>
      <c r="F566" t="s">
        <v>793</v>
      </c>
      <c r="G566">
        <v>2859</v>
      </c>
      <c r="I566">
        <v>0</v>
      </c>
    </row>
    <row r="567" spans="1:10" x14ac:dyDescent="0.25">
      <c r="A567" s="210" t="s">
        <v>1532</v>
      </c>
      <c r="B567">
        <v>9139</v>
      </c>
      <c r="C567" s="100">
        <v>46146</v>
      </c>
      <c r="D567" t="s">
        <v>49</v>
      </c>
      <c r="E567" t="s">
        <v>26</v>
      </c>
      <c r="F567" t="s">
        <v>1920</v>
      </c>
      <c r="G567">
        <v>628</v>
      </c>
      <c r="I567">
        <v>0</v>
      </c>
    </row>
    <row r="568" spans="1:10" x14ac:dyDescent="0.25">
      <c r="A568" s="210" t="s">
        <v>1532</v>
      </c>
      <c r="B568">
        <v>44863</v>
      </c>
      <c r="C568" s="100">
        <v>46146</v>
      </c>
      <c r="D568" t="s">
        <v>426</v>
      </c>
      <c r="E568" t="s">
        <v>77</v>
      </c>
      <c r="F568" t="s">
        <v>1176</v>
      </c>
      <c r="G568">
        <v>340</v>
      </c>
      <c r="I568">
        <v>0</v>
      </c>
    </row>
    <row r="569" spans="1:10" x14ac:dyDescent="0.25">
      <c r="A569" s="210" t="s">
        <v>1532</v>
      </c>
      <c r="B569">
        <v>9298</v>
      </c>
      <c r="C569" s="100">
        <v>46153</v>
      </c>
      <c r="D569" t="s">
        <v>49</v>
      </c>
      <c r="E569" t="s">
        <v>301</v>
      </c>
      <c r="F569" t="s">
        <v>81</v>
      </c>
      <c r="G569">
        <v>7247</v>
      </c>
      <c r="I569">
        <v>0</v>
      </c>
      <c r="J569" t="s">
        <v>2047</v>
      </c>
    </row>
    <row r="570" spans="1:10" x14ac:dyDescent="0.25">
      <c r="A570" s="210" t="s">
        <v>1532</v>
      </c>
      <c r="B570">
        <v>9328</v>
      </c>
      <c r="C570" s="100">
        <v>46154</v>
      </c>
      <c r="D570" t="s">
        <v>49</v>
      </c>
      <c r="E570" t="s">
        <v>301</v>
      </c>
      <c r="F570" t="s">
        <v>2148</v>
      </c>
      <c r="G570">
        <v>9568</v>
      </c>
      <c r="I570">
        <v>0</v>
      </c>
      <c r="J570" t="s">
        <v>2047</v>
      </c>
    </row>
    <row r="571" spans="1:10" x14ac:dyDescent="0.25">
      <c r="A571" s="210" t="s">
        <v>1532</v>
      </c>
      <c r="B571">
        <v>45744</v>
      </c>
      <c r="C571" s="100">
        <v>46165</v>
      </c>
      <c r="D571" t="s">
        <v>84</v>
      </c>
      <c r="E571" t="s">
        <v>301</v>
      </c>
      <c r="F571" t="s">
        <v>941</v>
      </c>
      <c r="G571">
        <v>2093</v>
      </c>
      <c r="I571">
        <v>0</v>
      </c>
    </row>
    <row r="572" spans="1:10" x14ac:dyDescent="0.25">
      <c r="A572" s="210" t="s">
        <v>1532</v>
      </c>
      <c r="B572">
        <v>45744</v>
      </c>
      <c r="C572" s="100">
        <v>46165</v>
      </c>
      <c r="D572" t="s">
        <v>84</v>
      </c>
      <c r="E572" t="s">
        <v>26</v>
      </c>
      <c r="F572" t="s">
        <v>816</v>
      </c>
      <c r="G572">
        <v>1674</v>
      </c>
      <c r="I572">
        <v>0</v>
      </c>
    </row>
    <row r="573" spans="1:10" x14ac:dyDescent="0.25">
      <c r="A573" s="210" t="s">
        <v>1532</v>
      </c>
      <c r="B573">
        <v>45744</v>
      </c>
      <c r="C573" s="100">
        <v>46165</v>
      </c>
      <c r="D573" t="s">
        <v>84</v>
      </c>
      <c r="E573" t="s">
        <v>801</v>
      </c>
      <c r="G573">
        <v>681</v>
      </c>
      <c r="I573">
        <v>0</v>
      </c>
    </row>
    <row r="574" spans="1:10" x14ac:dyDescent="0.25">
      <c r="A574" s="210" t="s">
        <v>1532</v>
      </c>
      <c r="B574">
        <v>9578</v>
      </c>
      <c r="C574" s="100">
        <v>46165</v>
      </c>
      <c r="D574" t="s">
        <v>49</v>
      </c>
      <c r="E574" t="s">
        <v>301</v>
      </c>
      <c r="F574" t="s">
        <v>2321</v>
      </c>
      <c r="G574">
        <v>1125</v>
      </c>
      <c r="I574">
        <v>0</v>
      </c>
      <c r="J574" t="s">
        <v>2322</v>
      </c>
    </row>
    <row r="575" spans="1:10" x14ac:dyDescent="0.25">
      <c r="A575" s="210" t="s">
        <v>1532</v>
      </c>
      <c r="B575">
        <v>9578</v>
      </c>
      <c r="C575" s="100">
        <v>46165</v>
      </c>
      <c r="D575" t="s">
        <v>49</v>
      </c>
      <c r="E575" t="s">
        <v>301</v>
      </c>
      <c r="F575" t="s">
        <v>465</v>
      </c>
      <c r="G575">
        <v>922</v>
      </c>
      <c r="I575">
        <v>0</v>
      </c>
      <c r="J575" t="s">
        <v>2323</v>
      </c>
    </row>
    <row r="576" spans="1:10" x14ac:dyDescent="0.25">
      <c r="A576" s="210" t="s">
        <v>1532</v>
      </c>
      <c r="B576">
        <v>9578</v>
      </c>
      <c r="C576" s="100">
        <v>46165</v>
      </c>
      <c r="D576" t="s">
        <v>49</v>
      </c>
      <c r="E576" t="s">
        <v>301</v>
      </c>
      <c r="F576" t="s">
        <v>2324</v>
      </c>
      <c r="G576">
        <v>1320</v>
      </c>
      <c r="I576">
        <v>0</v>
      </c>
      <c r="J576" t="s">
        <v>2325</v>
      </c>
    </row>
    <row r="577" spans="1:10" x14ac:dyDescent="0.25">
      <c r="A577" s="210" t="s">
        <v>1532</v>
      </c>
      <c r="B577">
        <v>9578</v>
      </c>
      <c r="C577" s="100">
        <v>46165</v>
      </c>
      <c r="D577" t="s">
        <v>49</v>
      </c>
      <c r="E577" t="s">
        <v>301</v>
      </c>
      <c r="F577" t="s">
        <v>2326</v>
      </c>
      <c r="G577">
        <v>4274</v>
      </c>
      <c r="I577">
        <v>0</v>
      </c>
      <c r="J577" t="s">
        <v>2327</v>
      </c>
    </row>
    <row r="578" spans="1:10" x14ac:dyDescent="0.25">
      <c r="A578" s="210" t="s">
        <v>1532</v>
      </c>
      <c r="B578">
        <v>9653</v>
      </c>
      <c r="C578" s="100">
        <v>46169</v>
      </c>
      <c r="D578" t="s">
        <v>49</v>
      </c>
      <c r="E578" t="s">
        <v>301</v>
      </c>
      <c r="F578" t="s">
        <v>606</v>
      </c>
      <c r="G578">
        <v>8522</v>
      </c>
      <c r="I578">
        <v>0</v>
      </c>
      <c r="J578" t="s">
        <v>2484</v>
      </c>
    </row>
    <row r="579" spans="1:10" x14ac:dyDescent="0.25">
      <c r="A579" s="210" t="s">
        <v>1532</v>
      </c>
      <c r="B579">
        <v>9653</v>
      </c>
      <c r="C579" s="100">
        <v>46169</v>
      </c>
      <c r="D579" t="s">
        <v>49</v>
      </c>
      <c r="E579" t="s">
        <v>26</v>
      </c>
      <c r="F579" t="s">
        <v>2485</v>
      </c>
      <c r="G579">
        <v>960</v>
      </c>
      <c r="I579">
        <v>0</v>
      </c>
      <c r="J579" t="s">
        <v>2486</v>
      </c>
    </row>
    <row r="580" spans="1:10" x14ac:dyDescent="0.25">
      <c r="A580" s="210" t="s">
        <v>1532</v>
      </c>
      <c r="B580">
        <v>45882</v>
      </c>
      <c r="C580" s="100">
        <v>46169</v>
      </c>
      <c r="D580" t="s">
        <v>84</v>
      </c>
      <c r="E580" t="s">
        <v>301</v>
      </c>
      <c r="F580" t="s">
        <v>941</v>
      </c>
      <c r="G580">
        <v>3585</v>
      </c>
      <c r="I580">
        <v>0</v>
      </c>
    </row>
    <row r="581" spans="1:10" x14ac:dyDescent="0.25">
      <c r="A581" s="210" t="s">
        <v>1532</v>
      </c>
      <c r="B581">
        <v>9693</v>
      </c>
      <c r="C581" s="100">
        <v>46171</v>
      </c>
      <c r="D581" t="s">
        <v>13</v>
      </c>
      <c r="E581" t="s">
        <v>43</v>
      </c>
      <c r="F581" t="s">
        <v>740</v>
      </c>
      <c r="G581">
        <v>580</v>
      </c>
      <c r="I581">
        <v>0</v>
      </c>
    </row>
    <row r="582" spans="1:10" x14ac:dyDescent="0.25">
      <c r="A582" s="210" t="s">
        <v>1532</v>
      </c>
      <c r="B582">
        <v>45985</v>
      </c>
      <c r="C582" s="100">
        <v>46171</v>
      </c>
      <c r="D582" t="s">
        <v>84</v>
      </c>
      <c r="E582" t="s">
        <v>301</v>
      </c>
      <c r="F582" t="s">
        <v>2520</v>
      </c>
      <c r="G582">
        <v>924</v>
      </c>
      <c r="I582">
        <v>0</v>
      </c>
    </row>
    <row r="583" spans="1:10" x14ac:dyDescent="0.25">
      <c r="A583" s="210" t="s">
        <v>1532</v>
      </c>
      <c r="B583">
        <v>45985</v>
      </c>
      <c r="C583" s="100">
        <v>46171</v>
      </c>
      <c r="D583" t="s">
        <v>84</v>
      </c>
      <c r="E583" t="s">
        <v>301</v>
      </c>
      <c r="F583" t="s">
        <v>796</v>
      </c>
      <c r="G583">
        <v>1200</v>
      </c>
      <c r="I583">
        <v>0</v>
      </c>
    </row>
    <row r="584" spans="1:10" x14ac:dyDescent="0.25">
      <c r="A584" s="210" t="s">
        <v>1532</v>
      </c>
      <c r="B584">
        <v>45985</v>
      </c>
      <c r="C584" s="100">
        <v>46171</v>
      </c>
      <c r="D584" t="s">
        <v>84</v>
      </c>
      <c r="E584" t="s">
        <v>301</v>
      </c>
      <c r="F584" t="s">
        <v>1176</v>
      </c>
      <c r="G584">
        <v>1872</v>
      </c>
      <c r="I584">
        <v>0</v>
      </c>
    </row>
    <row r="585" spans="1:10" x14ac:dyDescent="0.25">
      <c r="A585" s="210" t="s">
        <v>1532</v>
      </c>
      <c r="B585">
        <v>45985</v>
      </c>
      <c r="C585" s="100">
        <v>46171</v>
      </c>
      <c r="D585" t="s">
        <v>84</v>
      </c>
      <c r="E585" t="s">
        <v>301</v>
      </c>
      <c r="F585" t="s">
        <v>1176</v>
      </c>
      <c r="G585">
        <v>1186</v>
      </c>
      <c r="I585">
        <v>0</v>
      </c>
    </row>
    <row r="586" spans="1:10" x14ac:dyDescent="0.25">
      <c r="A586" s="210" t="s">
        <v>1532</v>
      </c>
      <c r="B586">
        <v>45985</v>
      </c>
      <c r="C586" s="100">
        <v>46171</v>
      </c>
      <c r="D586" t="s">
        <v>84</v>
      </c>
      <c r="E586" t="s">
        <v>301</v>
      </c>
      <c r="G586">
        <v>341</v>
      </c>
      <c r="I586">
        <v>0</v>
      </c>
    </row>
    <row r="587" spans="1:10" x14ac:dyDescent="0.25">
      <c r="A587" s="210" t="s">
        <v>1532</v>
      </c>
      <c r="B587">
        <v>21949</v>
      </c>
      <c r="C587" s="100">
        <v>46141</v>
      </c>
      <c r="D587" t="s">
        <v>84</v>
      </c>
      <c r="G587">
        <v>2950</v>
      </c>
      <c r="I587">
        <v>0</v>
      </c>
    </row>
    <row r="588" spans="1:10" x14ac:dyDescent="0.25">
      <c r="A588" s="210" t="s">
        <v>1532</v>
      </c>
      <c r="B588">
        <v>7646</v>
      </c>
      <c r="C588" s="100">
        <v>46065</v>
      </c>
      <c r="D588" t="s">
        <v>49</v>
      </c>
      <c r="E588" t="s">
        <v>753</v>
      </c>
      <c r="F588" t="s">
        <v>2566</v>
      </c>
      <c r="G588">
        <v>7260</v>
      </c>
      <c r="I588">
        <v>0</v>
      </c>
    </row>
    <row r="589" spans="1:10" x14ac:dyDescent="0.25">
      <c r="A589" s="210" t="s">
        <v>1532</v>
      </c>
      <c r="B589">
        <v>7766</v>
      </c>
      <c r="C589" s="100">
        <v>46081</v>
      </c>
      <c r="D589" t="s">
        <v>49</v>
      </c>
      <c r="E589" t="s">
        <v>301</v>
      </c>
      <c r="F589" t="s">
        <v>2577</v>
      </c>
      <c r="G589">
        <v>4716</v>
      </c>
      <c r="I589">
        <v>0</v>
      </c>
    </row>
    <row r="590" spans="1:10" x14ac:dyDescent="0.25">
      <c r="A590" s="210" t="s">
        <v>1534</v>
      </c>
      <c r="B590">
        <v>8557</v>
      </c>
      <c r="C590" s="100">
        <v>46116</v>
      </c>
      <c r="D590" t="s">
        <v>49</v>
      </c>
      <c r="E590" t="s">
        <v>26</v>
      </c>
      <c r="F590" t="s">
        <v>825</v>
      </c>
      <c r="G590">
        <v>1202</v>
      </c>
      <c r="I590">
        <v>0</v>
      </c>
      <c r="J590" t="s">
        <v>826</v>
      </c>
    </row>
    <row r="591" spans="1:10" x14ac:dyDescent="0.25">
      <c r="A591" s="210" t="s">
        <v>1536</v>
      </c>
      <c r="B591">
        <v>9647</v>
      </c>
      <c r="C591" s="100">
        <v>46169</v>
      </c>
      <c r="D591" t="s">
        <v>13</v>
      </c>
      <c r="E591" t="s">
        <v>17</v>
      </c>
      <c r="F591" t="s">
        <v>78</v>
      </c>
      <c r="G591">
        <v>16</v>
      </c>
      <c r="I591">
        <v>0</v>
      </c>
    </row>
    <row r="592" spans="1:10" x14ac:dyDescent="0.25">
      <c r="A592" s="210" t="s">
        <v>1552</v>
      </c>
      <c r="B592">
        <v>9676</v>
      </c>
      <c r="C592" s="100">
        <v>46170</v>
      </c>
      <c r="D592" t="s">
        <v>426</v>
      </c>
      <c r="E592" t="s">
        <v>50</v>
      </c>
      <c r="F592" t="s">
        <v>250</v>
      </c>
      <c r="G592">
        <v>196</v>
      </c>
      <c r="I592">
        <v>0</v>
      </c>
    </row>
    <row r="593" spans="1:10" x14ac:dyDescent="0.25">
      <c r="A593" s="210" t="s">
        <v>1556</v>
      </c>
      <c r="B593">
        <v>9156</v>
      </c>
      <c r="C593" s="100">
        <v>46146</v>
      </c>
      <c r="D593" t="s">
        <v>13</v>
      </c>
      <c r="E593" t="s">
        <v>26</v>
      </c>
      <c r="F593" t="s">
        <v>797</v>
      </c>
      <c r="G593">
        <v>936</v>
      </c>
      <c r="I593">
        <v>0</v>
      </c>
    </row>
    <row r="594" spans="1:10" x14ac:dyDescent="0.25">
      <c r="A594" s="210" t="s">
        <v>1556</v>
      </c>
      <c r="B594">
        <v>9156</v>
      </c>
      <c r="C594" s="100">
        <v>46146</v>
      </c>
      <c r="D594" t="s">
        <v>13</v>
      </c>
      <c r="E594" t="s">
        <v>26</v>
      </c>
      <c r="F594" t="s">
        <v>1926</v>
      </c>
      <c r="G594">
        <v>1172</v>
      </c>
      <c r="I594">
        <v>0</v>
      </c>
    </row>
    <row r="595" spans="1:10" x14ac:dyDescent="0.25">
      <c r="A595" s="210" t="s">
        <v>1579</v>
      </c>
      <c r="B595">
        <v>9514</v>
      </c>
      <c r="C595" s="100">
        <v>46162</v>
      </c>
      <c r="D595" t="s">
        <v>13</v>
      </c>
      <c r="E595" t="s">
        <v>43</v>
      </c>
      <c r="F595" t="s">
        <v>271</v>
      </c>
      <c r="G595">
        <v>5840</v>
      </c>
      <c r="I595">
        <v>0</v>
      </c>
    </row>
    <row r="596" spans="1:10" x14ac:dyDescent="0.25">
      <c r="A596" s="210" t="s">
        <v>1643</v>
      </c>
      <c r="B596">
        <v>8548</v>
      </c>
      <c r="C596" s="100">
        <v>46116</v>
      </c>
      <c r="D596" t="s">
        <v>49</v>
      </c>
      <c r="E596" t="s">
        <v>45</v>
      </c>
      <c r="F596" t="s">
        <v>462</v>
      </c>
      <c r="G596">
        <v>5656</v>
      </c>
      <c r="I596">
        <v>0</v>
      </c>
      <c r="J596" t="s">
        <v>1036</v>
      </c>
    </row>
    <row r="597" spans="1:10" x14ac:dyDescent="0.25">
      <c r="A597" s="210" t="s">
        <v>1643</v>
      </c>
      <c r="B597">
        <v>8627</v>
      </c>
      <c r="C597" s="100">
        <v>46120</v>
      </c>
      <c r="D597" t="s">
        <v>49</v>
      </c>
      <c r="E597" t="s">
        <v>45</v>
      </c>
      <c r="F597" t="s">
        <v>215</v>
      </c>
      <c r="G597">
        <v>966</v>
      </c>
      <c r="I597">
        <v>0</v>
      </c>
      <c r="J597" t="s">
        <v>1037</v>
      </c>
    </row>
    <row r="598" spans="1:10" x14ac:dyDescent="0.25">
      <c r="A598" s="210" t="s">
        <v>1643</v>
      </c>
      <c r="B598">
        <v>8834</v>
      </c>
      <c r="C598" s="100">
        <v>46128</v>
      </c>
      <c r="D598" t="s">
        <v>49</v>
      </c>
      <c r="E598" t="s">
        <v>27</v>
      </c>
      <c r="F598" t="s">
        <v>705</v>
      </c>
      <c r="G598">
        <v>122</v>
      </c>
      <c r="I598">
        <v>0</v>
      </c>
      <c r="J598" t="s">
        <v>1038</v>
      </c>
    </row>
    <row r="599" spans="1:10" x14ac:dyDescent="0.25">
      <c r="A599" s="210" t="s">
        <v>1643</v>
      </c>
      <c r="B599">
        <v>9276</v>
      </c>
      <c r="C599" s="100">
        <v>46151</v>
      </c>
      <c r="D599" t="s">
        <v>49</v>
      </c>
      <c r="E599" t="s">
        <v>50</v>
      </c>
      <c r="F599" t="s">
        <v>1255</v>
      </c>
      <c r="G599">
        <v>122</v>
      </c>
      <c r="I599">
        <v>0</v>
      </c>
      <c r="J599" t="s">
        <v>1993</v>
      </c>
    </row>
    <row r="600" spans="1:10" x14ac:dyDescent="0.25">
      <c r="A600" s="210" t="s">
        <v>1643</v>
      </c>
      <c r="B600">
        <v>9710</v>
      </c>
      <c r="C600" s="100">
        <v>46172</v>
      </c>
      <c r="D600" t="s">
        <v>49</v>
      </c>
      <c r="E600" t="s">
        <v>26</v>
      </c>
      <c r="F600" t="s">
        <v>2525</v>
      </c>
      <c r="G600">
        <v>710</v>
      </c>
      <c r="I600">
        <v>0</v>
      </c>
      <c r="J600" t="s">
        <v>2526</v>
      </c>
    </row>
    <row r="601" spans="1:10" x14ac:dyDescent="0.25">
      <c r="A601" s="210" t="s">
        <v>1643</v>
      </c>
      <c r="C601" s="100">
        <v>46172</v>
      </c>
      <c r="D601" t="s">
        <v>84</v>
      </c>
      <c r="E601" t="s">
        <v>26</v>
      </c>
      <c r="F601" t="s">
        <v>2525</v>
      </c>
      <c r="G601">
        <v>377</v>
      </c>
      <c r="I601">
        <v>0</v>
      </c>
    </row>
    <row r="602" spans="1:10" x14ac:dyDescent="0.25">
      <c r="A602" s="210" t="s">
        <v>1643</v>
      </c>
      <c r="C602" s="100">
        <v>46172</v>
      </c>
      <c r="D602" t="s">
        <v>426</v>
      </c>
      <c r="E602" t="s">
        <v>26</v>
      </c>
      <c r="F602" t="s">
        <v>2525</v>
      </c>
      <c r="G602">
        <v>332</v>
      </c>
      <c r="I602">
        <v>0</v>
      </c>
    </row>
    <row r="603" spans="1:10" x14ac:dyDescent="0.25">
      <c r="A603" s="210" t="s">
        <v>1643</v>
      </c>
      <c r="B603">
        <v>7765</v>
      </c>
      <c r="C603" s="100">
        <v>46081</v>
      </c>
      <c r="D603" t="s">
        <v>49</v>
      </c>
      <c r="E603" t="s">
        <v>45</v>
      </c>
      <c r="F603" t="s">
        <v>2576</v>
      </c>
      <c r="G603">
        <v>476</v>
      </c>
      <c r="I603">
        <v>0</v>
      </c>
    </row>
    <row r="604" spans="1:10" x14ac:dyDescent="0.25">
      <c r="A604" s="210" t="s">
        <v>1590</v>
      </c>
      <c r="B604">
        <v>9481</v>
      </c>
      <c r="C604" s="100">
        <v>46161</v>
      </c>
      <c r="D604" t="s">
        <v>49</v>
      </c>
      <c r="E604" t="s">
        <v>50</v>
      </c>
      <c r="F604" t="s">
        <v>1127</v>
      </c>
      <c r="G604">
        <v>564</v>
      </c>
      <c r="I604">
        <v>0</v>
      </c>
    </row>
    <row r="605" spans="1:10" x14ac:dyDescent="0.25">
      <c r="A605" s="210" t="s">
        <v>1592</v>
      </c>
      <c r="B605">
        <v>7891</v>
      </c>
      <c r="C605" s="100">
        <v>46087</v>
      </c>
      <c r="D605" t="s">
        <v>49</v>
      </c>
      <c r="E605" t="s">
        <v>43</v>
      </c>
      <c r="F605" t="s">
        <v>78</v>
      </c>
      <c r="G605">
        <v>532</v>
      </c>
      <c r="I605">
        <v>0</v>
      </c>
    </row>
    <row r="606" spans="1:10" x14ac:dyDescent="0.25">
      <c r="A606" s="210" t="s">
        <v>1592</v>
      </c>
      <c r="B606">
        <v>8139</v>
      </c>
      <c r="C606" s="100">
        <v>46098</v>
      </c>
      <c r="D606" t="s">
        <v>49</v>
      </c>
      <c r="E606" t="s">
        <v>43</v>
      </c>
      <c r="F606" t="s">
        <v>283</v>
      </c>
      <c r="G606">
        <v>5208</v>
      </c>
      <c r="I606">
        <v>0</v>
      </c>
    </row>
    <row r="607" spans="1:10" x14ac:dyDescent="0.25">
      <c r="A607" s="210" t="s">
        <v>1592</v>
      </c>
      <c r="B607">
        <v>8139</v>
      </c>
      <c r="C607" s="100">
        <v>46098</v>
      </c>
      <c r="D607" t="s">
        <v>49</v>
      </c>
      <c r="E607" t="s">
        <v>43</v>
      </c>
      <c r="F607" t="s">
        <v>62</v>
      </c>
      <c r="G607">
        <v>2030</v>
      </c>
      <c r="I607">
        <v>0</v>
      </c>
    </row>
    <row r="608" spans="1:10" x14ac:dyDescent="0.25">
      <c r="A608" s="210" t="s">
        <v>1592</v>
      </c>
      <c r="B608">
        <v>8224</v>
      </c>
      <c r="C608" s="100">
        <v>46104</v>
      </c>
      <c r="D608" t="s">
        <v>49</v>
      </c>
      <c r="E608" t="s">
        <v>43</v>
      </c>
      <c r="F608" t="s">
        <v>62</v>
      </c>
      <c r="G608">
        <v>2474</v>
      </c>
      <c r="I608">
        <v>0</v>
      </c>
    </row>
    <row r="609" spans="1:10" x14ac:dyDescent="0.25">
      <c r="A609" s="210" t="s">
        <v>1592</v>
      </c>
      <c r="B609">
        <v>8430</v>
      </c>
      <c r="C609" s="100">
        <v>46112</v>
      </c>
      <c r="D609" t="s">
        <v>49</v>
      </c>
      <c r="E609" t="s">
        <v>77</v>
      </c>
      <c r="F609" t="s">
        <v>78</v>
      </c>
      <c r="G609">
        <v>1374</v>
      </c>
      <c r="I609">
        <v>0</v>
      </c>
    </row>
    <row r="610" spans="1:10" x14ac:dyDescent="0.25">
      <c r="A610" s="210" t="s">
        <v>1592</v>
      </c>
      <c r="B610">
        <v>8478</v>
      </c>
      <c r="C610" s="100">
        <v>46113</v>
      </c>
      <c r="D610" t="s">
        <v>49</v>
      </c>
      <c r="E610" t="s">
        <v>43</v>
      </c>
      <c r="F610" t="s">
        <v>136</v>
      </c>
      <c r="G610">
        <v>5547</v>
      </c>
      <c r="I610">
        <v>0</v>
      </c>
      <c r="J610" t="s">
        <v>1053</v>
      </c>
    </row>
    <row r="611" spans="1:10" x14ac:dyDescent="0.25">
      <c r="A611" s="210" t="s">
        <v>1592</v>
      </c>
      <c r="B611">
        <v>8532</v>
      </c>
      <c r="C611" s="100">
        <v>46115</v>
      </c>
      <c r="D611" t="s">
        <v>49</v>
      </c>
      <c r="E611" t="s">
        <v>77</v>
      </c>
      <c r="F611" t="s">
        <v>78</v>
      </c>
      <c r="G611">
        <v>550</v>
      </c>
      <c r="I611">
        <v>0</v>
      </c>
      <c r="J611" t="s">
        <v>1055</v>
      </c>
    </row>
    <row r="612" spans="1:10" x14ac:dyDescent="0.25">
      <c r="A612" s="210" t="s">
        <v>1592</v>
      </c>
      <c r="B612">
        <v>8640</v>
      </c>
      <c r="C612" s="100">
        <v>46121</v>
      </c>
      <c r="D612" t="s">
        <v>49</v>
      </c>
      <c r="E612" t="s">
        <v>45</v>
      </c>
      <c r="F612" t="s">
        <v>215</v>
      </c>
      <c r="G612">
        <v>1178</v>
      </c>
      <c r="I612">
        <v>0</v>
      </c>
      <c r="J612" t="s">
        <v>1056</v>
      </c>
    </row>
    <row r="613" spans="1:10" x14ac:dyDescent="0.25">
      <c r="A613" s="210" t="s">
        <v>1592</v>
      </c>
      <c r="B613">
        <v>8742</v>
      </c>
      <c r="C613" s="100">
        <v>46125</v>
      </c>
      <c r="D613" t="s">
        <v>49</v>
      </c>
      <c r="E613" t="s">
        <v>77</v>
      </c>
      <c r="F613" t="s">
        <v>345</v>
      </c>
      <c r="G613">
        <v>1500</v>
      </c>
      <c r="I613">
        <v>0</v>
      </c>
      <c r="J613" t="s">
        <v>1057</v>
      </c>
    </row>
    <row r="614" spans="1:10" x14ac:dyDescent="0.25">
      <c r="A614" s="210" t="s">
        <v>1592</v>
      </c>
      <c r="B614">
        <v>8742</v>
      </c>
      <c r="C614" s="100">
        <v>46125</v>
      </c>
      <c r="D614" t="s">
        <v>49</v>
      </c>
      <c r="E614" t="s">
        <v>77</v>
      </c>
      <c r="F614" t="s">
        <v>661</v>
      </c>
      <c r="G614">
        <v>840</v>
      </c>
      <c r="I614">
        <v>0</v>
      </c>
      <c r="J614" t="s">
        <v>1058</v>
      </c>
    </row>
    <row r="615" spans="1:10" x14ac:dyDescent="0.25">
      <c r="A615" s="210" t="s">
        <v>1592</v>
      </c>
      <c r="B615">
        <v>8742</v>
      </c>
      <c r="C615" s="100">
        <v>46125</v>
      </c>
      <c r="D615" t="s">
        <v>49</v>
      </c>
      <c r="E615" t="s">
        <v>77</v>
      </c>
      <c r="F615" t="s">
        <v>346</v>
      </c>
      <c r="G615">
        <v>1040</v>
      </c>
      <c r="I615">
        <v>0</v>
      </c>
      <c r="J615" t="s">
        <v>1058</v>
      </c>
    </row>
    <row r="616" spans="1:10" x14ac:dyDescent="0.25">
      <c r="A616" s="210" t="s">
        <v>1592</v>
      </c>
      <c r="B616">
        <v>8774</v>
      </c>
      <c r="C616" s="100">
        <v>46126</v>
      </c>
      <c r="D616" t="s">
        <v>49</v>
      </c>
      <c r="E616" t="s">
        <v>43</v>
      </c>
      <c r="F616" t="s">
        <v>62</v>
      </c>
      <c r="G616">
        <v>2760</v>
      </c>
      <c r="I616">
        <v>0</v>
      </c>
      <c r="J616" t="s">
        <v>1059</v>
      </c>
    </row>
    <row r="617" spans="1:10" x14ac:dyDescent="0.25">
      <c r="A617" s="210" t="s">
        <v>1592</v>
      </c>
      <c r="B617">
        <v>47505</v>
      </c>
      <c r="C617" s="100">
        <v>46127</v>
      </c>
      <c r="D617" t="s">
        <v>426</v>
      </c>
      <c r="E617" t="s">
        <v>43</v>
      </c>
      <c r="F617" t="s">
        <v>62</v>
      </c>
      <c r="G617">
        <v>1705</v>
      </c>
      <c r="I617">
        <v>0</v>
      </c>
    </row>
    <row r="618" spans="1:10" x14ac:dyDescent="0.25">
      <c r="A618" s="210" t="s">
        <v>1592</v>
      </c>
      <c r="B618">
        <v>9164</v>
      </c>
      <c r="C618" s="100">
        <v>46147</v>
      </c>
      <c r="D618" t="s">
        <v>49</v>
      </c>
      <c r="E618" t="s">
        <v>26</v>
      </c>
      <c r="F618" t="s">
        <v>78</v>
      </c>
      <c r="G618">
        <v>3771</v>
      </c>
      <c r="I618">
        <v>0</v>
      </c>
      <c r="J618" t="s">
        <v>1937</v>
      </c>
    </row>
    <row r="619" spans="1:10" x14ac:dyDescent="0.25">
      <c r="A619" s="210" t="s">
        <v>1592</v>
      </c>
      <c r="B619">
        <v>9223</v>
      </c>
      <c r="C619" s="100">
        <v>46149</v>
      </c>
      <c r="D619" t="s">
        <v>49</v>
      </c>
      <c r="E619" t="s">
        <v>45</v>
      </c>
      <c r="F619" t="s">
        <v>462</v>
      </c>
      <c r="G619">
        <v>4620</v>
      </c>
      <c r="I619">
        <v>0</v>
      </c>
      <c r="J619" t="s">
        <v>1970</v>
      </c>
    </row>
    <row r="620" spans="1:10" x14ac:dyDescent="0.25">
      <c r="A620" s="210" t="s">
        <v>1592</v>
      </c>
      <c r="B620">
        <v>9223</v>
      </c>
      <c r="C620" s="100">
        <v>46149</v>
      </c>
      <c r="D620" t="s">
        <v>49</v>
      </c>
      <c r="E620" t="s">
        <v>17</v>
      </c>
      <c r="F620" t="s">
        <v>41</v>
      </c>
      <c r="G620">
        <v>781</v>
      </c>
      <c r="I620">
        <v>0</v>
      </c>
      <c r="J620" t="s">
        <v>1740</v>
      </c>
    </row>
    <row r="621" spans="1:10" x14ac:dyDescent="0.25">
      <c r="A621" s="210" t="s">
        <v>1592</v>
      </c>
      <c r="B621">
        <v>9237</v>
      </c>
      <c r="C621" s="100">
        <v>46149</v>
      </c>
      <c r="D621" t="s">
        <v>49</v>
      </c>
      <c r="E621" t="s">
        <v>43</v>
      </c>
      <c r="F621" t="s">
        <v>134</v>
      </c>
      <c r="G621">
        <v>1990</v>
      </c>
      <c r="I621">
        <v>0</v>
      </c>
      <c r="J621" t="s">
        <v>1740</v>
      </c>
    </row>
    <row r="622" spans="1:10" x14ac:dyDescent="0.25">
      <c r="A622" s="210" t="s">
        <v>1592</v>
      </c>
      <c r="B622">
        <v>9237</v>
      </c>
      <c r="C622" s="100">
        <v>46149</v>
      </c>
      <c r="D622" t="s">
        <v>49</v>
      </c>
      <c r="E622" t="s">
        <v>43</v>
      </c>
      <c r="F622" t="s">
        <v>136</v>
      </c>
      <c r="G622">
        <v>3038</v>
      </c>
      <c r="I622">
        <v>0</v>
      </c>
      <c r="J622" t="s">
        <v>1977</v>
      </c>
    </row>
    <row r="623" spans="1:10" x14ac:dyDescent="0.25">
      <c r="A623" s="210" t="s">
        <v>1592</v>
      </c>
      <c r="B623">
        <v>9237</v>
      </c>
      <c r="C623" s="100">
        <v>46149</v>
      </c>
      <c r="D623" t="s">
        <v>49</v>
      </c>
      <c r="E623" t="s">
        <v>43</v>
      </c>
      <c r="F623" t="s">
        <v>146</v>
      </c>
      <c r="G623">
        <v>2014</v>
      </c>
      <c r="I623">
        <v>0</v>
      </c>
      <c r="J623" t="s">
        <v>1740</v>
      </c>
    </row>
    <row r="624" spans="1:10" x14ac:dyDescent="0.25">
      <c r="A624" s="210" t="s">
        <v>1592</v>
      </c>
      <c r="B624">
        <v>9237</v>
      </c>
      <c r="C624" s="100">
        <v>46149</v>
      </c>
      <c r="D624" t="s">
        <v>49</v>
      </c>
      <c r="E624" t="s">
        <v>43</v>
      </c>
      <c r="F624" t="s">
        <v>134</v>
      </c>
      <c r="G624">
        <v>1937</v>
      </c>
      <c r="I624">
        <v>0</v>
      </c>
      <c r="J624" t="s">
        <v>1740</v>
      </c>
    </row>
    <row r="625" spans="1:10" x14ac:dyDescent="0.25">
      <c r="A625" s="210" t="s">
        <v>1592</v>
      </c>
      <c r="B625">
        <v>9290</v>
      </c>
      <c r="C625" s="100">
        <v>46151</v>
      </c>
      <c r="D625" t="s">
        <v>49</v>
      </c>
      <c r="E625" t="s">
        <v>277</v>
      </c>
      <c r="F625" t="s">
        <v>136</v>
      </c>
      <c r="G625">
        <v>735</v>
      </c>
      <c r="I625">
        <v>0</v>
      </c>
      <c r="J625" t="s">
        <v>1740</v>
      </c>
    </row>
    <row r="626" spans="1:10" x14ac:dyDescent="0.25">
      <c r="A626" s="210" t="s">
        <v>1592</v>
      </c>
      <c r="B626">
        <v>9290</v>
      </c>
      <c r="C626" s="100">
        <v>46151</v>
      </c>
      <c r="D626" t="s">
        <v>49</v>
      </c>
      <c r="E626" t="s">
        <v>277</v>
      </c>
      <c r="F626" t="s">
        <v>146</v>
      </c>
      <c r="G626">
        <v>988</v>
      </c>
      <c r="I626">
        <v>0</v>
      </c>
      <c r="J626" t="s">
        <v>1740</v>
      </c>
    </row>
    <row r="627" spans="1:10" x14ac:dyDescent="0.25">
      <c r="A627" s="210" t="s">
        <v>1592</v>
      </c>
      <c r="B627">
        <v>9361</v>
      </c>
      <c r="C627" s="100">
        <v>46155</v>
      </c>
      <c r="D627" t="s">
        <v>49</v>
      </c>
      <c r="E627" t="s">
        <v>43</v>
      </c>
      <c r="F627" t="s">
        <v>41</v>
      </c>
      <c r="G627">
        <v>2052</v>
      </c>
      <c r="I627">
        <v>0</v>
      </c>
      <c r="J627" t="s">
        <v>1740</v>
      </c>
    </row>
    <row r="628" spans="1:10" x14ac:dyDescent="0.25">
      <c r="A628" s="210" t="s">
        <v>1592</v>
      </c>
      <c r="B628">
        <v>9361</v>
      </c>
      <c r="C628" s="100">
        <v>46155</v>
      </c>
      <c r="D628" t="s">
        <v>49</v>
      </c>
      <c r="E628" t="s">
        <v>43</v>
      </c>
      <c r="F628" t="s">
        <v>62</v>
      </c>
      <c r="G628">
        <v>5431</v>
      </c>
      <c r="I628">
        <v>0</v>
      </c>
      <c r="J628" t="s">
        <v>2090</v>
      </c>
    </row>
    <row r="629" spans="1:10" x14ac:dyDescent="0.25">
      <c r="A629" s="210" t="s">
        <v>1592</v>
      </c>
      <c r="B629">
        <v>47907</v>
      </c>
      <c r="C629" s="100">
        <v>46155</v>
      </c>
      <c r="D629" t="s">
        <v>426</v>
      </c>
      <c r="E629" t="s">
        <v>43</v>
      </c>
      <c r="F629" t="s">
        <v>62</v>
      </c>
      <c r="G629">
        <v>3464</v>
      </c>
      <c r="I629">
        <v>0</v>
      </c>
    </row>
    <row r="630" spans="1:10" x14ac:dyDescent="0.25">
      <c r="A630" s="210" t="s">
        <v>1592</v>
      </c>
      <c r="B630">
        <v>9466</v>
      </c>
      <c r="C630" s="100">
        <v>46160</v>
      </c>
      <c r="D630" t="s">
        <v>49</v>
      </c>
      <c r="E630" t="s">
        <v>17</v>
      </c>
      <c r="F630" t="s">
        <v>363</v>
      </c>
      <c r="G630">
        <v>592</v>
      </c>
      <c r="I630">
        <v>0</v>
      </c>
      <c r="J630" t="s">
        <v>1740</v>
      </c>
    </row>
    <row r="631" spans="1:10" x14ac:dyDescent="0.25">
      <c r="A631" s="210" t="s">
        <v>1592</v>
      </c>
      <c r="B631">
        <v>9466</v>
      </c>
      <c r="C631" s="100">
        <v>46160</v>
      </c>
      <c r="D631" t="s">
        <v>49</v>
      </c>
      <c r="E631" t="s">
        <v>43</v>
      </c>
      <c r="F631" t="s">
        <v>62</v>
      </c>
      <c r="G631">
        <v>3456</v>
      </c>
      <c r="I631">
        <v>0</v>
      </c>
      <c r="J631" t="s">
        <v>1740</v>
      </c>
    </row>
    <row r="632" spans="1:10" x14ac:dyDescent="0.25">
      <c r="A632" s="210" t="s">
        <v>1592</v>
      </c>
      <c r="B632">
        <v>9466</v>
      </c>
      <c r="C632" s="100">
        <v>46160</v>
      </c>
      <c r="D632" t="s">
        <v>49</v>
      </c>
      <c r="E632" t="s">
        <v>17</v>
      </c>
      <c r="F632" t="s">
        <v>41</v>
      </c>
      <c r="G632">
        <v>3332</v>
      </c>
      <c r="I632">
        <v>0</v>
      </c>
      <c r="J632" t="s">
        <v>2207</v>
      </c>
    </row>
    <row r="633" spans="1:10" x14ac:dyDescent="0.25">
      <c r="A633" s="210" t="s">
        <v>1592</v>
      </c>
      <c r="B633">
        <v>9466</v>
      </c>
      <c r="C633" s="100">
        <v>46160</v>
      </c>
      <c r="D633" t="s">
        <v>49</v>
      </c>
      <c r="E633" t="s">
        <v>17</v>
      </c>
      <c r="F633" t="s">
        <v>136</v>
      </c>
      <c r="G633">
        <v>2064</v>
      </c>
      <c r="I633">
        <v>0</v>
      </c>
      <c r="J633" t="s">
        <v>1740</v>
      </c>
    </row>
    <row r="634" spans="1:10" x14ac:dyDescent="0.25">
      <c r="A634" s="210" t="s">
        <v>1592</v>
      </c>
      <c r="B634">
        <v>9542</v>
      </c>
      <c r="C634" s="100">
        <v>46163</v>
      </c>
      <c r="D634" t="s">
        <v>49</v>
      </c>
      <c r="E634" t="s">
        <v>43</v>
      </c>
      <c r="F634" t="s">
        <v>134</v>
      </c>
      <c r="G634">
        <v>1726</v>
      </c>
      <c r="I634">
        <v>0</v>
      </c>
      <c r="J634" t="s">
        <v>1740</v>
      </c>
    </row>
    <row r="635" spans="1:10" x14ac:dyDescent="0.25">
      <c r="A635" s="210" t="s">
        <v>1592</v>
      </c>
      <c r="B635">
        <v>9542</v>
      </c>
      <c r="C635" s="100">
        <v>46163</v>
      </c>
      <c r="D635" t="s">
        <v>49</v>
      </c>
      <c r="E635" t="s">
        <v>43</v>
      </c>
      <c r="F635" t="s">
        <v>136</v>
      </c>
      <c r="G635">
        <v>5349</v>
      </c>
      <c r="I635">
        <v>0</v>
      </c>
      <c r="J635" t="s">
        <v>1740</v>
      </c>
    </row>
    <row r="636" spans="1:10" x14ac:dyDescent="0.25">
      <c r="A636" s="210" t="s">
        <v>1592</v>
      </c>
      <c r="B636">
        <v>9542</v>
      </c>
      <c r="C636" s="100">
        <v>46163</v>
      </c>
      <c r="D636" t="s">
        <v>49</v>
      </c>
      <c r="E636" t="s">
        <v>43</v>
      </c>
      <c r="F636" t="s">
        <v>78</v>
      </c>
      <c r="G636">
        <v>640</v>
      </c>
      <c r="I636">
        <v>0</v>
      </c>
      <c r="J636" t="s">
        <v>1740</v>
      </c>
    </row>
    <row r="637" spans="1:10" x14ac:dyDescent="0.25">
      <c r="A637" s="210" t="s">
        <v>1592</v>
      </c>
      <c r="B637">
        <v>9564</v>
      </c>
      <c r="C637" s="100">
        <v>46165</v>
      </c>
      <c r="D637" t="s">
        <v>49</v>
      </c>
      <c r="E637" t="s">
        <v>43</v>
      </c>
      <c r="F637" t="s">
        <v>136</v>
      </c>
      <c r="G637">
        <v>5320</v>
      </c>
      <c r="I637">
        <v>0</v>
      </c>
      <c r="J637" t="s">
        <v>2310</v>
      </c>
    </row>
    <row r="638" spans="1:10" x14ac:dyDescent="0.25">
      <c r="A638" s="210" t="s">
        <v>1592</v>
      </c>
      <c r="B638">
        <v>9635</v>
      </c>
      <c r="C638" s="100">
        <v>46168</v>
      </c>
      <c r="D638" t="s">
        <v>49</v>
      </c>
      <c r="E638" t="s">
        <v>2362</v>
      </c>
      <c r="F638" t="s">
        <v>146</v>
      </c>
      <c r="G638">
        <v>975</v>
      </c>
      <c r="I638">
        <v>0</v>
      </c>
      <c r="J638" t="s">
        <v>1740</v>
      </c>
    </row>
    <row r="639" spans="1:10" x14ac:dyDescent="0.25">
      <c r="A639" s="210" t="s">
        <v>1592</v>
      </c>
      <c r="B639">
        <v>7336</v>
      </c>
      <c r="C639" s="100">
        <v>46045</v>
      </c>
      <c r="D639" t="s">
        <v>49</v>
      </c>
      <c r="E639" t="s">
        <v>252</v>
      </c>
      <c r="F639" t="s">
        <v>136</v>
      </c>
      <c r="G639">
        <v>5222</v>
      </c>
      <c r="I639">
        <v>0</v>
      </c>
      <c r="J639" t="s">
        <v>2446</v>
      </c>
    </row>
    <row r="640" spans="1:10" x14ac:dyDescent="0.25">
      <c r="A640" s="210" t="s">
        <v>1592</v>
      </c>
      <c r="B640">
        <v>9677</v>
      </c>
      <c r="C640" s="100">
        <v>46170</v>
      </c>
      <c r="D640" t="s">
        <v>49</v>
      </c>
      <c r="E640" t="s">
        <v>43</v>
      </c>
      <c r="F640" t="s">
        <v>136</v>
      </c>
      <c r="G640">
        <v>3028</v>
      </c>
      <c r="I640">
        <v>0</v>
      </c>
      <c r="J640" t="s">
        <v>1740</v>
      </c>
    </row>
    <row r="641" spans="1:10" x14ac:dyDescent="0.25">
      <c r="A641" s="210" t="s">
        <v>1592</v>
      </c>
      <c r="B641">
        <v>9707</v>
      </c>
      <c r="C641" s="100">
        <v>46172</v>
      </c>
      <c r="D641" t="s">
        <v>49</v>
      </c>
      <c r="E641" t="s">
        <v>135</v>
      </c>
      <c r="F641" t="s">
        <v>62</v>
      </c>
      <c r="G641">
        <v>5560</v>
      </c>
      <c r="I641">
        <v>0</v>
      </c>
      <c r="J641" t="s">
        <v>2444</v>
      </c>
    </row>
    <row r="642" spans="1:10" x14ac:dyDescent="0.25">
      <c r="A642" s="210" t="s">
        <v>1592</v>
      </c>
      <c r="B642">
        <v>7507</v>
      </c>
      <c r="C642" s="100">
        <v>46055</v>
      </c>
      <c r="D642" t="s">
        <v>49</v>
      </c>
      <c r="E642" t="s">
        <v>43</v>
      </c>
      <c r="F642" t="s">
        <v>136</v>
      </c>
      <c r="G642">
        <v>1490</v>
      </c>
      <c r="I642">
        <v>0</v>
      </c>
    </row>
    <row r="643" spans="1:10" x14ac:dyDescent="0.25">
      <c r="A643" s="210" t="s">
        <v>1592</v>
      </c>
      <c r="B643">
        <v>7669</v>
      </c>
      <c r="C643" s="100">
        <v>46076</v>
      </c>
      <c r="D643" t="s">
        <v>49</v>
      </c>
      <c r="E643" t="s">
        <v>43</v>
      </c>
      <c r="F643" t="s">
        <v>146</v>
      </c>
      <c r="G643">
        <v>5556</v>
      </c>
      <c r="I643">
        <v>0</v>
      </c>
    </row>
    <row r="644" spans="1:10" x14ac:dyDescent="0.25">
      <c r="A644" s="210" t="s">
        <v>1592</v>
      </c>
      <c r="B644">
        <v>7733</v>
      </c>
      <c r="C644" s="100">
        <v>46080</v>
      </c>
      <c r="D644" t="s">
        <v>49</v>
      </c>
      <c r="E644" t="s">
        <v>17</v>
      </c>
      <c r="F644" t="s">
        <v>2114</v>
      </c>
      <c r="G644">
        <v>898</v>
      </c>
      <c r="I644">
        <v>0</v>
      </c>
    </row>
    <row r="645" spans="1:10" x14ac:dyDescent="0.25">
      <c r="A645" s="210" t="s">
        <v>1592</v>
      </c>
      <c r="B645">
        <v>7733</v>
      </c>
      <c r="C645" s="100">
        <v>46080</v>
      </c>
      <c r="D645" t="s">
        <v>49</v>
      </c>
      <c r="E645" t="s">
        <v>17</v>
      </c>
      <c r="F645" t="s">
        <v>2573</v>
      </c>
      <c r="G645">
        <v>307</v>
      </c>
      <c r="I645">
        <v>0</v>
      </c>
    </row>
    <row r="646" spans="1:10" x14ac:dyDescent="0.25">
      <c r="A646" s="210" t="s">
        <v>1592</v>
      </c>
      <c r="B646">
        <v>7733</v>
      </c>
      <c r="C646" s="100">
        <v>46080</v>
      </c>
      <c r="D646" t="s">
        <v>49</v>
      </c>
      <c r="E646" t="s">
        <v>17</v>
      </c>
      <c r="F646" t="s">
        <v>2574</v>
      </c>
      <c r="G646">
        <v>750</v>
      </c>
      <c r="I646">
        <v>0</v>
      </c>
    </row>
    <row r="647" spans="1:10" x14ac:dyDescent="0.25">
      <c r="A647" s="210" t="s">
        <v>1596</v>
      </c>
      <c r="B647">
        <v>7043</v>
      </c>
      <c r="C647" s="100">
        <v>46030</v>
      </c>
      <c r="D647" t="s">
        <v>49</v>
      </c>
      <c r="E647" t="s">
        <v>841</v>
      </c>
      <c r="F647" t="s">
        <v>2389</v>
      </c>
      <c r="G647">
        <v>3358</v>
      </c>
      <c r="I647">
        <v>0</v>
      </c>
      <c r="J647" t="s">
        <v>1742</v>
      </c>
    </row>
    <row r="648" spans="1:10" x14ac:dyDescent="0.25">
      <c r="A648" s="210" t="s">
        <v>1596</v>
      </c>
      <c r="B648">
        <v>7309</v>
      </c>
      <c r="C648" s="100">
        <v>46044</v>
      </c>
      <c r="D648" t="s">
        <v>49</v>
      </c>
      <c r="E648" t="s">
        <v>841</v>
      </c>
      <c r="F648" t="s">
        <v>2435</v>
      </c>
      <c r="G648">
        <v>1382</v>
      </c>
      <c r="I648">
        <v>0</v>
      </c>
      <c r="J648" t="s">
        <v>2436</v>
      </c>
    </row>
    <row r="649" spans="1:10" x14ac:dyDescent="0.25">
      <c r="A649" s="210" t="s">
        <v>1596</v>
      </c>
      <c r="B649">
        <v>7898</v>
      </c>
      <c r="C649" s="100">
        <v>46087</v>
      </c>
      <c r="D649" t="s">
        <v>49</v>
      </c>
      <c r="E649" t="s">
        <v>26</v>
      </c>
      <c r="F649" t="s">
        <v>62</v>
      </c>
      <c r="G649">
        <v>1993</v>
      </c>
      <c r="I649">
        <v>0</v>
      </c>
    </row>
    <row r="650" spans="1:10" x14ac:dyDescent="0.25">
      <c r="A650" s="210" t="s">
        <v>1596</v>
      </c>
      <c r="B650">
        <v>4782</v>
      </c>
      <c r="C650" s="100">
        <v>46087</v>
      </c>
      <c r="D650" t="s">
        <v>426</v>
      </c>
      <c r="E650" t="s">
        <v>26</v>
      </c>
      <c r="F650" t="s">
        <v>62</v>
      </c>
      <c r="G650">
        <v>4396</v>
      </c>
      <c r="I650">
        <v>0</v>
      </c>
    </row>
    <row r="651" spans="1:10" x14ac:dyDescent="0.25">
      <c r="A651" s="210" t="s">
        <v>1596</v>
      </c>
      <c r="B651">
        <v>4713</v>
      </c>
      <c r="C651" s="100">
        <v>46097</v>
      </c>
      <c r="D651" t="s">
        <v>84</v>
      </c>
      <c r="E651" t="s">
        <v>17</v>
      </c>
      <c r="F651" t="s">
        <v>1077</v>
      </c>
      <c r="G651">
        <v>787</v>
      </c>
      <c r="I651">
        <v>0</v>
      </c>
    </row>
    <row r="652" spans="1:10" x14ac:dyDescent="0.25">
      <c r="A652" s="210" t="s">
        <v>1596</v>
      </c>
      <c r="B652">
        <v>8355</v>
      </c>
      <c r="C652" s="100">
        <v>46107</v>
      </c>
      <c r="D652" t="s">
        <v>49</v>
      </c>
      <c r="E652" t="s">
        <v>17</v>
      </c>
      <c r="F652" t="s">
        <v>78</v>
      </c>
      <c r="G652">
        <v>470</v>
      </c>
      <c r="I652">
        <v>0</v>
      </c>
    </row>
    <row r="653" spans="1:10" x14ac:dyDescent="0.25">
      <c r="A653" s="210" t="s">
        <v>1596</v>
      </c>
      <c r="B653">
        <v>8355</v>
      </c>
      <c r="C653" s="100">
        <v>46107</v>
      </c>
      <c r="D653" t="s">
        <v>49</v>
      </c>
      <c r="E653" t="s">
        <v>17</v>
      </c>
      <c r="F653" t="s">
        <v>416</v>
      </c>
      <c r="G653">
        <v>560</v>
      </c>
      <c r="I653">
        <v>0</v>
      </c>
    </row>
    <row r="654" spans="1:10" x14ac:dyDescent="0.25">
      <c r="A654" s="210" t="s">
        <v>1596</v>
      </c>
      <c r="B654">
        <v>8441</v>
      </c>
      <c r="C654" s="100">
        <v>46112</v>
      </c>
      <c r="D654" t="s">
        <v>49</v>
      </c>
      <c r="E654" t="s">
        <v>26</v>
      </c>
      <c r="F654" t="s">
        <v>62</v>
      </c>
      <c r="G654">
        <v>7397</v>
      </c>
      <c r="I654">
        <v>0</v>
      </c>
    </row>
    <row r="655" spans="1:10" x14ac:dyDescent="0.25">
      <c r="A655" s="210" t="s">
        <v>1596</v>
      </c>
      <c r="B655">
        <v>8482</v>
      </c>
      <c r="C655" s="100">
        <v>46113</v>
      </c>
      <c r="D655" t="s">
        <v>49</v>
      </c>
      <c r="E655" t="s">
        <v>26</v>
      </c>
      <c r="F655" t="s">
        <v>65</v>
      </c>
      <c r="G655">
        <v>4984</v>
      </c>
      <c r="I655">
        <v>0</v>
      </c>
      <c r="J655" t="s">
        <v>1078</v>
      </c>
    </row>
    <row r="656" spans="1:10" x14ac:dyDescent="0.25">
      <c r="A656" s="210" t="s">
        <v>1596</v>
      </c>
      <c r="B656">
        <v>4794</v>
      </c>
      <c r="C656" s="100">
        <v>46114</v>
      </c>
      <c r="D656" t="s">
        <v>426</v>
      </c>
      <c r="E656" t="s">
        <v>26</v>
      </c>
      <c r="F656" t="s">
        <v>344</v>
      </c>
      <c r="G656">
        <v>1627</v>
      </c>
      <c r="I656">
        <v>0</v>
      </c>
    </row>
    <row r="657" spans="1:10" x14ac:dyDescent="0.25">
      <c r="A657" s="210" t="s">
        <v>1596</v>
      </c>
      <c r="B657">
        <v>8644</v>
      </c>
      <c r="C657" s="100">
        <v>46121</v>
      </c>
      <c r="D657" t="s">
        <v>49</v>
      </c>
      <c r="E657" t="s">
        <v>45</v>
      </c>
      <c r="F657" t="s">
        <v>215</v>
      </c>
      <c r="G657">
        <v>966</v>
      </c>
      <c r="I657">
        <v>0</v>
      </c>
      <c r="J657" t="s">
        <v>1079</v>
      </c>
    </row>
    <row r="658" spans="1:10" x14ac:dyDescent="0.25">
      <c r="A658" s="210" t="s">
        <v>1596</v>
      </c>
      <c r="B658">
        <v>8725</v>
      </c>
      <c r="C658" s="100">
        <v>46125</v>
      </c>
      <c r="D658" t="s">
        <v>49</v>
      </c>
      <c r="E658" t="s">
        <v>14</v>
      </c>
      <c r="F658" t="s">
        <v>40</v>
      </c>
      <c r="G658">
        <v>3386</v>
      </c>
      <c r="I658">
        <v>0</v>
      </c>
      <c r="J658" t="s">
        <v>1080</v>
      </c>
    </row>
    <row r="659" spans="1:10" x14ac:dyDescent="0.25">
      <c r="A659" s="210" t="s">
        <v>1596</v>
      </c>
      <c r="B659">
        <v>8725</v>
      </c>
      <c r="C659" s="100">
        <v>46125</v>
      </c>
      <c r="D659" t="s">
        <v>166</v>
      </c>
      <c r="E659" t="s">
        <v>17</v>
      </c>
      <c r="F659" t="s">
        <v>40</v>
      </c>
      <c r="G659">
        <v>3883</v>
      </c>
      <c r="I659">
        <v>0</v>
      </c>
      <c r="J659" t="s">
        <v>1081</v>
      </c>
    </row>
    <row r="660" spans="1:10" x14ac:dyDescent="0.25">
      <c r="A660" s="210" t="s">
        <v>1596</v>
      </c>
      <c r="B660">
        <v>4837</v>
      </c>
      <c r="C660" s="100">
        <v>46125</v>
      </c>
      <c r="D660" t="s">
        <v>426</v>
      </c>
      <c r="E660" t="s">
        <v>1086</v>
      </c>
      <c r="F660" t="s">
        <v>40</v>
      </c>
      <c r="G660">
        <v>2442</v>
      </c>
      <c r="I660">
        <v>0</v>
      </c>
    </row>
    <row r="661" spans="1:10" x14ac:dyDescent="0.25">
      <c r="A661" s="210" t="s">
        <v>1596</v>
      </c>
      <c r="B661">
        <v>8763</v>
      </c>
      <c r="C661" s="100">
        <v>46126</v>
      </c>
      <c r="D661" t="s">
        <v>49</v>
      </c>
      <c r="E661" t="s">
        <v>68</v>
      </c>
      <c r="F661" t="s">
        <v>1082</v>
      </c>
      <c r="G661">
        <v>2690</v>
      </c>
      <c r="I661">
        <v>0</v>
      </c>
      <c r="J661" t="s">
        <v>1083</v>
      </c>
    </row>
    <row r="662" spans="1:10" x14ac:dyDescent="0.25">
      <c r="A662" s="210" t="s">
        <v>1596</v>
      </c>
      <c r="B662">
        <v>4842</v>
      </c>
      <c r="C662" s="100">
        <v>46126</v>
      </c>
      <c r="D662" t="s">
        <v>426</v>
      </c>
      <c r="E662" t="s">
        <v>1088</v>
      </c>
      <c r="F662" t="s">
        <v>1082</v>
      </c>
      <c r="G662">
        <v>1925</v>
      </c>
      <c r="I662">
        <v>0</v>
      </c>
    </row>
    <row r="663" spans="1:10" x14ac:dyDescent="0.25">
      <c r="A663" s="210" t="s">
        <v>1596</v>
      </c>
      <c r="B663">
        <v>4856</v>
      </c>
      <c r="C663" s="100">
        <v>46129</v>
      </c>
      <c r="D663" t="s">
        <v>426</v>
      </c>
      <c r="E663" t="s">
        <v>17</v>
      </c>
      <c r="F663" t="s">
        <v>78</v>
      </c>
      <c r="G663">
        <v>1088</v>
      </c>
      <c r="I663">
        <v>0</v>
      </c>
    </row>
    <row r="664" spans="1:10" x14ac:dyDescent="0.25">
      <c r="A664" s="210" t="s">
        <v>1596</v>
      </c>
      <c r="B664">
        <v>9385</v>
      </c>
      <c r="C664" s="100">
        <v>46156</v>
      </c>
      <c r="D664" t="s">
        <v>49</v>
      </c>
      <c r="E664" t="s">
        <v>26</v>
      </c>
      <c r="F664" t="s">
        <v>446</v>
      </c>
      <c r="G664">
        <v>3373</v>
      </c>
      <c r="I664">
        <v>0</v>
      </c>
      <c r="J664" t="s">
        <v>2111</v>
      </c>
    </row>
    <row r="665" spans="1:10" x14ac:dyDescent="0.25">
      <c r="A665" s="210" t="s">
        <v>1596</v>
      </c>
      <c r="B665">
        <v>9409</v>
      </c>
      <c r="C665" s="100">
        <v>46157</v>
      </c>
      <c r="D665" t="s">
        <v>49</v>
      </c>
      <c r="E665" t="s">
        <v>26</v>
      </c>
      <c r="F665" t="s">
        <v>446</v>
      </c>
      <c r="G665">
        <v>965</v>
      </c>
      <c r="I665">
        <v>0</v>
      </c>
      <c r="J665" t="s">
        <v>2111</v>
      </c>
    </row>
    <row r="666" spans="1:10" x14ac:dyDescent="0.25">
      <c r="A666" s="210" t="s">
        <v>1596</v>
      </c>
      <c r="B666">
        <v>9409</v>
      </c>
      <c r="C666" s="100">
        <v>46157</v>
      </c>
      <c r="D666" t="s">
        <v>49</v>
      </c>
      <c r="E666" t="s">
        <v>26</v>
      </c>
      <c r="F666" t="s">
        <v>2126</v>
      </c>
      <c r="G666">
        <v>1196</v>
      </c>
      <c r="I666">
        <v>0</v>
      </c>
      <c r="J666" t="s">
        <v>2127</v>
      </c>
    </row>
    <row r="667" spans="1:10" x14ac:dyDescent="0.25">
      <c r="A667" s="210" t="s">
        <v>1596</v>
      </c>
      <c r="B667">
        <v>9545</v>
      </c>
      <c r="C667" s="100">
        <v>46164</v>
      </c>
      <c r="D667" t="s">
        <v>49</v>
      </c>
      <c r="E667" t="s">
        <v>26</v>
      </c>
      <c r="F667" t="s">
        <v>62</v>
      </c>
      <c r="G667">
        <v>3992</v>
      </c>
      <c r="I667">
        <v>0</v>
      </c>
      <c r="J667" t="s">
        <v>2278</v>
      </c>
    </row>
    <row r="668" spans="1:10" x14ac:dyDescent="0.25">
      <c r="A668" s="210" t="s">
        <v>1596</v>
      </c>
      <c r="B668">
        <v>9604</v>
      </c>
      <c r="C668" s="100">
        <v>46167</v>
      </c>
      <c r="D668" t="s">
        <v>49</v>
      </c>
      <c r="E668" t="s">
        <v>43</v>
      </c>
      <c r="F668" t="s">
        <v>484</v>
      </c>
      <c r="G668">
        <v>1878</v>
      </c>
      <c r="I668">
        <v>0</v>
      </c>
      <c r="J668" t="s">
        <v>2339</v>
      </c>
    </row>
    <row r="669" spans="1:10" x14ac:dyDescent="0.25">
      <c r="A669" s="210" t="s">
        <v>1596</v>
      </c>
      <c r="B669">
        <v>9620</v>
      </c>
      <c r="C669" s="100">
        <v>46168</v>
      </c>
      <c r="D669" t="s">
        <v>49</v>
      </c>
      <c r="E669" t="s">
        <v>43</v>
      </c>
      <c r="F669" t="s">
        <v>40</v>
      </c>
      <c r="G669">
        <v>156</v>
      </c>
      <c r="I669">
        <v>0</v>
      </c>
    </row>
    <row r="670" spans="1:10" x14ac:dyDescent="0.25">
      <c r="A670" s="210" t="s">
        <v>1596</v>
      </c>
      <c r="B670">
        <v>7</v>
      </c>
      <c r="C670" s="100">
        <v>46167</v>
      </c>
      <c r="D670" t="s">
        <v>426</v>
      </c>
      <c r="E670" t="s">
        <v>93</v>
      </c>
      <c r="F670">
        <v>0.5</v>
      </c>
      <c r="G670">
        <v>7287</v>
      </c>
      <c r="I670">
        <v>0</v>
      </c>
    </row>
    <row r="671" spans="1:10" x14ac:dyDescent="0.25">
      <c r="A671" s="210" t="s">
        <v>1596</v>
      </c>
      <c r="B671">
        <v>9745</v>
      </c>
      <c r="C671" s="100">
        <v>46175</v>
      </c>
      <c r="D671" t="s">
        <v>49</v>
      </c>
      <c r="E671" t="s">
        <v>17</v>
      </c>
      <c r="F671" t="s">
        <v>2476</v>
      </c>
      <c r="G671">
        <v>934</v>
      </c>
      <c r="I671">
        <v>0</v>
      </c>
      <c r="J671" t="s">
        <v>2560</v>
      </c>
    </row>
    <row r="672" spans="1:10" x14ac:dyDescent="0.25">
      <c r="A672" s="210" t="s">
        <v>1596</v>
      </c>
      <c r="B672">
        <v>7520</v>
      </c>
      <c r="C672" s="100">
        <v>46056</v>
      </c>
      <c r="D672" t="s">
        <v>49</v>
      </c>
      <c r="E672" t="s">
        <v>143</v>
      </c>
      <c r="F672" t="s">
        <v>146</v>
      </c>
      <c r="G672">
        <v>837</v>
      </c>
      <c r="I672">
        <v>0</v>
      </c>
    </row>
    <row r="673" spans="1:10" x14ac:dyDescent="0.25">
      <c r="A673" s="210" t="s">
        <v>1596</v>
      </c>
      <c r="B673">
        <v>7687</v>
      </c>
      <c r="C673" s="100">
        <v>46077</v>
      </c>
      <c r="D673" t="s">
        <v>49</v>
      </c>
      <c r="E673" t="s">
        <v>26</v>
      </c>
      <c r="F673" t="s">
        <v>2572</v>
      </c>
      <c r="G673">
        <v>2361</v>
      </c>
      <c r="I673">
        <v>0</v>
      </c>
    </row>
    <row r="674" spans="1:10" x14ac:dyDescent="0.25">
      <c r="A674" s="210" t="s">
        <v>1596</v>
      </c>
      <c r="B674">
        <v>7751</v>
      </c>
      <c r="C674" s="100">
        <v>46080</v>
      </c>
      <c r="D674" t="s">
        <v>49</v>
      </c>
      <c r="E674" t="s">
        <v>301</v>
      </c>
      <c r="F674" t="s">
        <v>81</v>
      </c>
      <c r="G674">
        <v>4438</v>
      </c>
      <c r="I674">
        <v>0</v>
      </c>
    </row>
    <row r="675" spans="1:10" x14ac:dyDescent="0.25">
      <c r="A675" s="210" t="s">
        <v>1596</v>
      </c>
      <c r="B675">
        <v>7759</v>
      </c>
      <c r="C675" s="100">
        <v>46081</v>
      </c>
      <c r="D675" t="s">
        <v>49</v>
      </c>
      <c r="E675" t="s">
        <v>301</v>
      </c>
      <c r="F675" t="s">
        <v>2321</v>
      </c>
      <c r="G675">
        <v>9208</v>
      </c>
      <c r="I675">
        <v>0</v>
      </c>
    </row>
    <row r="676" spans="1:10" x14ac:dyDescent="0.25">
      <c r="A676" s="210" t="s">
        <v>1610</v>
      </c>
      <c r="B676">
        <v>9462</v>
      </c>
      <c r="C676" s="100">
        <v>46160</v>
      </c>
      <c r="D676" t="s">
        <v>13</v>
      </c>
      <c r="E676" t="s">
        <v>54</v>
      </c>
      <c r="F676" t="s">
        <v>2206</v>
      </c>
      <c r="G676">
        <v>1450</v>
      </c>
      <c r="I676">
        <v>0</v>
      </c>
    </row>
    <row r="677" spans="1:10" x14ac:dyDescent="0.25">
      <c r="A677" s="210" t="s">
        <v>1624</v>
      </c>
      <c r="B677">
        <v>8357</v>
      </c>
      <c r="C677" s="100">
        <v>46107</v>
      </c>
      <c r="D677" t="s">
        <v>49</v>
      </c>
      <c r="E677" t="s">
        <v>1185</v>
      </c>
      <c r="F677" t="s">
        <v>1186</v>
      </c>
      <c r="G677">
        <v>158</v>
      </c>
      <c r="I677">
        <v>0</v>
      </c>
    </row>
    <row r="678" spans="1:10" x14ac:dyDescent="0.25">
      <c r="A678" s="210" t="s">
        <v>1624</v>
      </c>
      <c r="B678">
        <v>9195</v>
      </c>
      <c r="C678" s="100">
        <v>46148</v>
      </c>
      <c r="D678" t="s">
        <v>49</v>
      </c>
      <c r="E678" t="s">
        <v>703</v>
      </c>
      <c r="F678" t="s">
        <v>1950</v>
      </c>
      <c r="G678">
        <v>82</v>
      </c>
      <c r="I678">
        <v>0</v>
      </c>
    </row>
    <row r="679" spans="1:10" x14ac:dyDescent="0.25">
      <c r="A679" s="210" t="s">
        <v>1624</v>
      </c>
      <c r="B679">
        <v>7572</v>
      </c>
      <c r="C679" s="100">
        <v>46059</v>
      </c>
      <c r="D679" t="s">
        <v>49</v>
      </c>
      <c r="E679" t="s">
        <v>703</v>
      </c>
      <c r="F679" t="s">
        <v>2562</v>
      </c>
      <c r="G679">
        <v>62</v>
      </c>
      <c r="I679">
        <v>0</v>
      </c>
    </row>
    <row r="680" spans="1:10" x14ac:dyDescent="0.25">
      <c r="A680" s="210" t="s">
        <v>1633</v>
      </c>
      <c r="B680">
        <v>8760</v>
      </c>
      <c r="C680" s="100">
        <v>46126</v>
      </c>
      <c r="D680" t="s">
        <v>49</v>
      </c>
      <c r="E680" t="s">
        <v>26</v>
      </c>
      <c r="F680" t="s">
        <v>78</v>
      </c>
      <c r="G680">
        <v>6260</v>
      </c>
      <c r="I680">
        <v>0</v>
      </c>
    </row>
    <row r="681" spans="1:10" x14ac:dyDescent="0.25">
      <c r="A681" s="210" t="s">
        <v>1646</v>
      </c>
      <c r="B681">
        <v>8965</v>
      </c>
      <c r="C681" s="100">
        <v>46135</v>
      </c>
      <c r="D681" t="s">
        <v>49</v>
      </c>
      <c r="E681" t="s">
        <v>103</v>
      </c>
      <c r="F681" t="s">
        <v>1797</v>
      </c>
      <c r="G681">
        <v>624</v>
      </c>
      <c r="I681">
        <v>0</v>
      </c>
      <c r="J681" t="s">
        <v>1798</v>
      </c>
    </row>
    <row r="682" spans="1:10" x14ac:dyDescent="0.25">
      <c r="A682" s="210" t="s">
        <v>1646</v>
      </c>
      <c r="B682">
        <v>9560</v>
      </c>
      <c r="C682" s="100">
        <v>46164</v>
      </c>
      <c r="D682" t="s">
        <v>13</v>
      </c>
      <c r="E682" t="s">
        <v>1842</v>
      </c>
      <c r="F682" t="s">
        <v>117</v>
      </c>
      <c r="G682">
        <v>200</v>
      </c>
      <c r="I682">
        <v>0</v>
      </c>
    </row>
    <row r="683" spans="1:10" x14ac:dyDescent="0.25">
      <c r="A683" s="210" t="s">
        <v>1657</v>
      </c>
      <c r="B683">
        <v>8133</v>
      </c>
      <c r="C683" s="100">
        <v>46097</v>
      </c>
      <c r="D683" t="s">
        <v>49</v>
      </c>
      <c r="E683" t="s">
        <v>317</v>
      </c>
      <c r="F683" t="s">
        <v>1271</v>
      </c>
      <c r="G683">
        <v>46</v>
      </c>
      <c r="I683">
        <v>0</v>
      </c>
    </row>
    <row r="684" spans="1:10" x14ac:dyDescent="0.25">
      <c r="A684" s="210" t="s">
        <v>1657</v>
      </c>
      <c r="B684">
        <v>8839</v>
      </c>
      <c r="C684" s="100">
        <v>46129</v>
      </c>
      <c r="D684" t="s">
        <v>49</v>
      </c>
      <c r="E684" t="s">
        <v>26</v>
      </c>
      <c r="F684" t="s">
        <v>1272</v>
      </c>
      <c r="G684">
        <v>512</v>
      </c>
      <c r="I684">
        <v>0</v>
      </c>
      <c r="J684" t="s">
        <v>1273</v>
      </c>
    </row>
    <row r="685" spans="1:10" x14ac:dyDescent="0.25">
      <c r="A685" s="210" t="s">
        <v>1657</v>
      </c>
      <c r="B685">
        <v>7070</v>
      </c>
      <c r="C685" s="100">
        <v>46031</v>
      </c>
      <c r="D685" t="s">
        <v>49</v>
      </c>
      <c r="E685" t="s">
        <v>54</v>
      </c>
      <c r="F685" t="s">
        <v>2400</v>
      </c>
      <c r="G685">
        <v>504</v>
      </c>
      <c r="I685">
        <v>0</v>
      </c>
      <c r="J685" t="s">
        <v>2401</v>
      </c>
    </row>
    <row r="686" spans="1:10" x14ac:dyDescent="0.25">
      <c r="A686" s="210" t="s">
        <v>1662</v>
      </c>
      <c r="B686">
        <v>8806</v>
      </c>
      <c r="C686" s="100">
        <v>46127</v>
      </c>
      <c r="D686" t="s">
        <v>242</v>
      </c>
      <c r="E686" t="s">
        <v>26</v>
      </c>
      <c r="F686" t="s">
        <v>747</v>
      </c>
      <c r="G686">
        <v>6248</v>
      </c>
      <c r="I686">
        <v>0</v>
      </c>
    </row>
    <row r="687" spans="1:10" x14ac:dyDescent="0.25">
      <c r="A687" s="210" t="s">
        <v>1662</v>
      </c>
      <c r="B687">
        <v>8806</v>
      </c>
      <c r="C687" s="100">
        <v>46127</v>
      </c>
      <c r="D687" t="s">
        <v>242</v>
      </c>
      <c r="E687" t="s">
        <v>26</v>
      </c>
      <c r="F687" t="s">
        <v>747</v>
      </c>
      <c r="G687">
        <v>4740</v>
      </c>
      <c r="I687">
        <v>0</v>
      </c>
    </row>
    <row r="688" spans="1:10" x14ac:dyDescent="0.25">
      <c r="A688" s="210" t="s">
        <v>1662</v>
      </c>
      <c r="B688">
        <v>9325</v>
      </c>
      <c r="C688" s="100">
        <v>46153</v>
      </c>
      <c r="D688" t="s">
        <v>1354</v>
      </c>
      <c r="E688" t="s">
        <v>26</v>
      </c>
      <c r="F688" t="s">
        <v>747</v>
      </c>
      <c r="G688">
        <v>25984</v>
      </c>
      <c r="I688">
        <v>0</v>
      </c>
    </row>
    <row r="689" spans="1:10" x14ac:dyDescent="0.25">
      <c r="A689" s="210" t="s">
        <v>1662</v>
      </c>
      <c r="B689">
        <v>9325</v>
      </c>
      <c r="C689" s="100">
        <v>46153</v>
      </c>
      <c r="D689" t="s">
        <v>1354</v>
      </c>
      <c r="E689" t="s">
        <v>26</v>
      </c>
      <c r="F689" t="s">
        <v>2018</v>
      </c>
      <c r="G689">
        <v>523</v>
      </c>
      <c r="I689">
        <v>0</v>
      </c>
    </row>
    <row r="690" spans="1:10" x14ac:dyDescent="0.25">
      <c r="A690" s="210" t="s">
        <v>1672</v>
      </c>
      <c r="B690">
        <v>8261</v>
      </c>
      <c r="C690" s="100">
        <v>46100</v>
      </c>
      <c r="D690" t="s">
        <v>49</v>
      </c>
      <c r="E690" t="s">
        <v>17</v>
      </c>
      <c r="F690" t="s">
        <v>136</v>
      </c>
      <c r="G690">
        <v>1116</v>
      </c>
      <c r="I690">
        <v>0</v>
      </c>
    </row>
    <row r="691" spans="1:10" x14ac:dyDescent="0.25">
      <c r="A691" s="210" t="s">
        <v>1672</v>
      </c>
      <c r="B691">
        <v>8807</v>
      </c>
      <c r="C691" s="100">
        <v>46128</v>
      </c>
      <c r="D691" t="s">
        <v>49</v>
      </c>
      <c r="E691" t="s">
        <v>442</v>
      </c>
      <c r="F691" t="s">
        <v>1322</v>
      </c>
      <c r="G691">
        <v>4970</v>
      </c>
      <c r="I691">
        <v>0</v>
      </c>
      <c r="J691" t="s">
        <v>1323</v>
      </c>
    </row>
    <row r="692" spans="1:10" x14ac:dyDescent="0.25">
      <c r="A692" s="210" t="s">
        <v>1672</v>
      </c>
      <c r="B692">
        <v>9418</v>
      </c>
      <c r="C692" s="100">
        <v>46157</v>
      </c>
      <c r="D692" t="s">
        <v>49</v>
      </c>
      <c r="E692" t="s">
        <v>17</v>
      </c>
      <c r="F692" t="s">
        <v>134</v>
      </c>
      <c r="G692">
        <v>1230</v>
      </c>
      <c r="I692">
        <v>0</v>
      </c>
      <c r="J692" t="s">
        <v>2132</v>
      </c>
    </row>
    <row r="693" spans="1:10" x14ac:dyDescent="0.25">
      <c r="A693" s="210" t="s">
        <v>1672</v>
      </c>
      <c r="B693">
        <v>7644</v>
      </c>
      <c r="C693" s="100">
        <v>46065</v>
      </c>
      <c r="D693" t="s">
        <v>49</v>
      </c>
      <c r="E693" t="s">
        <v>442</v>
      </c>
      <c r="F693" t="s">
        <v>1322</v>
      </c>
      <c r="G693">
        <v>7564</v>
      </c>
      <c r="I693">
        <v>0</v>
      </c>
    </row>
    <row r="694" spans="1:10" x14ac:dyDescent="0.25">
      <c r="A694" s="210" t="s">
        <v>1672</v>
      </c>
      <c r="B694">
        <v>7678</v>
      </c>
      <c r="C694" s="100">
        <v>46077</v>
      </c>
      <c r="D694" t="s">
        <v>49</v>
      </c>
      <c r="E694" t="s">
        <v>317</v>
      </c>
      <c r="F694" t="s">
        <v>136</v>
      </c>
      <c r="G694">
        <v>356</v>
      </c>
      <c r="I694">
        <v>0</v>
      </c>
    </row>
    <row r="695" spans="1:10" x14ac:dyDescent="0.25">
      <c r="A695" s="210" t="s">
        <v>1689</v>
      </c>
      <c r="B695">
        <v>9234</v>
      </c>
      <c r="C695" s="100">
        <v>46149</v>
      </c>
      <c r="D695" t="s">
        <v>426</v>
      </c>
      <c r="E695" t="s">
        <v>43</v>
      </c>
      <c r="F695" t="s">
        <v>140</v>
      </c>
      <c r="G695">
        <v>5950</v>
      </c>
      <c r="I695">
        <v>0</v>
      </c>
    </row>
    <row r="696" spans="1:10" x14ac:dyDescent="0.25">
      <c r="A696" s="210" t="s">
        <v>1697</v>
      </c>
      <c r="B696">
        <v>8409</v>
      </c>
      <c r="C696" s="100">
        <v>46111</v>
      </c>
      <c r="D696" t="s">
        <v>49</v>
      </c>
      <c r="E696" t="s">
        <v>442</v>
      </c>
      <c r="F696" t="s">
        <v>1397</v>
      </c>
      <c r="G696">
        <v>12000</v>
      </c>
      <c r="I696">
        <v>0</v>
      </c>
    </row>
    <row r="697" spans="1:10" x14ac:dyDescent="0.25">
      <c r="A697" s="210" t="s">
        <v>1697</v>
      </c>
      <c r="B697">
        <v>8436</v>
      </c>
      <c r="C697" s="100">
        <v>46112</v>
      </c>
      <c r="D697" t="s">
        <v>49</v>
      </c>
      <c r="E697" t="s">
        <v>192</v>
      </c>
      <c r="F697" t="s">
        <v>40</v>
      </c>
      <c r="G697">
        <v>8052</v>
      </c>
      <c r="I697">
        <v>0</v>
      </c>
    </row>
    <row r="698" spans="1:10" x14ac:dyDescent="0.25">
      <c r="A698" s="210" t="s">
        <v>1697</v>
      </c>
      <c r="B698">
        <v>8917</v>
      </c>
      <c r="C698" s="100">
        <v>46133</v>
      </c>
      <c r="D698" t="s">
        <v>49</v>
      </c>
      <c r="E698" t="s">
        <v>26</v>
      </c>
      <c r="F698" t="s">
        <v>214</v>
      </c>
      <c r="G698">
        <v>8006</v>
      </c>
      <c r="I698">
        <v>0</v>
      </c>
      <c r="J698" t="s">
        <v>1755</v>
      </c>
    </row>
    <row r="699" spans="1:10" x14ac:dyDescent="0.25">
      <c r="A699" s="210" t="s">
        <v>1697</v>
      </c>
      <c r="B699" t="s">
        <v>1410</v>
      </c>
      <c r="C699" s="100">
        <v>46135</v>
      </c>
      <c r="D699" t="s">
        <v>84</v>
      </c>
      <c r="E699" t="s">
        <v>26</v>
      </c>
      <c r="F699" t="s">
        <v>214</v>
      </c>
      <c r="G699">
        <v>8004</v>
      </c>
      <c r="I699">
        <v>0</v>
      </c>
    </row>
    <row r="700" spans="1:10" x14ac:dyDescent="0.25">
      <c r="A700" s="210" t="s">
        <v>1697</v>
      </c>
      <c r="B700">
        <v>9066</v>
      </c>
      <c r="C700" s="100">
        <v>46140</v>
      </c>
      <c r="D700" t="s">
        <v>49</v>
      </c>
      <c r="E700" t="s">
        <v>26</v>
      </c>
      <c r="F700" t="s">
        <v>283</v>
      </c>
      <c r="G700">
        <v>7342</v>
      </c>
      <c r="I700">
        <v>0</v>
      </c>
      <c r="J700" t="s">
        <v>1856</v>
      </c>
    </row>
    <row r="701" spans="1:10" x14ac:dyDescent="0.25">
      <c r="A701" s="210" t="s">
        <v>1697</v>
      </c>
      <c r="B701" t="s">
        <v>2169</v>
      </c>
      <c r="C701" s="100">
        <v>46146</v>
      </c>
      <c r="D701" t="s">
        <v>692</v>
      </c>
      <c r="E701" t="s">
        <v>26</v>
      </c>
      <c r="F701" t="s">
        <v>283</v>
      </c>
      <c r="G701">
        <v>7342</v>
      </c>
      <c r="I701">
        <v>0</v>
      </c>
    </row>
    <row r="702" spans="1:10" x14ac:dyDescent="0.25">
      <c r="A702" s="210" t="s">
        <v>1697</v>
      </c>
      <c r="B702">
        <v>7068</v>
      </c>
      <c r="C702" s="100">
        <v>46031</v>
      </c>
      <c r="D702" t="s">
        <v>49</v>
      </c>
      <c r="E702" t="s">
        <v>192</v>
      </c>
      <c r="F702" t="s">
        <v>2399</v>
      </c>
      <c r="G702">
        <v>5760</v>
      </c>
      <c r="I702">
        <v>0</v>
      </c>
    </row>
    <row r="703" spans="1:10" x14ac:dyDescent="0.25">
      <c r="A703" s="210" t="s">
        <v>1697</v>
      </c>
      <c r="B703">
        <v>7077</v>
      </c>
      <c r="C703" s="100">
        <v>46031</v>
      </c>
      <c r="D703" t="s">
        <v>49</v>
      </c>
      <c r="E703" t="s">
        <v>442</v>
      </c>
      <c r="F703" t="s">
        <v>2403</v>
      </c>
      <c r="G703">
        <v>12042</v>
      </c>
      <c r="I703">
        <v>0</v>
      </c>
      <c r="J703" t="s">
        <v>2404</v>
      </c>
    </row>
    <row r="704" spans="1:10" x14ac:dyDescent="0.25">
      <c r="A704" s="210" t="s">
        <v>1697</v>
      </c>
      <c r="B704">
        <v>7081</v>
      </c>
      <c r="C704" s="100">
        <v>46031</v>
      </c>
      <c r="D704" t="s">
        <v>49</v>
      </c>
      <c r="E704" t="s">
        <v>442</v>
      </c>
      <c r="F704" t="s">
        <v>2403</v>
      </c>
      <c r="G704">
        <v>11856</v>
      </c>
      <c r="I704">
        <v>0</v>
      </c>
    </row>
    <row r="705" spans="1:10" x14ac:dyDescent="0.25">
      <c r="A705" s="210" t="s">
        <v>1697</v>
      </c>
      <c r="B705">
        <v>7118</v>
      </c>
      <c r="C705" s="100">
        <v>46034</v>
      </c>
      <c r="D705" t="s">
        <v>49</v>
      </c>
      <c r="E705" t="s">
        <v>442</v>
      </c>
      <c r="F705" t="s">
        <v>2411</v>
      </c>
      <c r="G705">
        <v>12038</v>
      </c>
      <c r="I705">
        <v>0</v>
      </c>
      <c r="J705" t="s">
        <v>2412</v>
      </c>
    </row>
    <row r="706" spans="1:10" x14ac:dyDescent="0.25">
      <c r="A706" s="210" t="s">
        <v>1697</v>
      </c>
      <c r="B706">
        <v>7118</v>
      </c>
      <c r="C706" s="100">
        <v>46034</v>
      </c>
      <c r="D706" t="s">
        <v>49</v>
      </c>
      <c r="E706" t="s">
        <v>442</v>
      </c>
      <c r="F706" t="s">
        <v>2413</v>
      </c>
      <c r="G706">
        <v>12066</v>
      </c>
      <c r="I706">
        <v>0</v>
      </c>
      <c r="J706" t="s">
        <v>2414</v>
      </c>
    </row>
    <row r="707" spans="1:10" x14ac:dyDescent="0.25">
      <c r="A707" s="210" t="s">
        <v>1697</v>
      </c>
      <c r="B707">
        <v>7151</v>
      </c>
      <c r="C707" s="100">
        <v>46035</v>
      </c>
      <c r="D707" t="s">
        <v>49</v>
      </c>
      <c r="E707" t="s">
        <v>442</v>
      </c>
      <c r="F707" t="s">
        <v>1397</v>
      </c>
      <c r="G707">
        <v>12000</v>
      </c>
      <c r="I707">
        <v>0</v>
      </c>
    </row>
    <row r="708" spans="1:10" x14ac:dyDescent="0.25">
      <c r="A708" s="210" t="s">
        <v>1697</v>
      </c>
      <c r="B708">
        <v>7345</v>
      </c>
      <c r="C708" s="100">
        <v>46045</v>
      </c>
      <c r="D708" t="s">
        <v>49</v>
      </c>
      <c r="E708" t="s">
        <v>442</v>
      </c>
      <c r="F708" t="s">
        <v>2450</v>
      </c>
      <c r="G708">
        <v>11856</v>
      </c>
      <c r="I708">
        <v>0</v>
      </c>
      <c r="J708" t="s">
        <v>2451</v>
      </c>
    </row>
    <row r="709" spans="1:10" x14ac:dyDescent="0.25">
      <c r="A709" s="210" t="s">
        <v>1697</v>
      </c>
      <c r="B709">
        <v>7390</v>
      </c>
      <c r="C709" s="100">
        <v>46048</v>
      </c>
      <c r="D709" t="s">
        <v>49</v>
      </c>
      <c r="E709" t="s">
        <v>442</v>
      </c>
      <c r="F709" t="s">
        <v>1322</v>
      </c>
      <c r="G709">
        <v>11524</v>
      </c>
      <c r="I709">
        <v>0</v>
      </c>
    </row>
    <row r="710" spans="1:10" x14ac:dyDescent="0.25">
      <c r="A710" s="210" t="s">
        <v>1697</v>
      </c>
      <c r="B710" t="s">
        <v>2495</v>
      </c>
      <c r="C710" s="100">
        <v>46169</v>
      </c>
      <c r="D710" t="s">
        <v>692</v>
      </c>
      <c r="E710" t="s">
        <v>2496</v>
      </c>
      <c r="F710" t="s">
        <v>2482</v>
      </c>
      <c r="G710">
        <v>1125</v>
      </c>
      <c r="I710">
        <v>0</v>
      </c>
    </row>
    <row r="711" spans="1:10" x14ac:dyDescent="0.25">
      <c r="A711" s="210" t="s">
        <v>1697</v>
      </c>
      <c r="B711">
        <v>7500</v>
      </c>
      <c r="C711" s="100">
        <v>46055</v>
      </c>
      <c r="D711" t="s">
        <v>49</v>
      </c>
      <c r="E711" t="s">
        <v>270</v>
      </c>
      <c r="F711" t="s">
        <v>1322</v>
      </c>
      <c r="G711">
        <v>11524</v>
      </c>
      <c r="I711">
        <v>0</v>
      </c>
    </row>
    <row r="712" spans="1:10" x14ac:dyDescent="0.25">
      <c r="A712" s="210" t="s">
        <v>1697</v>
      </c>
      <c r="B712">
        <v>7611</v>
      </c>
      <c r="C712" s="100">
        <v>46062</v>
      </c>
      <c r="D712" t="s">
        <v>49</v>
      </c>
      <c r="E712" t="s">
        <v>442</v>
      </c>
      <c r="F712" t="s">
        <v>2565</v>
      </c>
      <c r="G712">
        <v>12860</v>
      </c>
      <c r="I712">
        <v>0</v>
      </c>
    </row>
    <row r="713" spans="1:10" x14ac:dyDescent="0.25">
      <c r="A713" s="210" t="s">
        <v>1704</v>
      </c>
      <c r="B713">
        <v>268</v>
      </c>
      <c r="C713" s="100">
        <v>46116</v>
      </c>
      <c r="D713" t="s">
        <v>426</v>
      </c>
      <c r="E713" t="s">
        <v>118</v>
      </c>
      <c r="F713" t="s">
        <v>682</v>
      </c>
      <c r="G713">
        <v>2254</v>
      </c>
      <c r="I713">
        <v>0</v>
      </c>
    </row>
    <row r="714" spans="1:10" x14ac:dyDescent="0.25">
      <c r="A714" s="210" t="s">
        <v>1704</v>
      </c>
      <c r="B714">
        <v>270</v>
      </c>
      <c r="C714" s="100">
        <v>46116</v>
      </c>
      <c r="D714" t="s">
        <v>426</v>
      </c>
      <c r="E714" t="s">
        <v>93</v>
      </c>
      <c r="F714" t="s">
        <v>443</v>
      </c>
      <c r="G714">
        <v>7044</v>
      </c>
      <c r="I714">
        <v>0</v>
      </c>
      <c r="J714" t="s">
        <v>1430</v>
      </c>
    </row>
    <row r="715" spans="1:10" x14ac:dyDescent="0.25">
      <c r="A715" s="210" t="s">
        <v>1704</v>
      </c>
      <c r="B715">
        <v>270</v>
      </c>
      <c r="C715" s="100">
        <v>46116</v>
      </c>
      <c r="D715" t="s">
        <v>426</v>
      </c>
      <c r="E715" t="s">
        <v>93</v>
      </c>
      <c r="F715" t="s">
        <v>443</v>
      </c>
      <c r="G715">
        <v>11866</v>
      </c>
      <c r="I715">
        <v>0</v>
      </c>
      <c r="J715" t="s">
        <v>1431</v>
      </c>
    </row>
    <row r="716" spans="1:10" x14ac:dyDescent="0.25">
      <c r="A716" s="210" t="s">
        <v>1725</v>
      </c>
      <c r="B716">
        <v>8977</v>
      </c>
      <c r="C716" s="100">
        <v>46136</v>
      </c>
      <c r="D716" t="s">
        <v>49</v>
      </c>
      <c r="E716" t="s">
        <v>43</v>
      </c>
      <c r="F716" t="s">
        <v>154</v>
      </c>
      <c r="G716">
        <v>4430</v>
      </c>
      <c r="I716">
        <v>0</v>
      </c>
      <c r="J716" t="s">
        <v>1808</v>
      </c>
    </row>
    <row r="717" spans="1:10" x14ac:dyDescent="0.25">
      <c r="A717" s="210" t="s">
        <v>1725</v>
      </c>
      <c r="B717" t="s">
        <v>1474</v>
      </c>
      <c r="C717" s="100">
        <v>46136</v>
      </c>
      <c r="D717" t="s">
        <v>426</v>
      </c>
      <c r="E717" t="s">
        <v>43</v>
      </c>
      <c r="F717" t="s">
        <v>154</v>
      </c>
      <c r="G717">
        <v>1855</v>
      </c>
      <c r="I717">
        <v>0</v>
      </c>
    </row>
    <row r="718" spans="1:10" x14ac:dyDescent="0.25">
      <c r="A718" s="210" t="s">
        <v>1725</v>
      </c>
      <c r="B718">
        <v>50</v>
      </c>
      <c r="C718" s="100">
        <v>46147</v>
      </c>
      <c r="D718" t="s">
        <v>426</v>
      </c>
      <c r="E718" t="s">
        <v>43</v>
      </c>
      <c r="F718" t="s">
        <v>154</v>
      </c>
      <c r="G718">
        <v>4570</v>
      </c>
      <c r="I718">
        <v>0</v>
      </c>
    </row>
    <row r="719" spans="1:10" x14ac:dyDescent="0.25">
      <c r="A719" s="210" t="s">
        <v>1725</v>
      </c>
      <c r="B719">
        <v>9162</v>
      </c>
      <c r="C719" s="100">
        <v>46148</v>
      </c>
      <c r="D719" t="s">
        <v>49</v>
      </c>
      <c r="E719" t="s">
        <v>43</v>
      </c>
      <c r="F719" t="s">
        <v>154</v>
      </c>
      <c r="G719">
        <v>6900</v>
      </c>
      <c r="I719">
        <v>0</v>
      </c>
      <c r="J719" t="s">
        <v>1935</v>
      </c>
    </row>
    <row r="720" spans="1:10" x14ac:dyDescent="0.25">
      <c r="A720" s="210" t="s">
        <v>1725</v>
      </c>
      <c r="B720">
        <v>9556</v>
      </c>
      <c r="C720" s="100">
        <v>46164</v>
      </c>
      <c r="D720" t="s">
        <v>49</v>
      </c>
      <c r="E720" t="s">
        <v>43</v>
      </c>
      <c r="F720" t="s">
        <v>78</v>
      </c>
      <c r="G720">
        <v>10860</v>
      </c>
      <c r="I720">
        <v>0</v>
      </c>
      <c r="J720" t="s">
        <v>2305</v>
      </c>
    </row>
    <row r="721" spans="1:9" x14ac:dyDescent="0.25">
      <c r="A721" s="210" t="s">
        <v>1725</v>
      </c>
      <c r="B721">
        <v>56</v>
      </c>
      <c r="C721" s="100">
        <v>46165</v>
      </c>
      <c r="D721" t="s">
        <v>426</v>
      </c>
      <c r="E721" t="s">
        <v>43</v>
      </c>
      <c r="F721" t="s">
        <v>78</v>
      </c>
      <c r="G721">
        <v>5784</v>
      </c>
      <c r="I721">
        <v>0</v>
      </c>
    </row>
    <row r="722" spans="1:9" x14ac:dyDescent="0.25">
      <c r="A722" s="210" t="s">
        <v>2582</v>
      </c>
      <c r="B722">
        <v>1016</v>
      </c>
      <c r="C722" s="100">
        <v>46169</v>
      </c>
      <c r="D722" t="s">
        <v>13</v>
      </c>
      <c r="E722" t="s">
        <v>701</v>
      </c>
      <c r="F722" t="s">
        <v>2583</v>
      </c>
      <c r="G722">
        <v>5531</v>
      </c>
      <c r="I722">
        <v>0</v>
      </c>
    </row>
  </sheetData>
  <pageMargins left="0.7" right="0.7" top="0.75" bottom="0.75" header="0.3" footer="0.3"/>
  <tableParts count="1">
    <tablePart r:id="rId1"/>
  </tableParts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25B80A-C6D1-48AB-837C-DCFF1E1FA27A}">
  <sheetPr codeName="Sheet62"/>
  <dimension ref="A1:K4319"/>
  <sheetViews>
    <sheetView workbookViewId="0">
      <selection activeCell="E4224" sqref="A1:K4315"/>
    </sheetView>
  </sheetViews>
  <sheetFormatPr defaultRowHeight="15" x14ac:dyDescent="0.25"/>
  <cols>
    <col min="1" max="1" width="27.85546875" bestFit="1" customWidth="1"/>
    <col min="2" max="2" width="11.140625" bestFit="1" customWidth="1"/>
    <col min="3" max="3" width="13.140625" style="100" bestFit="1" customWidth="1"/>
    <col min="4" max="4" width="11.42578125" bestFit="1" customWidth="1"/>
    <col min="5" max="5" width="21.85546875" bestFit="1" customWidth="1"/>
    <col min="6" max="6" width="51.5703125" bestFit="1" customWidth="1"/>
    <col min="7" max="7" width="13.28515625" bestFit="1" customWidth="1"/>
    <col min="8" max="8" width="12.7109375" bestFit="1" customWidth="1"/>
    <col min="9" max="9" width="14.28515625" bestFit="1" customWidth="1"/>
    <col min="10" max="10" width="15.140625" bestFit="1" customWidth="1"/>
    <col min="11" max="14" width="62.85546875" bestFit="1" customWidth="1"/>
  </cols>
  <sheetData>
    <row r="1" spans="1:11" x14ac:dyDescent="0.25">
      <c r="A1" t="s">
        <v>2165</v>
      </c>
      <c r="B1" t="s">
        <v>2</v>
      </c>
      <c r="C1" t="s">
        <v>3</v>
      </c>
      <c r="D1" t="s">
        <v>4</v>
      </c>
      <c r="E1" t="s">
        <v>5</v>
      </c>
      <c r="F1" t="s">
        <v>6</v>
      </c>
      <c r="G1" t="s">
        <v>7</v>
      </c>
      <c r="H1" t="s">
        <v>2011</v>
      </c>
      <c r="I1" t="s">
        <v>8</v>
      </c>
      <c r="J1" t="s">
        <v>9</v>
      </c>
      <c r="K1" t="s">
        <v>11</v>
      </c>
    </row>
    <row r="2" spans="1:11" hidden="1" x14ac:dyDescent="0.25">
      <c r="A2" s="210" t="s">
        <v>1725</v>
      </c>
      <c r="B2" t="s">
        <v>1474</v>
      </c>
      <c r="C2" s="100">
        <v>46136</v>
      </c>
      <c r="D2" t="s">
        <v>426</v>
      </c>
      <c r="E2" t="s">
        <v>43</v>
      </c>
      <c r="F2" t="s">
        <v>154</v>
      </c>
      <c r="G2">
        <v>1855</v>
      </c>
      <c r="I2">
        <v>0</v>
      </c>
    </row>
    <row r="3" spans="1:11" hidden="1" x14ac:dyDescent="0.25">
      <c r="A3" s="210" t="s">
        <v>1722</v>
      </c>
      <c r="B3" t="s">
        <v>1468</v>
      </c>
      <c r="C3" s="100">
        <v>46116</v>
      </c>
      <c r="D3" t="s">
        <v>692</v>
      </c>
      <c r="E3" t="s">
        <v>703</v>
      </c>
      <c r="F3" t="s">
        <v>682</v>
      </c>
      <c r="G3">
        <v>2254</v>
      </c>
      <c r="H3">
        <v>-26000</v>
      </c>
      <c r="I3">
        <v>-58604000</v>
      </c>
      <c r="K3" t="s">
        <v>2037</v>
      </c>
    </row>
    <row r="4" spans="1:11" hidden="1" x14ac:dyDescent="0.25">
      <c r="A4" s="210" t="s">
        <v>1697</v>
      </c>
      <c r="B4" t="s">
        <v>1405</v>
      </c>
      <c r="C4" s="100">
        <v>46112</v>
      </c>
      <c r="D4" t="s">
        <v>84</v>
      </c>
      <c r="E4" t="s">
        <v>27</v>
      </c>
      <c r="F4" t="s">
        <v>1406</v>
      </c>
      <c r="G4">
        <v>12000</v>
      </c>
      <c r="H4">
        <v>-500</v>
      </c>
      <c r="I4">
        <v>-6000000</v>
      </c>
    </row>
    <row r="5" spans="1:11" hidden="1" x14ac:dyDescent="0.25">
      <c r="A5" s="210" t="s">
        <v>1613</v>
      </c>
      <c r="B5" t="s">
        <v>1165</v>
      </c>
      <c r="C5" s="100">
        <v>46087</v>
      </c>
      <c r="D5" t="s">
        <v>84</v>
      </c>
      <c r="E5" t="s">
        <v>277</v>
      </c>
      <c r="F5" t="s">
        <v>1166</v>
      </c>
      <c r="G5">
        <v>1954</v>
      </c>
      <c r="H5">
        <v>-1000</v>
      </c>
      <c r="I5">
        <v>-1954000</v>
      </c>
      <c r="K5">
        <v>1000</v>
      </c>
    </row>
    <row r="6" spans="1:11" hidden="1" x14ac:dyDescent="0.25">
      <c r="A6" s="210" t="s">
        <v>1697</v>
      </c>
      <c r="B6" t="s">
        <v>1410</v>
      </c>
      <c r="C6" s="100">
        <v>46135</v>
      </c>
      <c r="D6" t="s">
        <v>84</v>
      </c>
      <c r="E6" t="s">
        <v>26</v>
      </c>
      <c r="F6" t="s">
        <v>214</v>
      </c>
      <c r="G6">
        <v>8004</v>
      </c>
      <c r="I6">
        <v>0</v>
      </c>
    </row>
    <row r="7" spans="1:11" hidden="1" x14ac:dyDescent="0.25">
      <c r="A7" s="210" t="s">
        <v>2138</v>
      </c>
      <c r="B7" t="s">
        <v>2194</v>
      </c>
      <c r="C7" s="100">
        <v>46158</v>
      </c>
      <c r="D7" t="s">
        <v>692</v>
      </c>
      <c r="E7" t="s">
        <v>43</v>
      </c>
      <c r="F7" t="s">
        <v>2140</v>
      </c>
      <c r="G7">
        <v>5429</v>
      </c>
      <c r="H7">
        <v>-60900</v>
      </c>
      <c r="I7">
        <v>-330626100</v>
      </c>
    </row>
    <row r="8" spans="1:11" hidden="1" x14ac:dyDescent="0.25">
      <c r="A8" s="210" t="s">
        <v>2138</v>
      </c>
      <c r="B8" t="s">
        <v>2194</v>
      </c>
      <c r="C8" s="100">
        <v>46158</v>
      </c>
      <c r="D8" t="s">
        <v>692</v>
      </c>
      <c r="E8" t="s">
        <v>43</v>
      </c>
      <c r="F8" t="s">
        <v>2140</v>
      </c>
      <c r="G8">
        <v>5273</v>
      </c>
      <c r="H8">
        <v>-60900</v>
      </c>
      <c r="I8">
        <v>-321125700</v>
      </c>
    </row>
    <row r="9" spans="1:11" hidden="1" x14ac:dyDescent="0.25">
      <c r="A9" s="210" t="s">
        <v>2138</v>
      </c>
      <c r="B9" t="s">
        <v>2145</v>
      </c>
      <c r="C9" s="100">
        <v>46157</v>
      </c>
      <c r="D9" t="s">
        <v>692</v>
      </c>
      <c r="E9" t="s">
        <v>43</v>
      </c>
      <c r="F9" t="s">
        <v>2140</v>
      </c>
      <c r="G9">
        <v>5206</v>
      </c>
      <c r="H9">
        <v>-60900</v>
      </c>
      <c r="I9">
        <v>-317045400</v>
      </c>
    </row>
    <row r="10" spans="1:11" hidden="1" x14ac:dyDescent="0.25">
      <c r="A10" s="210" t="s">
        <v>2138</v>
      </c>
      <c r="B10" t="s">
        <v>2145</v>
      </c>
      <c r="C10" s="100">
        <v>46157</v>
      </c>
      <c r="D10" t="s">
        <v>692</v>
      </c>
      <c r="E10" t="s">
        <v>43</v>
      </c>
      <c r="F10" t="s">
        <v>2139</v>
      </c>
      <c r="G10">
        <v>10669</v>
      </c>
      <c r="H10">
        <v>-61700</v>
      </c>
      <c r="I10">
        <v>-658277300</v>
      </c>
    </row>
    <row r="11" spans="1:11" hidden="1" x14ac:dyDescent="0.25">
      <c r="A11" s="210" t="s">
        <v>2138</v>
      </c>
      <c r="B11" t="s">
        <v>2145</v>
      </c>
      <c r="C11" s="100">
        <v>46157</v>
      </c>
      <c r="D11" t="s">
        <v>692</v>
      </c>
      <c r="E11" t="s">
        <v>43</v>
      </c>
      <c r="F11" t="s">
        <v>2146</v>
      </c>
      <c r="G11">
        <v>5324</v>
      </c>
      <c r="H11">
        <v>-61500</v>
      </c>
      <c r="I11">
        <v>-327426000</v>
      </c>
    </row>
    <row r="12" spans="1:11" hidden="1" x14ac:dyDescent="0.25">
      <c r="A12" s="210" t="s">
        <v>2138</v>
      </c>
      <c r="B12" t="s">
        <v>2145</v>
      </c>
      <c r="C12" s="100">
        <v>46157</v>
      </c>
      <c r="D12" t="s">
        <v>692</v>
      </c>
      <c r="E12" t="s">
        <v>43</v>
      </c>
      <c r="F12" t="s">
        <v>2147</v>
      </c>
      <c r="G12">
        <v>5324</v>
      </c>
      <c r="H12">
        <v>-61200</v>
      </c>
      <c r="I12">
        <v>-325828800</v>
      </c>
    </row>
    <row r="13" spans="1:11" hidden="1" x14ac:dyDescent="0.25">
      <c r="A13" s="210" t="s">
        <v>2138</v>
      </c>
      <c r="B13" t="s">
        <v>2136</v>
      </c>
      <c r="C13" s="100">
        <v>46156</v>
      </c>
      <c r="D13" t="s">
        <v>692</v>
      </c>
      <c r="E13" t="s">
        <v>43</v>
      </c>
      <c r="F13" t="s">
        <v>2137</v>
      </c>
      <c r="G13">
        <v>5482</v>
      </c>
      <c r="H13">
        <v>-62700</v>
      </c>
      <c r="I13">
        <v>-343721400</v>
      </c>
    </row>
    <row r="14" spans="1:11" hidden="1" x14ac:dyDescent="0.25">
      <c r="A14" s="210" t="s">
        <v>2138</v>
      </c>
      <c r="B14" t="s">
        <v>2136</v>
      </c>
      <c r="C14" s="100">
        <v>46156</v>
      </c>
      <c r="D14" t="s">
        <v>692</v>
      </c>
      <c r="E14" t="s">
        <v>43</v>
      </c>
      <c r="F14" t="s">
        <v>2139</v>
      </c>
      <c r="G14">
        <v>5321</v>
      </c>
      <c r="H14">
        <v>-61700</v>
      </c>
      <c r="I14">
        <v>-328305700</v>
      </c>
    </row>
    <row r="15" spans="1:11" hidden="1" x14ac:dyDescent="0.25">
      <c r="A15" s="210" t="s">
        <v>2138</v>
      </c>
      <c r="B15" t="s">
        <v>2136</v>
      </c>
      <c r="C15" s="100">
        <v>46156</v>
      </c>
      <c r="D15" t="s">
        <v>692</v>
      </c>
      <c r="E15" t="s">
        <v>43</v>
      </c>
      <c r="F15" t="s">
        <v>2140</v>
      </c>
      <c r="G15">
        <v>5289</v>
      </c>
      <c r="H15">
        <v>-60900</v>
      </c>
      <c r="I15">
        <v>-322100100</v>
      </c>
    </row>
    <row r="16" spans="1:11" hidden="1" x14ac:dyDescent="0.25">
      <c r="A16" s="210" t="s">
        <v>2138</v>
      </c>
      <c r="B16" t="s">
        <v>2136</v>
      </c>
      <c r="C16" s="100">
        <v>46156</v>
      </c>
      <c r="D16" t="s">
        <v>692</v>
      </c>
      <c r="E16" t="s">
        <v>43</v>
      </c>
      <c r="F16" t="s">
        <v>2140</v>
      </c>
      <c r="G16">
        <v>5311</v>
      </c>
      <c r="H16">
        <v>-60900</v>
      </c>
      <c r="I16">
        <v>-323439900</v>
      </c>
    </row>
    <row r="17" spans="1:9" hidden="1" x14ac:dyDescent="0.25">
      <c r="A17" s="210" t="s">
        <v>2138</v>
      </c>
      <c r="B17" t="s">
        <v>2136</v>
      </c>
      <c r="C17" s="100">
        <v>46156</v>
      </c>
      <c r="D17" t="s">
        <v>692</v>
      </c>
      <c r="E17" t="s">
        <v>43</v>
      </c>
      <c r="F17" t="s">
        <v>2140</v>
      </c>
      <c r="G17">
        <v>5401</v>
      </c>
      <c r="H17">
        <v>-60900</v>
      </c>
      <c r="I17">
        <v>-328920900</v>
      </c>
    </row>
    <row r="18" spans="1:9" hidden="1" x14ac:dyDescent="0.25">
      <c r="A18" s="210" t="s">
        <v>2138</v>
      </c>
      <c r="B18" t="s">
        <v>2178</v>
      </c>
      <c r="C18" s="100">
        <v>46151</v>
      </c>
      <c r="D18" t="s">
        <v>692</v>
      </c>
      <c r="E18" t="s">
        <v>43</v>
      </c>
      <c r="F18" t="s">
        <v>2137</v>
      </c>
      <c r="G18">
        <v>5346</v>
      </c>
      <c r="H18">
        <v>-63200</v>
      </c>
      <c r="I18">
        <v>-337867200</v>
      </c>
    </row>
    <row r="19" spans="1:9" hidden="1" x14ac:dyDescent="0.25">
      <c r="A19" s="210" t="s">
        <v>2138</v>
      </c>
      <c r="B19" t="s">
        <v>2178</v>
      </c>
      <c r="C19" s="100">
        <v>46151</v>
      </c>
      <c r="D19" t="s">
        <v>692</v>
      </c>
      <c r="E19" t="s">
        <v>43</v>
      </c>
      <c r="F19" t="s">
        <v>2137</v>
      </c>
      <c r="G19">
        <v>5353</v>
      </c>
      <c r="H19">
        <v>-63200</v>
      </c>
      <c r="I19">
        <v>-338309600</v>
      </c>
    </row>
    <row r="20" spans="1:9" hidden="1" x14ac:dyDescent="0.25">
      <c r="A20" s="210" t="s">
        <v>2138</v>
      </c>
      <c r="B20" t="s">
        <v>2178</v>
      </c>
      <c r="C20" s="100">
        <v>46151</v>
      </c>
      <c r="D20" t="s">
        <v>692</v>
      </c>
      <c r="E20" t="s">
        <v>43</v>
      </c>
      <c r="F20" t="s">
        <v>2139</v>
      </c>
      <c r="G20">
        <v>5320</v>
      </c>
      <c r="H20">
        <v>-62200</v>
      </c>
      <c r="I20">
        <v>-330904000</v>
      </c>
    </row>
    <row r="21" spans="1:9" hidden="1" x14ac:dyDescent="0.25">
      <c r="A21" s="210" t="s">
        <v>2138</v>
      </c>
      <c r="B21" t="s">
        <v>2178</v>
      </c>
      <c r="C21" s="100">
        <v>46151</v>
      </c>
      <c r="D21" t="s">
        <v>692</v>
      </c>
      <c r="E21" t="s">
        <v>43</v>
      </c>
      <c r="F21" t="s">
        <v>2146</v>
      </c>
      <c r="G21">
        <v>5298</v>
      </c>
      <c r="H21">
        <v>-62000</v>
      </c>
      <c r="I21">
        <v>-328476000</v>
      </c>
    </row>
    <row r="22" spans="1:9" hidden="1" x14ac:dyDescent="0.25">
      <c r="A22" s="210" t="s">
        <v>2138</v>
      </c>
      <c r="B22" t="s">
        <v>2178</v>
      </c>
      <c r="C22" s="100">
        <v>46151</v>
      </c>
      <c r="D22" t="s">
        <v>692</v>
      </c>
      <c r="E22" t="s">
        <v>43</v>
      </c>
      <c r="F22" t="s">
        <v>2140</v>
      </c>
      <c r="G22">
        <v>5394</v>
      </c>
      <c r="H22">
        <v>-61400</v>
      </c>
      <c r="I22">
        <v>-331191600</v>
      </c>
    </row>
    <row r="23" spans="1:9" hidden="1" x14ac:dyDescent="0.25">
      <c r="A23" s="210" t="s">
        <v>1697</v>
      </c>
      <c r="B23" t="s">
        <v>2495</v>
      </c>
      <c r="C23" s="100">
        <v>46169</v>
      </c>
      <c r="D23" t="s">
        <v>692</v>
      </c>
      <c r="E23" t="s">
        <v>2496</v>
      </c>
      <c r="F23" t="s">
        <v>2482</v>
      </c>
      <c r="G23">
        <v>1125</v>
      </c>
      <c r="I23">
        <v>0</v>
      </c>
    </row>
    <row r="24" spans="1:9" hidden="1" x14ac:dyDescent="0.25">
      <c r="A24" s="210" t="s">
        <v>2138</v>
      </c>
      <c r="B24" t="s">
        <v>2173</v>
      </c>
      <c r="C24" s="100">
        <v>46148</v>
      </c>
      <c r="D24" t="s">
        <v>692</v>
      </c>
      <c r="E24" t="s">
        <v>43</v>
      </c>
      <c r="F24" t="s">
        <v>1420</v>
      </c>
      <c r="G24">
        <v>5431</v>
      </c>
      <c r="H24">
        <v>-63700</v>
      </c>
      <c r="I24">
        <v>-345954700</v>
      </c>
    </row>
    <row r="25" spans="1:9" hidden="1" x14ac:dyDescent="0.25">
      <c r="A25" s="210" t="s">
        <v>2138</v>
      </c>
      <c r="B25" t="s">
        <v>2173</v>
      </c>
      <c r="C25" s="100">
        <v>46148</v>
      </c>
      <c r="D25" t="s">
        <v>692</v>
      </c>
      <c r="E25" t="s">
        <v>43</v>
      </c>
      <c r="F25" t="s">
        <v>2137</v>
      </c>
      <c r="G25">
        <v>5325</v>
      </c>
      <c r="H25">
        <v>-63200</v>
      </c>
      <c r="I25">
        <v>-336540000</v>
      </c>
    </row>
    <row r="26" spans="1:9" hidden="1" x14ac:dyDescent="0.25">
      <c r="A26" s="210" t="s">
        <v>2138</v>
      </c>
      <c r="B26" t="s">
        <v>2173</v>
      </c>
      <c r="C26" s="100">
        <v>46148</v>
      </c>
      <c r="D26" t="s">
        <v>692</v>
      </c>
      <c r="E26" t="s">
        <v>43</v>
      </c>
      <c r="F26" t="s">
        <v>2139</v>
      </c>
      <c r="G26">
        <v>5342</v>
      </c>
      <c r="H26">
        <v>-62200</v>
      </c>
      <c r="I26">
        <v>-332272400</v>
      </c>
    </row>
    <row r="27" spans="1:9" hidden="1" x14ac:dyDescent="0.25">
      <c r="A27" s="210" t="s">
        <v>2138</v>
      </c>
      <c r="B27" t="s">
        <v>2173</v>
      </c>
      <c r="C27" s="100">
        <v>46148</v>
      </c>
      <c r="D27" t="s">
        <v>692</v>
      </c>
      <c r="E27" t="s">
        <v>43</v>
      </c>
      <c r="F27" t="s">
        <v>2139</v>
      </c>
      <c r="G27">
        <v>5071</v>
      </c>
      <c r="H27">
        <v>-62200</v>
      </c>
      <c r="I27">
        <v>-315416200</v>
      </c>
    </row>
    <row r="28" spans="1:9" hidden="1" x14ac:dyDescent="0.25">
      <c r="A28" s="210" t="s">
        <v>2138</v>
      </c>
      <c r="B28" t="s">
        <v>2173</v>
      </c>
      <c r="C28" s="100">
        <v>46148</v>
      </c>
      <c r="D28" t="s">
        <v>692</v>
      </c>
      <c r="E28" t="s">
        <v>43</v>
      </c>
      <c r="F28" t="s">
        <v>2146</v>
      </c>
      <c r="G28">
        <v>5242</v>
      </c>
      <c r="H28">
        <v>-62000</v>
      </c>
      <c r="I28">
        <v>-325004000</v>
      </c>
    </row>
    <row r="29" spans="1:9" hidden="1" x14ac:dyDescent="0.25">
      <c r="A29" s="210" t="s">
        <v>1697</v>
      </c>
      <c r="B29" t="s">
        <v>1402</v>
      </c>
      <c r="C29" s="100">
        <v>46099</v>
      </c>
      <c r="D29" t="s">
        <v>692</v>
      </c>
      <c r="E29" t="s">
        <v>109</v>
      </c>
      <c r="F29" t="s">
        <v>1403</v>
      </c>
      <c r="G29">
        <v>526</v>
      </c>
      <c r="H29">
        <v>-68000</v>
      </c>
      <c r="I29">
        <v>-35768000</v>
      </c>
    </row>
    <row r="30" spans="1:9" hidden="1" x14ac:dyDescent="0.25">
      <c r="A30" s="210" t="s">
        <v>1697</v>
      </c>
      <c r="B30" t="s">
        <v>1402</v>
      </c>
      <c r="C30" s="100">
        <v>46099</v>
      </c>
      <c r="D30" t="s">
        <v>692</v>
      </c>
      <c r="E30" t="s">
        <v>109</v>
      </c>
      <c r="F30" t="s">
        <v>1404</v>
      </c>
      <c r="G30">
        <v>602</v>
      </c>
      <c r="H30">
        <v>-68000</v>
      </c>
      <c r="I30">
        <v>-40936000</v>
      </c>
    </row>
    <row r="31" spans="1:9" hidden="1" x14ac:dyDescent="0.25">
      <c r="A31" s="210" t="s">
        <v>1697</v>
      </c>
      <c r="B31" t="s">
        <v>1400</v>
      </c>
      <c r="C31" s="100">
        <v>46097</v>
      </c>
      <c r="D31" t="s">
        <v>692</v>
      </c>
      <c r="E31" t="s">
        <v>109</v>
      </c>
      <c r="F31" t="s">
        <v>1401</v>
      </c>
      <c r="G31">
        <v>2910</v>
      </c>
      <c r="H31">
        <v>-57000</v>
      </c>
      <c r="I31">
        <v>-165870000</v>
      </c>
    </row>
    <row r="32" spans="1:9" hidden="1" x14ac:dyDescent="0.25">
      <c r="A32" s="210" t="s">
        <v>1697</v>
      </c>
      <c r="B32" t="s">
        <v>1400</v>
      </c>
      <c r="C32" s="100">
        <v>46097</v>
      </c>
      <c r="D32" t="s">
        <v>692</v>
      </c>
      <c r="E32" t="s">
        <v>109</v>
      </c>
      <c r="F32" t="s">
        <v>1399</v>
      </c>
      <c r="G32">
        <v>4368</v>
      </c>
      <c r="H32">
        <v>-57000</v>
      </c>
      <c r="I32">
        <v>-248976000</v>
      </c>
    </row>
    <row r="33" spans="1:9" hidden="1" x14ac:dyDescent="0.25">
      <c r="A33" s="210" t="s">
        <v>1697</v>
      </c>
      <c r="B33" t="s">
        <v>1398</v>
      </c>
      <c r="C33" s="100">
        <v>46095</v>
      </c>
      <c r="D33" t="s">
        <v>692</v>
      </c>
      <c r="E33" t="s">
        <v>109</v>
      </c>
      <c r="F33" t="s">
        <v>1399</v>
      </c>
      <c r="G33">
        <v>8734</v>
      </c>
      <c r="H33">
        <v>-57000</v>
      </c>
      <c r="I33">
        <v>-497838000</v>
      </c>
    </row>
    <row r="34" spans="1:9" hidden="1" x14ac:dyDescent="0.25">
      <c r="A34" s="210" t="s">
        <v>1697</v>
      </c>
      <c r="B34" t="s">
        <v>1407</v>
      </c>
      <c r="C34" s="100">
        <v>46118</v>
      </c>
      <c r="D34" t="s">
        <v>84</v>
      </c>
      <c r="E34" t="s">
        <v>77</v>
      </c>
      <c r="F34" t="s">
        <v>1408</v>
      </c>
      <c r="G34">
        <v>7644</v>
      </c>
      <c r="H34">
        <v>-600</v>
      </c>
      <c r="I34">
        <v>-4586400</v>
      </c>
    </row>
    <row r="35" spans="1:9" hidden="1" x14ac:dyDescent="0.25">
      <c r="A35" s="210" t="s">
        <v>1697</v>
      </c>
      <c r="B35" t="s">
        <v>1407</v>
      </c>
      <c r="C35" s="100">
        <v>46118</v>
      </c>
      <c r="D35" t="s">
        <v>84</v>
      </c>
      <c r="E35" t="s">
        <v>77</v>
      </c>
      <c r="F35" t="s">
        <v>1409</v>
      </c>
      <c r="G35">
        <v>262</v>
      </c>
      <c r="H35">
        <v>-600</v>
      </c>
      <c r="I35">
        <v>-157200</v>
      </c>
    </row>
    <row r="36" spans="1:9" hidden="1" x14ac:dyDescent="0.25">
      <c r="A36" s="210" t="s">
        <v>1697</v>
      </c>
      <c r="B36" t="s">
        <v>1407</v>
      </c>
      <c r="C36" s="100">
        <v>46118</v>
      </c>
      <c r="D36" t="s">
        <v>84</v>
      </c>
      <c r="E36" t="s">
        <v>77</v>
      </c>
      <c r="F36" t="s">
        <v>415</v>
      </c>
      <c r="G36">
        <v>146</v>
      </c>
      <c r="H36">
        <v>-600</v>
      </c>
      <c r="I36">
        <v>-87600</v>
      </c>
    </row>
    <row r="37" spans="1:9" hidden="1" x14ac:dyDescent="0.25">
      <c r="A37" s="210" t="s">
        <v>1697</v>
      </c>
      <c r="B37" t="s">
        <v>2169</v>
      </c>
      <c r="C37" s="100">
        <v>46146</v>
      </c>
      <c r="D37" t="s">
        <v>692</v>
      </c>
      <c r="E37" t="s">
        <v>26</v>
      </c>
      <c r="F37" t="s">
        <v>283</v>
      </c>
      <c r="G37">
        <v>7342</v>
      </c>
      <c r="I37">
        <v>0</v>
      </c>
    </row>
    <row r="38" spans="1:9" hidden="1" x14ac:dyDescent="0.25">
      <c r="A38" s="210" t="s">
        <v>1554</v>
      </c>
      <c r="B38">
        <v>20260340</v>
      </c>
      <c r="C38" s="100">
        <v>46106</v>
      </c>
      <c r="D38" t="s">
        <v>166</v>
      </c>
      <c r="E38" t="s">
        <v>720</v>
      </c>
      <c r="F38" t="s">
        <v>882</v>
      </c>
      <c r="G38">
        <v>1546</v>
      </c>
      <c r="H38">
        <v>-58500</v>
      </c>
      <c r="I38">
        <v>-90441000</v>
      </c>
    </row>
    <row r="39" spans="1:9" hidden="1" x14ac:dyDescent="0.25">
      <c r="A39" s="210" t="s">
        <v>1587</v>
      </c>
      <c r="B39">
        <v>57534</v>
      </c>
      <c r="C39" s="100">
        <v>46167</v>
      </c>
      <c r="D39" t="s">
        <v>692</v>
      </c>
      <c r="E39" t="s">
        <v>195</v>
      </c>
      <c r="F39" t="s">
        <v>2350</v>
      </c>
      <c r="G39">
        <v>270</v>
      </c>
      <c r="H39">
        <v>-31000</v>
      </c>
      <c r="I39">
        <v>-8370000</v>
      </c>
    </row>
    <row r="40" spans="1:9" hidden="1" x14ac:dyDescent="0.25">
      <c r="A40" s="210" t="s">
        <v>1587</v>
      </c>
      <c r="B40">
        <v>57340</v>
      </c>
      <c r="C40" s="100">
        <v>46153</v>
      </c>
      <c r="D40" t="s">
        <v>692</v>
      </c>
      <c r="E40" t="s">
        <v>195</v>
      </c>
      <c r="F40" t="s">
        <v>2019</v>
      </c>
      <c r="G40">
        <v>784</v>
      </c>
      <c r="H40">
        <v>-28000</v>
      </c>
      <c r="I40">
        <v>-21952000</v>
      </c>
    </row>
    <row r="41" spans="1:9" hidden="1" x14ac:dyDescent="0.25">
      <c r="A41" s="210" t="s">
        <v>1587</v>
      </c>
      <c r="B41">
        <v>57340</v>
      </c>
      <c r="C41" s="100">
        <v>46153</v>
      </c>
      <c r="D41" t="s">
        <v>692</v>
      </c>
      <c r="E41" t="s">
        <v>195</v>
      </c>
      <c r="F41" t="s">
        <v>2020</v>
      </c>
      <c r="G41">
        <v>828</v>
      </c>
      <c r="H41">
        <v>-29000</v>
      </c>
      <c r="I41">
        <v>-24012000</v>
      </c>
    </row>
    <row r="42" spans="1:9" hidden="1" x14ac:dyDescent="0.25">
      <c r="A42" s="210" t="s">
        <v>1587</v>
      </c>
      <c r="B42">
        <v>56918</v>
      </c>
      <c r="C42" s="100">
        <v>46126</v>
      </c>
      <c r="D42" t="s">
        <v>692</v>
      </c>
      <c r="E42" t="s">
        <v>1032</v>
      </c>
      <c r="F42" t="s">
        <v>990</v>
      </c>
      <c r="G42">
        <v>2808</v>
      </c>
      <c r="H42">
        <v>-35500</v>
      </c>
      <c r="I42">
        <v>-99684000</v>
      </c>
    </row>
    <row r="43" spans="1:9" hidden="1" x14ac:dyDescent="0.25">
      <c r="A43" s="210" t="s">
        <v>1587</v>
      </c>
      <c r="B43">
        <v>56897</v>
      </c>
      <c r="C43" s="100">
        <v>46125</v>
      </c>
      <c r="D43" t="s">
        <v>692</v>
      </c>
      <c r="E43" t="s">
        <v>14</v>
      </c>
      <c r="F43" t="s">
        <v>134</v>
      </c>
      <c r="G43">
        <v>627</v>
      </c>
      <c r="H43">
        <v>-41500</v>
      </c>
      <c r="I43">
        <v>-26020500</v>
      </c>
    </row>
    <row r="44" spans="1:9" hidden="1" x14ac:dyDescent="0.25">
      <c r="A44" s="210" t="s">
        <v>1587</v>
      </c>
      <c r="B44">
        <v>56870</v>
      </c>
      <c r="C44" s="100">
        <v>46122</v>
      </c>
      <c r="D44" t="s">
        <v>692</v>
      </c>
      <c r="E44" t="s">
        <v>1032</v>
      </c>
      <c r="F44" t="s">
        <v>28</v>
      </c>
      <c r="G44">
        <v>1073</v>
      </c>
      <c r="H44">
        <v>-35500</v>
      </c>
      <c r="I44">
        <v>-38091500</v>
      </c>
    </row>
    <row r="45" spans="1:9" hidden="1" x14ac:dyDescent="0.25">
      <c r="A45" s="210" t="s">
        <v>1587</v>
      </c>
      <c r="B45">
        <v>56834</v>
      </c>
      <c r="C45" s="100">
        <v>46120</v>
      </c>
      <c r="D45" t="s">
        <v>692</v>
      </c>
      <c r="E45" t="s">
        <v>150</v>
      </c>
      <c r="F45" t="s">
        <v>1031</v>
      </c>
      <c r="G45">
        <v>108</v>
      </c>
      <c r="H45">
        <v>-36000</v>
      </c>
      <c r="I45">
        <v>-3888000</v>
      </c>
    </row>
    <row r="46" spans="1:9" hidden="1" x14ac:dyDescent="0.25">
      <c r="A46" s="210" t="s">
        <v>1587</v>
      </c>
      <c r="B46">
        <v>56789</v>
      </c>
      <c r="C46" s="100">
        <v>46119</v>
      </c>
      <c r="D46" t="s">
        <v>692</v>
      </c>
      <c r="E46" t="s">
        <v>150</v>
      </c>
      <c r="F46" t="s">
        <v>372</v>
      </c>
      <c r="G46">
        <v>1548</v>
      </c>
      <c r="H46">
        <v>-36500</v>
      </c>
      <c r="I46">
        <v>-56502000</v>
      </c>
    </row>
    <row r="47" spans="1:9" hidden="1" x14ac:dyDescent="0.25">
      <c r="A47" s="210" t="s">
        <v>1587</v>
      </c>
      <c r="B47">
        <v>56490</v>
      </c>
      <c r="C47" s="100">
        <v>46098</v>
      </c>
      <c r="D47" t="s">
        <v>692</v>
      </c>
      <c r="E47" t="s">
        <v>701</v>
      </c>
      <c r="F47" t="s">
        <v>148</v>
      </c>
      <c r="G47">
        <v>1524</v>
      </c>
      <c r="H47">
        <v>-41500</v>
      </c>
      <c r="I47">
        <v>-63246000</v>
      </c>
    </row>
    <row r="48" spans="1:9" hidden="1" x14ac:dyDescent="0.25">
      <c r="A48" s="210" t="s">
        <v>1587</v>
      </c>
      <c r="B48">
        <v>56333</v>
      </c>
      <c r="C48" s="100">
        <v>46088</v>
      </c>
      <c r="D48" t="s">
        <v>692</v>
      </c>
      <c r="E48" t="s">
        <v>1029</v>
      </c>
      <c r="F48" t="s">
        <v>1030</v>
      </c>
      <c r="G48">
        <v>10263</v>
      </c>
      <c r="H48">
        <v>-27000</v>
      </c>
      <c r="I48">
        <v>-277101000</v>
      </c>
    </row>
    <row r="49" spans="1:9" hidden="1" x14ac:dyDescent="0.25">
      <c r="A49" s="210" t="s">
        <v>1587</v>
      </c>
      <c r="B49">
        <v>56323</v>
      </c>
      <c r="C49" s="100">
        <v>46087</v>
      </c>
      <c r="D49" t="s">
        <v>692</v>
      </c>
      <c r="E49" t="s">
        <v>195</v>
      </c>
      <c r="F49" t="s">
        <v>1028</v>
      </c>
      <c r="G49">
        <v>7594</v>
      </c>
      <c r="H49">
        <v>-27000</v>
      </c>
      <c r="I49">
        <v>-205038000</v>
      </c>
    </row>
    <row r="50" spans="1:9" hidden="1" x14ac:dyDescent="0.25">
      <c r="A50" s="210" t="s">
        <v>1592</v>
      </c>
      <c r="B50">
        <v>48154</v>
      </c>
      <c r="C50" s="100">
        <v>46172</v>
      </c>
      <c r="D50" t="s">
        <v>84</v>
      </c>
      <c r="E50" t="s">
        <v>135</v>
      </c>
      <c r="F50" t="s">
        <v>62</v>
      </c>
      <c r="G50">
        <v>5560</v>
      </c>
      <c r="H50">
        <v>-3000</v>
      </c>
      <c r="I50">
        <v>-16680000</v>
      </c>
    </row>
    <row r="51" spans="1:9" hidden="1" x14ac:dyDescent="0.25">
      <c r="A51" s="210" t="s">
        <v>1592</v>
      </c>
      <c r="B51">
        <v>48154</v>
      </c>
      <c r="C51" s="100">
        <v>46172</v>
      </c>
      <c r="D51" t="s">
        <v>84</v>
      </c>
      <c r="E51" t="s">
        <v>43</v>
      </c>
      <c r="F51" t="s">
        <v>136</v>
      </c>
      <c r="G51">
        <v>3028</v>
      </c>
      <c r="H51">
        <v>-3000</v>
      </c>
      <c r="I51">
        <v>-9084000</v>
      </c>
    </row>
    <row r="52" spans="1:9" hidden="1" x14ac:dyDescent="0.25">
      <c r="A52" s="210" t="s">
        <v>1592</v>
      </c>
      <c r="B52">
        <v>48127</v>
      </c>
      <c r="C52" s="100">
        <v>46171</v>
      </c>
      <c r="D52" t="s">
        <v>692</v>
      </c>
      <c r="E52" t="s">
        <v>701</v>
      </c>
      <c r="F52" t="s">
        <v>2518</v>
      </c>
      <c r="G52">
        <v>2795</v>
      </c>
      <c r="H52">
        <v>-38500</v>
      </c>
      <c r="I52">
        <v>-107607500</v>
      </c>
    </row>
    <row r="53" spans="1:9" hidden="1" x14ac:dyDescent="0.25">
      <c r="A53" s="210" t="s">
        <v>1592</v>
      </c>
      <c r="B53">
        <v>48116</v>
      </c>
      <c r="C53" s="100">
        <v>46170</v>
      </c>
      <c r="D53" t="s">
        <v>692</v>
      </c>
      <c r="E53" t="s">
        <v>701</v>
      </c>
      <c r="F53" t="s">
        <v>148</v>
      </c>
      <c r="G53">
        <v>1587</v>
      </c>
      <c r="H53">
        <v>-41000</v>
      </c>
      <c r="I53">
        <v>-65067000</v>
      </c>
    </row>
    <row r="54" spans="1:9" hidden="1" x14ac:dyDescent="0.25">
      <c r="A54" s="210" t="s">
        <v>1592</v>
      </c>
      <c r="B54">
        <v>48116</v>
      </c>
      <c r="C54" s="100">
        <v>46170</v>
      </c>
      <c r="D54" t="s">
        <v>84</v>
      </c>
      <c r="E54" t="s">
        <v>2362</v>
      </c>
      <c r="F54" t="s">
        <v>146</v>
      </c>
      <c r="G54">
        <v>975</v>
      </c>
      <c r="H54">
        <v>-3000</v>
      </c>
      <c r="I54">
        <v>-2925000</v>
      </c>
    </row>
    <row r="55" spans="1:9" hidden="1" x14ac:dyDescent="0.25">
      <c r="A55" s="210" t="s">
        <v>1592</v>
      </c>
      <c r="B55">
        <v>48090</v>
      </c>
      <c r="C55" s="100">
        <v>46168</v>
      </c>
      <c r="D55" t="s">
        <v>84</v>
      </c>
      <c r="E55" t="s">
        <v>43</v>
      </c>
      <c r="F55" t="s">
        <v>136</v>
      </c>
      <c r="G55">
        <v>5320</v>
      </c>
      <c r="H55">
        <v>-3000</v>
      </c>
      <c r="I55">
        <v>-15960000</v>
      </c>
    </row>
    <row r="56" spans="1:9" hidden="1" x14ac:dyDescent="0.25">
      <c r="A56" s="210" t="s">
        <v>1592</v>
      </c>
      <c r="B56">
        <v>48033</v>
      </c>
      <c r="C56" s="100">
        <v>46164</v>
      </c>
      <c r="D56" t="s">
        <v>84</v>
      </c>
      <c r="E56" t="s">
        <v>43</v>
      </c>
      <c r="F56" t="s">
        <v>134</v>
      </c>
      <c r="G56">
        <v>1726</v>
      </c>
      <c r="H56">
        <v>-3000</v>
      </c>
      <c r="I56">
        <v>-5178000</v>
      </c>
    </row>
    <row r="57" spans="1:9" hidden="1" x14ac:dyDescent="0.25">
      <c r="A57" s="210" t="s">
        <v>1592</v>
      </c>
      <c r="B57">
        <v>48033</v>
      </c>
      <c r="C57" s="100">
        <v>46164</v>
      </c>
      <c r="D57" t="s">
        <v>84</v>
      </c>
      <c r="E57" t="s">
        <v>43</v>
      </c>
      <c r="F57" t="s">
        <v>78</v>
      </c>
      <c r="G57">
        <v>640</v>
      </c>
      <c r="H57">
        <v>-3000</v>
      </c>
      <c r="I57">
        <v>-1920000</v>
      </c>
    </row>
    <row r="58" spans="1:9" hidden="1" x14ac:dyDescent="0.25">
      <c r="A58" s="210" t="s">
        <v>1592</v>
      </c>
      <c r="B58">
        <v>48033</v>
      </c>
      <c r="C58" s="100">
        <v>46164</v>
      </c>
      <c r="D58" t="s">
        <v>84</v>
      </c>
      <c r="E58" t="s">
        <v>43</v>
      </c>
      <c r="F58" t="s">
        <v>136</v>
      </c>
      <c r="G58">
        <v>5349</v>
      </c>
      <c r="H58">
        <v>-3000</v>
      </c>
      <c r="I58">
        <v>-16047000</v>
      </c>
    </row>
    <row r="59" spans="1:9" hidden="1" x14ac:dyDescent="0.25">
      <c r="A59" s="210" t="s">
        <v>1592</v>
      </c>
      <c r="B59">
        <v>48014</v>
      </c>
      <c r="C59" s="100">
        <v>46163</v>
      </c>
      <c r="D59" t="s">
        <v>84</v>
      </c>
      <c r="E59" t="s">
        <v>17</v>
      </c>
      <c r="F59" t="s">
        <v>363</v>
      </c>
      <c r="G59">
        <v>592</v>
      </c>
      <c r="H59">
        <v>-3000</v>
      </c>
      <c r="I59">
        <v>-1776000</v>
      </c>
    </row>
    <row r="60" spans="1:9" hidden="1" x14ac:dyDescent="0.25">
      <c r="A60" s="210" t="s">
        <v>1592</v>
      </c>
      <c r="B60">
        <v>48014</v>
      </c>
      <c r="C60" s="100">
        <v>46163</v>
      </c>
      <c r="D60" t="s">
        <v>84</v>
      </c>
      <c r="E60" t="s">
        <v>43</v>
      </c>
      <c r="F60" t="s">
        <v>62</v>
      </c>
      <c r="G60">
        <v>3456</v>
      </c>
      <c r="H60">
        <v>-3000</v>
      </c>
      <c r="I60">
        <v>-10368000</v>
      </c>
    </row>
    <row r="61" spans="1:9" hidden="1" x14ac:dyDescent="0.25">
      <c r="A61" s="210" t="s">
        <v>1592</v>
      </c>
      <c r="B61">
        <v>48014</v>
      </c>
      <c r="C61" s="100">
        <v>46163</v>
      </c>
      <c r="D61" t="s">
        <v>84</v>
      </c>
      <c r="E61" t="s">
        <v>17</v>
      </c>
      <c r="F61" t="s">
        <v>41</v>
      </c>
      <c r="G61">
        <v>3332</v>
      </c>
      <c r="H61">
        <v>-3000</v>
      </c>
      <c r="I61">
        <v>-9996000</v>
      </c>
    </row>
    <row r="62" spans="1:9" hidden="1" x14ac:dyDescent="0.25">
      <c r="A62" s="210" t="s">
        <v>1592</v>
      </c>
      <c r="B62">
        <v>48014</v>
      </c>
      <c r="C62" s="100">
        <v>46163</v>
      </c>
      <c r="D62" t="s">
        <v>84</v>
      </c>
      <c r="E62" t="s">
        <v>17</v>
      </c>
      <c r="F62" t="s">
        <v>136</v>
      </c>
      <c r="G62">
        <v>2064</v>
      </c>
      <c r="H62">
        <v>-3000</v>
      </c>
      <c r="I62">
        <v>-6192000</v>
      </c>
    </row>
    <row r="63" spans="1:9" hidden="1" x14ac:dyDescent="0.25">
      <c r="A63" s="210" t="s">
        <v>1592</v>
      </c>
      <c r="B63">
        <v>47907</v>
      </c>
      <c r="C63" s="100">
        <v>46155</v>
      </c>
      <c r="D63" t="s">
        <v>84</v>
      </c>
      <c r="E63" t="s">
        <v>43</v>
      </c>
      <c r="F63" t="s">
        <v>41</v>
      </c>
      <c r="G63">
        <v>2052</v>
      </c>
      <c r="H63">
        <v>-3000</v>
      </c>
      <c r="I63">
        <v>-6156000</v>
      </c>
    </row>
    <row r="64" spans="1:9" hidden="1" x14ac:dyDescent="0.25">
      <c r="A64" s="210" t="s">
        <v>1592</v>
      </c>
      <c r="B64">
        <v>47907</v>
      </c>
      <c r="C64" s="100">
        <v>46155</v>
      </c>
      <c r="D64" t="s">
        <v>84</v>
      </c>
      <c r="E64" t="s">
        <v>43</v>
      </c>
      <c r="F64" t="s">
        <v>62</v>
      </c>
      <c r="G64">
        <v>1967</v>
      </c>
      <c r="H64">
        <v>-3000</v>
      </c>
      <c r="I64">
        <v>-5901000</v>
      </c>
    </row>
    <row r="65" spans="1:9" hidden="1" x14ac:dyDescent="0.25">
      <c r="A65" s="210" t="s">
        <v>1592</v>
      </c>
      <c r="B65">
        <v>47907</v>
      </c>
      <c r="C65" s="100">
        <v>46155</v>
      </c>
      <c r="D65" t="s">
        <v>426</v>
      </c>
      <c r="E65" t="s">
        <v>43</v>
      </c>
      <c r="F65" t="s">
        <v>62</v>
      </c>
      <c r="G65">
        <v>3464</v>
      </c>
      <c r="I65">
        <v>0</v>
      </c>
    </row>
    <row r="66" spans="1:9" hidden="1" x14ac:dyDescent="0.25">
      <c r="A66" s="210" t="s">
        <v>1592</v>
      </c>
      <c r="B66">
        <v>47890</v>
      </c>
      <c r="C66" s="100">
        <v>46154</v>
      </c>
      <c r="D66" t="s">
        <v>84</v>
      </c>
      <c r="E66" t="s">
        <v>277</v>
      </c>
      <c r="F66" t="s">
        <v>136</v>
      </c>
      <c r="G66">
        <v>735</v>
      </c>
      <c r="H66">
        <v>-3000</v>
      </c>
      <c r="I66">
        <v>-2205000</v>
      </c>
    </row>
    <row r="67" spans="1:9" hidden="1" x14ac:dyDescent="0.25">
      <c r="A67" s="210" t="s">
        <v>1592</v>
      </c>
      <c r="B67">
        <v>47890</v>
      </c>
      <c r="C67" s="100">
        <v>46154</v>
      </c>
      <c r="D67" t="s">
        <v>84</v>
      </c>
      <c r="E67" t="s">
        <v>277</v>
      </c>
      <c r="F67" t="s">
        <v>146</v>
      </c>
      <c r="G67">
        <v>988</v>
      </c>
      <c r="H67">
        <v>-3000</v>
      </c>
      <c r="I67">
        <v>-2964000</v>
      </c>
    </row>
    <row r="68" spans="1:9" hidden="1" x14ac:dyDescent="0.25">
      <c r="A68" s="210" t="s">
        <v>1592</v>
      </c>
      <c r="B68">
        <v>47829</v>
      </c>
      <c r="C68" s="100">
        <v>46150</v>
      </c>
      <c r="D68" t="s">
        <v>84</v>
      </c>
      <c r="E68" t="s">
        <v>43</v>
      </c>
      <c r="F68" t="s">
        <v>134</v>
      </c>
      <c r="G68">
        <v>1937</v>
      </c>
      <c r="H68">
        <v>-3000</v>
      </c>
      <c r="I68">
        <v>-5811000</v>
      </c>
    </row>
    <row r="69" spans="1:9" hidden="1" x14ac:dyDescent="0.25">
      <c r="A69" s="210" t="s">
        <v>1592</v>
      </c>
      <c r="B69">
        <v>47829</v>
      </c>
      <c r="C69" s="100">
        <v>46150</v>
      </c>
      <c r="D69" t="s">
        <v>84</v>
      </c>
      <c r="E69" t="s">
        <v>43</v>
      </c>
      <c r="F69" t="s">
        <v>146</v>
      </c>
      <c r="G69">
        <v>2014</v>
      </c>
      <c r="H69">
        <v>-3000</v>
      </c>
      <c r="I69">
        <v>-6042000</v>
      </c>
    </row>
    <row r="70" spans="1:9" hidden="1" x14ac:dyDescent="0.25">
      <c r="A70" s="210" t="s">
        <v>1592</v>
      </c>
      <c r="B70">
        <v>47829</v>
      </c>
      <c r="C70" s="100">
        <v>46150</v>
      </c>
      <c r="D70" t="s">
        <v>84</v>
      </c>
      <c r="E70" t="s">
        <v>43</v>
      </c>
      <c r="F70" t="s">
        <v>1991</v>
      </c>
      <c r="G70">
        <v>3038</v>
      </c>
      <c r="H70">
        <v>-3000</v>
      </c>
      <c r="I70">
        <v>-9114000</v>
      </c>
    </row>
    <row r="71" spans="1:9" hidden="1" x14ac:dyDescent="0.25">
      <c r="A71" s="210" t="s">
        <v>1592</v>
      </c>
      <c r="B71">
        <v>47826</v>
      </c>
      <c r="C71" s="100">
        <v>46150</v>
      </c>
      <c r="D71" t="s">
        <v>84</v>
      </c>
      <c r="E71" t="s">
        <v>43</v>
      </c>
      <c r="F71" t="s">
        <v>134</v>
      </c>
      <c r="G71">
        <v>1986</v>
      </c>
      <c r="H71">
        <v>-3000</v>
      </c>
      <c r="I71">
        <v>-5958000</v>
      </c>
    </row>
    <row r="72" spans="1:9" hidden="1" x14ac:dyDescent="0.25">
      <c r="A72" s="210" t="s">
        <v>1592</v>
      </c>
      <c r="B72">
        <v>47826</v>
      </c>
      <c r="C72" s="100">
        <v>46150</v>
      </c>
      <c r="D72" t="s">
        <v>84</v>
      </c>
      <c r="E72" t="s">
        <v>45</v>
      </c>
      <c r="F72" t="s">
        <v>462</v>
      </c>
      <c r="G72">
        <v>3106</v>
      </c>
      <c r="H72">
        <v>-3000</v>
      </c>
      <c r="I72">
        <v>-9318000</v>
      </c>
    </row>
    <row r="73" spans="1:9" hidden="1" x14ac:dyDescent="0.25">
      <c r="A73" s="210" t="s">
        <v>1592</v>
      </c>
      <c r="B73">
        <v>47805</v>
      </c>
      <c r="C73" s="100">
        <v>46149</v>
      </c>
      <c r="D73" t="s">
        <v>84</v>
      </c>
      <c r="E73" t="s">
        <v>17</v>
      </c>
      <c r="F73" t="s">
        <v>41</v>
      </c>
      <c r="G73">
        <v>781</v>
      </c>
      <c r="H73">
        <v>-3500</v>
      </c>
      <c r="I73">
        <v>-2733500</v>
      </c>
    </row>
    <row r="74" spans="1:9" hidden="1" x14ac:dyDescent="0.25">
      <c r="A74" s="210" t="s">
        <v>1592</v>
      </c>
      <c r="B74">
        <v>47804</v>
      </c>
      <c r="C74" s="100">
        <v>46149</v>
      </c>
      <c r="D74" t="s">
        <v>84</v>
      </c>
      <c r="E74" t="s">
        <v>26</v>
      </c>
      <c r="F74" t="s">
        <v>78</v>
      </c>
      <c r="G74">
        <v>1776</v>
      </c>
      <c r="H74">
        <v>-2500</v>
      </c>
      <c r="I74">
        <v>-4440000</v>
      </c>
    </row>
    <row r="75" spans="1:9" hidden="1" x14ac:dyDescent="0.25">
      <c r="A75" s="210" t="s">
        <v>1592</v>
      </c>
      <c r="B75">
        <v>47780</v>
      </c>
      <c r="C75" s="100">
        <v>46147</v>
      </c>
      <c r="D75" t="s">
        <v>84</v>
      </c>
      <c r="E75" t="s">
        <v>26</v>
      </c>
      <c r="F75" t="s">
        <v>78</v>
      </c>
      <c r="G75">
        <v>1944</v>
      </c>
      <c r="H75">
        <v>-2500</v>
      </c>
      <c r="I75">
        <v>-4860000</v>
      </c>
    </row>
    <row r="76" spans="1:9" hidden="1" x14ac:dyDescent="0.25">
      <c r="A76" s="210" t="s">
        <v>1592</v>
      </c>
      <c r="B76">
        <v>47753</v>
      </c>
      <c r="C76" s="100">
        <v>46126</v>
      </c>
      <c r="D76" t="s">
        <v>84</v>
      </c>
      <c r="E76" t="s">
        <v>660</v>
      </c>
      <c r="F76" t="s">
        <v>345</v>
      </c>
      <c r="G76">
        <v>1500</v>
      </c>
      <c r="H76">
        <v>-3000</v>
      </c>
      <c r="I76">
        <v>-4500000</v>
      </c>
    </row>
    <row r="77" spans="1:9" hidden="1" x14ac:dyDescent="0.25">
      <c r="A77" s="210" t="s">
        <v>1592</v>
      </c>
      <c r="B77">
        <v>47753</v>
      </c>
      <c r="C77" s="100">
        <v>46126</v>
      </c>
      <c r="D77" t="s">
        <v>84</v>
      </c>
      <c r="E77" t="s">
        <v>660</v>
      </c>
      <c r="F77" t="s">
        <v>1061</v>
      </c>
      <c r="G77">
        <v>840</v>
      </c>
      <c r="H77">
        <v>-3000</v>
      </c>
      <c r="I77">
        <v>-2520000</v>
      </c>
    </row>
    <row r="78" spans="1:9" hidden="1" x14ac:dyDescent="0.25">
      <c r="A78" s="210" t="s">
        <v>1592</v>
      </c>
      <c r="B78">
        <v>47753</v>
      </c>
      <c r="C78" s="100">
        <v>46126</v>
      </c>
      <c r="D78" t="s">
        <v>84</v>
      </c>
      <c r="E78" t="s">
        <v>660</v>
      </c>
      <c r="F78" t="s">
        <v>346</v>
      </c>
      <c r="G78">
        <v>1040</v>
      </c>
      <c r="H78">
        <v>-3000</v>
      </c>
      <c r="I78">
        <v>-3120000</v>
      </c>
    </row>
    <row r="79" spans="1:9" hidden="1" x14ac:dyDescent="0.25">
      <c r="A79" s="210" t="s">
        <v>1592</v>
      </c>
      <c r="B79">
        <v>47505</v>
      </c>
      <c r="C79" s="100">
        <v>46127</v>
      </c>
      <c r="D79" t="s">
        <v>84</v>
      </c>
      <c r="E79" t="s">
        <v>1062</v>
      </c>
      <c r="F79" t="s">
        <v>62</v>
      </c>
      <c r="G79">
        <v>1045</v>
      </c>
      <c r="H79">
        <v>-3500</v>
      </c>
      <c r="I79">
        <v>-3657500</v>
      </c>
    </row>
    <row r="80" spans="1:9" hidden="1" x14ac:dyDescent="0.25">
      <c r="A80" s="210" t="s">
        <v>1592</v>
      </c>
      <c r="B80">
        <v>47505</v>
      </c>
      <c r="C80" s="100">
        <v>46127</v>
      </c>
      <c r="D80" t="s">
        <v>426</v>
      </c>
      <c r="E80" t="s">
        <v>43</v>
      </c>
      <c r="F80" t="s">
        <v>62</v>
      </c>
      <c r="G80">
        <v>1705</v>
      </c>
      <c r="I80">
        <v>0</v>
      </c>
    </row>
    <row r="81" spans="1:9" hidden="1" x14ac:dyDescent="0.25">
      <c r="A81" s="210" t="s">
        <v>1532</v>
      </c>
      <c r="B81">
        <v>45985</v>
      </c>
      <c r="C81" s="100">
        <v>46171</v>
      </c>
      <c r="D81" t="s">
        <v>84</v>
      </c>
      <c r="E81" t="s">
        <v>301</v>
      </c>
      <c r="F81" t="s">
        <v>2520</v>
      </c>
      <c r="G81">
        <v>924</v>
      </c>
      <c r="I81">
        <v>0</v>
      </c>
    </row>
    <row r="82" spans="1:9" hidden="1" x14ac:dyDescent="0.25">
      <c r="A82" s="210" t="s">
        <v>1532</v>
      </c>
      <c r="B82">
        <v>45985</v>
      </c>
      <c r="C82" s="100">
        <v>46171</v>
      </c>
      <c r="D82" t="s">
        <v>84</v>
      </c>
      <c r="E82" t="s">
        <v>301</v>
      </c>
      <c r="F82" t="s">
        <v>796</v>
      </c>
      <c r="G82">
        <v>1200</v>
      </c>
      <c r="I82">
        <v>0</v>
      </c>
    </row>
    <row r="83" spans="1:9" hidden="1" x14ac:dyDescent="0.25">
      <c r="A83" s="210" t="s">
        <v>1532</v>
      </c>
      <c r="B83">
        <v>45985</v>
      </c>
      <c r="C83" s="100">
        <v>46171</v>
      </c>
      <c r="D83" t="s">
        <v>84</v>
      </c>
      <c r="E83" t="s">
        <v>301</v>
      </c>
      <c r="F83" t="s">
        <v>1176</v>
      </c>
      <c r="G83">
        <v>1872</v>
      </c>
      <c r="I83">
        <v>0</v>
      </c>
    </row>
    <row r="84" spans="1:9" hidden="1" x14ac:dyDescent="0.25">
      <c r="A84" s="210" t="s">
        <v>1532</v>
      </c>
      <c r="B84">
        <v>45985</v>
      </c>
      <c r="C84" s="100">
        <v>46171</v>
      </c>
      <c r="D84" t="s">
        <v>84</v>
      </c>
      <c r="E84" t="s">
        <v>301</v>
      </c>
      <c r="F84" t="s">
        <v>1176</v>
      </c>
      <c r="G84">
        <v>1186</v>
      </c>
      <c r="I84">
        <v>0</v>
      </c>
    </row>
    <row r="85" spans="1:9" hidden="1" x14ac:dyDescent="0.25">
      <c r="A85" s="210" t="s">
        <v>1532</v>
      </c>
      <c r="B85">
        <v>45985</v>
      </c>
      <c r="C85" s="100">
        <v>46171</v>
      </c>
      <c r="D85" t="s">
        <v>84</v>
      </c>
      <c r="E85" t="s">
        <v>301</v>
      </c>
      <c r="G85">
        <v>341</v>
      </c>
      <c r="I85">
        <v>0</v>
      </c>
    </row>
    <row r="86" spans="1:9" hidden="1" x14ac:dyDescent="0.25">
      <c r="A86" s="210" t="s">
        <v>1532</v>
      </c>
      <c r="B86">
        <v>45882</v>
      </c>
      <c r="C86" s="100">
        <v>46169</v>
      </c>
      <c r="D86" t="s">
        <v>84</v>
      </c>
      <c r="E86" t="s">
        <v>301</v>
      </c>
      <c r="F86" t="s">
        <v>941</v>
      </c>
      <c r="G86">
        <v>3585</v>
      </c>
      <c r="I86">
        <v>0</v>
      </c>
    </row>
    <row r="87" spans="1:9" hidden="1" x14ac:dyDescent="0.25">
      <c r="A87" s="210" t="s">
        <v>1532</v>
      </c>
      <c r="B87">
        <v>45744</v>
      </c>
      <c r="C87" s="100">
        <v>46165</v>
      </c>
      <c r="D87" t="s">
        <v>84</v>
      </c>
      <c r="E87" t="s">
        <v>301</v>
      </c>
      <c r="F87" t="s">
        <v>941</v>
      </c>
      <c r="G87">
        <v>2093</v>
      </c>
      <c r="I87">
        <v>0</v>
      </c>
    </row>
    <row r="88" spans="1:9" hidden="1" x14ac:dyDescent="0.25">
      <c r="A88" s="210" t="s">
        <v>1532</v>
      </c>
      <c r="B88">
        <v>45744</v>
      </c>
      <c r="C88" s="100">
        <v>46165</v>
      </c>
      <c r="D88" t="s">
        <v>84</v>
      </c>
      <c r="E88" t="s">
        <v>26</v>
      </c>
      <c r="F88" t="s">
        <v>816</v>
      </c>
      <c r="G88">
        <v>1674</v>
      </c>
      <c r="I88">
        <v>0</v>
      </c>
    </row>
    <row r="89" spans="1:9" hidden="1" x14ac:dyDescent="0.25">
      <c r="A89" s="210" t="s">
        <v>1532</v>
      </c>
      <c r="B89">
        <v>45744</v>
      </c>
      <c r="C89" s="100">
        <v>46165</v>
      </c>
      <c r="D89" t="s">
        <v>84</v>
      </c>
      <c r="E89" t="s">
        <v>801</v>
      </c>
      <c r="G89">
        <v>681</v>
      </c>
      <c r="I89">
        <v>0</v>
      </c>
    </row>
    <row r="90" spans="1:9" hidden="1" x14ac:dyDescent="0.25">
      <c r="A90" s="210" t="s">
        <v>1532</v>
      </c>
      <c r="B90">
        <v>45400</v>
      </c>
      <c r="C90" s="100">
        <v>46157</v>
      </c>
      <c r="D90" t="s">
        <v>84</v>
      </c>
      <c r="E90" t="s">
        <v>26</v>
      </c>
      <c r="F90" t="s">
        <v>2149</v>
      </c>
      <c r="G90">
        <v>1003</v>
      </c>
      <c r="H90">
        <v>-1000</v>
      </c>
      <c r="I90">
        <v>-1003000</v>
      </c>
    </row>
    <row r="91" spans="1:9" hidden="1" x14ac:dyDescent="0.25">
      <c r="A91" s="210" t="s">
        <v>1532</v>
      </c>
      <c r="B91">
        <v>45400</v>
      </c>
      <c r="C91" s="100">
        <v>46157</v>
      </c>
      <c r="D91" t="s">
        <v>84</v>
      </c>
      <c r="E91" t="s">
        <v>26</v>
      </c>
      <c r="F91" t="s">
        <v>2150</v>
      </c>
      <c r="G91">
        <v>1158</v>
      </c>
      <c r="H91">
        <v>-1000</v>
      </c>
      <c r="I91">
        <v>-1158000</v>
      </c>
    </row>
    <row r="92" spans="1:9" hidden="1" x14ac:dyDescent="0.25">
      <c r="A92" s="210" t="s">
        <v>1532</v>
      </c>
      <c r="B92">
        <v>45400</v>
      </c>
      <c r="C92" s="100">
        <v>46157</v>
      </c>
      <c r="D92" t="s">
        <v>84</v>
      </c>
      <c r="E92" t="s">
        <v>43</v>
      </c>
      <c r="F92" t="s">
        <v>2151</v>
      </c>
      <c r="G92">
        <v>1280</v>
      </c>
      <c r="H92">
        <v>-1000</v>
      </c>
      <c r="I92">
        <v>-1280000</v>
      </c>
    </row>
    <row r="93" spans="1:9" hidden="1" x14ac:dyDescent="0.25">
      <c r="A93" s="210" t="s">
        <v>1532</v>
      </c>
      <c r="B93">
        <v>45212</v>
      </c>
      <c r="C93" s="100">
        <v>46154</v>
      </c>
      <c r="D93" t="s">
        <v>84</v>
      </c>
      <c r="E93" t="s">
        <v>301</v>
      </c>
      <c r="F93" t="s">
        <v>797</v>
      </c>
      <c r="G93">
        <v>1464</v>
      </c>
      <c r="H93">
        <v>-1000</v>
      </c>
      <c r="I93">
        <v>-1464000</v>
      </c>
    </row>
    <row r="94" spans="1:9" hidden="1" x14ac:dyDescent="0.25">
      <c r="A94" s="210" t="s">
        <v>1532</v>
      </c>
      <c r="B94">
        <v>45212</v>
      </c>
      <c r="C94" s="100">
        <v>46154</v>
      </c>
      <c r="D94" t="s">
        <v>84</v>
      </c>
      <c r="E94" t="s">
        <v>301</v>
      </c>
      <c r="F94" t="s">
        <v>797</v>
      </c>
      <c r="G94">
        <v>1818</v>
      </c>
      <c r="H94">
        <v>-1000</v>
      </c>
      <c r="I94">
        <v>-1818000</v>
      </c>
    </row>
    <row r="95" spans="1:9" hidden="1" x14ac:dyDescent="0.25">
      <c r="A95" s="210" t="s">
        <v>1532</v>
      </c>
      <c r="B95">
        <v>45212</v>
      </c>
      <c r="C95" s="100">
        <v>46154</v>
      </c>
      <c r="D95" t="s">
        <v>84</v>
      </c>
      <c r="E95" t="s">
        <v>301</v>
      </c>
      <c r="F95" t="s">
        <v>796</v>
      </c>
      <c r="G95">
        <v>100</v>
      </c>
      <c r="H95">
        <v>-1000</v>
      </c>
      <c r="I95">
        <v>-100000</v>
      </c>
    </row>
    <row r="96" spans="1:9" hidden="1" x14ac:dyDescent="0.25">
      <c r="A96" s="210" t="s">
        <v>1532</v>
      </c>
      <c r="B96">
        <v>45212</v>
      </c>
      <c r="C96" s="100">
        <v>46154</v>
      </c>
      <c r="D96" t="s">
        <v>84</v>
      </c>
      <c r="E96" t="s">
        <v>301</v>
      </c>
      <c r="F96" t="s">
        <v>797</v>
      </c>
      <c r="G96">
        <v>124</v>
      </c>
      <c r="H96">
        <v>-1000</v>
      </c>
      <c r="I96">
        <v>-124000</v>
      </c>
    </row>
    <row r="97" spans="1:11" hidden="1" x14ac:dyDescent="0.25">
      <c r="A97" s="210" t="s">
        <v>1532</v>
      </c>
      <c r="B97">
        <v>45207</v>
      </c>
      <c r="C97" s="100">
        <v>46154</v>
      </c>
      <c r="D97" t="s">
        <v>84</v>
      </c>
      <c r="G97">
        <v>1804</v>
      </c>
      <c r="H97">
        <v>-1000</v>
      </c>
      <c r="I97">
        <v>-1804000</v>
      </c>
      <c r="K97" t="s">
        <v>2530</v>
      </c>
    </row>
    <row r="98" spans="1:11" hidden="1" x14ac:dyDescent="0.25">
      <c r="A98" s="210" t="s">
        <v>1524</v>
      </c>
      <c r="B98">
        <v>45035</v>
      </c>
      <c r="C98" s="100">
        <v>46149</v>
      </c>
      <c r="D98" t="s">
        <v>84</v>
      </c>
      <c r="E98" t="s">
        <v>265</v>
      </c>
      <c r="F98" t="s">
        <v>403</v>
      </c>
      <c r="G98">
        <v>760</v>
      </c>
      <c r="H98">
        <v>-3300</v>
      </c>
      <c r="I98">
        <v>-2508000</v>
      </c>
    </row>
    <row r="99" spans="1:11" hidden="1" x14ac:dyDescent="0.25">
      <c r="A99" s="210" t="s">
        <v>1532</v>
      </c>
      <c r="B99">
        <v>45034</v>
      </c>
      <c r="C99" s="100">
        <v>46149</v>
      </c>
      <c r="D99" t="s">
        <v>84</v>
      </c>
      <c r="E99" t="s">
        <v>1982</v>
      </c>
      <c r="F99" t="s">
        <v>747</v>
      </c>
      <c r="G99">
        <v>114</v>
      </c>
      <c r="H99">
        <v>-1000</v>
      </c>
      <c r="I99">
        <v>-114000</v>
      </c>
    </row>
    <row r="100" spans="1:11" hidden="1" x14ac:dyDescent="0.25">
      <c r="A100" s="210" t="s">
        <v>1532</v>
      </c>
      <c r="B100">
        <v>45034</v>
      </c>
      <c r="C100" s="100">
        <v>46149</v>
      </c>
      <c r="D100" t="s">
        <v>84</v>
      </c>
      <c r="E100" t="s">
        <v>1982</v>
      </c>
      <c r="F100" t="s">
        <v>1983</v>
      </c>
      <c r="G100">
        <v>300</v>
      </c>
      <c r="H100">
        <v>-1000</v>
      </c>
      <c r="I100">
        <v>-300000</v>
      </c>
    </row>
    <row r="101" spans="1:11" hidden="1" x14ac:dyDescent="0.25">
      <c r="A101" s="210" t="s">
        <v>1592</v>
      </c>
      <c r="B101">
        <v>44942</v>
      </c>
      <c r="C101" s="100">
        <v>46122</v>
      </c>
      <c r="D101" t="s">
        <v>84</v>
      </c>
      <c r="E101" t="s">
        <v>45</v>
      </c>
      <c r="F101" t="s">
        <v>215</v>
      </c>
      <c r="G101">
        <v>1178</v>
      </c>
      <c r="H101">
        <v>-3300</v>
      </c>
      <c r="I101">
        <v>-3887400</v>
      </c>
    </row>
    <row r="102" spans="1:11" hidden="1" x14ac:dyDescent="0.25">
      <c r="A102" s="210" t="s">
        <v>1592</v>
      </c>
      <c r="B102">
        <v>44871</v>
      </c>
      <c r="C102" s="100">
        <v>46118</v>
      </c>
      <c r="D102" t="s">
        <v>84</v>
      </c>
      <c r="E102" t="s">
        <v>77</v>
      </c>
      <c r="F102" t="s">
        <v>78</v>
      </c>
      <c r="G102">
        <v>550</v>
      </c>
      <c r="H102">
        <v>-2000</v>
      </c>
      <c r="I102">
        <v>-1100000</v>
      </c>
    </row>
    <row r="103" spans="1:11" hidden="1" x14ac:dyDescent="0.25">
      <c r="A103" s="210" t="s">
        <v>1532</v>
      </c>
      <c r="B103">
        <v>44863</v>
      </c>
      <c r="C103" s="100">
        <v>46146</v>
      </c>
      <c r="D103" t="s">
        <v>426</v>
      </c>
      <c r="E103" t="s">
        <v>77</v>
      </c>
      <c r="F103" t="s">
        <v>1176</v>
      </c>
      <c r="G103">
        <v>340</v>
      </c>
      <c r="I103">
        <v>0</v>
      </c>
    </row>
    <row r="104" spans="1:11" hidden="1" x14ac:dyDescent="0.25">
      <c r="A104" s="210" t="s">
        <v>1592</v>
      </c>
      <c r="B104">
        <v>44831</v>
      </c>
      <c r="C104" s="100">
        <v>46115</v>
      </c>
      <c r="D104" t="s">
        <v>84</v>
      </c>
      <c r="E104" t="s">
        <v>77</v>
      </c>
      <c r="F104" t="s">
        <v>78</v>
      </c>
      <c r="G104">
        <v>610</v>
      </c>
      <c r="H104">
        <v>-3500</v>
      </c>
      <c r="I104">
        <v>-2135000</v>
      </c>
    </row>
    <row r="105" spans="1:11" hidden="1" x14ac:dyDescent="0.25">
      <c r="A105" s="210" t="s">
        <v>1592</v>
      </c>
      <c r="B105">
        <v>44807</v>
      </c>
      <c r="C105" s="100">
        <v>46114</v>
      </c>
      <c r="D105" t="s">
        <v>84</v>
      </c>
      <c r="E105" t="s">
        <v>43</v>
      </c>
      <c r="F105" t="s">
        <v>136</v>
      </c>
      <c r="G105">
        <v>5547</v>
      </c>
      <c r="H105">
        <v>-3000</v>
      </c>
      <c r="I105">
        <v>-16641000</v>
      </c>
      <c r="K105" t="s">
        <v>1060</v>
      </c>
    </row>
    <row r="106" spans="1:11" hidden="1" x14ac:dyDescent="0.25">
      <c r="A106" s="210" t="s">
        <v>1592</v>
      </c>
      <c r="B106">
        <v>44783</v>
      </c>
      <c r="C106" s="100">
        <v>46112</v>
      </c>
      <c r="D106" t="s">
        <v>84</v>
      </c>
      <c r="E106" t="s">
        <v>77</v>
      </c>
      <c r="F106" t="s">
        <v>1052</v>
      </c>
      <c r="G106">
        <v>1374</v>
      </c>
      <c r="H106">
        <v>-3500</v>
      </c>
      <c r="I106">
        <v>-4809000</v>
      </c>
    </row>
    <row r="107" spans="1:11" hidden="1" x14ac:dyDescent="0.25">
      <c r="A107" s="210" t="s">
        <v>1592</v>
      </c>
      <c r="B107">
        <v>44684</v>
      </c>
      <c r="C107" s="100">
        <v>46106</v>
      </c>
      <c r="D107" t="s">
        <v>84</v>
      </c>
      <c r="E107" t="s">
        <v>43</v>
      </c>
      <c r="F107" t="s">
        <v>1051</v>
      </c>
      <c r="G107">
        <v>2476</v>
      </c>
      <c r="H107">
        <v>-3500</v>
      </c>
      <c r="I107">
        <v>-8666000</v>
      </c>
    </row>
    <row r="108" spans="1:11" hidden="1" x14ac:dyDescent="0.25">
      <c r="A108" s="210" t="s">
        <v>1592</v>
      </c>
      <c r="B108">
        <v>44579</v>
      </c>
      <c r="C108" s="100">
        <v>46100</v>
      </c>
      <c r="D108" t="s">
        <v>84</v>
      </c>
      <c r="E108" t="s">
        <v>43</v>
      </c>
      <c r="F108" t="s">
        <v>62</v>
      </c>
      <c r="G108">
        <v>2030</v>
      </c>
      <c r="H108">
        <v>-3500</v>
      </c>
      <c r="I108">
        <v>-7105000</v>
      </c>
    </row>
    <row r="109" spans="1:11" hidden="1" x14ac:dyDescent="0.25">
      <c r="A109" s="210" t="s">
        <v>1592</v>
      </c>
      <c r="B109">
        <v>44553</v>
      </c>
      <c r="C109" s="100">
        <v>46098</v>
      </c>
      <c r="D109" t="s">
        <v>84</v>
      </c>
      <c r="E109" t="s">
        <v>43</v>
      </c>
      <c r="F109" t="s">
        <v>1050</v>
      </c>
      <c r="G109">
        <v>2342</v>
      </c>
      <c r="H109">
        <v>-3000</v>
      </c>
      <c r="I109">
        <v>-7026000</v>
      </c>
    </row>
    <row r="110" spans="1:11" hidden="1" x14ac:dyDescent="0.25">
      <c r="A110" s="210" t="s">
        <v>1592</v>
      </c>
      <c r="B110">
        <v>44392</v>
      </c>
      <c r="C110" s="100">
        <v>46087</v>
      </c>
      <c r="D110" t="s">
        <v>84</v>
      </c>
      <c r="E110" t="s">
        <v>43</v>
      </c>
      <c r="F110" t="s">
        <v>1049</v>
      </c>
      <c r="G110">
        <v>500</v>
      </c>
      <c r="H110">
        <v>-3500</v>
      </c>
      <c r="I110">
        <v>-1750000</v>
      </c>
    </row>
    <row r="111" spans="1:11" hidden="1" x14ac:dyDescent="0.25">
      <c r="A111" s="210" t="s">
        <v>1628</v>
      </c>
      <c r="B111">
        <v>23941</v>
      </c>
      <c r="C111" s="100">
        <v>46100</v>
      </c>
      <c r="D111" t="s">
        <v>692</v>
      </c>
      <c r="E111" t="s">
        <v>77</v>
      </c>
      <c r="F111" t="s">
        <v>1210</v>
      </c>
      <c r="G111">
        <v>20652</v>
      </c>
      <c r="H111">
        <v>-21500</v>
      </c>
      <c r="I111">
        <v>-444018000</v>
      </c>
    </row>
    <row r="112" spans="1:11" hidden="1" x14ac:dyDescent="0.25">
      <c r="A112" s="210" t="s">
        <v>1532</v>
      </c>
      <c r="B112">
        <v>22287</v>
      </c>
      <c r="C112" s="100">
        <v>46153</v>
      </c>
      <c r="D112" t="s">
        <v>84</v>
      </c>
      <c r="E112" t="s">
        <v>753</v>
      </c>
      <c r="F112" t="s">
        <v>802</v>
      </c>
      <c r="G112">
        <v>1118</v>
      </c>
      <c r="H112">
        <v>-1000</v>
      </c>
      <c r="I112">
        <v>-1118000</v>
      </c>
    </row>
    <row r="113" spans="1:11" hidden="1" x14ac:dyDescent="0.25">
      <c r="A113" s="210" t="s">
        <v>1532</v>
      </c>
      <c r="B113">
        <v>22287</v>
      </c>
      <c r="C113" s="100">
        <v>46153</v>
      </c>
      <c r="D113" t="s">
        <v>84</v>
      </c>
      <c r="E113" t="s">
        <v>753</v>
      </c>
      <c r="F113" t="s">
        <v>2024</v>
      </c>
      <c r="G113">
        <v>208</v>
      </c>
      <c r="H113">
        <v>-1000</v>
      </c>
      <c r="I113">
        <v>-208000</v>
      </c>
    </row>
    <row r="114" spans="1:11" hidden="1" x14ac:dyDescent="0.25">
      <c r="A114" s="210" t="s">
        <v>1532</v>
      </c>
      <c r="B114">
        <v>22287</v>
      </c>
      <c r="C114" s="100">
        <v>46153</v>
      </c>
      <c r="D114" t="s">
        <v>84</v>
      </c>
      <c r="E114" t="s">
        <v>753</v>
      </c>
      <c r="F114" t="s">
        <v>768</v>
      </c>
      <c r="G114">
        <v>156</v>
      </c>
      <c r="H114">
        <v>-1000</v>
      </c>
      <c r="I114">
        <v>-156000</v>
      </c>
    </row>
    <row r="115" spans="1:11" hidden="1" x14ac:dyDescent="0.25">
      <c r="A115" s="210" t="s">
        <v>1532</v>
      </c>
      <c r="B115">
        <v>22287</v>
      </c>
      <c r="C115" s="100">
        <v>46153</v>
      </c>
      <c r="D115" t="s">
        <v>84</v>
      </c>
      <c r="E115" t="s">
        <v>753</v>
      </c>
      <c r="F115" t="s">
        <v>807</v>
      </c>
      <c r="G115">
        <v>1088</v>
      </c>
      <c r="H115">
        <v>-1000</v>
      </c>
      <c r="I115">
        <v>-1088000</v>
      </c>
    </row>
    <row r="116" spans="1:11" hidden="1" x14ac:dyDescent="0.25">
      <c r="A116" s="210" t="s">
        <v>1532</v>
      </c>
      <c r="B116">
        <v>22287</v>
      </c>
      <c r="C116" s="100">
        <v>46153</v>
      </c>
      <c r="D116" t="s">
        <v>84</v>
      </c>
      <c r="E116" t="s">
        <v>753</v>
      </c>
      <c r="F116" t="s">
        <v>824</v>
      </c>
      <c r="G116">
        <v>1340</v>
      </c>
      <c r="H116">
        <v>-1000</v>
      </c>
      <c r="I116">
        <v>-1340000</v>
      </c>
    </row>
    <row r="117" spans="1:11" hidden="1" x14ac:dyDescent="0.25">
      <c r="A117" s="210" t="s">
        <v>1532</v>
      </c>
      <c r="B117">
        <v>22287</v>
      </c>
      <c r="C117" s="100">
        <v>46153</v>
      </c>
      <c r="D117" t="s">
        <v>84</v>
      </c>
      <c r="E117" t="s">
        <v>753</v>
      </c>
      <c r="F117" t="s">
        <v>815</v>
      </c>
      <c r="G117">
        <v>116</v>
      </c>
      <c r="H117">
        <v>-1000</v>
      </c>
      <c r="I117">
        <v>-116000</v>
      </c>
    </row>
    <row r="118" spans="1:11" hidden="1" x14ac:dyDescent="0.25">
      <c r="A118" s="210" t="s">
        <v>1532</v>
      </c>
      <c r="B118">
        <v>21992</v>
      </c>
      <c r="C118" s="100">
        <v>46146</v>
      </c>
      <c r="D118" t="s">
        <v>84</v>
      </c>
      <c r="E118" t="s">
        <v>77</v>
      </c>
      <c r="F118" t="s">
        <v>804</v>
      </c>
      <c r="G118">
        <v>1514</v>
      </c>
      <c r="H118">
        <v>-1000</v>
      </c>
      <c r="I118">
        <v>-1514000</v>
      </c>
    </row>
    <row r="119" spans="1:11" hidden="1" x14ac:dyDescent="0.25">
      <c r="A119" s="210" t="s">
        <v>1532</v>
      </c>
      <c r="B119">
        <v>21992</v>
      </c>
      <c r="C119" s="100">
        <v>46146</v>
      </c>
      <c r="D119" t="s">
        <v>84</v>
      </c>
      <c r="E119" t="s">
        <v>77</v>
      </c>
      <c r="F119" t="s">
        <v>803</v>
      </c>
      <c r="G119">
        <v>874</v>
      </c>
      <c r="H119">
        <v>-1000</v>
      </c>
      <c r="I119">
        <v>-874000</v>
      </c>
    </row>
    <row r="120" spans="1:11" hidden="1" x14ac:dyDescent="0.25">
      <c r="A120" s="210" t="s">
        <v>1532</v>
      </c>
      <c r="B120">
        <v>21992</v>
      </c>
      <c r="C120" s="100">
        <v>46146</v>
      </c>
      <c r="D120" t="s">
        <v>84</v>
      </c>
      <c r="E120" t="s">
        <v>77</v>
      </c>
      <c r="F120" t="s">
        <v>816</v>
      </c>
      <c r="G120">
        <v>748</v>
      </c>
      <c r="H120">
        <v>-1000</v>
      </c>
      <c r="I120">
        <v>-748000</v>
      </c>
    </row>
    <row r="121" spans="1:11" hidden="1" x14ac:dyDescent="0.25">
      <c r="A121" s="210" t="s">
        <v>1532</v>
      </c>
      <c r="B121">
        <v>21992</v>
      </c>
      <c r="C121" s="100">
        <v>46146</v>
      </c>
      <c r="D121" t="s">
        <v>84</v>
      </c>
      <c r="E121" t="s">
        <v>77</v>
      </c>
      <c r="F121" t="s">
        <v>1983</v>
      </c>
      <c r="G121">
        <v>1688</v>
      </c>
      <c r="H121">
        <v>-1000</v>
      </c>
      <c r="I121">
        <v>-1688000</v>
      </c>
    </row>
    <row r="122" spans="1:11" hidden="1" x14ac:dyDescent="0.25">
      <c r="A122" s="210" t="s">
        <v>1532</v>
      </c>
      <c r="B122">
        <v>21949</v>
      </c>
      <c r="C122" s="100">
        <v>46141</v>
      </c>
      <c r="D122" t="s">
        <v>84</v>
      </c>
      <c r="E122" t="s">
        <v>26</v>
      </c>
      <c r="F122" t="s">
        <v>145</v>
      </c>
      <c r="G122">
        <v>1381</v>
      </c>
      <c r="H122">
        <v>-500</v>
      </c>
      <c r="I122">
        <v>-690500</v>
      </c>
      <c r="K122" t="s">
        <v>2530</v>
      </c>
    </row>
    <row r="123" spans="1:11" hidden="1" x14ac:dyDescent="0.25">
      <c r="A123" s="210" t="s">
        <v>1532</v>
      </c>
      <c r="B123">
        <v>21949</v>
      </c>
      <c r="C123" s="100">
        <v>46141</v>
      </c>
      <c r="D123" t="s">
        <v>84</v>
      </c>
      <c r="G123">
        <v>2950</v>
      </c>
      <c r="I123">
        <v>0</v>
      </c>
    </row>
    <row r="124" spans="1:11" hidden="1" x14ac:dyDescent="0.25">
      <c r="A124" s="210" t="s">
        <v>1532</v>
      </c>
      <c r="B124">
        <v>21885</v>
      </c>
      <c r="C124" s="100">
        <v>46140</v>
      </c>
      <c r="D124" t="s">
        <v>84</v>
      </c>
      <c r="E124" t="s">
        <v>520</v>
      </c>
      <c r="F124" t="s">
        <v>803</v>
      </c>
      <c r="G124">
        <v>164</v>
      </c>
      <c r="H124">
        <v>-1000</v>
      </c>
      <c r="I124">
        <v>-164000</v>
      </c>
    </row>
    <row r="125" spans="1:11" hidden="1" x14ac:dyDescent="0.25">
      <c r="A125" s="210" t="s">
        <v>1532</v>
      </c>
      <c r="B125">
        <v>21885</v>
      </c>
      <c r="C125" s="100">
        <v>46140</v>
      </c>
      <c r="D125" t="s">
        <v>84</v>
      </c>
      <c r="E125" t="s">
        <v>520</v>
      </c>
      <c r="F125" t="s">
        <v>804</v>
      </c>
      <c r="G125">
        <v>500</v>
      </c>
      <c r="H125">
        <v>-1000</v>
      </c>
      <c r="I125">
        <v>-500000</v>
      </c>
    </row>
    <row r="126" spans="1:11" hidden="1" x14ac:dyDescent="0.25">
      <c r="A126" s="210" t="s">
        <v>1532</v>
      </c>
      <c r="B126">
        <v>21885</v>
      </c>
      <c r="C126" s="100">
        <v>46140</v>
      </c>
      <c r="D126" t="s">
        <v>84</v>
      </c>
      <c r="E126" t="s">
        <v>520</v>
      </c>
      <c r="F126" t="s">
        <v>818</v>
      </c>
      <c r="G126">
        <v>1322</v>
      </c>
      <c r="H126">
        <v>-1000</v>
      </c>
      <c r="I126">
        <v>-1322000</v>
      </c>
    </row>
    <row r="127" spans="1:11" hidden="1" x14ac:dyDescent="0.25">
      <c r="A127" s="210" t="s">
        <v>1532</v>
      </c>
      <c r="B127">
        <v>21885</v>
      </c>
      <c r="C127" s="100">
        <v>46140</v>
      </c>
      <c r="D127" t="s">
        <v>84</v>
      </c>
      <c r="E127" t="s">
        <v>520</v>
      </c>
      <c r="F127" t="s">
        <v>797</v>
      </c>
      <c r="G127">
        <v>1028</v>
      </c>
      <c r="H127">
        <v>-1000</v>
      </c>
      <c r="I127">
        <v>-1028000</v>
      </c>
    </row>
    <row r="128" spans="1:11" hidden="1" x14ac:dyDescent="0.25">
      <c r="A128" s="210" t="s">
        <v>1532</v>
      </c>
      <c r="B128">
        <v>21725</v>
      </c>
      <c r="C128" s="100">
        <v>46135</v>
      </c>
      <c r="D128" t="s">
        <v>84</v>
      </c>
      <c r="E128" t="s">
        <v>753</v>
      </c>
      <c r="F128" t="s">
        <v>816</v>
      </c>
      <c r="G128">
        <v>1658</v>
      </c>
      <c r="H128">
        <v>-1000</v>
      </c>
      <c r="I128">
        <v>-1658000</v>
      </c>
    </row>
    <row r="129" spans="1:9" hidden="1" x14ac:dyDescent="0.25">
      <c r="A129" s="210" t="s">
        <v>1532</v>
      </c>
      <c r="B129">
        <v>21725</v>
      </c>
      <c r="C129" s="100">
        <v>46135</v>
      </c>
      <c r="D129" t="s">
        <v>84</v>
      </c>
      <c r="E129" t="s">
        <v>753</v>
      </c>
      <c r="F129" t="s">
        <v>817</v>
      </c>
      <c r="G129">
        <v>456</v>
      </c>
      <c r="H129">
        <v>-1000</v>
      </c>
      <c r="I129">
        <v>-456000</v>
      </c>
    </row>
    <row r="130" spans="1:9" hidden="1" x14ac:dyDescent="0.25">
      <c r="A130" s="210" t="s">
        <v>1532</v>
      </c>
      <c r="B130">
        <v>21725</v>
      </c>
      <c r="C130" s="100">
        <v>46135</v>
      </c>
      <c r="D130" t="s">
        <v>84</v>
      </c>
      <c r="E130" t="s">
        <v>753</v>
      </c>
      <c r="F130" t="s">
        <v>807</v>
      </c>
      <c r="G130">
        <v>2200</v>
      </c>
      <c r="H130">
        <v>-1000</v>
      </c>
      <c r="I130">
        <v>-2200000</v>
      </c>
    </row>
    <row r="131" spans="1:9" hidden="1" x14ac:dyDescent="0.25">
      <c r="A131" s="210" t="s">
        <v>1532</v>
      </c>
      <c r="B131">
        <v>21492</v>
      </c>
      <c r="C131" s="100">
        <v>46129</v>
      </c>
      <c r="D131" t="s">
        <v>84</v>
      </c>
      <c r="E131" t="s">
        <v>520</v>
      </c>
      <c r="F131" t="s">
        <v>814</v>
      </c>
      <c r="G131">
        <v>398</v>
      </c>
      <c r="H131">
        <v>-1000</v>
      </c>
      <c r="I131">
        <v>-398000</v>
      </c>
    </row>
    <row r="132" spans="1:9" hidden="1" x14ac:dyDescent="0.25">
      <c r="A132" s="210" t="s">
        <v>1532</v>
      </c>
      <c r="B132">
        <v>21492</v>
      </c>
      <c r="C132" s="100">
        <v>46129</v>
      </c>
      <c r="D132" t="s">
        <v>84</v>
      </c>
      <c r="E132" t="s">
        <v>520</v>
      </c>
      <c r="F132" t="s">
        <v>815</v>
      </c>
      <c r="G132">
        <v>578</v>
      </c>
      <c r="H132">
        <v>-1000</v>
      </c>
      <c r="I132">
        <v>-578000</v>
      </c>
    </row>
    <row r="133" spans="1:9" hidden="1" x14ac:dyDescent="0.25">
      <c r="A133" s="210" t="s">
        <v>1532</v>
      </c>
      <c r="B133">
        <v>21394</v>
      </c>
      <c r="C133" s="100">
        <v>46127</v>
      </c>
      <c r="D133" t="s">
        <v>84</v>
      </c>
      <c r="E133" t="s">
        <v>753</v>
      </c>
      <c r="F133" t="s">
        <v>809</v>
      </c>
      <c r="G133">
        <v>1108</v>
      </c>
      <c r="H133">
        <v>-1000</v>
      </c>
      <c r="I133">
        <v>-1108000</v>
      </c>
    </row>
    <row r="134" spans="1:9" hidden="1" x14ac:dyDescent="0.25">
      <c r="A134" s="210" t="s">
        <v>1532</v>
      </c>
      <c r="B134">
        <v>21394</v>
      </c>
      <c r="C134" s="100">
        <v>46127</v>
      </c>
      <c r="D134" t="s">
        <v>84</v>
      </c>
      <c r="E134" t="s">
        <v>753</v>
      </c>
      <c r="F134" t="s">
        <v>813</v>
      </c>
      <c r="G134">
        <v>1816</v>
      </c>
      <c r="H134">
        <v>-1000</v>
      </c>
      <c r="I134">
        <v>-1816000</v>
      </c>
    </row>
    <row r="135" spans="1:9" hidden="1" x14ac:dyDescent="0.25">
      <c r="A135" s="210" t="s">
        <v>1532</v>
      </c>
      <c r="B135">
        <v>21394</v>
      </c>
      <c r="C135" s="100">
        <v>46127</v>
      </c>
      <c r="D135" t="s">
        <v>84</v>
      </c>
      <c r="E135" t="s">
        <v>753</v>
      </c>
      <c r="F135" t="s">
        <v>200</v>
      </c>
      <c r="G135">
        <v>1792</v>
      </c>
      <c r="H135">
        <v>-1000</v>
      </c>
      <c r="I135">
        <v>-1792000</v>
      </c>
    </row>
    <row r="136" spans="1:9" hidden="1" x14ac:dyDescent="0.25">
      <c r="A136" s="210" t="s">
        <v>1532</v>
      </c>
      <c r="B136">
        <v>21394</v>
      </c>
      <c r="C136" s="100">
        <v>46127</v>
      </c>
      <c r="D136" t="s">
        <v>84</v>
      </c>
      <c r="E136" t="s">
        <v>753</v>
      </c>
      <c r="F136" t="s">
        <v>809</v>
      </c>
      <c r="G136">
        <v>1466</v>
      </c>
      <c r="H136">
        <v>-1000</v>
      </c>
      <c r="I136">
        <v>-1466000</v>
      </c>
    </row>
    <row r="137" spans="1:9" hidden="1" x14ac:dyDescent="0.25">
      <c r="A137" s="210" t="s">
        <v>1532</v>
      </c>
      <c r="B137">
        <v>21394</v>
      </c>
      <c r="C137" s="100">
        <v>46127</v>
      </c>
      <c r="D137" t="s">
        <v>84</v>
      </c>
      <c r="E137" t="s">
        <v>753</v>
      </c>
      <c r="F137" t="s">
        <v>809</v>
      </c>
      <c r="G137">
        <v>1384</v>
      </c>
      <c r="H137">
        <v>-1000</v>
      </c>
      <c r="I137">
        <v>-1384000</v>
      </c>
    </row>
    <row r="138" spans="1:9" hidden="1" x14ac:dyDescent="0.25">
      <c r="A138" s="210" t="s">
        <v>1532</v>
      </c>
      <c r="B138">
        <v>21340</v>
      </c>
      <c r="C138" s="100">
        <v>46126</v>
      </c>
      <c r="D138" t="s">
        <v>84</v>
      </c>
      <c r="E138" t="s">
        <v>520</v>
      </c>
      <c r="F138" t="s">
        <v>809</v>
      </c>
      <c r="G138">
        <v>1502</v>
      </c>
      <c r="H138">
        <v>-1000</v>
      </c>
      <c r="I138">
        <v>-1502000</v>
      </c>
    </row>
    <row r="139" spans="1:9" hidden="1" x14ac:dyDescent="0.25">
      <c r="A139" s="210" t="s">
        <v>1532</v>
      </c>
      <c r="B139">
        <v>21340</v>
      </c>
      <c r="C139" s="100">
        <v>46126</v>
      </c>
      <c r="D139" t="s">
        <v>84</v>
      </c>
      <c r="E139" t="s">
        <v>753</v>
      </c>
      <c r="F139" t="s">
        <v>810</v>
      </c>
      <c r="G139">
        <v>1198</v>
      </c>
      <c r="H139">
        <v>-1000</v>
      </c>
      <c r="I139">
        <v>-1198000</v>
      </c>
    </row>
    <row r="140" spans="1:9" hidden="1" x14ac:dyDescent="0.25">
      <c r="A140" s="210" t="s">
        <v>1532</v>
      </c>
      <c r="B140">
        <v>21340</v>
      </c>
      <c r="C140" s="100">
        <v>46126</v>
      </c>
      <c r="D140" t="s">
        <v>84</v>
      </c>
      <c r="E140" t="s">
        <v>753</v>
      </c>
      <c r="F140" t="s">
        <v>811</v>
      </c>
      <c r="G140">
        <v>1950</v>
      </c>
      <c r="H140">
        <v>-1000</v>
      </c>
      <c r="I140">
        <v>-1950000</v>
      </c>
    </row>
    <row r="141" spans="1:9" hidden="1" x14ac:dyDescent="0.25">
      <c r="A141" s="210" t="s">
        <v>1532</v>
      </c>
      <c r="B141">
        <v>21340</v>
      </c>
      <c r="C141" s="100">
        <v>46126</v>
      </c>
      <c r="D141" t="s">
        <v>84</v>
      </c>
      <c r="E141" t="s">
        <v>753</v>
      </c>
      <c r="F141" t="s">
        <v>200</v>
      </c>
      <c r="G141">
        <v>1584</v>
      </c>
      <c r="H141">
        <v>-1000</v>
      </c>
      <c r="I141">
        <v>-1584000</v>
      </c>
    </row>
    <row r="142" spans="1:9" hidden="1" x14ac:dyDescent="0.25">
      <c r="A142" s="210" t="s">
        <v>1532</v>
      </c>
      <c r="B142">
        <v>21340</v>
      </c>
      <c r="C142" s="100">
        <v>46126</v>
      </c>
      <c r="D142" t="s">
        <v>84</v>
      </c>
      <c r="E142" t="s">
        <v>753</v>
      </c>
      <c r="F142" t="s">
        <v>809</v>
      </c>
      <c r="G142">
        <v>1726</v>
      </c>
      <c r="H142">
        <v>-1000</v>
      </c>
      <c r="I142">
        <v>-1726000</v>
      </c>
    </row>
    <row r="143" spans="1:9" hidden="1" x14ac:dyDescent="0.25">
      <c r="A143" s="210" t="s">
        <v>1532</v>
      </c>
      <c r="B143">
        <v>21340</v>
      </c>
      <c r="C143" s="100">
        <v>46126</v>
      </c>
      <c r="D143" t="s">
        <v>84</v>
      </c>
      <c r="E143" t="s">
        <v>753</v>
      </c>
      <c r="F143" t="s">
        <v>812</v>
      </c>
      <c r="G143">
        <v>1494</v>
      </c>
      <c r="H143">
        <v>-1000</v>
      </c>
      <c r="I143">
        <v>-1494000</v>
      </c>
    </row>
    <row r="144" spans="1:9" hidden="1" x14ac:dyDescent="0.25">
      <c r="A144" s="210" t="s">
        <v>1532</v>
      </c>
      <c r="B144">
        <v>21134</v>
      </c>
      <c r="C144" s="100">
        <v>46121</v>
      </c>
      <c r="D144" t="s">
        <v>84</v>
      </c>
      <c r="E144" t="s">
        <v>753</v>
      </c>
      <c r="F144" t="s">
        <v>805</v>
      </c>
      <c r="G144">
        <v>1174</v>
      </c>
      <c r="H144">
        <v>-700</v>
      </c>
      <c r="I144">
        <v>-821800</v>
      </c>
    </row>
    <row r="145" spans="1:9" hidden="1" x14ac:dyDescent="0.25">
      <c r="A145" s="210" t="s">
        <v>1532</v>
      </c>
      <c r="B145">
        <v>21134</v>
      </c>
      <c r="C145" s="100">
        <v>46121</v>
      </c>
      <c r="D145" t="s">
        <v>84</v>
      </c>
      <c r="E145" t="s">
        <v>753</v>
      </c>
      <c r="F145" t="s">
        <v>806</v>
      </c>
      <c r="G145">
        <v>1932</v>
      </c>
      <c r="H145">
        <v>-700</v>
      </c>
      <c r="I145">
        <v>-1352400</v>
      </c>
    </row>
    <row r="146" spans="1:9" hidden="1" x14ac:dyDescent="0.25">
      <c r="A146" s="210" t="s">
        <v>1532</v>
      </c>
      <c r="B146">
        <v>21134</v>
      </c>
      <c r="C146" s="100">
        <v>46121</v>
      </c>
      <c r="D146" t="s">
        <v>84</v>
      </c>
      <c r="E146" t="s">
        <v>753</v>
      </c>
      <c r="F146" t="s">
        <v>768</v>
      </c>
      <c r="G146">
        <v>648</v>
      </c>
      <c r="H146">
        <v>-700</v>
      </c>
      <c r="I146">
        <v>-453600</v>
      </c>
    </row>
    <row r="147" spans="1:9" hidden="1" x14ac:dyDescent="0.25">
      <c r="A147" s="210" t="s">
        <v>1532</v>
      </c>
      <c r="B147">
        <v>21134</v>
      </c>
      <c r="C147" s="100">
        <v>46121</v>
      </c>
      <c r="D147" t="s">
        <v>84</v>
      </c>
      <c r="E147" t="s">
        <v>753</v>
      </c>
      <c r="F147" t="s">
        <v>807</v>
      </c>
      <c r="G147">
        <v>558</v>
      </c>
      <c r="H147">
        <v>-700</v>
      </c>
      <c r="I147">
        <v>-390600</v>
      </c>
    </row>
    <row r="148" spans="1:9" hidden="1" x14ac:dyDescent="0.25">
      <c r="A148" s="210" t="s">
        <v>1532</v>
      </c>
      <c r="B148">
        <v>21134</v>
      </c>
      <c r="C148" s="100">
        <v>46121</v>
      </c>
      <c r="D148" t="s">
        <v>84</v>
      </c>
      <c r="E148" t="s">
        <v>753</v>
      </c>
      <c r="F148" t="s">
        <v>806</v>
      </c>
      <c r="G148">
        <v>1732</v>
      </c>
      <c r="H148">
        <v>-700</v>
      </c>
      <c r="I148">
        <v>-1212400</v>
      </c>
    </row>
    <row r="149" spans="1:9" hidden="1" x14ac:dyDescent="0.25">
      <c r="A149" s="210" t="s">
        <v>1532</v>
      </c>
      <c r="B149">
        <v>21134</v>
      </c>
      <c r="C149" s="100">
        <v>46121</v>
      </c>
      <c r="D149" t="s">
        <v>84</v>
      </c>
      <c r="E149" t="s">
        <v>753</v>
      </c>
      <c r="F149" t="s">
        <v>808</v>
      </c>
      <c r="G149">
        <v>816</v>
      </c>
      <c r="H149">
        <v>-700</v>
      </c>
      <c r="I149">
        <v>-571200</v>
      </c>
    </row>
    <row r="150" spans="1:9" hidden="1" x14ac:dyDescent="0.25">
      <c r="A150" s="210" t="s">
        <v>1532</v>
      </c>
      <c r="B150">
        <v>21051</v>
      </c>
      <c r="C150" s="100">
        <v>46120</v>
      </c>
      <c r="D150" t="s">
        <v>84</v>
      </c>
      <c r="E150" t="s">
        <v>753</v>
      </c>
      <c r="F150" t="s">
        <v>747</v>
      </c>
      <c r="G150">
        <v>1010</v>
      </c>
      <c r="H150">
        <v>-1000</v>
      </c>
      <c r="I150">
        <v>-1010000</v>
      </c>
    </row>
    <row r="151" spans="1:9" hidden="1" x14ac:dyDescent="0.25">
      <c r="A151" s="210" t="s">
        <v>1532</v>
      </c>
      <c r="B151">
        <v>21051</v>
      </c>
      <c r="C151" s="100">
        <v>46120</v>
      </c>
      <c r="D151" t="s">
        <v>84</v>
      </c>
      <c r="E151" t="s">
        <v>801</v>
      </c>
      <c r="G151">
        <v>240</v>
      </c>
      <c r="H151">
        <v>-1000</v>
      </c>
      <c r="I151">
        <v>-240000</v>
      </c>
    </row>
    <row r="152" spans="1:9" hidden="1" x14ac:dyDescent="0.25">
      <c r="A152" s="210" t="s">
        <v>1532</v>
      </c>
      <c r="B152">
        <v>21051</v>
      </c>
      <c r="C152" s="100">
        <v>46120</v>
      </c>
      <c r="D152" t="s">
        <v>84</v>
      </c>
      <c r="E152" t="s">
        <v>520</v>
      </c>
      <c r="F152" t="s">
        <v>802</v>
      </c>
      <c r="G152">
        <v>834</v>
      </c>
      <c r="H152">
        <v>-1000</v>
      </c>
      <c r="I152">
        <v>-834000</v>
      </c>
    </row>
    <row r="153" spans="1:9" hidden="1" x14ac:dyDescent="0.25">
      <c r="A153" s="210" t="s">
        <v>1532</v>
      </c>
      <c r="B153">
        <v>21051</v>
      </c>
      <c r="C153" s="100">
        <v>46120</v>
      </c>
      <c r="D153" t="s">
        <v>84</v>
      </c>
      <c r="E153" t="s">
        <v>520</v>
      </c>
      <c r="F153" t="s">
        <v>803</v>
      </c>
      <c r="G153">
        <v>260</v>
      </c>
      <c r="H153">
        <v>-1000</v>
      </c>
      <c r="I153">
        <v>-260000</v>
      </c>
    </row>
    <row r="154" spans="1:9" hidden="1" x14ac:dyDescent="0.25">
      <c r="A154" s="210" t="s">
        <v>1532</v>
      </c>
      <c r="B154">
        <v>21051</v>
      </c>
      <c r="C154" s="100">
        <v>46120</v>
      </c>
      <c r="D154" t="s">
        <v>84</v>
      </c>
      <c r="E154" t="s">
        <v>520</v>
      </c>
      <c r="F154" t="s">
        <v>804</v>
      </c>
      <c r="G154">
        <v>748</v>
      </c>
      <c r="H154">
        <v>-1000</v>
      </c>
      <c r="I154">
        <v>-748000</v>
      </c>
    </row>
    <row r="155" spans="1:9" hidden="1" x14ac:dyDescent="0.25">
      <c r="A155" s="210" t="s">
        <v>1532</v>
      </c>
      <c r="B155">
        <v>21020</v>
      </c>
      <c r="C155" s="100">
        <v>46119</v>
      </c>
      <c r="D155" t="s">
        <v>84</v>
      </c>
      <c r="E155" t="s">
        <v>753</v>
      </c>
      <c r="F155" t="s">
        <v>797</v>
      </c>
      <c r="G155">
        <v>998</v>
      </c>
      <c r="H155">
        <v>-1000</v>
      </c>
      <c r="I155">
        <v>-998000</v>
      </c>
    </row>
    <row r="156" spans="1:9" hidden="1" x14ac:dyDescent="0.25">
      <c r="A156" s="210" t="s">
        <v>1532</v>
      </c>
      <c r="B156">
        <v>21020</v>
      </c>
      <c r="C156" s="100">
        <v>46119</v>
      </c>
      <c r="D156" t="s">
        <v>84</v>
      </c>
      <c r="E156" t="s">
        <v>753</v>
      </c>
      <c r="F156" t="s">
        <v>797</v>
      </c>
      <c r="G156">
        <v>880</v>
      </c>
      <c r="H156">
        <v>-1000</v>
      </c>
      <c r="I156">
        <v>-880000</v>
      </c>
    </row>
    <row r="157" spans="1:9" hidden="1" x14ac:dyDescent="0.25">
      <c r="A157" s="210" t="s">
        <v>1532</v>
      </c>
      <c r="B157">
        <v>21020</v>
      </c>
      <c r="C157" s="100">
        <v>46119</v>
      </c>
      <c r="D157" t="s">
        <v>84</v>
      </c>
      <c r="E157" t="s">
        <v>753</v>
      </c>
      <c r="F157" t="s">
        <v>796</v>
      </c>
      <c r="G157">
        <v>896</v>
      </c>
      <c r="H157">
        <v>-1000</v>
      </c>
      <c r="I157">
        <v>-896000</v>
      </c>
    </row>
    <row r="158" spans="1:9" hidden="1" x14ac:dyDescent="0.25">
      <c r="A158" s="210" t="s">
        <v>1532</v>
      </c>
      <c r="B158">
        <v>21020</v>
      </c>
      <c r="C158" s="100">
        <v>46119</v>
      </c>
      <c r="D158" t="s">
        <v>84</v>
      </c>
      <c r="E158" t="s">
        <v>801</v>
      </c>
      <c r="G158">
        <v>198</v>
      </c>
      <c r="H158">
        <v>-1000</v>
      </c>
      <c r="I158">
        <v>-198000</v>
      </c>
    </row>
    <row r="159" spans="1:9" hidden="1" x14ac:dyDescent="0.25">
      <c r="A159" s="210" t="s">
        <v>1532</v>
      </c>
      <c r="B159">
        <v>20906</v>
      </c>
      <c r="C159" s="100">
        <v>46116</v>
      </c>
      <c r="D159" t="s">
        <v>84</v>
      </c>
      <c r="E159" t="s">
        <v>753</v>
      </c>
      <c r="F159" t="s">
        <v>797</v>
      </c>
      <c r="G159">
        <v>814</v>
      </c>
      <c r="H159">
        <v>-1000</v>
      </c>
      <c r="I159">
        <v>-814000</v>
      </c>
    </row>
    <row r="160" spans="1:9" hidden="1" x14ac:dyDescent="0.25">
      <c r="A160" s="210" t="s">
        <v>1532</v>
      </c>
      <c r="B160">
        <v>20906</v>
      </c>
      <c r="C160" s="100">
        <v>46116</v>
      </c>
      <c r="D160" t="s">
        <v>84</v>
      </c>
      <c r="E160" t="s">
        <v>753</v>
      </c>
      <c r="F160" t="s">
        <v>796</v>
      </c>
      <c r="G160">
        <v>626</v>
      </c>
      <c r="H160">
        <v>-1000</v>
      </c>
      <c r="I160">
        <v>-626000</v>
      </c>
    </row>
    <row r="161" spans="1:9" hidden="1" x14ac:dyDescent="0.25">
      <c r="A161" s="210" t="s">
        <v>1532</v>
      </c>
      <c r="B161">
        <v>20906</v>
      </c>
      <c r="C161" s="100">
        <v>46116</v>
      </c>
      <c r="D161" t="s">
        <v>84</v>
      </c>
      <c r="E161" t="s">
        <v>753</v>
      </c>
      <c r="F161" t="s">
        <v>797</v>
      </c>
      <c r="G161">
        <v>474</v>
      </c>
      <c r="H161">
        <v>-1000</v>
      </c>
      <c r="I161">
        <v>-474000</v>
      </c>
    </row>
    <row r="162" spans="1:9" hidden="1" x14ac:dyDescent="0.25">
      <c r="A162" s="210" t="s">
        <v>1532</v>
      </c>
      <c r="B162">
        <v>20906</v>
      </c>
      <c r="C162" s="100">
        <v>46116</v>
      </c>
      <c r="D162" t="s">
        <v>84</v>
      </c>
      <c r="E162" t="s">
        <v>520</v>
      </c>
      <c r="F162" t="s">
        <v>800</v>
      </c>
      <c r="G162">
        <v>299</v>
      </c>
      <c r="H162">
        <v>-1500</v>
      </c>
      <c r="I162">
        <v>-448500</v>
      </c>
    </row>
    <row r="163" spans="1:9" hidden="1" x14ac:dyDescent="0.25">
      <c r="A163" s="210" t="s">
        <v>1532</v>
      </c>
      <c r="B163">
        <v>20906</v>
      </c>
      <c r="C163" s="100">
        <v>46116</v>
      </c>
      <c r="D163" t="s">
        <v>84</v>
      </c>
      <c r="E163" t="s">
        <v>520</v>
      </c>
      <c r="F163" t="s">
        <v>800</v>
      </c>
      <c r="G163">
        <v>306</v>
      </c>
      <c r="H163">
        <v>-1500</v>
      </c>
      <c r="I163">
        <v>-459000</v>
      </c>
    </row>
    <row r="164" spans="1:9" hidden="1" x14ac:dyDescent="0.25">
      <c r="A164" s="210" t="s">
        <v>1532</v>
      </c>
      <c r="B164">
        <v>20800</v>
      </c>
      <c r="C164" s="100">
        <v>46114</v>
      </c>
      <c r="D164" t="s">
        <v>84</v>
      </c>
      <c r="E164" t="s">
        <v>753</v>
      </c>
      <c r="F164" t="s">
        <v>796</v>
      </c>
      <c r="G164">
        <v>778</v>
      </c>
      <c r="H164">
        <v>-1000</v>
      </c>
      <c r="I164">
        <v>-778000</v>
      </c>
    </row>
    <row r="165" spans="1:9" hidden="1" x14ac:dyDescent="0.25">
      <c r="A165" s="210" t="s">
        <v>1532</v>
      </c>
      <c r="B165">
        <v>20800</v>
      </c>
      <c r="C165" s="100">
        <v>46114</v>
      </c>
      <c r="D165" t="s">
        <v>84</v>
      </c>
      <c r="E165" t="s">
        <v>753</v>
      </c>
      <c r="F165" t="s">
        <v>797</v>
      </c>
      <c r="G165">
        <v>570</v>
      </c>
      <c r="H165">
        <v>-1000</v>
      </c>
      <c r="I165">
        <v>-570000</v>
      </c>
    </row>
    <row r="166" spans="1:9" hidden="1" x14ac:dyDescent="0.25">
      <c r="A166" s="210" t="s">
        <v>1532</v>
      </c>
      <c r="B166">
        <v>20800</v>
      </c>
      <c r="C166" s="100">
        <v>46114</v>
      </c>
      <c r="D166" t="s">
        <v>84</v>
      </c>
      <c r="E166" t="s">
        <v>753</v>
      </c>
      <c r="F166" t="s">
        <v>798</v>
      </c>
      <c r="G166">
        <v>1900</v>
      </c>
      <c r="H166">
        <v>-1000</v>
      </c>
      <c r="I166">
        <v>-1900000</v>
      </c>
    </row>
    <row r="167" spans="1:9" hidden="1" x14ac:dyDescent="0.25">
      <c r="A167" s="210" t="s">
        <v>1532</v>
      </c>
      <c r="B167">
        <v>20800</v>
      </c>
      <c r="C167" s="100">
        <v>46114</v>
      </c>
      <c r="D167" t="s">
        <v>84</v>
      </c>
      <c r="E167" t="s">
        <v>753</v>
      </c>
      <c r="F167" t="s">
        <v>797</v>
      </c>
      <c r="G167">
        <v>1098</v>
      </c>
      <c r="H167">
        <v>-1000</v>
      </c>
      <c r="I167">
        <v>-1098000</v>
      </c>
    </row>
    <row r="168" spans="1:9" hidden="1" x14ac:dyDescent="0.25">
      <c r="A168" s="210" t="s">
        <v>1532</v>
      </c>
      <c r="B168">
        <v>20800</v>
      </c>
      <c r="C168" s="100">
        <v>46114</v>
      </c>
      <c r="D168" t="s">
        <v>84</v>
      </c>
      <c r="E168" t="s">
        <v>753</v>
      </c>
      <c r="F168" t="s">
        <v>799</v>
      </c>
      <c r="G168">
        <v>1878</v>
      </c>
      <c r="H168">
        <v>-1000</v>
      </c>
      <c r="I168">
        <v>-1878000</v>
      </c>
    </row>
    <row r="169" spans="1:9" hidden="1" x14ac:dyDescent="0.25">
      <c r="A169" s="210" t="s">
        <v>1532</v>
      </c>
      <c r="B169">
        <v>20800</v>
      </c>
      <c r="C169" s="100">
        <v>46114</v>
      </c>
      <c r="D169" t="s">
        <v>84</v>
      </c>
      <c r="E169" t="s">
        <v>520</v>
      </c>
      <c r="F169" t="s">
        <v>800</v>
      </c>
      <c r="G169">
        <v>552</v>
      </c>
      <c r="H169">
        <v>-1000</v>
      </c>
      <c r="I169">
        <v>-552000</v>
      </c>
    </row>
    <row r="170" spans="1:9" hidden="1" x14ac:dyDescent="0.25">
      <c r="A170" s="210" t="s">
        <v>1532</v>
      </c>
      <c r="B170">
        <v>20800</v>
      </c>
      <c r="C170" s="100">
        <v>46114</v>
      </c>
      <c r="D170" t="s">
        <v>84</v>
      </c>
      <c r="E170" t="s">
        <v>520</v>
      </c>
      <c r="F170" t="s">
        <v>800</v>
      </c>
      <c r="G170">
        <v>550</v>
      </c>
      <c r="H170">
        <v>-1000</v>
      </c>
      <c r="I170">
        <v>-550000</v>
      </c>
    </row>
    <row r="171" spans="1:9" hidden="1" x14ac:dyDescent="0.25">
      <c r="A171" s="210" t="s">
        <v>1532</v>
      </c>
      <c r="B171">
        <v>20800</v>
      </c>
      <c r="C171" s="100">
        <v>46114</v>
      </c>
      <c r="D171" t="s">
        <v>84</v>
      </c>
      <c r="E171" t="s">
        <v>801</v>
      </c>
      <c r="G171">
        <v>37</v>
      </c>
      <c r="H171">
        <v>-1000</v>
      </c>
      <c r="I171">
        <v>-37000</v>
      </c>
    </row>
    <row r="172" spans="1:9" hidden="1" x14ac:dyDescent="0.25">
      <c r="A172" s="210" t="s">
        <v>1532</v>
      </c>
      <c r="B172">
        <v>20663</v>
      </c>
      <c r="C172" s="100">
        <v>46111</v>
      </c>
      <c r="D172" t="s">
        <v>84</v>
      </c>
      <c r="E172" t="s">
        <v>93</v>
      </c>
      <c r="F172" t="s">
        <v>770</v>
      </c>
      <c r="G172">
        <v>1610</v>
      </c>
      <c r="H172">
        <v>-1000</v>
      </c>
      <c r="I172">
        <v>-1610000</v>
      </c>
    </row>
    <row r="173" spans="1:9" hidden="1" x14ac:dyDescent="0.25">
      <c r="A173" s="210" t="s">
        <v>1532</v>
      </c>
      <c r="B173">
        <v>20663</v>
      </c>
      <c r="C173" s="100">
        <v>46111</v>
      </c>
      <c r="D173" t="s">
        <v>84</v>
      </c>
      <c r="E173" t="s">
        <v>93</v>
      </c>
      <c r="F173" t="s">
        <v>770</v>
      </c>
      <c r="G173">
        <v>1810</v>
      </c>
      <c r="H173">
        <v>-1000</v>
      </c>
      <c r="I173">
        <v>-1810000</v>
      </c>
    </row>
    <row r="174" spans="1:9" hidden="1" x14ac:dyDescent="0.25">
      <c r="A174" s="210" t="s">
        <v>1532</v>
      </c>
      <c r="B174">
        <v>20663</v>
      </c>
      <c r="C174" s="100">
        <v>46111</v>
      </c>
      <c r="D174" t="s">
        <v>84</v>
      </c>
      <c r="E174" t="s">
        <v>93</v>
      </c>
      <c r="F174" t="s">
        <v>770</v>
      </c>
      <c r="G174">
        <v>1774</v>
      </c>
      <c r="H174">
        <v>-1000</v>
      </c>
      <c r="I174">
        <v>-1774000</v>
      </c>
    </row>
    <row r="175" spans="1:9" hidden="1" x14ac:dyDescent="0.25">
      <c r="A175" s="210" t="s">
        <v>1532</v>
      </c>
      <c r="B175">
        <v>20663</v>
      </c>
      <c r="C175" s="100">
        <v>46111</v>
      </c>
      <c r="D175" t="s">
        <v>84</v>
      </c>
      <c r="E175" t="s">
        <v>93</v>
      </c>
      <c r="F175" t="s">
        <v>771</v>
      </c>
      <c r="G175">
        <v>1956</v>
      </c>
      <c r="H175">
        <v>-1000</v>
      </c>
      <c r="I175">
        <v>-1956000</v>
      </c>
    </row>
    <row r="176" spans="1:9" hidden="1" x14ac:dyDescent="0.25">
      <c r="A176" s="210" t="s">
        <v>1532</v>
      </c>
      <c r="B176">
        <v>20663</v>
      </c>
      <c r="C176" s="100">
        <v>46111</v>
      </c>
      <c r="D176" t="s">
        <v>84</v>
      </c>
      <c r="E176" t="s">
        <v>93</v>
      </c>
      <c r="F176" t="s">
        <v>772</v>
      </c>
      <c r="G176">
        <v>460</v>
      </c>
      <c r="H176">
        <v>-1000</v>
      </c>
      <c r="I176">
        <v>-460000</v>
      </c>
    </row>
    <row r="177" spans="1:9" hidden="1" x14ac:dyDescent="0.25">
      <c r="A177" s="210" t="s">
        <v>1532</v>
      </c>
      <c r="B177">
        <v>20663</v>
      </c>
      <c r="C177" s="100">
        <v>46111</v>
      </c>
      <c r="D177" t="s">
        <v>84</v>
      </c>
      <c r="E177" t="s">
        <v>93</v>
      </c>
      <c r="F177" t="s">
        <v>773</v>
      </c>
      <c r="G177">
        <v>1590</v>
      </c>
      <c r="H177">
        <v>-1000</v>
      </c>
      <c r="I177">
        <v>-1590000</v>
      </c>
    </row>
    <row r="178" spans="1:9" hidden="1" x14ac:dyDescent="0.25">
      <c r="A178" s="210" t="s">
        <v>1532</v>
      </c>
      <c r="B178">
        <v>20663</v>
      </c>
      <c r="C178" s="100">
        <v>46111</v>
      </c>
      <c r="D178" t="s">
        <v>84</v>
      </c>
      <c r="E178" t="s">
        <v>93</v>
      </c>
      <c r="F178" t="s">
        <v>774</v>
      </c>
      <c r="G178">
        <v>770</v>
      </c>
      <c r="H178">
        <v>-1000</v>
      </c>
      <c r="I178">
        <v>-770000</v>
      </c>
    </row>
    <row r="179" spans="1:9" hidden="1" x14ac:dyDescent="0.25">
      <c r="A179" s="210" t="s">
        <v>1532</v>
      </c>
      <c r="B179">
        <v>20514</v>
      </c>
      <c r="C179" s="100">
        <v>46107</v>
      </c>
      <c r="D179" t="s">
        <v>84</v>
      </c>
      <c r="E179" t="s">
        <v>753</v>
      </c>
      <c r="F179" t="s">
        <v>768</v>
      </c>
      <c r="G179">
        <v>622</v>
      </c>
      <c r="H179">
        <v>-1000</v>
      </c>
      <c r="I179">
        <v>-622000</v>
      </c>
    </row>
    <row r="180" spans="1:9" hidden="1" x14ac:dyDescent="0.25">
      <c r="A180" s="210" t="s">
        <v>1532</v>
      </c>
      <c r="B180">
        <v>20514</v>
      </c>
      <c r="C180" s="100">
        <v>46107</v>
      </c>
      <c r="D180" t="s">
        <v>84</v>
      </c>
      <c r="E180" t="s">
        <v>753</v>
      </c>
      <c r="F180" t="s">
        <v>769</v>
      </c>
      <c r="G180">
        <v>1002</v>
      </c>
      <c r="H180">
        <v>-1000</v>
      </c>
      <c r="I180">
        <v>-1002000</v>
      </c>
    </row>
    <row r="181" spans="1:9" hidden="1" x14ac:dyDescent="0.25">
      <c r="A181" s="210" t="s">
        <v>1532</v>
      </c>
      <c r="B181">
        <v>20443</v>
      </c>
      <c r="C181" s="100">
        <v>46106</v>
      </c>
      <c r="D181" t="s">
        <v>84</v>
      </c>
      <c r="E181" t="s">
        <v>753</v>
      </c>
      <c r="F181" t="s">
        <v>766</v>
      </c>
      <c r="G181">
        <v>1312</v>
      </c>
      <c r="H181">
        <v>-1000</v>
      </c>
      <c r="I181">
        <v>-1312000</v>
      </c>
    </row>
    <row r="182" spans="1:9" hidden="1" x14ac:dyDescent="0.25">
      <c r="A182" s="210" t="s">
        <v>1532</v>
      </c>
      <c r="B182">
        <v>20443</v>
      </c>
      <c r="C182" s="100">
        <v>46106</v>
      </c>
      <c r="D182" t="s">
        <v>84</v>
      </c>
      <c r="E182" t="s">
        <v>753</v>
      </c>
      <c r="F182" t="s">
        <v>767</v>
      </c>
      <c r="G182">
        <v>1478</v>
      </c>
      <c r="H182">
        <v>-1000</v>
      </c>
      <c r="I182">
        <v>-1478000</v>
      </c>
    </row>
    <row r="183" spans="1:9" hidden="1" x14ac:dyDescent="0.25">
      <c r="A183" s="210" t="s">
        <v>1532</v>
      </c>
      <c r="B183">
        <v>20443</v>
      </c>
      <c r="C183" s="100">
        <v>46106</v>
      </c>
      <c r="D183" t="s">
        <v>84</v>
      </c>
      <c r="E183" t="s">
        <v>753</v>
      </c>
      <c r="F183" t="s">
        <v>752</v>
      </c>
      <c r="G183">
        <v>1710</v>
      </c>
      <c r="H183">
        <v>-1000</v>
      </c>
      <c r="I183">
        <v>-1710000</v>
      </c>
    </row>
    <row r="184" spans="1:9" hidden="1" x14ac:dyDescent="0.25">
      <c r="A184" s="210" t="s">
        <v>1532</v>
      </c>
      <c r="B184">
        <v>20443</v>
      </c>
      <c r="C184" s="100">
        <v>46106</v>
      </c>
      <c r="D184" t="s">
        <v>84</v>
      </c>
      <c r="E184" t="s">
        <v>753</v>
      </c>
      <c r="F184" t="s">
        <v>767</v>
      </c>
      <c r="G184">
        <v>1486</v>
      </c>
      <c r="H184">
        <v>-1000</v>
      </c>
      <c r="I184">
        <v>-1486000</v>
      </c>
    </row>
    <row r="185" spans="1:9" hidden="1" x14ac:dyDescent="0.25">
      <c r="A185" s="210" t="s">
        <v>1532</v>
      </c>
      <c r="B185">
        <v>20443</v>
      </c>
      <c r="C185" s="100">
        <v>46106</v>
      </c>
      <c r="D185" t="s">
        <v>84</v>
      </c>
      <c r="E185" t="s">
        <v>753</v>
      </c>
      <c r="F185" t="s">
        <v>752</v>
      </c>
      <c r="G185">
        <v>1116</v>
      </c>
      <c r="H185">
        <v>-1000</v>
      </c>
      <c r="I185">
        <v>-1116000</v>
      </c>
    </row>
    <row r="186" spans="1:9" hidden="1" x14ac:dyDescent="0.25">
      <c r="A186" s="210" t="s">
        <v>1532</v>
      </c>
      <c r="B186">
        <v>20443</v>
      </c>
      <c r="C186" s="100">
        <v>46106</v>
      </c>
      <c r="D186" t="s">
        <v>84</v>
      </c>
      <c r="E186" t="s">
        <v>753</v>
      </c>
      <c r="F186" t="s">
        <v>752</v>
      </c>
      <c r="G186">
        <v>1036</v>
      </c>
      <c r="H186">
        <v>-1000</v>
      </c>
      <c r="I186">
        <v>-1036000</v>
      </c>
    </row>
    <row r="187" spans="1:9" hidden="1" x14ac:dyDescent="0.25">
      <c r="A187" s="210" t="s">
        <v>1532</v>
      </c>
      <c r="B187">
        <v>20259</v>
      </c>
      <c r="C187" s="100">
        <v>46101</v>
      </c>
      <c r="D187" t="s">
        <v>84</v>
      </c>
      <c r="E187" t="s">
        <v>753</v>
      </c>
      <c r="F187" t="s">
        <v>762</v>
      </c>
      <c r="G187">
        <v>2282</v>
      </c>
      <c r="H187">
        <v>-1000</v>
      </c>
      <c r="I187">
        <v>-2282000</v>
      </c>
    </row>
    <row r="188" spans="1:9" hidden="1" x14ac:dyDescent="0.25">
      <c r="A188" s="210" t="s">
        <v>1532</v>
      </c>
      <c r="B188">
        <v>20184</v>
      </c>
      <c r="C188" s="100">
        <v>46100</v>
      </c>
      <c r="D188" t="s">
        <v>84</v>
      </c>
      <c r="E188" t="s">
        <v>753</v>
      </c>
      <c r="F188" t="s">
        <v>762</v>
      </c>
      <c r="G188">
        <v>2064</v>
      </c>
      <c r="H188">
        <v>-1000</v>
      </c>
      <c r="I188">
        <v>-2064000</v>
      </c>
    </row>
    <row r="189" spans="1:9" hidden="1" x14ac:dyDescent="0.25">
      <c r="A189" s="210" t="s">
        <v>1532</v>
      </c>
      <c r="B189">
        <v>20184</v>
      </c>
      <c r="C189" s="100">
        <v>46100</v>
      </c>
      <c r="D189" t="s">
        <v>84</v>
      </c>
      <c r="E189" t="s">
        <v>763</v>
      </c>
      <c r="F189" t="s">
        <v>764</v>
      </c>
      <c r="G189">
        <v>2374</v>
      </c>
      <c r="H189">
        <v>-1000</v>
      </c>
      <c r="I189">
        <v>-2374000</v>
      </c>
    </row>
    <row r="190" spans="1:9" hidden="1" x14ac:dyDescent="0.25">
      <c r="A190" s="210" t="s">
        <v>1532</v>
      </c>
      <c r="B190">
        <v>20184</v>
      </c>
      <c r="C190" s="100">
        <v>46100</v>
      </c>
      <c r="D190" t="s">
        <v>84</v>
      </c>
      <c r="E190" t="s">
        <v>765</v>
      </c>
      <c r="F190" t="s">
        <v>762</v>
      </c>
      <c r="G190">
        <v>2170</v>
      </c>
      <c r="H190">
        <v>-1000</v>
      </c>
      <c r="I190">
        <v>-2170000</v>
      </c>
    </row>
    <row r="191" spans="1:9" hidden="1" x14ac:dyDescent="0.25">
      <c r="A191" s="210" t="s">
        <v>1532</v>
      </c>
      <c r="B191">
        <v>20100</v>
      </c>
      <c r="C191" s="100">
        <v>46098</v>
      </c>
      <c r="D191" t="s">
        <v>84</v>
      </c>
      <c r="E191" t="s">
        <v>753</v>
      </c>
      <c r="F191" t="s">
        <v>759</v>
      </c>
      <c r="G191">
        <v>1892</v>
      </c>
      <c r="H191">
        <v>-1000</v>
      </c>
      <c r="I191">
        <v>-1892000</v>
      </c>
    </row>
    <row r="192" spans="1:9" hidden="1" x14ac:dyDescent="0.25">
      <c r="A192" s="210" t="s">
        <v>1532</v>
      </c>
      <c r="B192">
        <v>20100</v>
      </c>
      <c r="C192" s="100">
        <v>46098</v>
      </c>
      <c r="D192" t="s">
        <v>84</v>
      </c>
      <c r="E192" t="s">
        <v>753</v>
      </c>
      <c r="F192" t="s">
        <v>760</v>
      </c>
      <c r="G192">
        <v>190</v>
      </c>
      <c r="H192">
        <v>-1000</v>
      </c>
      <c r="I192">
        <v>-190000</v>
      </c>
    </row>
    <row r="193" spans="1:9" hidden="1" x14ac:dyDescent="0.25">
      <c r="A193" s="210" t="s">
        <v>1532</v>
      </c>
      <c r="B193">
        <v>20100</v>
      </c>
      <c r="C193" s="100">
        <v>46098</v>
      </c>
      <c r="D193" t="s">
        <v>84</v>
      </c>
      <c r="E193" t="s">
        <v>753</v>
      </c>
      <c r="F193" t="s">
        <v>761</v>
      </c>
      <c r="G193">
        <v>1956</v>
      </c>
      <c r="H193">
        <v>-1000</v>
      </c>
      <c r="I193">
        <v>-1956000</v>
      </c>
    </row>
    <row r="194" spans="1:9" hidden="1" x14ac:dyDescent="0.25">
      <c r="A194" s="210" t="s">
        <v>1532</v>
      </c>
      <c r="B194">
        <v>19746</v>
      </c>
      <c r="C194" s="100">
        <v>46090</v>
      </c>
      <c r="D194" t="s">
        <v>84</v>
      </c>
      <c r="E194" t="s">
        <v>753</v>
      </c>
      <c r="F194" t="s">
        <v>755</v>
      </c>
      <c r="G194">
        <v>1216</v>
      </c>
      <c r="H194">
        <v>-1000</v>
      </c>
      <c r="I194">
        <v>-1216000</v>
      </c>
    </row>
    <row r="195" spans="1:9" hidden="1" x14ac:dyDescent="0.25">
      <c r="A195" s="210" t="s">
        <v>1532</v>
      </c>
      <c r="B195">
        <v>19746</v>
      </c>
      <c r="C195" s="100">
        <v>46090</v>
      </c>
      <c r="D195" t="s">
        <v>84</v>
      </c>
      <c r="E195" t="s">
        <v>753</v>
      </c>
      <c r="F195" t="s">
        <v>756</v>
      </c>
      <c r="G195">
        <v>1298</v>
      </c>
      <c r="H195">
        <v>-1000</v>
      </c>
      <c r="I195">
        <v>-1298000</v>
      </c>
    </row>
    <row r="196" spans="1:9" hidden="1" x14ac:dyDescent="0.25">
      <c r="A196" s="210" t="s">
        <v>1532</v>
      </c>
      <c r="B196">
        <v>19746</v>
      </c>
      <c r="C196" s="100">
        <v>46090</v>
      </c>
      <c r="D196" t="s">
        <v>84</v>
      </c>
      <c r="E196" t="s">
        <v>753</v>
      </c>
      <c r="F196" t="s">
        <v>755</v>
      </c>
      <c r="G196">
        <v>2210</v>
      </c>
      <c r="H196">
        <v>-1000</v>
      </c>
      <c r="I196">
        <v>-2210000</v>
      </c>
    </row>
    <row r="197" spans="1:9" hidden="1" x14ac:dyDescent="0.25">
      <c r="A197" s="210" t="s">
        <v>1532</v>
      </c>
      <c r="B197">
        <v>19746</v>
      </c>
      <c r="C197" s="100">
        <v>46090</v>
      </c>
      <c r="D197" t="s">
        <v>84</v>
      </c>
      <c r="E197" t="s">
        <v>753</v>
      </c>
      <c r="F197" t="s">
        <v>756</v>
      </c>
      <c r="G197">
        <v>2076</v>
      </c>
      <c r="H197">
        <v>-1000</v>
      </c>
      <c r="I197">
        <v>-2076000</v>
      </c>
    </row>
    <row r="198" spans="1:9" hidden="1" x14ac:dyDescent="0.25">
      <c r="A198" s="210" t="s">
        <v>1532</v>
      </c>
      <c r="B198">
        <v>19746</v>
      </c>
      <c r="C198" s="100">
        <v>46090</v>
      </c>
      <c r="D198" t="s">
        <v>84</v>
      </c>
      <c r="E198" t="s">
        <v>520</v>
      </c>
      <c r="F198" t="s">
        <v>757</v>
      </c>
      <c r="G198">
        <v>716</v>
      </c>
      <c r="H198">
        <v>-1000</v>
      </c>
      <c r="I198">
        <v>-716000</v>
      </c>
    </row>
    <row r="199" spans="1:9" hidden="1" x14ac:dyDescent="0.25">
      <c r="A199" s="210" t="s">
        <v>1532</v>
      </c>
      <c r="B199">
        <v>19746</v>
      </c>
      <c r="C199" s="100">
        <v>46090</v>
      </c>
      <c r="D199" t="s">
        <v>84</v>
      </c>
      <c r="E199" t="s">
        <v>520</v>
      </c>
      <c r="F199" t="s">
        <v>758</v>
      </c>
      <c r="G199">
        <v>256</v>
      </c>
      <c r="H199">
        <v>-1000</v>
      </c>
      <c r="I199">
        <v>-256000</v>
      </c>
    </row>
    <row r="200" spans="1:9" hidden="1" x14ac:dyDescent="0.25">
      <c r="A200" s="210" t="s">
        <v>1532</v>
      </c>
      <c r="B200">
        <v>19635</v>
      </c>
      <c r="C200" s="100">
        <v>46086</v>
      </c>
      <c r="D200" t="s">
        <v>84</v>
      </c>
      <c r="E200" t="s">
        <v>753</v>
      </c>
      <c r="F200" t="s">
        <v>754</v>
      </c>
      <c r="G200">
        <v>1472</v>
      </c>
      <c r="H200">
        <v>-1000</v>
      </c>
      <c r="I200">
        <v>-1472000</v>
      </c>
    </row>
    <row r="201" spans="1:9" hidden="1" x14ac:dyDescent="0.25">
      <c r="A201" s="210" t="s">
        <v>1532</v>
      </c>
      <c r="B201">
        <v>19635</v>
      </c>
      <c r="C201" s="100">
        <v>46086</v>
      </c>
      <c r="D201" t="s">
        <v>84</v>
      </c>
      <c r="E201" t="s">
        <v>753</v>
      </c>
      <c r="F201" t="s">
        <v>754</v>
      </c>
      <c r="G201">
        <v>862</v>
      </c>
      <c r="H201">
        <v>-1000</v>
      </c>
      <c r="I201">
        <v>-862000</v>
      </c>
    </row>
    <row r="202" spans="1:9" hidden="1" x14ac:dyDescent="0.25">
      <c r="A202" s="210" t="s">
        <v>1532</v>
      </c>
      <c r="B202">
        <v>19635</v>
      </c>
      <c r="C202" s="100">
        <v>46086</v>
      </c>
      <c r="D202" t="s">
        <v>84</v>
      </c>
      <c r="E202" t="s">
        <v>753</v>
      </c>
      <c r="F202" t="s">
        <v>754</v>
      </c>
      <c r="G202">
        <v>1596</v>
      </c>
      <c r="H202">
        <v>-1000</v>
      </c>
      <c r="I202">
        <v>-1596000</v>
      </c>
    </row>
    <row r="203" spans="1:9" hidden="1" x14ac:dyDescent="0.25">
      <c r="A203" s="210" t="s">
        <v>1532</v>
      </c>
      <c r="B203">
        <v>19539</v>
      </c>
      <c r="C203" s="100">
        <v>46084</v>
      </c>
      <c r="D203" t="s">
        <v>84</v>
      </c>
      <c r="E203" t="s">
        <v>77</v>
      </c>
      <c r="F203" t="s">
        <v>752</v>
      </c>
      <c r="G203">
        <v>1884</v>
      </c>
      <c r="H203">
        <v>-1000</v>
      </c>
      <c r="I203">
        <v>-1884000</v>
      </c>
    </row>
    <row r="204" spans="1:9" hidden="1" x14ac:dyDescent="0.25">
      <c r="A204" s="210" t="s">
        <v>1590</v>
      </c>
      <c r="B204">
        <v>13121</v>
      </c>
      <c r="C204" s="100">
        <v>46161</v>
      </c>
      <c r="D204" t="s">
        <v>84</v>
      </c>
      <c r="E204" t="s">
        <v>50</v>
      </c>
      <c r="F204" t="s">
        <v>117</v>
      </c>
      <c r="G204">
        <v>564</v>
      </c>
      <c r="H204">
        <v>-2500</v>
      </c>
      <c r="I204">
        <v>-1410000</v>
      </c>
    </row>
    <row r="205" spans="1:9" hidden="1" x14ac:dyDescent="0.25">
      <c r="A205" s="210" t="s">
        <v>1579</v>
      </c>
      <c r="B205">
        <v>9937</v>
      </c>
      <c r="C205" s="100">
        <v>46158</v>
      </c>
      <c r="D205" t="s">
        <v>692</v>
      </c>
      <c r="E205" t="s">
        <v>1965</v>
      </c>
      <c r="F205" t="s">
        <v>2212</v>
      </c>
      <c r="G205">
        <v>4576.5</v>
      </c>
      <c r="H205">
        <v>-68000</v>
      </c>
      <c r="I205">
        <v>-311202000</v>
      </c>
    </row>
    <row r="206" spans="1:9" hidden="1" x14ac:dyDescent="0.25">
      <c r="A206" s="210" t="s">
        <v>1527</v>
      </c>
      <c r="B206">
        <v>9765</v>
      </c>
      <c r="C206" s="100">
        <v>46176</v>
      </c>
      <c r="D206" t="s">
        <v>13</v>
      </c>
      <c r="E206" t="s">
        <v>270</v>
      </c>
      <c r="F206" t="s">
        <v>134</v>
      </c>
      <c r="G206">
        <v>840</v>
      </c>
      <c r="H206">
        <v>67000</v>
      </c>
      <c r="I206">
        <v>56280000</v>
      </c>
    </row>
    <row r="207" spans="1:9" hidden="1" x14ac:dyDescent="0.25">
      <c r="A207" s="210" t="s">
        <v>1527</v>
      </c>
      <c r="B207">
        <v>9765</v>
      </c>
      <c r="C207" s="100">
        <v>46176</v>
      </c>
      <c r="D207" t="s">
        <v>13</v>
      </c>
      <c r="E207" t="s">
        <v>26</v>
      </c>
      <c r="F207" t="s">
        <v>40</v>
      </c>
      <c r="G207">
        <v>186</v>
      </c>
      <c r="H207">
        <v>36000</v>
      </c>
      <c r="I207">
        <v>6696000</v>
      </c>
    </row>
    <row r="208" spans="1:9" hidden="1" x14ac:dyDescent="0.25">
      <c r="A208" s="210" t="s">
        <v>1536</v>
      </c>
      <c r="B208">
        <v>9764</v>
      </c>
      <c r="C208" s="100">
        <v>46176</v>
      </c>
      <c r="D208" t="s">
        <v>13</v>
      </c>
      <c r="E208" t="s">
        <v>17</v>
      </c>
      <c r="F208" t="s">
        <v>251</v>
      </c>
      <c r="G208">
        <v>108</v>
      </c>
      <c r="H208">
        <v>66000</v>
      </c>
      <c r="I208">
        <v>7128000</v>
      </c>
    </row>
    <row r="209" spans="1:11" hidden="1" x14ac:dyDescent="0.25">
      <c r="A209" s="210" t="s">
        <v>1536</v>
      </c>
      <c r="B209">
        <v>9764</v>
      </c>
      <c r="C209" s="100">
        <v>46176</v>
      </c>
      <c r="D209" t="s">
        <v>13</v>
      </c>
      <c r="E209" t="s">
        <v>103</v>
      </c>
      <c r="F209" t="s">
        <v>288</v>
      </c>
      <c r="G209">
        <v>146</v>
      </c>
      <c r="H209">
        <v>37500</v>
      </c>
      <c r="I209">
        <v>5475000</v>
      </c>
    </row>
    <row r="210" spans="1:11" hidden="1" x14ac:dyDescent="0.25">
      <c r="A210" s="210" t="s">
        <v>1536</v>
      </c>
      <c r="B210">
        <v>9764</v>
      </c>
      <c r="C210" s="100">
        <v>46176</v>
      </c>
      <c r="D210" t="s">
        <v>13</v>
      </c>
      <c r="E210" t="s">
        <v>68</v>
      </c>
      <c r="F210" t="s">
        <v>78</v>
      </c>
      <c r="G210">
        <v>203</v>
      </c>
      <c r="H210">
        <v>45000</v>
      </c>
      <c r="I210">
        <v>9135000</v>
      </c>
    </row>
    <row r="211" spans="1:11" hidden="1" x14ac:dyDescent="0.25">
      <c r="A211" s="210" t="s">
        <v>1536</v>
      </c>
      <c r="B211">
        <v>9764</v>
      </c>
      <c r="C211" s="100">
        <v>46176</v>
      </c>
      <c r="D211" t="s">
        <v>13</v>
      </c>
      <c r="E211" t="s">
        <v>50</v>
      </c>
      <c r="F211" t="s">
        <v>288</v>
      </c>
      <c r="G211">
        <v>146</v>
      </c>
      <c r="H211">
        <v>65000</v>
      </c>
      <c r="I211">
        <v>9490000</v>
      </c>
    </row>
    <row r="212" spans="1:11" hidden="1" x14ac:dyDescent="0.25">
      <c r="A212" s="210" t="s">
        <v>1624</v>
      </c>
      <c r="B212">
        <v>9763</v>
      </c>
      <c r="C212" s="100">
        <v>46176</v>
      </c>
      <c r="D212" t="s">
        <v>13</v>
      </c>
      <c r="E212" t="s">
        <v>14</v>
      </c>
      <c r="F212" t="s">
        <v>40</v>
      </c>
      <c r="G212">
        <v>198</v>
      </c>
      <c r="H212">
        <v>47000</v>
      </c>
      <c r="I212">
        <v>9306000</v>
      </c>
    </row>
    <row r="213" spans="1:11" hidden="1" x14ac:dyDescent="0.25">
      <c r="A213" s="210" t="s">
        <v>1478</v>
      </c>
      <c r="B213">
        <v>9760</v>
      </c>
      <c r="C213" s="100">
        <v>46175</v>
      </c>
      <c r="D213" t="s">
        <v>13</v>
      </c>
      <c r="E213" t="s">
        <v>50</v>
      </c>
      <c r="F213" t="s">
        <v>73</v>
      </c>
      <c r="G213">
        <v>2106</v>
      </c>
      <c r="H213">
        <v>56000</v>
      </c>
      <c r="I213">
        <v>117936000</v>
      </c>
      <c r="K213" t="s">
        <v>42</v>
      </c>
    </row>
    <row r="214" spans="1:11" hidden="1" x14ac:dyDescent="0.25">
      <c r="A214" s="210" t="s">
        <v>1531</v>
      </c>
      <c r="B214">
        <v>9758</v>
      </c>
      <c r="C214" s="100">
        <v>46175</v>
      </c>
      <c r="D214" t="s">
        <v>13</v>
      </c>
      <c r="E214" t="s">
        <v>265</v>
      </c>
      <c r="F214" t="s">
        <v>62</v>
      </c>
      <c r="G214">
        <v>204</v>
      </c>
      <c r="H214">
        <v>69500</v>
      </c>
      <c r="I214">
        <v>14178000</v>
      </c>
    </row>
    <row r="215" spans="1:11" hidden="1" x14ac:dyDescent="0.25">
      <c r="A215" s="210" t="s">
        <v>1531</v>
      </c>
      <c r="B215">
        <v>9758</v>
      </c>
      <c r="C215" s="100">
        <v>46175</v>
      </c>
      <c r="D215" t="s">
        <v>13</v>
      </c>
      <c r="E215" t="s">
        <v>265</v>
      </c>
      <c r="F215" t="s">
        <v>33</v>
      </c>
      <c r="G215">
        <v>610</v>
      </c>
      <c r="H215">
        <v>62000</v>
      </c>
      <c r="I215">
        <v>37820000</v>
      </c>
    </row>
    <row r="216" spans="1:11" hidden="1" x14ac:dyDescent="0.25">
      <c r="A216" s="210" t="s">
        <v>1491</v>
      </c>
      <c r="B216">
        <v>9756</v>
      </c>
      <c r="C216" s="100">
        <v>46175</v>
      </c>
      <c r="D216" t="s">
        <v>13</v>
      </c>
      <c r="E216" t="s">
        <v>169</v>
      </c>
      <c r="F216" t="s">
        <v>134</v>
      </c>
      <c r="G216">
        <v>1146</v>
      </c>
      <c r="H216">
        <v>37000</v>
      </c>
      <c r="I216">
        <v>42402000</v>
      </c>
    </row>
    <row r="217" spans="1:11" hidden="1" x14ac:dyDescent="0.25">
      <c r="A217" s="210" t="s">
        <v>1485</v>
      </c>
      <c r="B217">
        <v>9755</v>
      </c>
      <c r="C217" s="100">
        <v>46175</v>
      </c>
      <c r="D217" t="s">
        <v>13</v>
      </c>
      <c r="E217" t="s">
        <v>2553</v>
      </c>
      <c r="F217" t="s">
        <v>807</v>
      </c>
      <c r="G217">
        <v>526</v>
      </c>
      <c r="H217">
        <v>32000</v>
      </c>
      <c r="I217">
        <v>16832000</v>
      </c>
    </row>
    <row r="218" spans="1:11" hidden="1" x14ac:dyDescent="0.25">
      <c r="A218" s="210" t="s">
        <v>1545</v>
      </c>
      <c r="B218">
        <v>9754</v>
      </c>
      <c r="C218" s="100">
        <v>46175</v>
      </c>
      <c r="D218" t="s">
        <v>13</v>
      </c>
      <c r="E218" t="s">
        <v>50</v>
      </c>
      <c r="F218" t="s">
        <v>2552</v>
      </c>
      <c r="G218">
        <v>1744</v>
      </c>
      <c r="H218">
        <v>62000</v>
      </c>
      <c r="I218">
        <v>108128000</v>
      </c>
    </row>
    <row r="219" spans="1:11" hidden="1" x14ac:dyDescent="0.25">
      <c r="A219" s="210" t="s">
        <v>1579</v>
      </c>
      <c r="B219">
        <v>9753</v>
      </c>
      <c r="C219" s="100">
        <v>46175</v>
      </c>
      <c r="D219" t="s">
        <v>13</v>
      </c>
      <c r="E219" t="s">
        <v>43</v>
      </c>
      <c r="F219" t="s">
        <v>2543</v>
      </c>
      <c r="G219">
        <v>1718</v>
      </c>
      <c r="H219">
        <v>59000</v>
      </c>
      <c r="I219">
        <v>101362000</v>
      </c>
    </row>
    <row r="220" spans="1:11" hidden="1" x14ac:dyDescent="0.25">
      <c r="A220" s="210" t="s">
        <v>1579</v>
      </c>
      <c r="B220">
        <v>9753</v>
      </c>
      <c r="C220" s="100">
        <v>46175</v>
      </c>
      <c r="D220" t="s">
        <v>13</v>
      </c>
      <c r="E220" t="s">
        <v>43</v>
      </c>
      <c r="F220" t="s">
        <v>886</v>
      </c>
      <c r="G220">
        <v>214</v>
      </c>
      <c r="H220">
        <v>59000</v>
      </c>
      <c r="I220">
        <v>12626000</v>
      </c>
    </row>
    <row r="221" spans="1:11" hidden="1" x14ac:dyDescent="0.25">
      <c r="A221" s="210" t="s">
        <v>1579</v>
      </c>
      <c r="B221">
        <v>9753</v>
      </c>
      <c r="C221" s="100">
        <v>46175</v>
      </c>
      <c r="D221" t="s">
        <v>13</v>
      </c>
      <c r="E221" t="s">
        <v>68</v>
      </c>
      <c r="F221" t="s">
        <v>2551</v>
      </c>
      <c r="G221">
        <v>1016</v>
      </c>
      <c r="H221">
        <v>42500</v>
      </c>
      <c r="I221">
        <v>43180000</v>
      </c>
    </row>
    <row r="222" spans="1:11" hidden="1" x14ac:dyDescent="0.25">
      <c r="A222" s="210" t="s">
        <v>1579</v>
      </c>
      <c r="B222">
        <v>9753</v>
      </c>
      <c r="C222" s="100">
        <v>46175</v>
      </c>
      <c r="D222" t="s">
        <v>13</v>
      </c>
      <c r="E222" t="s">
        <v>14</v>
      </c>
      <c r="F222" t="s">
        <v>136</v>
      </c>
      <c r="G222">
        <v>1130</v>
      </c>
      <c r="H222">
        <v>41500</v>
      </c>
      <c r="I222">
        <v>46895000</v>
      </c>
    </row>
    <row r="223" spans="1:11" hidden="1" x14ac:dyDescent="0.25">
      <c r="A223" s="210" t="s">
        <v>2548</v>
      </c>
      <c r="B223">
        <v>9752</v>
      </c>
      <c r="C223" s="100">
        <v>46175</v>
      </c>
      <c r="D223" t="s">
        <v>13</v>
      </c>
      <c r="E223" t="s">
        <v>26</v>
      </c>
      <c r="F223" t="s">
        <v>2550</v>
      </c>
      <c r="G223">
        <v>5869</v>
      </c>
      <c r="H223">
        <v>35000</v>
      </c>
      <c r="I223">
        <v>205415000</v>
      </c>
    </row>
    <row r="224" spans="1:11" hidden="1" x14ac:dyDescent="0.25">
      <c r="A224" s="210" t="s">
        <v>1668</v>
      </c>
      <c r="B224">
        <v>9751</v>
      </c>
      <c r="C224" s="100">
        <v>46175</v>
      </c>
      <c r="D224" t="s">
        <v>13</v>
      </c>
      <c r="E224" t="s">
        <v>17</v>
      </c>
      <c r="F224" t="s">
        <v>251</v>
      </c>
      <c r="G224">
        <v>162</v>
      </c>
      <c r="H224">
        <v>66000</v>
      </c>
      <c r="I224">
        <v>10692000</v>
      </c>
    </row>
    <row r="225" spans="1:11" hidden="1" x14ac:dyDescent="0.25">
      <c r="A225" s="210" t="s">
        <v>1506</v>
      </c>
      <c r="B225">
        <v>9750</v>
      </c>
      <c r="C225" s="100">
        <v>46175</v>
      </c>
      <c r="D225" t="s">
        <v>13</v>
      </c>
      <c r="E225" t="s">
        <v>50</v>
      </c>
      <c r="F225" t="s">
        <v>111</v>
      </c>
      <c r="G225">
        <v>3002</v>
      </c>
      <c r="H225">
        <v>61000</v>
      </c>
      <c r="I225">
        <v>183122000</v>
      </c>
    </row>
    <row r="226" spans="1:11" hidden="1" x14ac:dyDescent="0.25">
      <c r="A226" s="210" t="s">
        <v>1714</v>
      </c>
      <c r="B226">
        <v>9749</v>
      </c>
      <c r="C226" s="100">
        <v>46175</v>
      </c>
      <c r="D226" t="s">
        <v>13</v>
      </c>
      <c r="E226" t="s">
        <v>50</v>
      </c>
      <c r="F226" t="s">
        <v>73</v>
      </c>
      <c r="G226">
        <v>1520</v>
      </c>
      <c r="H226">
        <v>60000</v>
      </c>
      <c r="I226">
        <v>91200000</v>
      </c>
    </row>
    <row r="227" spans="1:11" hidden="1" x14ac:dyDescent="0.25">
      <c r="A227" s="210" t="s">
        <v>1714</v>
      </c>
      <c r="B227">
        <v>9749</v>
      </c>
      <c r="C227" s="100">
        <v>46175</v>
      </c>
      <c r="D227" t="s">
        <v>13</v>
      </c>
      <c r="E227" t="s">
        <v>50</v>
      </c>
      <c r="F227" t="s">
        <v>717</v>
      </c>
      <c r="G227">
        <v>1046</v>
      </c>
      <c r="H227">
        <v>60000</v>
      </c>
      <c r="I227">
        <v>62760000</v>
      </c>
    </row>
    <row r="228" spans="1:11" hidden="1" x14ac:dyDescent="0.25">
      <c r="A228" s="210" t="s">
        <v>1714</v>
      </c>
      <c r="B228">
        <v>9749</v>
      </c>
      <c r="C228" s="100">
        <v>46175</v>
      </c>
      <c r="D228" t="s">
        <v>13</v>
      </c>
      <c r="E228" t="s">
        <v>50</v>
      </c>
      <c r="F228" t="s">
        <v>1127</v>
      </c>
      <c r="G228">
        <v>1657</v>
      </c>
      <c r="H228">
        <v>60000</v>
      </c>
      <c r="I228">
        <v>99420000</v>
      </c>
    </row>
    <row r="229" spans="1:11" hidden="1" x14ac:dyDescent="0.25">
      <c r="A229" s="210" t="s">
        <v>1646</v>
      </c>
      <c r="B229">
        <v>9748</v>
      </c>
      <c r="C229" s="100">
        <v>46175</v>
      </c>
      <c r="D229" t="s">
        <v>13</v>
      </c>
      <c r="E229" t="s">
        <v>43</v>
      </c>
      <c r="F229" t="s">
        <v>2549</v>
      </c>
      <c r="G229">
        <v>500</v>
      </c>
      <c r="H229">
        <v>62000</v>
      </c>
      <c r="I229">
        <v>31000000</v>
      </c>
    </row>
    <row r="230" spans="1:11" hidden="1" x14ac:dyDescent="0.25">
      <c r="A230" s="210" t="s">
        <v>1541</v>
      </c>
      <c r="B230">
        <v>9747</v>
      </c>
      <c r="C230" s="100">
        <v>46175</v>
      </c>
      <c r="D230" t="s">
        <v>13</v>
      </c>
      <c r="E230" t="s">
        <v>150</v>
      </c>
      <c r="F230" t="s">
        <v>390</v>
      </c>
      <c r="G230">
        <v>6786</v>
      </c>
      <c r="H230">
        <v>35500</v>
      </c>
      <c r="I230">
        <v>240903000</v>
      </c>
    </row>
    <row r="231" spans="1:11" hidden="1" x14ac:dyDescent="0.25">
      <c r="A231" s="210" t="s">
        <v>1511</v>
      </c>
      <c r="B231">
        <v>9746</v>
      </c>
      <c r="C231" s="100">
        <v>46175</v>
      </c>
      <c r="D231" t="s">
        <v>13</v>
      </c>
      <c r="E231" t="s">
        <v>17</v>
      </c>
      <c r="F231" t="s">
        <v>230</v>
      </c>
      <c r="G231">
        <v>14</v>
      </c>
      <c r="H231">
        <v>80000</v>
      </c>
      <c r="I231">
        <v>1120000</v>
      </c>
      <c r="J231">
        <v>1120000</v>
      </c>
    </row>
    <row r="232" spans="1:11" hidden="1" x14ac:dyDescent="0.25">
      <c r="A232" s="210" t="s">
        <v>1596</v>
      </c>
      <c r="B232">
        <v>9745</v>
      </c>
      <c r="C232" s="100">
        <v>46175</v>
      </c>
      <c r="D232" t="s">
        <v>49</v>
      </c>
      <c r="E232" t="s">
        <v>17</v>
      </c>
      <c r="F232" t="s">
        <v>2476</v>
      </c>
      <c r="G232">
        <v>934</v>
      </c>
      <c r="I232">
        <v>0</v>
      </c>
      <c r="K232" t="s">
        <v>2560</v>
      </c>
    </row>
    <row r="233" spans="1:11" hidden="1" x14ac:dyDescent="0.25">
      <c r="A233" s="210" t="s">
        <v>1609</v>
      </c>
      <c r="B233">
        <v>9744</v>
      </c>
      <c r="C233" s="100">
        <v>46175</v>
      </c>
      <c r="D233" t="s">
        <v>13</v>
      </c>
      <c r="E233" t="s">
        <v>26</v>
      </c>
      <c r="F233" t="s">
        <v>40</v>
      </c>
      <c r="G233">
        <v>2857</v>
      </c>
      <c r="H233">
        <v>36000</v>
      </c>
      <c r="I233">
        <v>102852000</v>
      </c>
    </row>
    <row r="234" spans="1:11" hidden="1" x14ac:dyDescent="0.25">
      <c r="A234" s="210" t="s">
        <v>1673</v>
      </c>
      <c r="B234">
        <v>9743</v>
      </c>
      <c r="C234" s="100">
        <v>46174</v>
      </c>
      <c r="D234" t="s">
        <v>13</v>
      </c>
      <c r="E234" t="s">
        <v>411</v>
      </c>
      <c r="F234" t="s">
        <v>835</v>
      </c>
      <c r="G234">
        <v>136</v>
      </c>
      <c r="H234">
        <v>35000</v>
      </c>
      <c r="I234">
        <v>4760000</v>
      </c>
    </row>
    <row r="235" spans="1:11" hidden="1" x14ac:dyDescent="0.25">
      <c r="A235" s="210" t="s">
        <v>1635</v>
      </c>
      <c r="B235">
        <v>9742</v>
      </c>
      <c r="C235" s="100">
        <v>46174</v>
      </c>
      <c r="D235" t="s">
        <v>13</v>
      </c>
      <c r="E235" t="s">
        <v>43</v>
      </c>
      <c r="F235" t="s">
        <v>2546</v>
      </c>
      <c r="G235">
        <v>1527</v>
      </c>
      <c r="H235">
        <v>61500</v>
      </c>
      <c r="I235">
        <v>93910500</v>
      </c>
    </row>
    <row r="236" spans="1:11" hidden="1" x14ac:dyDescent="0.25">
      <c r="A236" s="210" t="s">
        <v>1580</v>
      </c>
      <c r="B236">
        <v>9741</v>
      </c>
      <c r="C236" s="100">
        <v>46174</v>
      </c>
      <c r="D236" t="s">
        <v>13</v>
      </c>
      <c r="E236" t="s">
        <v>43</v>
      </c>
      <c r="F236" t="s">
        <v>248</v>
      </c>
      <c r="G236">
        <v>1691</v>
      </c>
      <c r="H236">
        <v>62000</v>
      </c>
      <c r="I236">
        <v>104842000</v>
      </c>
    </row>
    <row r="237" spans="1:11" hidden="1" x14ac:dyDescent="0.25">
      <c r="A237" s="210" t="s">
        <v>1579</v>
      </c>
      <c r="B237">
        <v>9740</v>
      </c>
      <c r="C237" s="100">
        <v>46174</v>
      </c>
      <c r="D237" t="s">
        <v>13</v>
      </c>
      <c r="E237" t="s">
        <v>43</v>
      </c>
      <c r="F237" t="s">
        <v>203</v>
      </c>
      <c r="G237">
        <v>2256</v>
      </c>
      <c r="H237">
        <v>62000</v>
      </c>
      <c r="I237">
        <v>139872000</v>
      </c>
    </row>
    <row r="238" spans="1:11" hidden="1" x14ac:dyDescent="0.25">
      <c r="A238" s="210" t="s">
        <v>1579</v>
      </c>
      <c r="B238">
        <v>9740</v>
      </c>
      <c r="C238" s="100">
        <v>46174</v>
      </c>
      <c r="D238" t="s">
        <v>13</v>
      </c>
      <c r="E238" t="s">
        <v>43</v>
      </c>
      <c r="F238" t="s">
        <v>2545</v>
      </c>
      <c r="G238">
        <v>564</v>
      </c>
      <c r="H238">
        <v>61000</v>
      </c>
      <c r="I238">
        <v>34404000</v>
      </c>
    </row>
    <row r="239" spans="1:11" hidden="1" x14ac:dyDescent="0.25">
      <c r="A239" s="210" t="s">
        <v>1518</v>
      </c>
      <c r="B239">
        <v>9739</v>
      </c>
      <c r="C239" s="100">
        <v>46174</v>
      </c>
      <c r="D239" t="s">
        <v>13</v>
      </c>
      <c r="E239" t="s">
        <v>43</v>
      </c>
      <c r="F239" t="s">
        <v>2544</v>
      </c>
      <c r="G239">
        <v>222</v>
      </c>
      <c r="H239">
        <v>61000</v>
      </c>
      <c r="I239">
        <v>13542000</v>
      </c>
    </row>
    <row r="240" spans="1:11" hidden="1" x14ac:dyDescent="0.25">
      <c r="A240" s="210" t="s">
        <v>1518</v>
      </c>
      <c r="B240">
        <v>9739</v>
      </c>
      <c r="C240" s="100">
        <v>46174</v>
      </c>
      <c r="D240" t="s">
        <v>13</v>
      </c>
      <c r="E240" t="s">
        <v>43</v>
      </c>
      <c r="F240" t="s">
        <v>248</v>
      </c>
      <c r="G240">
        <v>362</v>
      </c>
      <c r="H240">
        <v>61000</v>
      </c>
      <c r="I240">
        <v>22082000</v>
      </c>
    </row>
    <row r="241" spans="1:11" hidden="1" x14ac:dyDescent="0.25">
      <c r="A241" s="210" t="s">
        <v>1524</v>
      </c>
      <c r="B241">
        <v>9738</v>
      </c>
      <c r="C241" s="100">
        <v>46174</v>
      </c>
      <c r="D241" t="s">
        <v>49</v>
      </c>
      <c r="E241" t="s">
        <v>729</v>
      </c>
      <c r="F241" t="s">
        <v>460</v>
      </c>
      <c r="G241">
        <v>4053</v>
      </c>
      <c r="I241">
        <v>0</v>
      </c>
      <c r="K241" t="s">
        <v>2542</v>
      </c>
    </row>
    <row r="242" spans="1:11" hidden="1" x14ac:dyDescent="0.25">
      <c r="A242" s="210" t="s">
        <v>1524</v>
      </c>
      <c r="B242">
        <v>9738</v>
      </c>
      <c r="C242" s="100">
        <v>46174</v>
      </c>
      <c r="D242" t="s">
        <v>49</v>
      </c>
      <c r="E242" t="s">
        <v>17</v>
      </c>
      <c r="F242" t="s">
        <v>46</v>
      </c>
      <c r="G242">
        <v>3760</v>
      </c>
      <c r="I242">
        <v>0</v>
      </c>
      <c r="K242" t="s">
        <v>2556</v>
      </c>
    </row>
    <row r="243" spans="1:11" hidden="1" x14ac:dyDescent="0.25">
      <c r="A243" s="210" t="s">
        <v>1524</v>
      </c>
      <c r="B243">
        <v>9738</v>
      </c>
      <c r="C243" s="100">
        <v>46174</v>
      </c>
      <c r="D243" t="s">
        <v>49</v>
      </c>
      <c r="E243" t="s">
        <v>17</v>
      </c>
      <c r="F243" t="s">
        <v>2543</v>
      </c>
      <c r="G243">
        <v>1718</v>
      </c>
      <c r="I243">
        <v>0</v>
      </c>
      <c r="K243" t="s">
        <v>2558</v>
      </c>
    </row>
    <row r="244" spans="1:11" hidden="1" x14ac:dyDescent="0.25">
      <c r="A244" s="210" t="s">
        <v>1674</v>
      </c>
      <c r="B244">
        <v>9737</v>
      </c>
      <c r="C244" s="100">
        <v>46174</v>
      </c>
      <c r="D244" t="s">
        <v>13</v>
      </c>
      <c r="E244" t="s">
        <v>290</v>
      </c>
      <c r="F244" t="s">
        <v>25</v>
      </c>
      <c r="G244">
        <v>1866</v>
      </c>
      <c r="H244">
        <v>67000</v>
      </c>
      <c r="I244">
        <v>125022000</v>
      </c>
    </row>
    <row r="245" spans="1:11" hidden="1" x14ac:dyDescent="0.25">
      <c r="A245" s="210" t="s">
        <v>1674</v>
      </c>
      <c r="B245">
        <v>9737</v>
      </c>
      <c r="C245" s="100">
        <v>46174</v>
      </c>
      <c r="D245" t="s">
        <v>13</v>
      </c>
      <c r="E245" t="s">
        <v>290</v>
      </c>
      <c r="F245" t="s">
        <v>33</v>
      </c>
      <c r="G245">
        <v>1874</v>
      </c>
      <c r="H245">
        <v>67000</v>
      </c>
      <c r="I245">
        <v>125558000</v>
      </c>
    </row>
    <row r="246" spans="1:11" hidden="1" x14ac:dyDescent="0.25">
      <c r="A246" s="210" t="s">
        <v>1674</v>
      </c>
      <c r="B246">
        <v>9737</v>
      </c>
      <c r="C246" s="100">
        <v>46174</v>
      </c>
      <c r="D246" t="s">
        <v>13</v>
      </c>
      <c r="E246" t="s">
        <v>290</v>
      </c>
      <c r="F246" t="s">
        <v>40</v>
      </c>
      <c r="G246">
        <v>2360</v>
      </c>
      <c r="H246">
        <v>67000</v>
      </c>
      <c r="I246">
        <v>158120000</v>
      </c>
    </row>
    <row r="247" spans="1:11" hidden="1" x14ac:dyDescent="0.25">
      <c r="A247" s="210" t="s">
        <v>1674</v>
      </c>
      <c r="B247">
        <v>9737</v>
      </c>
      <c r="C247" s="100">
        <v>46174</v>
      </c>
      <c r="D247" t="s">
        <v>13</v>
      </c>
      <c r="E247" t="s">
        <v>290</v>
      </c>
      <c r="F247" t="s">
        <v>46</v>
      </c>
      <c r="G247">
        <v>1114</v>
      </c>
      <c r="H247">
        <v>67000</v>
      </c>
      <c r="I247">
        <v>74638000</v>
      </c>
    </row>
    <row r="248" spans="1:11" hidden="1" x14ac:dyDescent="0.25">
      <c r="A248" s="210" t="s">
        <v>1511</v>
      </c>
      <c r="B248">
        <v>9736</v>
      </c>
      <c r="C248" s="100">
        <v>46174</v>
      </c>
      <c r="D248" t="s">
        <v>13</v>
      </c>
      <c r="E248" t="s">
        <v>150</v>
      </c>
      <c r="F248" t="s">
        <v>886</v>
      </c>
      <c r="G248">
        <v>324</v>
      </c>
      <c r="H248">
        <v>38000</v>
      </c>
      <c r="I248">
        <v>12312000</v>
      </c>
      <c r="J248">
        <v>12312000</v>
      </c>
      <c r="K248" t="s">
        <v>2541</v>
      </c>
    </row>
    <row r="249" spans="1:11" hidden="1" x14ac:dyDescent="0.25">
      <c r="A249" s="210" t="s">
        <v>2113</v>
      </c>
      <c r="B249">
        <v>9735</v>
      </c>
      <c r="C249" s="100">
        <v>46174</v>
      </c>
      <c r="D249" t="s">
        <v>13</v>
      </c>
      <c r="E249" t="s">
        <v>17</v>
      </c>
      <c r="F249" t="s">
        <v>40</v>
      </c>
      <c r="G249">
        <v>575</v>
      </c>
      <c r="H249">
        <v>66000</v>
      </c>
      <c r="I249">
        <v>37950000</v>
      </c>
    </row>
    <row r="250" spans="1:11" hidden="1" x14ac:dyDescent="0.25">
      <c r="A250" s="210" t="s">
        <v>2540</v>
      </c>
      <c r="B250">
        <v>9733</v>
      </c>
      <c r="C250" s="100">
        <v>46174</v>
      </c>
      <c r="D250" t="s">
        <v>13</v>
      </c>
      <c r="E250" t="s">
        <v>17</v>
      </c>
      <c r="F250" t="s">
        <v>25</v>
      </c>
      <c r="G250">
        <v>444</v>
      </c>
      <c r="H250">
        <v>68000</v>
      </c>
      <c r="I250">
        <v>30192000</v>
      </c>
    </row>
    <row r="251" spans="1:11" hidden="1" x14ac:dyDescent="0.25">
      <c r="A251" s="210" t="s">
        <v>2540</v>
      </c>
      <c r="B251">
        <v>9733</v>
      </c>
      <c r="C251" s="100">
        <v>46174</v>
      </c>
      <c r="D251" t="s">
        <v>13</v>
      </c>
      <c r="E251" t="s">
        <v>43</v>
      </c>
      <c r="F251" t="s">
        <v>249</v>
      </c>
      <c r="G251">
        <v>236</v>
      </c>
      <c r="H251">
        <v>66000</v>
      </c>
      <c r="I251">
        <v>15576000</v>
      </c>
    </row>
    <row r="252" spans="1:11" hidden="1" x14ac:dyDescent="0.25">
      <c r="A252" s="210" t="s">
        <v>1524</v>
      </c>
      <c r="B252">
        <v>9732</v>
      </c>
      <c r="C252" s="100">
        <v>46174</v>
      </c>
      <c r="D252" t="s">
        <v>49</v>
      </c>
      <c r="E252" t="s">
        <v>17</v>
      </c>
      <c r="F252" t="s">
        <v>891</v>
      </c>
      <c r="G252">
        <v>4420</v>
      </c>
      <c r="I252">
        <v>0</v>
      </c>
      <c r="K252" t="s">
        <v>2557</v>
      </c>
    </row>
    <row r="253" spans="1:11" hidden="1" x14ac:dyDescent="0.25">
      <c r="A253" s="210" t="s">
        <v>1639</v>
      </c>
      <c r="B253">
        <v>9731</v>
      </c>
      <c r="C253" s="100">
        <v>46174</v>
      </c>
      <c r="D253" t="s">
        <v>13</v>
      </c>
      <c r="E253" t="s">
        <v>43</v>
      </c>
      <c r="F253" t="s">
        <v>415</v>
      </c>
      <c r="G253">
        <v>3666</v>
      </c>
      <c r="H253">
        <v>62000</v>
      </c>
      <c r="I253">
        <v>227292000</v>
      </c>
      <c r="K253" t="s">
        <v>42</v>
      </c>
    </row>
    <row r="254" spans="1:11" hidden="1" x14ac:dyDescent="0.25">
      <c r="A254" s="210" t="s">
        <v>1489</v>
      </c>
      <c r="B254">
        <v>9730</v>
      </c>
      <c r="C254" s="100">
        <v>46174</v>
      </c>
      <c r="D254" t="s">
        <v>13</v>
      </c>
      <c r="E254" t="s">
        <v>1842</v>
      </c>
      <c r="F254" t="s">
        <v>2538</v>
      </c>
      <c r="G254">
        <v>98</v>
      </c>
      <c r="H254">
        <v>72000</v>
      </c>
      <c r="I254">
        <v>7056000</v>
      </c>
      <c r="K254" t="s">
        <v>42</v>
      </c>
    </row>
    <row r="255" spans="1:11" hidden="1" x14ac:dyDescent="0.25">
      <c r="A255" s="210" t="s">
        <v>1622</v>
      </c>
      <c r="B255">
        <v>9729</v>
      </c>
      <c r="C255" s="100">
        <v>46174</v>
      </c>
      <c r="D255" t="s">
        <v>13</v>
      </c>
      <c r="E255" t="s">
        <v>17</v>
      </c>
      <c r="F255" t="s">
        <v>40</v>
      </c>
      <c r="G255">
        <v>508</v>
      </c>
      <c r="H255">
        <v>69000</v>
      </c>
      <c r="I255">
        <v>35052000</v>
      </c>
    </row>
    <row r="256" spans="1:11" hidden="1" x14ac:dyDescent="0.25">
      <c r="A256" s="210" t="s">
        <v>1622</v>
      </c>
      <c r="B256">
        <v>9729</v>
      </c>
      <c r="C256" s="100">
        <v>46174</v>
      </c>
      <c r="D256" t="s">
        <v>426</v>
      </c>
      <c r="E256" t="s">
        <v>17</v>
      </c>
      <c r="F256" t="s">
        <v>40</v>
      </c>
      <c r="G256">
        <v>575</v>
      </c>
      <c r="H256">
        <v>-69000</v>
      </c>
      <c r="I256">
        <v>-39675000</v>
      </c>
    </row>
    <row r="257" spans="1:11" hidden="1" x14ac:dyDescent="0.25">
      <c r="A257" s="210" t="s">
        <v>1511</v>
      </c>
      <c r="B257">
        <v>9726</v>
      </c>
      <c r="C257" s="100">
        <v>46172</v>
      </c>
      <c r="D257" t="s">
        <v>13</v>
      </c>
      <c r="E257" t="s">
        <v>26</v>
      </c>
      <c r="F257" t="s">
        <v>409</v>
      </c>
      <c r="G257">
        <v>377</v>
      </c>
      <c r="H257">
        <v>33000</v>
      </c>
      <c r="I257">
        <v>12441000</v>
      </c>
      <c r="J257">
        <v>12441000</v>
      </c>
      <c r="K257" t="s">
        <v>406</v>
      </c>
    </row>
    <row r="258" spans="1:11" hidden="1" x14ac:dyDescent="0.25">
      <c r="A258" s="210" t="s">
        <v>1530</v>
      </c>
      <c r="B258">
        <v>9725</v>
      </c>
      <c r="C258" s="100">
        <v>46172</v>
      </c>
      <c r="D258" t="s">
        <v>13</v>
      </c>
      <c r="E258" t="s">
        <v>17</v>
      </c>
      <c r="F258" t="s">
        <v>2527</v>
      </c>
      <c r="G258">
        <v>64</v>
      </c>
      <c r="H258">
        <v>68500</v>
      </c>
      <c r="I258">
        <v>4384000</v>
      </c>
    </row>
    <row r="259" spans="1:11" hidden="1" x14ac:dyDescent="0.25">
      <c r="A259" s="210" t="s">
        <v>1536</v>
      </c>
      <c r="B259">
        <v>9724</v>
      </c>
      <c r="C259" s="100">
        <v>46172</v>
      </c>
      <c r="D259" t="s">
        <v>13</v>
      </c>
      <c r="E259" t="s">
        <v>43</v>
      </c>
      <c r="F259" t="s">
        <v>116</v>
      </c>
      <c r="G259">
        <v>230</v>
      </c>
      <c r="H259">
        <v>65000</v>
      </c>
      <c r="I259">
        <v>14950000</v>
      </c>
    </row>
    <row r="260" spans="1:11" hidden="1" x14ac:dyDescent="0.25">
      <c r="A260" s="210" t="s">
        <v>1536</v>
      </c>
      <c r="B260">
        <v>9724</v>
      </c>
      <c r="C260" s="100">
        <v>46172</v>
      </c>
      <c r="D260" t="s">
        <v>13</v>
      </c>
      <c r="E260" t="s">
        <v>150</v>
      </c>
      <c r="F260" t="s">
        <v>73</v>
      </c>
      <c r="G260">
        <v>536</v>
      </c>
      <c r="H260">
        <v>35500</v>
      </c>
      <c r="I260">
        <v>19028000</v>
      </c>
    </row>
    <row r="261" spans="1:11" hidden="1" x14ac:dyDescent="0.25">
      <c r="A261" s="210" t="s">
        <v>1536</v>
      </c>
      <c r="B261">
        <v>9724</v>
      </c>
      <c r="C261" s="100">
        <v>46172</v>
      </c>
      <c r="D261" t="s">
        <v>13</v>
      </c>
      <c r="E261" t="s">
        <v>103</v>
      </c>
      <c r="F261" t="s">
        <v>191</v>
      </c>
      <c r="G261">
        <v>436</v>
      </c>
      <c r="H261">
        <v>37500</v>
      </c>
      <c r="I261">
        <v>16350000</v>
      </c>
    </row>
    <row r="262" spans="1:11" hidden="1" x14ac:dyDescent="0.25">
      <c r="A262" s="210" t="s">
        <v>1536</v>
      </c>
      <c r="B262">
        <v>9724</v>
      </c>
      <c r="C262" s="100">
        <v>46172</v>
      </c>
      <c r="D262" t="s">
        <v>13</v>
      </c>
      <c r="E262" t="s">
        <v>103</v>
      </c>
      <c r="F262" t="s">
        <v>116</v>
      </c>
      <c r="G262">
        <v>186</v>
      </c>
      <c r="H262">
        <v>37500</v>
      </c>
      <c r="I262">
        <v>6975000</v>
      </c>
    </row>
    <row r="263" spans="1:11" hidden="1" x14ac:dyDescent="0.25">
      <c r="A263" s="210" t="s">
        <v>1499</v>
      </c>
      <c r="B263">
        <v>9723</v>
      </c>
      <c r="C263" s="100">
        <v>46172</v>
      </c>
      <c r="D263" t="s">
        <v>13</v>
      </c>
      <c r="E263" t="s">
        <v>43</v>
      </c>
      <c r="F263" t="s">
        <v>41</v>
      </c>
      <c r="G263">
        <v>390</v>
      </c>
      <c r="H263">
        <v>65500</v>
      </c>
      <c r="I263">
        <v>25545000</v>
      </c>
    </row>
    <row r="264" spans="1:11" hidden="1" x14ac:dyDescent="0.25">
      <c r="A264" s="210" t="s">
        <v>1562</v>
      </c>
      <c r="B264">
        <v>9722</v>
      </c>
      <c r="C264" s="100">
        <v>46172</v>
      </c>
      <c r="D264" t="s">
        <v>13</v>
      </c>
      <c r="E264" t="s">
        <v>265</v>
      </c>
      <c r="F264" t="s">
        <v>136</v>
      </c>
      <c r="G264">
        <v>1344</v>
      </c>
      <c r="H264">
        <v>69000</v>
      </c>
      <c r="I264">
        <v>92736000</v>
      </c>
    </row>
    <row r="265" spans="1:11" hidden="1" x14ac:dyDescent="0.25">
      <c r="A265" s="210" t="s">
        <v>1562</v>
      </c>
      <c r="B265">
        <v>9722</v>
      </c>
      <c r="C265" s="100">
        <v>46172</v>
      </c>
      <c r="D265" t="s">
        <v>13</v>
      </c>
      <c r="E265" t="s">
        <v>278</v>
      </c>
      <c r="F265" t="s">
        <v>136</v>
      </c>
      <c r="G265">
        <v>1060</v>
      </c>
      <c r="H265">
        <v>68000</v>
      </c>
      <c r="I265">
        <v>72080000</v>
      </c>
    </row>
    <row r="266" spans="1:11" hidden="1" x14ac:dyDescent="0.25">
      <c r="A266" s="210" t="s">
        <v>1562</v>
      </c>
      <c r="B266">
        <v>9722</v>
      </c>
      <c r="C266" s="100">
        <v>46172</v>
      </c>
      <c r="D266" t="s">
        <v>13</v>
      </c>
      <c r="E266" t="s">
        <v>278</v>
      </c>
      <c r="F266" t="s">
        <v>62</v>
      </c>
      <c r="G266">
        <v>780</v>
      </c>
      <c r="H266">
        <v>70000</v>
      </c>
      <c r="I266">
        <v>54600000</v>
      </c>
    </row>
    <row r="267" spans="1:11" hidden="1" x14ac:dyDescent="0.25">
      <c r="A267" s="210" t="s">
        <v>1727</v>
      </c>
      <c r="B267">
        <v>9721</v>
      </c>
      <c r="C267" s="100">
        <v>46172</v>
      </c>
      <c r="D267" t="s">
        <v>13</v>
      </c>
      <c r="E267" t="s">
        <v>17</v>
      </c>
      <c r="F267" t="s">
        <v>40</v>
      </c>
      <c r="G267">
        <v>665</v>
      </c>
      <c r="H267">
        <v>66000</v>
      </c>
      <c r="I267">
        <v>43890000</v>
      </c>
    </row>
    <row r="268" spans="1:11" hidden="1" x14ac:dyDescent="0.25">
      <c r="A268" s="210" t="s">
        <v>2113</v>
      </c>
      <c r="B268">
        <v>9720</v>
      </c>
      <c r="C268" s="100">
        <v>46172</v>
      </c>
      <c r="D268" t="s">
        <v>13</v>
      </c>
      <c r="E268" t="s">
        <v>17</v>
      </c>
      <c r="F268" t="s">
        <v>40</v>
      </c>
      <c r="G268">
        <v>544</v>
      </c>
      <c r="H268">
        <v>66000</v>
      </c>
      <c r="I268">
        <v>35904000</v>
      </c>
    </row>
    <row r="269" spans="1:11" hidden="1" x14ac:dyDescent="0.25">
      <c r="A269" s="210" t="s">
        <v>1575</v>
      </c>
      <c r="B269">
        <v>9719</v>
      </c>
      <c r="C269" s="100">
        <v>46172</v>
      </c>
      <c r="D269" t="s">
        <v>13</v>
      </c>
      <c r="E269" t="s">
        <v>50</v>
      </c>
      <c r="F269" t="s">
        <v>688</v>
      </c>
      <c r="G269">
        <v>1840</v>
      </c>
      <c r="H269">
        <v>59500</v>
      </c>
      <c r="I269">
        <v>109480000</v>
      </c>
    </row>
    <row r="270" spans="1:11" hidden="1" x14ac:dyDescent="0.25">
      <c r="A270" s="210" t="s">
        <v>1575</v>
      </c>
      <c r="B270">
        <v>9719</v>
      </c>
      <c r="C270" s="100">
        <v>46172</v>
      </c>
      <c r="D270" t="s">
        <v>13</v>
      </c>
      <c r="E270" t="s">
        <v>50</v>
      </c>
      <c r="F270" t="s">
        <v>379</v>
      </c>
      <c r="G270">
        <v>1440</v>
      </c>
      <c r="H270">
        <v>59500</v>
      </c>
      <c r="I270">
        <v>85680000</v>
      </c>
    </row>
    <row r="271" spans="1:11" hidden="1" x14ac:dyDescent="0.25">
      <c r="A271" s="210" t="s">
        <v>1493</v>
      </c>
      <c r="B271">
        <v>9718</v>
      </c>
      <c r="C271" s="100">
        <v>46172</v>
      </c>
      <c r="D271" t="s">
        <v>13</v>
      </c>
      <c r="E271" t="s">
        <v>43</v>
      </c>
      <c r="F271" t="s">
        <v>44</v>
      </c>
      <c r="G271">
        <v>590</v>
      </c>
      <c r="H271">
        <v>58000</v>
      </c>
      <c r="I271">
        <v>34220000</v>
      </c>
    </row>
    <row r="272" spans="1:11" hidden="1" x14ac:dyDescent="0.25">
      <c r="A272" s="210" t="s">
        <v>1577</v>
      </c>
      <c r="B272">
        <v>9717</v>
      </c>
      <c r="C272" s="100">
        <v>46172</v>
      </c>
      <c r="D272" t="s">
        <v>13</v>
      </c>
      <c r="E272" t="s">
        <v>43</v>
      </c>
      <c r="F272" t="s">
        <v>248</v>
      </c>
      <c r="G272">
        <v>656</v>
      </c>
      <c r="H272">
        <v>61000</v>
      </c>
      <c r="I272">
        <v>40016000</v>
      </c>
    </row>
    <row r="273" spans="1:11" hidden="1" x14ac:dyDescent="0.25">
      <c r="A273" s="210" t="s">
        <v>1577</v>
      </c>
      <c r="B273">
        <v>9717</v>
      </c>
      <c r="C273" s="100">
        <v>46172</v>
      </c>
      <c r="D273" t="s">
        <v>13</v>
      </c>
      <c r="E273" t="s">
        <v>150</v>
      </c>
      <c r="F273" t="s">
        <v>110</v>
      </c>
      <c r="G273">
        <v>730</v>
      </c>
      <c r="H273">
        <v>36000</v>
      </c>
      <c r="I273">
        <v>26280000</v>
      </c>
    </row>
    <row r="274" spans="1:11" hidden="1" x14ac:dyDescent="0.25">
      <c r="A274" s="210" t="s">
        <v>1524</v>
      </c>
      <c r="B274">
        <v>9715</v>
      </c>
      <c r="C274" s="100">
        <v>46172</v>
      </c>
      <c r="D274" t="s">
        <v>49</v>
      </c>
      <c r="E274" t="s">
        <v>17</v>
      </c>
      <c r="F274" t="s">
        <v>136</v>
      </c>
      <c r="G274">
        <v>1060</v>
      </c>
      <c r="I274">
        <v>0</v>
      </c>
      <c r="K274" t="s">
        <v>2483</v>
      </c>
    </row>
    <row r="275" spans="1:11" hidden="1" x14ac:dyDescent="0.25">
      <c r="A275" s="210" t="s">
        <v>2510</v>
      </c>
      <c r="B275">
        <v>9714</v>
      </c>
      <c r="C275" s="100">
        <v>46172</v>
      </c>
      <c r="D275" t="s">
        <v>13</v>
      </c>
      <c r="E275" t="s">
        <v>43</v>
      </c>
      <c r="F275" t="s">
        <v>1763</v>
      </c>
      <c r="G275">
        <v>1858</v>
      </c>
      <c r="H275">
        <v>57500</v>
      </c>
      <c r="I275">
        <v>106835000</v>
      </c>
    </row>
    <row r="276" spans="1:11" hidden="1" x14ac:dyDescent="0.25">
      <c r="A276" s="210" t="s">
        <v>2510</v>
      </c>
      <c r="B276">
        <v>9714</v>
      </c>
      <c r="C276" s="100">
        <v>46172</v>
      </c>
      <c r="D276" t="s">
        <v>13</v>
      </c>
      <c r="E276" t="s">
        <v>43</v>
      </c>
      <c r="F276" t="s">
        <v>110</v>
      </c>
      <c r="G276">
        <v>1456</v>
      </c>
      <c r="H276">
        <v>57500</v>
      </c>
      <c r="I276">
        <v>83720000</v>
      </c>
    </row>
    <row r="277" spans="1:11" hidden="1" x14ac:dyDescent="0.25">
      <c r="A277" s="210" t="s">
        <v>1547</v>
      </c>
      <c r="B277">
        <v>9713</v>
      </c>
      <c r="C277" s="100">
        <v>46172</v>
      </c>
      <c r="D277" t="s">
        <v>13</v>
      </c>
      <c r="E277" t="s">
        <v>43</v>
      </c>
      <c r="F277" t="s">
        <v>256</v>
      </c>
      <c r="G277">
        <v>1092</v>
      </c>
      <c r="H277">
        <v>63500</v>
      </c>
      <c r="I277">
        <v>69342000</v>
      </c>
    </row>
    <row r="278" spans="1:11" hidden="1" x14ac:dyDescent="0.25">
      <c r="A278" s="210" t="s">
        <v>1622</v>
      </c>
      <c r="B278">
        <v>9712</v>
      </c>
      <c r="C278" s="100">
        <v>46172</v>
      </c>
      <c r="D278" t="s">
        <v>13</v>
      </c>
      <c r="E278" t="s">
        <v>17</v>
      </c>
      <c r="F278" t="s">
        <v>40</v>
      </c>
      <c r="G278">
        <v>575</v>
      </c>
      <c r="H278">
        <v>69000</v>
      </c>
      <c r="I278">
        <v>39675000</v>
      </c>
    </row>
    <row r="279" spans="1:11" hidden="1" x14ac:dyDescent="0.25">
      <c r="A279" s="210" t="s">
        <v>1622</v>
      </c>
      <c r="B279">
        <v>9712</v>
      </c>
      <c r="C279" s="100">
        <v>46172</v>
      </c>
      <c r="D279" t="s">
        <v>13</v>
      </c>
      <c r="E279" t="s">
        <v>265</v>
      </c>
      <c r="F279" t="s">
        <v>62</v>
      </c>
      <c r="G279">
        <v>532</v>
      </c>
      <c r="H279">
        <v>69500</v>
      </c>
      <c r="I279">
        <v>36974000</v>
      </c>
    </row>
    <row r="280" spans="1:11" hidden="1" x14ac:dyDescent="0.25">
      <c r="A280" s="210" t="s">
        <v>1622</v>
      </c>
      <c r="B280">
        <v>9712</v>
      </c>
      <c r="C280" s="100">
        <v>46172</v>
      </c>
      <c r="D280" t="s">
        <v>13</v>
      </c>
      <c r="E280" t="s">
        <v>26</v>
      </c>
      <c r="F280" t="s">
        <v>40</v>
      </c>
      <c r="G280">
        <v>700</v>
      </c>
      <c r="H280">
        <v>36000</v>
      </c>
      <c r="I280">
        <v>25200000</v>
      </c>
    </row>
    <row r="281" spans="1:11" hidden="1" x14ac:dyDescent="0.25">
      <c r="A281" s="210" t="s">
        <v>1643</v>
      </c>
      <c r="B281">
        <v>9710</v>
      </c>
      <c r="C281" s="100">
        <v>46172</v>
      </c>
      <c r="D281" t="s">
        <v>49</v>
      </c>
      <c r="E281" t="s">
        <v>26</v>
      </c>
      <c r="F281" t="s">
        <v>2525</v>
      </c>
      <c r="G281">
        <v>710</v>
      </c>
      <c r="I281">
        <v>0</v>
      </c>
      <c r="K281" t="s">
        <v>2526</v>
      </c>
    </row>
    <row r="282" spans="1:11" hidden="1" x14ac:dyDescent="0.25">
      <c r="A282" s="210" t="s">
        <v>1692</v>
      </c>
      <c r="B282">
        <v>9709</v>
      </c>
      <c r="C282" s="100">
        <v>46172</v>
      </c>
      <c r="D282" t="s">
        <v>13</v>
      </c>
      <c r="E282" t="s">
        <v>43</v>
      </c>
      <c r="F282" t="s">
        <v>136</v>
      </c>
      <c r="G282">
        <v>5321</v>
      </c>
      <c r="H282">
        <v>65500</v>
      </c>
      <c r="I282">
        <v>348525500</v>
      </c>
    </row>
    <row r="283" spans="1:11" hidden="1" x14ac:dyDescent="0.25">
      <c r="A283" s="210" t="s">
        <v>1679</v>
      </c>
      <c r="B283">
        <v>9708</v>
      </c>
      <c r="C283" s="100">
        <v>46172</v>
      </c>
      <c r="D283" t="s">
        <v>13</v>
      </c>
      <c r="E283" t="s">
        <v>169</v>
      </c>
      <c r="F283" t="s">
        <v>62</v>
      </c>
      <c r="G283">
        <v>5560</v>
      </c>
      <c r="H283">
        <v>38500</v>
      </c>
      <c r="I283">
        <v>214060000</v>
      </c>
    </row>
    <row r="284" spans="1:11" hidden="1" x14ac:dyDescent="0.25">
      <c r="A284" s="210" t="s">
        <v>1592</v>
      </c>
      <c r="B284">
        <v>9707</v>
      </c>
      <c r="C284" s="100">
        <v>46172</v>
      </c>
      <c r="D284" t="s">
        <v>49</v>
      </c>
      <c r="E284" t="s">
        <v>135</v>
      </c>
      <c r="F284" t="s">
        <v>62</v>
      </c>
      <c r="G284">
        <v>5560</v>
      </c>
      <c r="I284">
        <v>0</v>
      </c>
      <c r="K284" t="s">
        <v>2444</v>
      </c>
    </row>
    <row r="285" spans="1:11" hidden="1" x14ac:dyDescent="0.25">
      <c r="A285" s="210" t="s">
        <v>1638</v>
      </c>
      <c r="B285">
        <v>9706</v>
      </c>
      <c r="C285" s="100">
        <v>46172</v>
      </c>
      <c r="D285" t="s">
        <v>13</v>
      </c>
      <c r="E285" t="s">
        <v>854</v>
      </c>
      <c r="F285" t="s">
        <v>378</v>
      </c>
      <c r="G285">
        <v>1274</v>
      </c>
      <c r="H285">
        <v>37500</v>
      </c>
      <c r="I285">
        <v>47775000</v>
      </c>
    </row>
    <row r="286" spans="1:11" hidden="1" x14ac:dyDescent="0.25">
      <c r="A286" s="210" t="s">
        <v>1638</v>
      </c>
      <c r="B286">
        <v>9706</v>
      </c>
      <c r="C286" s="100">
        <v>46172</v>
      </c>
      <c r="D286" t="s">
        <v>13</v>
      </c>
      <c r="E286" t="s">
        <v>150</v>
      </c>
      <c r="F286" t="s">
        <v>2524</v>
      </c>
      <c r="G286">
        <v>88</v>
      </c>
      <c r="H286">
        <v>36000</v>
      </c>
      <c r="I286">
        <v>3168000</v>
      </c>
    </row>
    <row r="287" spans="1:11" hidden="1" x14ac:dyDescent="0.25">
      <c r="A287" s="210" t="s">
        <v>1638</v>
      </c>
      <c r="B287">
        <v>9706</v>
      </c>
      <c r="C287" s="100">
        <v>46172</v>
      </c>
      <c r="D287" t="s">
        <v>13</v>
      </c>
      <c r="E287" t="s">
        <v>103</v>
      </c>
      <c r="F287" t="s">
        <v>383</v>
      </c>
      <c r="G287">
        <v>94</v>
      </c>
      <c r="H287">
        <v>38000</v>
      </c>
      <c r="I287">
        <v>3572000</v>
      </c>
    </row>
    <row r="288" spans="1:11" hidden="1" x14ac:dyDescent="0.25">
      <c r="A288" s="210" t="s">
        <v>1648</v>
      </c>
      <c r="B288">
        <v>9705</v>
      </c>
      <c r="C288" s="100">
        <v>46171</v>
      </c>
      <c r="D288" t="s">
        <v>13</v>
      </c>
      <c r="E288" t="s">
        <v>103</v>
      </c>
      <c r="F288" t="s">
        <v>2516</v>
      </c>
      <c r="G288">
        <v>390</v>
      </c>
      <c r="H288">
        <v>39000</v>
      </c>
      <c r="I288">
        <v>15210000</v>
      </c>
    </row>
    <row r="289" spans="1:11" hidden="1" x14ac:dyDescent="0.25">
      <c r="A289" s="210" t="s">
        <v>1676</v>
      </c>
      <c r="B289">
        <v>9704</v>
      </c>
      <c r="C289" s="100">
        <v>46175</v>
      </c>
      <c r="D289" t="s">
        <v>13</v>
      </c>
      <c r="E289" t="s">
        <v>43</v>
      </c>
      <c r="F289" t="s">
        <v>723</v>
      </c>
      <c r="G289">
        <v>252</v>
      </c>
      <c r="H289">
        <v>65000</v>
      </c>
      <c r="I289">
        <v>16380000</v>
      </c>
    </row>
    <row r="290" spans="1:11" hidden="1" x14ac:dyDescent="0.25">
      <c r="A290" s="210" t="s">
        <v>1676</v>
      </c>
      <c r="B290">
        <v>9704</v>
      </c>
      <c r="C290" s="100">
        <v>46175</v>
      </c>
      <c r="D290" t="s">
        <v>13</v>
      </c>
      <c r="E290" t="s">
        <v>43</v>
      </c>
      <c r="F290" t="s">
        <v>469</v>
      </c>
      <c r="G290">
        <v>799</v>
      </c>
      <c r="H290">
        <v>70000</v>
      </c>
      <c r="I290">
        <v>55930000</v>
      </c>
    </row>
    <row r="291" spans="1:11" hidden="1" x14ac:dyDescent="0.25">
      <c r="A291" s="210" t="s">
        <v>1597</v>
      </c>
      <c r="B291">
        <v>9703</v>
      </c>
      <c r="C291" s="100">
        <v>46171</v>
      </c>
      <c r="D291" t="s">
        <v>13</v>
      </c>
      <c r="E291" t="s">
        <v>17</v>
      </c>
      <c r="F291" t="s">
        <v>723</v>
      </c>
      <c r="G291">
        <v>323</v>
      </c>
      <c r="H291">
        <v>65000</v>
      </c>
      <c r="I291">
        <v>20995000</v>
      </c>
    </row>
    <row r="292" spans="1:11" hidden="1" x14ac:dyDescent="0.25">
      <c r="A292" s="210" t="s">
        <v>1572</v>
      </c>
      <c r="B292">
        <v>9702</v>
      </c>
      <c r="C292" s="100">
        <v>46171</v>
      </c>
      <c r="D292" t="s">
        <v>13</v>
      </c>
      <c r="E292" t="s">
        <v>14</v>
      </c>
      <c r="F292" t="s">
        <v>146</v>
      </c>
      <c r="G292">
        <v>1842</v>
      </c>
      <c r="H292">
        <v>41500</v>
      </c>
      <c r="I292">
        <v>76443000</v>
      </c>
    </row>
    <row r="293" spans="1:11" hidden="1" x14ac:dyDescent="0.25">
      <c r="A293" s="210" t="s">
        <v>1574</v>
      </c>
      <c r="B293">
        <v>9700</v>
      </c>
      <c r="C293" s="100">
        <v>46171</v>
      </c>
      <c r="D293" t="s">
        <v>13</v>
      </c>
      <c r="E293" t="s">
        <v>50</v>
      </c>
      <c r="F293" t="s">
        <v>1762</v>
      </c>
      <c r="G293">
        <v>480</v>
      </c>
      <c r="H293">
        <v>56000</v>
      </c>
      <c r="I293">
        <v>26880000</v>
      </c>
    </row>
    <row r="294" spans="1:11" hidden="1" x14ac:dyDescent="0.25">
      <c r="A294" s="210" t="s">
        <v>1574</v>
      </c>
      <c r="B294">
        <v>9700</v>
      </c>
      <c r="C294" s="100">
        <v>46171</v>
      </c>
      <c r="D294" t="s">
        <v>13</v>
      </c>
      <c r="E294" t="s">
        <v>317</v>
      </c>
      <c r="F294" t="s">
        <v>1762</v>
      </c>
      <c r="G294">
        <v>124</v>
      </c>
      <c r="H294">
        <v>60000</v>
      </c>
      <c r="I294">
        <v>7440000</v>
      </c>
    </row>
    <row r="295" spans="1:11" hidden="1" x14ac:dyDescent="0.25">
      <c r="A295" s="210" t="s">
        <v>1531</v>
      </c>
      <c r="B295">
        <v>9699</v>
      </c>
      <c r="C295" s="100">
        <v>46171</v>
      </c>
      <c r="D295" t="s">
        <v>13</v>
      </c>
      <c r="E295" t="s">
        <v>14</v>
      </c>
      <c r="F295" t="s">
        <v>146</v>
      </c>
      <c r="G295">
        <v>947</v>
      </c>
      <c r="H295">
        <v>40000</v>
      </c>
      <c r="I295">
        <v>37880000</v>
      </c>
    </row>
    <row r="296" spans="1:11" hidden="1" x14ac:dyDescent="0.25">
      <c r="A296" s="210" t="s">
        <v>1535</v>
      </c>
      <c r="B296">
        <v>9698</v>
      </c>
      <c r="C296" s="100">
        <v>46171</v>
      </c>
      <c r="D296" t="s">
        <v>13</v>
      </c>
      <c r="E296" t="s">
        <v>317</v>
      </c>
      <c r="F296" t="s">
        <v>416</v>
      </c>
      <c r="G296">
        <v>789</v>
      </c>
      <c r="H296">
        <v>63000</v>
      </c>
      <c r="I296">
        <v>49707000</v>
      </c>
    </row>
    <row r="297" spans="1:11" hidden="1" x14ac:dyDescent="0.25">
      <c r="A297" s="210" t="s">
        <v>1524</v>
      </c>
      <c r="B297">
        <v>9697</v>
      </c>
      <c r="C297" s="100">
        <v>46171</v>
      </c>
      <c r="D297" t="s">
        <v>49</v>
      </c>
      <c r="E297" t="s">
        <v>17</v>
      </c>
      <c r="F297" t="s">
        <v>891</v>
      </c>
      <c r="G297">
        <v>4379</v>
      </c>
      <c r="I297">
        <v>0</v>
      </c>
      <c r="K297" t="s">
        <v>2410</v>
      </c>
    </row>
    <row r="298" spans="1:11" hidden="1" x14ac:dyDescent="0.25">
      <c r="A298" s="210" t="s">
        <v>1583</v>
      </c>
      <c r="B298">
        <v>9696</v>
      </c>
      <c r="C298" s="100">
        <v>46171</v>
      </c>
      <c r="D298" t="s">
        <v>13</v>
      </c>
      <c r="E298" t="s">
        <v>103</v>
      </c>
      <c r="F298" t="s">
        <v>1372</v>
      </c>
      <c r="G298">
        <v>954</v>
      </c>
      <c r="H298">
        <v>38000</v>
      </c>
      <c r="I298">
        <v>36252000</v>
      </c>
    </row>
    <row r="299" spans="1:11" hidden="1" x14ac:dyDescent="0.25">
      <c r="A299" s="210" t="s">
        <v>2515</v>
      </c>
      <c r="B299">
        <v>9695</v>
      </c>
      <c r="C299" s="100">
        <v>46171</v>
      </c>
      <c r="D299" t="s">
        <v>13</v>
      </c>
      <c r="E299" t="s">
        <v>43</v>
      </c>
      <c r="F299" t="s">
        <v>78</v>
      </c>
      <c r="G299">
        <v>1092</v>
      </c>
      <c r="H299">
        <v>57000</v>
      </c>
      <c r="I299">
        <v>62244000</v>
      </c>
      <c r="K299" t="s">
        <v>42</v>
      </c>
    </row>
    <row r="300" spans="1:11" hidden="1" x14ac:dyDescent="0.25">
      <c r="A300" s="210" t="s">
        <v>1686</v>
      </c>
      <c r="B300">
        <v>9694</v>
      </c>
      <c r="C300" s="100">
        <v>46171</v>
      </c>
      <c r="D300" t="s">
        <v>13</v>
      </c>
      <c r="E300" t="s">
        <v>43</v>
      </c>
      <c r="F300" t="s">
        <v>214</v>
      </c>
      <c r="G300">
        <v>1060</v>
      </c>
      <c r="H300">
        <v>56500</v>
      </c>
      <c r="I300">
        <v>59890000</v>
      </c>
    </row>
    <row r="301" spans="1:11" hidden="1" x14ac:dyDescent="0.25">
      <c r="A301" s="210" t="s">
        <v>1686</v>
      </c>
      <c r="B301">
        <v>9694</v>
      </c>
      <c r="C301" s="100">
        <v>46171</v>
      </c>
      <c r="D301" t="s">
        <v>13</v>
      </c>
      <c r="E301" t="s">
        <v>43</v>
      </c>
      <c r="F301" t="s">
        <v>283</v>
      </c>
      <c r="G301">
        <v>1064</v>
      </c>
      <c r="H301">
        <v>56500</v>
      </c>
      <c r="I301">
        <v>60116000</v>
      </c>
    </row>
    <row r="302" spans="1:11" hidden="1" x14ac:dyDescent="0.25">
      <c r="A302" s="210" t="s">
        <v>1686</v>
      </c>
      <c r="B302">
        <v>9694</v>
      </c>
      <c r="C302" s="100">
        <v>46171</v>
      </c>
      <c r="D302" t="s">
        <v>13</v>
      </c>
      <c r="E302" t="s">
        <v>43</v>
      </c>
      <c r="F302" t="s">
        <v>140</v>
      </c>
      <c r="G302">
        <v>1022</v>
      </c>
      <c r="H302">
        <v>56500</v>
      </c>
      <c r="I302">
        <v>57743000</v>
      </c>
    </row>
    <row r="303" spans="1:11" hidden="1" x14ac:dyDescent="0.25">
      <c r="A303" s="210" t="s">
        <v>1686</v>
      </c>
      <c r="B303">
        <v>9694</v>
      </c>
      <c r="C303" s="100">
        <v>46171</v>
      </c>
      <c r="D303" t="s">
        <v>13</v>
      </c>
      <c r="E303" t="s">
        <v>43</v>
      </c>
      <c r="F303" t="s">
        <v>203</v>
      </c>
      <c r="G303">
        <v>560</v>
      </c>
      <c r="H303">
        <v>56500</v>
      </c>
      <c r="I303">
        <v>31640000</v>
      </c>
    </row>
    <row r="304" spans="1:11" hidden="1" x14ac:dyDescent="0.25">
      <c r="A304" s="210" t="s">
        <v>1532</v>
      </c>
      <c r="B304">
        <v>9693</v>
      </c>
      <c r="C304" s="100">
        <v>46171</v>
      </c>
      <c r="D304" t="s">
        <v>13</v>
      </c>
      <c r="E304" t="s">
        <v>43</v>
      </c>
      <c r="F304" t="s">
        <v>740</v>
      </c>
      <c r="G304">
        <v>580</v>
      </c>
      <c r="I304">
        <v>0</v>
      </c>
    </row>
    <row r="305" spans="1:11" hidden="1" x14ac:dyDescent="0.25">
      <c r="A305" s="210" t="s">
        <v>2500</v>
      </c>
      <c r="B305">
        <v>9692</v>
      </c>
      <c r="C305" s="100">
        <v>46171</v>
      </c>
      <c r="D305" t="s">
        <v>13</v>
      </c>
      <c r="E305" t="s">
        <v>135</v>
      </c>
      <c r="F305" t="s">
        <v>62</v>
      </c>
      <c r="G305">
        <v>1034</v>
      </c>
      <c r="H305">
        <v>38000</v>
      </c>
      <c r="I305">
        <v>39292000</v>
      </c>
    </row>
    <row r="306" spans="1:11" hidden="1" x14ac:dyDescent="0.25">
      <c r="A306" s="210" t="s">
        <v>1491</v>
      </c>
      <c r="B306">
        <v>9691</v>
      </c>
      <c r="C306" s="100">
        <v>46171</v>
      </c>
      <c r="D306" t="s">
        <v>13</v>
      </c>
      <c r="E306" t="s">
        <v>26</v>
      </c>
      <c r="F306" t="s">
        <v>62</v>
      </c>
      <c r="G306">
        <v>746</v>
      </c>
      <c r="H306">
        <v>33000</v>
      </c>
      <c r="I306">
        <v>24618000</v>
      </c>
    </row>
    <row r="307" spans="1:11" hidden="1" x14ac:dyDescent="0.25">
      <c r="A307" s="210" t="s">
        <v>1545</v>
      </c>
      <c r="B307">
        <v>9690</v>
      </c>
      <c r="C307" s="100">
        <v>46171</v>
      </c>
      <c r="D307" t="s">
        <v>13</v>
      </c>
      <c r="E307" t="s">
        <v>75</v>
      </c>
      <c r="F307" t="s">
        <v>146</v>
      </c>
      <c r="G307">
        <v>728</v>
      </c>
      <c r="H307">
        <v>37500</v>
      </c>
      <c r="I307">
        <v>27300000</v>
      </c>
    </row>
    <row r="308" spans="1:11" hidden="1" x14ac:dyDescent="0.25">
      <c r="A308" s="210" t="s">
        <v>1545</v>
      </c>
      <c r="B308">
        <v>9690</v>
      </c>
      <c r="C308" s="100">
        <v>46171</v>
      </c>
      <c r="D308" t="s">
        <v>426</v>
      </c>
      <c r="E308" t="s">
        <v>43</v>
      </c>
      <c r="F308" t="s">
        <v>62</v>
      </c>
      <c r="G308">
        <v>917</v>
      </c>
      <c r="H308">
        <v>-62000</v>
      </c>
      <c r="I308">
        <v>-56854000</v>
      </c>
    </row>
    <row r="309" spans="1:11" hidden="1" x14ac:dyDescent="0.25">
      <c r="A309" s="210" t="s">
        <v>1485</v>
      </c>
      <c r="B309">
        <v>9689</v>
      </c>
      <c r="C309" s="100">
        <v>46171</v>
      </c>
      <c r="D309" t="s">
        <v>13</v>
      </c>
      <c r="E309" t="s">
        <v>43</v>
      </c>
      <c r="F309" t="s">
        <v>2513</v>
      </c>
      <c r="G309">
        <v>1824</v>
      </c>
      <c r="H309">
        <v>55000</v>
      </c>
      <c r="I309">
        <v>100320000</v>
      </c>
    </row>
    <row r="310" spans="1:11" hidden="1" x14ac:dyDescent="0.25">
      <c r="A310" s="210" t="s">
        <v>1485</v>
      </c>
      <c r="B310">
        <v>9689</v>
      </c>
      <c r="C310" s="100">
        <v>46171</v>
      </c>
      <c r="D310" t="s">
        <v>13</v>
      </c>
      <c r="E310" t="s">
        <v>43</v>
      </c>
      <c r="F310" t="s">
        <v>250</v>
      </c>
      <c r="G310">
        <v>2778</v>
      </c>
      <c r="H310">
        <v>60000</v>
      </c>
      <c r="I310">
        <v>166680000</v>
      </c>
      <c r="K310">
        <v>2780</v>
      </c>
    </row>
    <row r="311" spans="1:11" hidden="1" x14ac:dyDescent="0.25">
      <c r="A311" s="210" t="s">
        <v>1641</v>
      </c>
      <c r="B311">
        <v>9688</v>
      </c>
      <c r="C311" s="100">
        <v>46171</v>
      </c>
      <c r="D311" t="s">
        <v>13</v>
      </c>
      <c r="E311" t="s">
        <v>43</v>
      </c>
      <c r="F311" t="s">
        <v>250</v>
      </c>
      <c r="G311">
        <v>1159.5</v>
      </c>
      <c r="H311">
        <v>60500</v>
      </c>
      <c r="I311">
        <v>70149750</v>
      </c>
      <c r="K311">
        <v>1166</v>
      </c>
    </row>
    <row r="312" spans="1:11" hidden="1" x14ac:dyDescent="0.25">
      <c r="A312" s="210" t="s">
        <v>1641</v>
      </c>
      <c r="B312">
        <v>9688</v>
      </c>
      <c r="C312" s="100">
        <v>46171</v>
      </c>
      <c r="D312" t="s">
        <v>13</v>
      </c>
      <c r="E312" t="s">
        <v>43</v>
      </c>
      <c r="F312" t="s">
        <v>110</v>
      </c>
      <c r="G312">
        <v>158</v>
      </c>
      <c r="H312">
        <v>60500</v>
      </c>
      <c r="I312">
        <v>9559000</v>
      </c>
    </row>
    <row r="313" spans="1:11" hidden="1" x14ac:dyDescent="0.25">
      <c r="A313" s="210" t="s">
        <v>1641</v>
      </c>
      <c r="B313">
        <v>9688</v>
      </c>
      <c r="C313" s="100">
        <v>46171</v>
      </c>
      <c r="D313" t="s">
        <v>13</v>
      </c>
      <c r="E313" t="s">
        <v>43</v>
      </c>
      <c r="F313" t="s">
        <v>256</v>
      </c>
      <c r="G313">
        <v>471</v>
      </c>
      <c r="H313">
        <v>56000</v>
      </c>
      <c r="I313">
        <v>26376000</v>
      </c>
      <c r="K313">
        <v>474</v>
      </c>
    </row>
    <row r="314" spans="1:11" hidden="1" x14ac:dyDescent="0.25">
      <c r="A314" s="210" t="s">
        <v>1568</v>
      </c>
      <c r="B314">
        <v>9687</v>
      </c>
      <c r="C314" s="100">
        <v>46171</v>
      </c>
      <c r="D314" t="s">
        <v>13</v>
      </c>
      <c r="E314" t="s">
        <v>2362</v>
      </c>
      <c r="F314" t="s">
        <v>2512</v>
      </c>
      <c r="G314">
        <v>902</v>
      </c>
      <c r="H314">
        <v>61600</v>
      </c>
      <c r="I314">
        <v>55563200</v>
      </c>
    </row>
    <row r="315" spans="1:11" hidden="1" x14ac:dyDescent="0.25">
      <c r="A315" s="210" t="s">
        <v>2016</v>
      </c>
      <c r="B315">
        <v>9686</v>
      </c>
      <c r="C315" s="100">
        <v>46171</v>
      </c>
      <c r="D315" t="s">
        <v>13</v>
      </c>
      <c r="E315" t="s">
        <v>701</v>
      </c>
      <c r="F315" t="s">
        <v>148</v>
      </c>
      <c r="G315">
        <v>1590</v>
      </c>
      <c r="H315">
        <v>42500</v>
      </c>
      <c r="I315">
        <v>67575000</v>
      </c>
    </row>
    <row r="316" spans="1:11" hidden="1" x14ac:dyDescent="0.25">
      <c r="A316" s="210" t="s">
        <v>1518</v>
      </c>
      <c r="B316">
        <v>9685</v>
      </c>
      <c r="C316" s="100">
        <v>46171</v>
      </c>
      <c r="D316" t="s">
        <v>13</v>
      </c>
      <c r="E316" t="s">
        <v>43</v>
      </c>
      <c r="F316" t="s">
        <v>343</v>
      </c>
      <c r="G316">
        <v>994</v>
      </c>
      <c r="H316">
        <v>56000</v>
      </c>
      <c r="I316">
        <v>55664000</v>
      </c>
    </row>
    <row r="317" spans="1:11" hidden="1" x14ac:dyDescent="0.25">
      <c r="A317" s="210" t="s">
        <v>1579</v>
      </c>
      <c r="B317">
        <v>9684</v>
      </c>
      <c r="C317" s="100">
        <v>46170</v>
      </c>
      <c r="D317" t="s">
        <v>13</v>
      </c>
      <c r="E317" t="s">
        <v>50</v>
      </c>
      <c r="F317" t="s">
        <v>73</v>
      </c>
      <c r="G317">
        <v>4110</v>
      </c>
      <c r="H317">
        <v>59000</v>
      </c>
      <c r="I317">
        <v>242490000</v>
      </c>
    </row>
    <row r="318" spans="1:11" hidden="1" x14ac:dyDescent="0.25">
      <c r="A318" s="210" t="s">
        <v>1562</v>
      </c>
      <c r="B318">
        <v>9682</v>
      </c>
      <c r="C318" s="100">
        <v>46171</v>
      </c>
      <c r="D318" t="s">
        <v>13</v>
      </c>
      <c r="E318" t="s">
        <v>265</v>
      </c>
      <c r="F318" t="s">
        <v>146</v>
      </c>
      <c r="G318">
        <v>978</v>
      </c>
      <c r="H318">
        <v>68000</v>
      </c>
      <c r="I318">
        <v>66504000</v>
      </c>
    </row>
    <row r="319" spans="1:11" hidden="1" x14ac:dyDescent="0.25">
      <c r="A319" s="210" t="s">
        <v>1579</v>
      </c>
      <c r="B319">
        <v>9681</v>
      </c>
      <c r="C319" s="100">
        <v>46171</v>
      </c>
      <c r="D319" t="s">
        <v>13</v>
      </c>
      <c r="E319" t="s">
        <v>109</v>
      </c>
      <c r="F319" t="s">
        <v>2521</v>
      </c>
      <c r="G319">
        <v>758</v>
      </c>
      <c r="H319">
        <v>59000</v>
      </c>
      <c r="I319">
        <v>44722000</v>
      </c>
    </row>
    <row r="320" spans="1:11" hidden="1" x14ac:dyDescent="0.25">
      <c r="A320" s="210" t="s">
        <v>1579</v>
      </c>
      <c r="B320">
        <v>9681</v>
      </c>
      <c r="C320" s="100">
        <v>46171</v>
      </c>
      <c r="D320" t="s">
        <v>13</v>
      </c>
      <c r="E320" t="s">
        <v>109</v>
      </c>
      <c r="F320" t="s">
        <v>1447</v>
      </c>
      <c r="G320">
        <v>144</v>
      </c>
      <c r="H320">
        <v>59000</v>
      </c>
      <c r="I320">
        <v>8496000</v>
      </c>
    </row>
    <row r="321" spans="1:11" hidden="1" x14ac:dyDescent="0.25">
      <c r="A321" s="210" t="s">
        <v>1579</v>
      </c>
      <c r="B321">
        <v>9681</v>
      </c>
      <c r="C321" s="100">
        <v>46171</v>
      </c>
      <c r="D321" t="s">
        <v>13</v>
      </c>
      <c r="E321" t="s">
        <v>109</v>
      </c>
      <c r="F321" t="s">
        <v>2522</v>
      </c>
      <c r="G321">
        <v>224</v>
      </c>
      <c r="H321">
        <v>59000</v>
      </c>
      <c r="I321">
        <v>13216000</v>
      </c>
    </row>
    <row r="322" spans="1:11" hidden="1" x14ac:dyDescent="0.25">
      <c r="A322" s="210" t="s">
        <v>1579</v>
      </c>
      <c r="B322">
        <v>9681</v>
      </c>
      <c r="C322" s="100">
        <v>46171</v>
      </c>
      <c r="D322" t="s">
        <v>13</v>
      </c>
      <c r="E322" t="s">
        <v>109</v>
      </c>
      <c r="F322" t="s">
        <v>678</v>
      </c>
      <c r="G322">
        <v>866</v>
      </c>
      <c r="H322">
        <v>59000</v>
      </c>
      <c r="I322">
        <v>51094000</v>
      </c>
    </row>
    <row r="323" spans="1:11" hidden="1" x14ac:dyDescent="0.25">
      <c r="A323" s="210" t="s">
        <v>1579</v>
      </c>
      <c r="B323">
        <v>9681</v>
      </c>
      <c r="C323" s="100">
        <v>46171</v>
      </c>
      <c r="D323" t="s">
        <v>13</v>
      </c>
      <c r="E323" t="s">
        <v>109</v>
      </c>
      <c r="F323" t="s">
        <v>2523</v>
      </c>
      <c r="G323">
        <v>292</v>
      </c>
      <c r="H323">
        <v>59000</v>
      </c>
      <c r="I323">
        <v>17228000</v>
      </c>
    </row>
    <row r="324" spans="1:11" hidden="1" x14ac:dyDescent="0.25">
      <c r="A324" s="210" t="s">
        <v>1579</v>
      </c>
      <c r="B324">
        <v>9681</v>
      </c>
      <c r="C324" s="100">
        <v>46171</v>
      </c>
      <c r="D324" t="s">
        <v>13</v>
      </c>
      <c r="E324" t="s">
        <v>109</v>
      </c>
      <c r="F324" t="s">
        <v>946</v>
      </c>
      <c r="G324">
        <v>294</v>
      </c>
      <c r="H324">
        <v>59000</v>
      </c>
      <c r="I324">
        <v>17346000</v>
      </c>
    </row>
    <row r="325" spans="1:11" hidden="1" x14ac:dyDescent="0.25">
      <c r="A325" s="210" t="s">
        <v>1579</v>
      </c>
      <c r="B325">
        <v>9681</v>
      </c>
      <c r="C325" s="100">
        <v>46171</v>
      </c>
      <c r="D325" t="s">
        <v>13</v>
      </c>
      <c r="E325" t="s">
        <v>109</v>
      </c>
      <c r="F325" t="s">
        <v>947</v>
      </c>
      <c r="G325">
        <v>440</v>
      </c>
      <c r="H325">
        <v>59000</v>
      </c>
      <c r="I325">
        <v>25960000</v>
      </c>
    </row>
    <row r="326" spans="1:11" hidden="1" x14ac:dyDescent="0.25">
      <c r="A326" s="210" t="s">
        <v>1504</v>
      </c>
      <c r="B326">
        <v>9680</v>
      </c>
      <c r="C326" s="100">
        <v>46171</v>
      </c>
      <c r="D326" t="s">
        <v>13</v>
      </c>
      <c r="E326" t="s">
        <v>54</v>
      </c>
      <c r="F326" t="s">
        <v>185</v>
      </c>
      <c r="G326">
        <v>98</v>
      </c>
      <c r="H326">
        <v>37000</v>
      </c>
      <c r="I326">
        <v>3626000</v>
      </c>
    </row>
    <row r="327" spans="1:11" hidden="1" x14ac:dyDescent="0.25">
      <c r="A327" s="210" t="s">
        <v>1683</v>
      </c>
      <c r="B327">
        <v>9679</v>
      </c>
      <c r="C327" s="100">
        <v>46170</v>
      </c>
      <c r="D327" t="s">
        <v>13</v>
      </c>
      <c r="E327" t="s">
        <v>252</v>
      </c>
      <c r="F327" t="s">
        <v>41</v>
      </c>
      <c r="G327">
        <v>156</v>
      </c>
      <c r="H327">
        <v>39500</v>
      </c>
      <c r="I327">
        <v>6162000</v>
      </c>
    </row>
    <row r="328" spans="1:11" hidden="1" x14ac:dyDescent="0.25">
      <c r="A328" s="210" t="s">
        <v>1683</v>
      </c>
      <c r="B328">
        <v>9679</v>
      </c>
      <c r="C328" s="100">
        <v>46170</v>
      </c>
      <c r="D328" t="s">
        <v>13</v>
      </c>
      <c r="E328" t="s">
        <v>17</v>
      </c>
      <c r="F328" t="s">
        <v>46</v>
      </c>
      <c r="G328">
        <v>220</v>
      </c>
      <c r="H328">
        <v>68000</v>
      </c>
      <c r="I328">
        <v>14960000</v>
      </c>
    </row>
    <row r="329" spans="1:11" hidden="1" x14ac:dyDescent="0.25">
      <c r="A329" s="210" t="s">
        <v>1512</v>
      </c>
      <c r="B329">
        <v>9678</v>
      </c>
      <c r="C329" s="100">
        <v>46170</v>
      </c>
      <c r="D329" t="s">
        <v>13</v>
      </c>
      <c r="E329" t="s">
        <v>103</v>
      </c>
      <c r="F329" t="s">
        <v>2508</v>
      </c>
      <c r="G329">
        <v>604</v>
      </c>
      <c r="H329">
        <v>37500</v>
      </c>
      <c r="I329">
        <v>22650000</v>
      </c>
    </row>
    <row r="330" spans="1:11" hidden="1" x14ac:dyDescent="0.25">
      <c r="A330" s="210" t="s">
        <v>1592</v>
      </c>
      <c r="B330">
        <v>9677</v>
      </c>
      <c r="C330" s="100">
        <v>46170</v>
      </c>
      <c r="D330" t="s">
        <v>49</v>
      </c>
      <c r="E330" t="s">
        <v>43</v>
      </c>
      <c r="F330" t="s">
        <v>136</v>
      </c>
      <c r="G330">
        <v>3028</v>
      </c>
      <c r="I330">
        <v>0</v>
      </c>
      <c r="K330" t="s">
        <v>1740</v>
      </c>
    </row>
    <row r="331" spans="1:11" hidden="1" x14ac:dyDescent="0.25">
      <c r="A331" s="210" t="s">
        <v>1552</v>
      </c>
      <c r="B331">
        <v>9676</v>
      </c>
      <c r="C331" s="100">
        <v>46170</v>
      </c>
      <c r="D331" t="s">
        <v>13</v>
      </c>
      <c r="E331" t="s">
        <v>36</v>
      </c>
      <c r="F331" t="s">
        <v>110</v>
      </c>
      <c r="G331">
        <v>1422</v>
      </c>
      <c r="H331">
        <v>66000</v>
      </c>
      <c r="I331">
        <v>93852000</v>
      </c>
    </row>
    <row r="332" spans="1:11" hidden="1" x14ac:dyDescent="0.25">
      <c r="A332" s="210" t="s">
        <v>1552</v>
      </c>
      <c r="B332">
        <v>9676</v>
      </c>
      <c r="C332" s="100">
        <v>46170</v>
      </c>
      <c r="D332" t="s">
        <v>426</v>
      </c>
      <c r="E332" t="s">
        <v>50</v>
      </c>
      <c r="F332" t="s">
        <v>250</v>
      </c>
      <c r="G332">
        <v>196</v>
      </c>
      <c r="I332">
        <v>0</v>
      </c>
    </row>
    <row r="333" spans="1:11" hidden="1" x14ac:dyDescent="0.25">
      <c r="A333" s="210" t="s">
        <v>1688</v>
      </c>
      <c r="B333">
        <v>9675</v>
      </c>
      <c r="C333" s="100">
        <v>46170</v>
      </c>
      <c r="D333" t="s">
        <v>13</v>
      </c>
      <c r="E333" t="s">
        <v>26</v>
      </c>
      <c r="F333" t="s">
        <v>62</v>
      </c>
      <c r="G333">
        <v>1750</v>
      </c>
      <c r="H333">
        <v>35000</v>
      </c>
      <c r="I333">
        <v>61250000</v>
      </c>
    </row>
    <row r="334" spans="1:11" hidden="1" x14ac:dyDescent="0.25">
      <c r="A334" s="210" t="s">
        <v>1688</v>
      </c>
      <c r="B334">
        <v>9675</v>
      </c>
      <c r="C334" s="100">
        <v>46170</v>
      </c>
      <c r="D334" t="s">
        <v>13</v>
      </c>
      <c r="E334" t="s">
        <v>26</v>
      </c>
      <c r="F334" t="s">
        <v>441</v>
      </c>
      <c r="G334">
        <v>1537</v>
      </c>
      <c r="H334">
        <v>33000</v>
      </c>
      <c r="I334">
        <v>50721000</v>
      </c>
    </row>
    <row r="335" spans="1:11" hidden="1" x14ac:dyDescent="0.25">
      <c r="A335" s="210" t="s">
        <v>1520</v>
      </c>
      <c r="B335">
        <v>9674</v>
      </c>
      <c r="C335" s="100">
        <v>46170</v>
      </c>
      <c r="D335" t="s">
        <v>13</v>
      </c>
      <c r="E335" t="s">
        <v>103</v>
      </c>
      <c r="F335" t="s">
        <v>1458</v>
      </c>
      <c r="G335">
        <v>146</v>
      </c>
      <c r="H335">
        <v>39500</v>
      </c>
      <c r="I335">
        <v>5767000</v>
      </c>
    </row>
    <row r="336" spans="1:11" hidden="1" x14ac:dyDescent="0.25">
      <c r="A336" s="210" t="s">
        <v>1610</v>
      </c>
      <c r="B336">
        <v>9673</v>
      </c>
      <c r="C336" s="100">
        <v>46170</v>
      </c>
      <c r="D336" t="s">
        <v>13</v>
      </c>
      <c r="E336" t="s">
        <v>195</v>
      </c>
      <c r="F336" t="s">
        <v>2507</v>
      </c>
      <c r="G336">
        <v>3404</v>
      </c>
      <c r="H336">
        <v>26000</v>
      </c>
      <c r="I336">
        <v>88504000</v>
      </c>
      <c r="K336" t="s">
        <v>42</v>
      </c>
    </row>
    <row r="337" spans="1:11" hidden="1" x14ac:dyDescent="0.25">
      <c r="A337" s="210" t="s">
        <v>1579</v>
      </c>
      <c r="B337">
        <v>9672</v>
      </c>
      <c r="C337" s="100">
        <v>46170</v>
      </c>
      <c r="D337" t="s">
        <v>13</v>
      </c>
      <c r="E337" t="s">
        <v>50</v>
      </c>
      <c r="F337" t="s">
        <v>1127</v>
      </c>
      <c r="G337">
        <v>530</v>
      </c>
      <c r="H337">
        <v>63000</v>
      </c>
      <c r="I337">
        <v>33390000</v>
      </c>
    </row>
    <row r="338" spans="1:11" hidden="1" x14ac:dyDescent="0.25">
      <c r="A338" s="210" t="s">
        <v>1579</v>
      </c>
      <c r="B338">
        <v>9672</v>
      </c>
      <c r="C338" s="100">
        <v>46170</v>
      </c>
      <c r="D338" t="s">
        <v>13</v>
      </c>
      <c r="E338" t="s">
        <v>317</v>
      </c>
      <c r="F338" t="s">
        <v>2506</v>
      </c>
      <c r="G338">
        <v>232</v>
      </c>
      <c r="H338">
        <v>66000</v>
      </c>
      <c r="I338">
        <v>15312000</v>
      </c>
    </row>
    <row r="339" spans="1:11" hidden="1" x14ac:dyDescent="0.25">
      <c r="A339" s="210" t="s">
        <v>1579</v>
      </c>
      <c r="B339">
        <v>9672</v>
      </c>
      <c r="C339" s="100">
        <v>46170</v>
      </c>
      <c r="D339" t="s">
        <v>13</v>
      </c>
      <c r="E339" t="s">
        <v>103</v>
      </c>
      <c r="F339" t="s">
        <v>2505</v>
      </c>
      <c r="G339">
        <v>242</v>
      </c>
      <c r="H339">
        <v>38500</v>
      </c>
      <c r="I339">
        <v>9317000</v>
      </c>
    </row>
    <row r="340" spans="1:11" hidden="1" x14ac:dyDescent="0.25">
      <c r="A340" s="210" t="s">
        <v>1499</v>
      </c>
      <c r="B340">
        <v>9671</v>
      </c>
      <c r="C340" s="100">
        <v>46170</v>
      </c>
      <c r="D340" t="s">
        <v>13</v>
      </c>
      <c r="E340" t="s">
        <v>17</v>
      </c>
      <c r="F340" t="s">
        <v>46</v>
      </c>
      <c r="G340">
        <v>120</v>
      </c>
      <c r="H340">
        <v>69000</v>
      </c>
      <c r="I340">
        <v>8280000</v>
      </c>
    </row>
    <row r="341" spans="1:11" hidden="1" x14ac:dyDescent="0.25">
      <c r="A341" s="210" t="s">
        <v>1524</v>
      </c>
      <c r="B341">
        <v>9670</v>
      </c>
      <c r="C341" s="100">
        <v>46170</v>
      </c>
      <c r="D341" t="s">
        <v>49</v>
      </c>
      <c r="E341" t="s">
        <v>17</v>
      </c>
      <c r="F341" t="s">
        <v>2503</v>
      </c>
      <c r="G341">
        <v>517</v>
      </c>
      <c r="I341">
        <v>0</v>
      </c>
      <c r="K341" t="s">
        <v>2504</v>
      </c>
    </row>
    <row r="342" spans="1:11" hidden="1" x14ac:dyDescent="0.25">
      <c r="A342" s="210" t="s">
        <v>1524</v>
      </c>
      <c r="B342">
        <v>9670</v>
      </c>
      <c r="C342" s="100">
        <v>46170</v>
      </c>
      <c r="D342" t="s">
        <v>49</v>
      </c>
      <c r="E342" t="s">
        <v>17</v>
      </c>
      <c r="F342" t="s">
        <v>446</v>
      </c>
      <c r="G342">
        <v>905</v>
      </c>
      <c r="I342">
        <v>0</v>
      </c>
      <c r="K342" t="s">
        <v>565</v>
      </c>
    </row>
    <row r="343" spans="1:11" hidden="1" x14ac:dyDescent="0.25">
      <c r="A343" s="210" t="s">
        <v>1641</v>
      </c>
      <c r="B343">
        <v>9669</v>
      </c>
      <c r="C343" s="100">
        <v>46170</v>
      </c>
      <c r="D343" t="s">
        <v>13</v>
      </c>
      <c r="E343" t="s">
        <v>43</v>
      </c>
      <c r="F343" t="s">
        <v>2502</v>
      </c>
      <c r="G343">
        <v>1107</v>
      </c>
      <c r="H343">
        <v>61000</v>
      </c>
      <c r="I343">
        <v>67527000</v>
      </c>
    </row>
    <row r="344" spans="1:11" hidden="1" x14ac:dyDescent="0.25">
      <c r="A344" s="210" t="s">
        <v>1641</v>
      </c>
      <c r="B344">
        <v>9669</v>
      </c>
      <c r="C344" s="100">
        <v>46170</v>
      </c>
      <c r="D344" t="s">
        <v>13</v>
      </c>
      <c r="E344" t="s">
        <v>43</v>
      </c>
      <c r="F344" t="s">
        <v>154</v>
      </c>
      <c r="G344">
        <v>1072</v>
      </c>
      <c r="H344">
        <v>58000</v>
      </c>
      <c r="I344">
        <v>62176000</v>
      </c>
    </row>
    <row r="345" spans="1:11" hidden="1" x14ac:dyDescent="0.25">
      <c r="A345" s="210" t="s">
        <v>1641</v>
      </c>
      <c r="B345">
        <v>9669</v>
      </c>
      <c r="C345" s="100">
        <v>46170</v>
      </c>
      <c r="D345" t="s">
        <v>13</v>
      </c>
      <c r="E345" t="s">
        <v>43</v>
      </c>
      <c r="F345" t="s">
        <v>44</v>
      </c>
      <c r="G345">
        <v>1220</v>
      </c>
      <c r="H345">
        <v>61500</v>
      </c>
      <c r="I345">
        <v>75030000</v>
      </c>
    </row>
    <row r="346" spans="1:11" hidden="1" x14ac:dyDescent="0.25">
      <c r="A346" s="210" t="s">
        <v>1641</v>
      </c>
      <c r="B346">
        <v>9669</v>
      </c>
      <c r="C346" s="100">
        <v>46170</v>
      </c>
      <c r="D346" t="s">
        <v>13</v>
      </c>
      <c r="E346" t="s">
        <v>43</v>
      </c>
      <c r="F346" t="s">
        <v>256</v>
      </c>
      <c r="G346">
        <v>240</v>
      </c>
      <c r="H346">
        <v>56000</v>
      </c>
      <c r="I346">
        <v>13440000</v>
      </c>
    </row>
    <row r="347" spans="1:11" hidden="1" x14ac:dyDescent="0.25">
      <c r="A347" s="210" t="s">
        <v>1479</v>
      </c>
      <c r="B347">
        <v>9668</v>
      </c>
      <c r="C347" s="100">
        <v>46170</v>
      </c>
      <c r="D347" t="s">
        <v>13</v>
      </c>
      <c r="E347" t="s">
        <v>68</v>
      </c>
      <c r="F347" t="s">
        <v>2501</v>
      </c>
      <c r="G347">
        <v>310</v>
      </c>
      <c r="H347">
        <v>42000</v>
      </c>
      <c r="I347">
        <v>13020000</v>
      </c>
    </row>
    <row r="348" spans="1:11" hidden="1" x14ac:dyDescent="0.25">
      <c r="A348" s="210" t="s">
        <v>1479</v>
      </c>
      <c r="B348">
        <v>9668</v>
      </c>
      <c r="C348" s="100">
        <v>46170</v>
      </c>
      <c r="D348" t="s">
        <v>13</v>
      </c>
      <c r="E348" t="s">
        <v>328</v>
      </c>
      <c r="F348" t="s">
        <v>73</v>
      </c>
      <c r="G348">
        <v>108</v>
      </c>
      <c r="H348">
        <v>39000</v>
      </c>
      <c r="I348">
        <v>4212000</v>
      </c>
    </row>
    <row r="349" spans="1:11" hidden="1" x14ac:dyDescent="0.25">
      <c r="A349" s="210" t="s">
        <v>1479</v>
      </c>
      <c r="B349">
        <v>9668</v>
      </c>
      <c r="C349" s="100">
        <v>46170</v>
      </c>
      <c r="D349" t="s">
        <v>13</v>
      </c>
      <c r="E349" t="s">
        <v>43</v>
      </c>
      <c r="F349" t="s">
        <v>62</v>
      </c>
      <c r="G349">
        <v>1848</v>
      </c>
      <c r="H349">
        <v>62000</v>
      </c>
      <c r="I349">
        <v>114576000</v>
      </c>
    </row>
    <row r="350" spans="1:11" hidden="1" x14ac:dyDescent="0.25">
      <c r="A350" s="210" t="s">
        <v>1479</v>
      </c>
      <c r="B350">
        <v>9668</v>
      </c>
      <c r="C350" s="100">
        <v>46170</v>
      </c>
      <c r="D350" t="s">
        <v>13</v>
      </c>
      <c r="E350" t="s">
        <v>43</v>
      </c>
      <c r="F350" t="s">
        <v>248</v>
      </c>
      <c r="G350">
        <v>3135</v>
      </c>
      <c r="H350">
        <v>61000</v>
      </c>
      <c r="I350">
        <v>191235000</v>
      </c>
    </row>
    <row r="351" spans="1:11" hidden="1" x14ac:dyDescent="0.25">
      <c r="A351" s="210" t="s">
        <v>2500</v>
      </c>
      <c r="B351">
        <v>9667</v>
      </c>
      <c r="C351" s="100">
        <v>46170</v>
      </c>
      <c r="D351" t="s">
        <v>13</v>
      </c>
      <c r="E351" t="s">
        <v>14</v>
      </c>
      <c r="F351" t="s">
        <v>136</v>
      </c>
      <c r="G351">
        <v>1224</v>
      </c>
      <c r="H351">
        <v>42000</v>
      </c>
      <c r="I351">
        <v>51408000</v>
      </c>
    </row>
    <row r="352" spans="1:11" hidden="1" x14ac:dyDescent="0.25">
      <c r="A352" s="210" t="s">
        <v>2500</v>
      </c>
      <c r="B352">
        <v>9667</v>
      </c>
      <c r="C352" s="100">
        <v>46170</v>
      </c>
      <c r="D352" t="s">
        <v>13</v>
      </c>
      <c r="E352" t="s">
        <v>43</v>
      </c>
      <c r="F352" t="s">
        <v>146</v>
      </c>
      <c r="G352">
        <v>519</v>
      </c>
      <c r="H352">
        <v>61000</v>
      </c>
      <c r="I352">
        <v>31659000</v>
      </c>
    </row>
    <row r="353" spans="1:11" hidden="1" x14ac:dyDescent="0.25">
      <c r="A353" s="210" t="s">
        <v>1493</v>
      </c>
      <c r="B353">
        <v>9666</v>
      </c>
      <c r="C353" s="100">
        <v>46170</v>
      </c>
      <c r="D353" t="s">
        <v>13</v>
      </c>
      <c r="E353" t="s">
        <v>43</v>
      </c>
      <c r="F353" t="s">
        <v>136</v>
      </c>
      <c r="G353">
        <v>650</v>
      </c>
      <c r="H353">
        <v>58000</v>
      </c>
      <c r="I353">
        <v>37700000</v>
      </c>
    </row>
    <row r="354" spans="1:11" hidden="1" x14ac:dyDescent="0.25">
      <c r="A354" s="210" t="s">
        <v>1524</v>
      </c>
      <c r="B354">
        <v>9665</v>
      </c>
      <c r="C354" s="100">
        <v>46170</v>
      </c>
      <c r="D354" t="s">
        <v>49</v>
      </c>
      <c r="E354" t="s">
        <v>43</v>
      </c>
      <c r="F354" t="s">
        <v>136</v>
      </c>
      <c r="G354">
        <v>3028</v>
      </c>
      <c r="I354">
        <v>0</v>
      </c>
      <c r="K354" t="s">
        <v>1740</v>
      </c>
    </row>
    <row r="355" spans="1:11" hidden="1" x14ac:dyDescent="0.25">
      <c r="A355" s="210" t="s">
        <v>1689</v>
      </c>
      <c r="B355">
        <v>9664</v>
      </c>
      <c r="C355" s="100">
        <v>46170</v>
      </c>
      <c r="D355" t="s">
        <v>13</v>
      </c>
      <c r="E355" t="s">
        <v>54</v>
      </c>
      <c r="F355" t="s">
        <v>2498</v>
      </c>
      <c r="G355">
        <v>372</v>
      </c>
      <c r="H355">
        <v>34000</v>
      </c>
      <c r="I355">
        <v>12648000</v>
      </c>
    </row>
    <row r="356" spans="1:11" hidden="1" x14ac:dyDescent="0.25">
      <c r="A356" s="210" t="s">
        <v>1558</v>
      </c>
      <c r="B356">
        <v>9663</v>
      </c>
      <c r="C356" s="100">
        <v>46170</v>
      </c>
      <c r="D356" t="s">
        <v>13</v>
      </c>
      <c r="E356" t="s">
        <v>301</v>
      </c>
      <c r="F356" t="s">
        <v>941</v>
      </c>
      <c r="G356">
        <v>3400</v>
      </c>
      <c r="H356">
        <v>29000</v>
      </c>
      <c r="I356">
        <v>98600000</v>
      </c>
    </row>
    <row r="357" spans="1:11" hidden="1" x14ac:dyDescent="0.25">
      <c r="A357" s="210" t="s">
        <v>1641</v>
      </c>
      <c r="B357">
        <v>9662</v>
      </c>
      <c r="C357" s="100">
        <v>46169</v>
      </c>
      <c r="D357" t="s">
        <v>13</v>
      </c>
      <c r="E357" t="s">
        <v>50</v>
      </c>
      <c r="F357" t="s">
        <v>2493</v>
      </c>
      <c r="G357">
        <v>976</v>
      </c>
      <c r="H357">
        <v>60500</v>
      </c>
      <c r="I357">
        <v>59048000</v>
      </c>
    </row>
    <row r="358" spans="1:11" hidden="1" x14ac:dyDescent="0.25">
      <c r="A358" s="210" t="s">
        <v>1562</v>
      </c>
      <c r="B358">
        <v>9661</v>
      </c>
      <c r="C358" s="100">
        <v>46169</v>
      </c>
      <c r="D358" t="s">
        <v>13</v>
      </c>
      <c r="E358" t="s">
        <v>270</v>
      </c>
      <c r="F358" t="s">
        <v>62</v>
      </c>
      <c r="G358">
        <v>1350</v>
      </c>
      <c r="H358">
        <v>70500</v>
      </c>
      <c r="I358">
        <v>95175000</v>
      </c>
    </row>
    <row r="359" spans="1:11" hidden="1" x14ac:dyDescent="0.25">
      <c r="A359" s="210" t="s">
        <v>1562</v>
      </c>
      <c r="B359">
        <v>9661</v>
      </c>
      <c r="C359" s="100">
        <v>46169</v>
      </c>
      <c r="D359" t="s">
        <v>13</v>
      </c>
      <c r="E359" t="s">
        <v>169</v>
      </c>
      <c r="F359" t="s">
        <v>41</v>
      </c>
      <c r="G359">
        <v>680</v>
      </c>
      <c r="H359">
        <v>39500</v>
      </c>
      <c r="I359">
        <v>26860000</v>
      </c>
    </row>
    <row r="360" spans="1:11" hidden="1" x14ac:dyDescent="0.25">
      <c r="A360" s="210" t="s">
        <v>1562</v>
      </c>
      <c r="B360">
        <v>9661</v>
      </c>
      <c r="C360" s="100">
        <v>46169</v>
      </c>
      <c r="D360" t="s">
        <v>13</v>
      </c>
      <c r="E360" t="s">
        <v>135</v>
      </c>
      <c r="F360" t="s">
        <v>134</v>
      </c>
      <c r="G360">
        <v>766</v>
      </c>
      <c r="H360">
        <v>38000</v>
      </c>
      <c r="I360">
        <v>29108000</v>
      </c>
    </row>
    <row r="361" spans="1:11" hidden="1" x14ac:dyDescent="0.25">
      <c r="A361" s="210" t="s">
        <v>1476</v>
      </c>
      <c r="B361">
        <v>9660</v>
      </c>
      <c r="C361" s="100">
        <v>46169</v>
      </c>
      <c r="D361" t="s">
        <v>49</v>
      </c>
      <c r="E361" t="s">
        <v>50</v>
      </c>
      <c r="F361" t="s">
        <v>110</v>
      </c>
      <c r="G361">
        <v>1422</v>
      </c>
      <c r="I361">
        <v>0</v>
      </c>
      <c r="K361" t="s">
        <v>64</v>
      </c>
    </row>
    <row r="362" spans="1:11" hidden="1" x14ac:dyDescent="0.25">
      <c r="A362" s="210" t="s">
        <v>1476</v>
      </c>
      <c r="B362">
        <v>9660</v>
      </c>
      <c r="C362" s="100">
        <v>46169</v>
      </c>
      <c r="D362" t="s">
        <v>49</v>
      </c>
      <c r="E362" t="s">
        <v>50</v>
      </c>
      <c r="F362" t="s">
        <v>2492</v>
      </c>
      <c r="G362">
        <v>28</v>
      </c>
      <c r="I362">
        <v>0</v>
      </c>
      <c r="K362" t="s">
        <v>64</v>
      </c>
    </row>
    <row r="363" spans="1:11" hidden="1" x14ac:dyDescent="0.25">
      <c r="A363" s="210" t="s">
        <v>1505</v>
      </c>
      <c r="B363">
        <v>9659</v>
      </c>
      <c r="C363" s="100">
        <v>46169</v>
      </c>
      <c r="D363" t="s">
        <v>13</v>
      </c>
      <c r="E363" t="s">
        <v>17</v>
      </c>
      <c r="F363" t="s">
        <v>78</v>
      </c>
      <c r="G363">
        <v>2506</v>
      </c>
      <c r="H363">
        <v>65000</v>
      </c>
      <c r="I363">
        <v>162890000</v>
      </c>
    </row>
    <row r="364" spans="1:11" hidden="1" x14ac:dyDescent="0.25">
      <c r="A364" s="210" t="s">
        <v>1505</v>
      </c>
      <c r="B364">
        <v>9659</v>
      </c>
      <c r="C364" s="100">
        <v>46169</v>
      </c>
      <c r="D364" t="s">
        <v>13</v>
      </c>
      <c r="E364" t="s">
        <v>17</v>
      </c>
      <c r="F364" t="s">
        <v>40</v>
      </c>
      <c r="G364">
        <v>851</v>
      </c>
      <c r="H364">
        <v>66000</v>
      </c>
      <c r="I364">
        <v>56166000</v>
      </c>
    </row>
    <row r="365" spans="1:11" hidden="1" x14ac:dyDescent="0.25">
      <c r="A365" s="210" t="s">
        <v>1505</v>
      </c>
      <c r="B365">
        <v>9659</v>
      </c>
      <c r="C365" s="100">
        <v>46169</v>
      </c>
      <c r="D365" t="s">
        <v>13</v>
      </c>
      <c r="E365" t="s">
        <v>17</v>
      </c>
      <c r="F365" t="s">
        <v>469</v>
      </c>
      <c r="G365">
        <v>605</v>
      </c>
      <c r="H365">
        <v>66000</v>
      </c>
      <c r="I365">
        <v>39930000</v>
      </c>
    </row>
    <row r="366" spans="1:11" hidden="1" x14ac:dyDescent="0.25">
      <c r="A366" s="210" t="s">
        <v>1568</v>
      </c>
      <c r="B366">
        <v>9658</v>
      </c>
      <c r="C366" s="100">
        <v>46169</v>
      </c>
      <c r="D366" t="s">
        <v>13</v>
      </c>
      <c r="E366" t="s">
        <v>17</v>
      </c>
      <c r="F366" t="s">
        <v>446</v>
      </c>
      <c r="G366">
        <v>532</v>
      </c>
      <c r="H366">
        <v>61000</v>
      </c>
      <c r="I366">
        <v>32452000</v>
      </c>
      <c r="K366" t="s">
        <v>42</v>
      </c>
    </row>
    <row r="367" spans="1:11" hidden="1" x14ac:dyDescent="0.25">
      <c r="A367" s="210" t="s">
        <v>1568</v>
      </c>
      <c r="B367">
        <v>9658</v>
      </c>
      <c r="C367" s="100">
        <v>46169</v>
      </c>
      <c r="D367" t="s">
        <v>13</v>
      </c>
      <c r="E367" t="s">
        <v>17</v>
      </c>
      <c r="F367" t="s">
        <v>2490</v>
      </c>
      <c r="G367">
        <v>1184</v>
      </c>
      <c r="H367">
        <v>61600</v>
      </c>
      <c r="I367">
        <v>72934400</v>
      </c>
      <c r="K367" t="s">
        <v>2491</v>
      </c>
    </row>
    <row r="368" spans="1:11" hidden="1" x14ac:dyDescent="0.25">
      <c r="A368" s="210" t="s">
        <v>1568</v>
      </c>
      <c r="B368">
        <v>9658</v>
      </c>
      <c r="C368" s="100">
        <v>46169</v>
      </c>
      <c r="D368" t="s">
        <v>13</v>
      </c>
      <c r="E368" t="s">
        <v>17</v>
      </c>
      <c r="F368" t="s">
        <v>33</v>
      </c>
      <c r="G368">
        <v>1140</v>
      </c>
      <c r="H368">
        <v>62000</v>
      </c>
      <c r="I368">
        <v>70680000</v>
      </c>
    </row>
    <row r="369" spans="1:11" hidden="1" x14ac:dyDescent="0.25">
      <c r="A369" s="210" t="s">
        <v>2348</v>
      </c>
      <c r="B369">
        <v>9657</v>
      </c>
      <c r="C369" s="100">
        <v>46169</v>
      </c>
      <c r="D369" t="s">
        <v>13</v>
      </c>
      <c r="E369" t="s">
        <v>26</v>
      </c>
      <c r="F369" t="s">
        <v>747</v>
      </c>
      <c r="G369">
        <v>1040</v>
      </c>
      <c r="H369">
        <v>33000</v>
      </c>
      <c r="I369">
        <v>34320000</v>
      </c>
    </row>
    <row r="370" spans="1:11" hidden="1" x14ac:dyDescent="0.25">
      <c r="A370" s="210" t="s">
        <v>2348</v>
      </c>
      <c r="B370">
        <v>9657</v>
      </c>
      <c r="C370" s="100">
        <v>46169</v>
      </c>
      <c r="D370" t="s">
        <v>13</v>
      </c>
      <c r="E370" t="s">
        <v>26</v>
      </c>
      <c r="F370" t="s">
        <v>796</v>
      </c>
      <c r="G370">
        <v>1002</v>
      </c>
      <c r="H370">
        <v>33000</v>
      </c>
      <c r="I370">
        <v>33066000</v>
      </c>
    </row>
    <row r="371" spans="1:11" hidden="1" x14ac:dyDescent="0.25">
      <c r="A371" s="210" t="s">
        <v>1635</v>
      </c>
      <c r="B371">
        <v>9656</v>
      </c>
      <c r="C371" s="100">
        <v>46169</v>
      </c>
      <c r="D371" t="s">
        <v>13</v>
      </c>
      <c r="E371" t="s">
        <v>43</v>
      </c>
      <c r="F371" t="s">
        <v>78</v>
      </c>
      <c r="G371">
        <v>697</v>
      </c>
      <c r="H371">
        <v>63000</v>
      </c>
      <c r="I371">
        <v>43911000</v>
      </c>
    </row>
    <row r="372" spans="1:11" hidden="1" x14ac:dyDescent="0.25">
      <c r="A372" s="210" t="s">
        <v>1524</v>
      </c>
      <c r="B372">
        <v>9655</v>
      </c>
      <c r="C372" s="100">
        <v>46169</v>
      </c>
      <c r="D372" t="s">
        <v>49</v>
      </c>
      <c r="E372" t="s">
        <v>26</v>
      </c>
      <c r="F372" t="s">
        <v>2287</v>
      </c>
      <c r="G372">
        <v>978</v>
      </c>
      <c r="I372">
        <v>0</v>
      </c>
      <c r="K372" t="s">
        <v>2487</v>
      </c>
    </row>
    <row r="373" spans="1:11" hidden="1" x14ac:dyDescent="0.25">
      <c r="A373" s="210" t="s">
        <v>1524</v>
      </c>
      <c r="B373">
        <v>9655</v>
      </c>
      <c r="C373" s="100">
        <v>46169</v>
      </c>
      <c r="D373" t="s">
        <v>49</v>
      </c>
      <c r="E373" t="s">
        <v>17</v>
      </c>
      <c r="F373" t="s">
        <v>2488</v>
      </c>
      <c r="G373">
        <v>2050</v>
      </c>
      <c r="I373">
        <v>0</v>
      </c>
      <c r="K373" t="s">
        <v>2489</v>
      </c>
    </row>
    <row r="374" spans="1:11" hidden="1" x14ac:dyDescent="0.25">
      <c r="A374" s="210" t="s">
        <v>1556</v>
      </c>
      <c r="B374">
        <v>9654</v>
      </c>
      <c r="C374" s="100">
        <v>46169</v>
      </c>
      <c r="D374" t="s">
        <v>13</v>
      </c>
      <c r="E374" t="s">
        <v>17</v>
      </c>
      <c r="F374" t="s">
        <v>41</v>
      </c>
      <c r="G374">
        <v>292</v>
      </c>
      <c r="H374">
        <v>65500</v>
      </c>
      <c r="I374">
        <v>19126000</v>
      </c>
    </row>
    <row r="375" spans="1:11" hidden="1" x14ac:dyDescent="0.25">
      <c r="A375" s="210" t="s">
        <v>1532</v>
      </c>
      <c r="B375">
        <v>9653</v>
      </c>
      <c r="C375" s="100">
        <v>46169</v>
      </c>
      <c r="D375" t="s">
        <v>49</v>
      </c>
      <c r="E375" t="s">
        <v>301</v>
      </c>
      <c r="F375" t="s">
        <v>606</v>
      </c>
      <c r="G375">
        <v>8522</v>
      </c>
      <c r="I375">
        <v>0</v>
      </c>
      <c r="K375" t="s">
        <v>2484</v>
      </c>
    </row>
    <row r="376" spans="1:11" hidden="1" x14ac:dyDescent="0.25">
      <c r="A376" s="210" t="s">
        <v>1532</v>
      </c>
      <c r="B376">
        <v>9653</v>
      </c>
      <c r="C376" s="100">
        <v>46169</v>
      </c>
      <c r="D376" t="s">
        <v>49</v>
      </c>
      <c r="E376" t="s">
        <v>26</v>
      </c>
      <c r="F376" t="s">
        <v>2485</v>
      </c>
      <c r="G376">
        <v>960</v>
      </c>
      <c r="I376">
        <v>0</v>
      </c>
      <c r="K376" t="s">
        <v>2486</v>
      </c>
    </row>
    <row r="377" spans="1:11" hidden="1" x14ac:dyDescent="0.25">
      <c r="A377" s="210" t="s">
        <v>1524</v>
      </c>
      <c r="B377">
        <v>9652</v>
      </c>
      <c r="C377" s="100">
        <v>46169</v>
      </c>
      <c r="D377" t="s">
        <v>49</v>
      </c>
      <c r="E377" t="s">
        <v>17</v>
      </c>
      <c r="F377" t="s">
        <v>62</v>
      </c>
      <c r="G377">
        <v>773</v>
      </c>
      <c r="I377">
        <v>0</v>
      </c>
      <c r="K377" t="s">
        <v>2483</v>
      </c>
    </row>
    <row r="378" spans="1:11" hidden="1" x14ac:dyDescent="0.25">
      <c r="A378" s="210" t="s">
        <v>1582</v>
      </c>
      <c r="B378">
        <v>9651</v>
      </c>
      <c r="C378" s="100">
        <v>46169</v>
      </c>
      <c r="D378" t="s">
        <v>13</v>
      </c>
      <c r="E378" t="s">
        <v>43</v>
      </c>
      <c r="F378" t="s">
        <v>259</v>
      </c>
      <c r="G378">
        <v>140</v>
      </c>
      <c r="H378">
        <v>65000</v>
      </c>
      <c r="I378">
        <v>9100000</v>
      </c>
    </row>
    <row r="379" spans="1:11" hidden="1" x14ac:dyDescent="0.25">
      <c r="A379" s="210" t="s">
        <v>1671</v>
      </c>
      <c r="B379">
        <v>9650</v>
      </c>
      <c r="C379" s="100">
        <v>46169</v>
      </c>
      <c r="D379" t="s">
        <v>13</v>
      </c>
      <c r="E379" t="s">
        <v>317</v>
      </c>
      <c r="F379" t="s">
        <v>288</v>
      </c>
      <c r="G379">
        <v>24</v>
      </c>
      <c r="H379">
        <v>66500</v>
      </c>
      <c r="I379">
        <v>1596000</v>
      </c>
    </row>
    <row r="380" spans="1:11" hidden="1" x14ac:dyDescent="0.25">
      <c r="A380" s="210" t="s">
        <v>2548</v>
      </c>
      <c r="B380">
        <v>9649</v>
      </c>
      <c r="C380" s="100">
        <v>46169</v>
      </c>
      <c r="D380" t="s">
        <v>13</v>
      </c>
      <c r="E380" t="s">
        <v>1029</v>
      </c>
      <c r="F380" t="s">
        <v>2480</v>
      </c>
      <c r="G380">
        <v>14194</v>
      </c>
      <c r="H380">
        <v>31300</v>
      </c>
      <c r="I380">
        <v>444272200</v>
      </c>
    </row>
    <row r="381" spans="1:11" hidden="1" x14ac:dyDescent="0.25">
      <c r="A381" s="210" t="s">
        <v>2548</v>
      </c>
      <c r="B381">
        <v>9649</v>
      </c>
      <c r="C381" s="100">
        <v>46169</v>
      </c>
      <c r="D381" t="s">
        <v>13</v>
      </c>
      <c r="E381" t="s">
        <v>2481</v>
      </c>
      <c r="F381" t="s">
        <v>2482</v>
      </c>
      <c r="G381">
        <v>1125</v>
      </c>
      <c r="H381">
        <v>68000</v>
      </c>
      <c r="I381">
        <v>76500000</v>
      </c>
    </row>
    <row r="382" spans="1:11" hidden="1" x14ac:dyDescent="0.25">
      <c r="A382" s="210" t="s">
        <v>1536</v>
      </c>
      <c r="B382">
        <v>9647</v>
      </c>
      <c r="C382" s="100">
        <v>46169</v>
      </c>
      <c r="D382" t="s">
        <v>13</v>
      </c>
      <c r="E382" t="s">
        <v>109</v>
      </c>
      <c r="F382" t="s">
        <v>1046</v>
      </c>
      <c r="G382">
        <v>366</v>
      </c>
      <c r="H382">
        <v>63000</v>
      </c>
      <c r="I382">
        <v>23058000</v>
      </c>
    </row>
    <row r="383" spans="1:11" hidden="1" x14ac:dyDescent="0.25">
      <c r="A383" s="210" t="s">
        <v>1536</v>
      </c>
      <c r="B383">
        <v>9647</v>
      </c>
      <c r="C383" s="100">
        <v>46169</v>
      </c>
      <c r="D383" t="s">
        <v>13</v>
      </c>
      <c r="E383" t="s">
        <v>109</v>
      </c>
      <c r="F383" t="s">
        <v>2353</v>
      </c>
      <c r="G383">
        <v>488</v>
      </c>
      <c r="H383">
        <v>70000</v>
      </c>
      <c r="I383">
        <v>34160000</v>
      </c>
    </row>
    <row r="384" spans="1:11" hidden="1" x14ac:dyDescent="0.25">
      <c r="A384" s="210" t="s">
        <v>1536</v>
      </c>
      <c r="B384">
        <v>9647</v>
      </c>
      <c r="C384" s="100">
        <v>46169</v>
      </c>
      <c r="D384" t="s">
        <v>13</v>
      </c>
      <c r="E384" t="s">
        <v>109</v>
      </c>
      <c r="F384" t="s">
        <v>2354</v>
      </c>
      <c r="G384">
        <v>356</v>
      </c>
      <c r="H384">
        <v>70000</v>
      </c>
      <c r="I384">
        <v>24920000</v>
      </c>
    </row>
    <row r="385" spans="1:9" hidden="1" x14ac:dyDescent="0.25">
      <c r="A385" s="210" t="s">
        <v>1536</v>
      </c>
      <c r="B385">
        <v>9647</v>
      </c>
      <c r="C385" s="100">
        <v>46169</v>
      </c>
      <c r="D385" t="s">
        <v>13</v>
      </c>
      <c r="E385" t="s">
        <v>17</v>
      </c>
      <c r="F385" t="s">
        <v>78</v>
      </c>
      <c r="G385">
        <v>16</v>
      </c>
      <c r="I385">
        <v>0</v>
      </c>
    </row>
    <row r="386" spans="1:9" hidden="1" x14ac:dyDescent="0.25">
      <c r="A386" s="210" t="s">
        <v>1536</v>
      </c>
      <c r="B386">
        <v>9646</v>
      </c>
      <c r="C386" s="100">
        <v>46169</v>
      </c>
      <c r="D386" t="s">
        <v>13</v>
      </c>
      <c r="E386" t="s">
        <v>17</v>
      </c>
      <c r="F386" t="s">
        <v>62</v>
      </c>
      <c r="G386">
        <v>509</v>
      </c>
      <c r="H386">
        <v>65000</v>
      </c>
      <c r="I386">
        <v>33085000</v>
      </c>
    </row>
    <row r="387" spans="1:9" hidden="1" x14ac:dyDescent="0.25">
      <c r="A387" s="210" t="s">
        <v>1536</v>
      </c>
      <c r="B387">
        <v>9646</v>
      </c>
      <c r="C387" s="100">
        <v>46169</v>
      </c>
      <c r="D387" t="s">
        <v>13</v>
      </c>
      <c r="E387" t="s">
        <v>32</v>
      </c>
      <c r="F387" t="s">
        <v>78</v>
      </c>
      <c r="G387">
        <v>228</v>
      </c>
      <c r="H387">
        <v>41000</v>
      </c>
      <c r="I387">
        <v>9348000</v>
      </c>
    </row>
    <row r="388" spans="1:9" hidden="1" x14ac:dyDescent="0.25">
      <c r="A388" s="210" t="s">
        <v>1536</v>
      </c>
      <c r="B388">
        <v>9646</v>
      </c>
      <c r="C388" s="100">
        <v>46169</v>
      </c>
      <c r="D388" t="s">
        <v>13</v>
      </c>
      <c r="E388" t="s">
        <v>265</v>
      </c>
      <c r="F388" t="s">
        <v>62</v>
      </c>
      <c r="G388">
        <v>124</v>
      </c>
      <c r="H388">
        <v>69000</v>
      </c>
      <c r="I388">
        <v>8556000</v>
      </c>
    </row>
    <row r="389" spans="1:9" hidden="1" x14ac:dyDescent="0.25">
      <c r="A389" s="210" t="s">
        <v>1536</v>
      </c>
      <c r="B389">
        <v>9646</v>
      </c>
      <c r="C389" s="100">
        <v>46169</v>
      </c>
      <c r="D389" t="s">
        <v>13</v>
      </c>
      <c r="E389" t="s">
        <v>103</v>
      </c>
      <c r="F389" t="s">
        <v>117</v>
      </c>
      <c r="G389">
        <v>248</v>
      </c>
      <c r="H389">
        <v>37500</v>
      </c>
      <c r="I389">
        <v>9300000</v>
      </c>
    </row>
    <row r="390" spans="1:9" hidden="1" x14ac:dyDescent="0.25">
      <c r="A390" s="210" t="s">
        <v>1536</v>
      </c>
      <c r="B390">
        <v>9646</v>
      </c>
      <c r="C390" s="100">
        <v>46169</v>
      </c>
      <c r="D390" t="s">
        <v>13</v>
      </c>
      <c r="E390" t="s">
        <v>103</v>
      </c>
      <c r="F390" t="s">
        <v>122</v>
      </c>
      <c r="G390">
        <v>374</v>
      </c>
      <c r="H390">
        <v>37500</v>
      </c>
      <c r="I390">
        <v>14025000</v>
      </c>
    </row>
    <row r="391" spans="1:9" hidden="1" x14ac:dyDescent="0.25">
      <c r="A391" s="210" t="s">
        <v>1525</v>
      </c>
      <c r="B391">
        <v>9645</v>
      </c>
      <c r="C391" s="100">
        <v>46169</v>
      </c>
      <c r="D391" t="s">
        <v>13</v>
      </c>
      <c r="E391" t="s">
        <v>17</v>
      </c>
      <c r="F391" t="s">
        <v>482</v>
      </c>
      <c r="G391">
        <v>264</v>
      </c>
      <c r="H391">
        <v>69000</v>
      </c>
      <c r="I391">
        <v>18216000</v>
      </c>
    </row>
    <row r="392" spans="1:9" hidden="1" x14ac:dyDescent="0.25">
      <c r="A392" s="210" t="s">
        <v>1491</v>
      </c>
      <c r="B392">
        <v>9644</v>
      </c>
      <c r="C392" s="100">
        <v>46169</v>
      </c>
      <c r="D392" t="s">
        <v>13</v>
      </c>
      <c r="E392" t="s">
        <v>43</v>
      </c>
      <c r="F392" t="s">
        <v>259</v>
      </c>
      <c r="G392">
        <v>1283</v>
      </c>
      <c r="H392">
        <v>64000</v>
      </c>
      <c r="I392">
        <v>82112000</v>
      </c>
    </row>
    <row r="393" spans="1:9" hidden="1" x14ac:dyDescent="0.25">
      <c r="A393" s="210" t="s">
        <v>1491</v>
      </c>
      <c r="B393">
        <v>9644</v>
      </c>
      <c r="C393" s="100">
        <v>46169</v>
      </c>
      <c r="D393" t="s">
        <v>13</v>
      </c>
      <c r="E393" t="s">
        <v>17</v>
      </c>
      <c r="F393" t="s">
        <v>431</v>
      </c>
      <c r="G393">
        <v>822</v>
      </c>
      <c r="H393">
        <v>66000</v>
      </c>
      <c r="I393">
        <v>54252000</v>
      </c>
    </row>
    <row r="394" spans="1:9" hidden="1" x14ac:dyDescent="0.25">
      <c r="A394" s="210" t="s">
        <v>1577</v>
      </c>
      <c r="B394">
        <v>9643</v>
      </c>
      <c r="C394" s="100">
        <v>46169</v>
      </c>
      <c r="D394" t="s">
        <v>13</v>
      </c>
      <c r="E394" t="s">
        <v>43</v>
      </c>
      <c r="F394" t="s">
        <v>248</v>
      </c>
      <c r="G394">
        <v>576</v>
      </c>
      <c r="H394">
        <v>61000</v>
      </c>
      <c r="I394">
        <v>35136000</v>
      </c>
    </row>
    <row r="395" spans="1:9" hidden="1" x14ac:dyDescent="0.25">
      <c r="A395" s="210" t="s">
        <v>1635</v>
      </c>
      <c r="B395">
        <v>9642</v>
      </c>
      <c r="C395" s="100">
        <v>46169</v>
      </c>
      <c r="D395" t="s">
        <v>13</v>
      </c>
      <c r="E395" t="s">
        <v>17</v>
      </c>
      <c r="F395" t="s">
        <v>78</v>
      </c>
      <c r="G395">
        <v>1067</v>
      </c>
      <c r="H395">
        <v>65500</v>
      </c>
      <c r="I395">
        <v>69888500</v>
      </c>
    </row>
    <row r="396" spans="1:9" hidden="1" x14ac:dyDescent="0.25">
      <c r="A396" s="210" t="s">
        <v>1635</v>
      </c>
      <c r="B396">
        <v>9642</v>
      </c>
      <c r="C396" s="100">
        <v>46169</v>
      </c>
      <c r="D396" t="s">
        <v>13</v>
      </c>
      <c r="E396" t="s">
        <v>17</v>
      </c>
      <c r="F396" t="s">
        <v>62</v>
      </c>
      <c r="G396">
        <v>1873</v>
      </c>
      <c r="H396">
        <v>65000</v>
      </c>
      <c r="I396">
        <v>121745000</v>
      </c>
    </row>
    <row r="397" spans="1:9" hidden="1" x14ac:dyDescent="0.25">
      <c r="A397" s="210" t="s">
        <v>1635</v>
      </c>
      <c r="B397">
        <v>9642</v>
      </c>
      <c r="C397" s="100">
        <v>46169</v>
      </c>
      <c r="D397" t="s">
        <v>13</v>
      </c>
      <c r="E397" t="s">
        <v>68</v>
      </c>
      <c r="F397" t="s">
        <v>148</v>
      </c>
      <c r="G397">
        <v>962</v>
      </c>
      <c r="H397">
        <v>42500</v>
      </c>
      <c r="I397">
        <v>40885000</v>
      </c>
    </row>
    <row r="398" spans="1:9" hidden="1" x14ac:dyDescent="0.25">
      <c r="A398" s="210" t="s">
        <v>1635</v>
      </c>
      <c r="B398">
        <v>9642</v>
      </c>
      <c r="C398" s="100">
        <v>46169</v>
      </c>
      <c r="D398" t="s">
        <v>166</v>
      </c>
      <c r="E398" t="s">
        <v>317</v>
      </c>
      <c r="F398" t="s">
        <v>62</v>
      </c>
      <c r="G398">
        <v>542</v>
      </c>
      <c r="H398">
        <v>-65000</v>
      </c>
      <c r="I398">
        <v>-35230000</v>
      </c>
    </row>
    <row r="399" spans="1:9" hidden="1" x14ac:dyDescent="0.25">
      <c r="A399" s="210" t="s">
        <v>1502</v>
      </c>
      <c r="B399">
        <v>9641</v>
      </c>
      <c r="C399" s="100">
        <v>46169</v>
      </c>
      <c r="D399" t="s">
        <v>13</v>
      </c>
      <c r="E399" t="s">
        <v>2479</v>
      </c>
      <c r="F399" t="s">
        <v>1264</v>
      </c>
      <c r="G399">
        <v>1984</v>
      </c>
      <c r="H399">
        <v>37000</v>
      </c>
      <c r="I399">
        <v>73408000</v>
      </c>
    </row>
    <row r="400" spans="1:9" hidden="1" x14ac:dyDescent="0.25">
      <c r="A400" s="210" t="s">
        <v>1488</v>
      </c>
      <c r="B400">
        <v>9640</v>
      </c>
      <c r="C400" s="100">
        <v>46169</v>
      </c>
      <c r="D400" t="s">
        <v>13</v>
      </c>
      <c r="E400" t="s">
        <v>301</v>
      </c>
      <c r="F400" t="s">
        <v>2478</v>
      </c>
      <c r="G400">
        <v>1254</v>
      </c>
      <c r="H400">
        <v>23000</v>
      </c>
      <c r="I400">
        <v>28842000</v>
      </c>
    </row>
    <row r="401" spans="1:11" hidden="1" x14ac:dyDescent="0.25">
      <c r="A401" s="210" t="s">
        <v>1524</v>
      </c>
      <c r="B401">
        <v>9639</v>
      </c>
      <c r="C401" s="100">
        <v>46169</v>
      </c>
      <c r="D401" t="s">
        <v>49</v>
      </c>
      <c r="E401" t="s">
        <v>17</v>
      </c>
      <c r="F401" t="s">
        <v>446</v>
      </c>
      <c r="G401">
        <v>1183</v>
      </c>
      <c r="I401">
        <v>0</v>
      </c>
      <c r="K401" t="s">
        <v>2475</v>
      </c>
    </row>
    <row r="402" spans="1:11" hidden="1" x14ac:dyDescent="0.25">
      <c r="A402" s="210" t="s">
        <v>1524</v>
      </c>
      <c r="B402">
        <v>9639</v>
      </c>
      <c r="C402" s="100">
        <v>46169</v>
      </c>
      <c r="D402" t="s">
        <v>49</v>
      </c>
      <c r="E402" t="s">
        <v>17</v>
      </c>
      <c r="F402" t="s">
        <v>2476</v>
      </c>
      <c r="G402">
        <v>962</v>
      </c>
      <c r="I402">
        <v>0</v>
      </c>
      <c r="K402" t="s">
        <v>2477</v>
      </c>
    </row>
    <row r="403" spans="1:11" hidden="1" x14ac:dyDescent="0.25">
      <c r="A403" s="210" t="s">
        <v>1493</v>
      </c>
      <c r="B403">
        <v>9637</v>
      </c>
      <c r="C403" s="100">
        <v>46169</v>
      </c>
      <c r="D403" t="s">
        <v>13</v>
      </c>
      <c r="E403" t="s">
        <v>50</v>
      </c>
      <c r="F403" t="s">
        <v>122</v>
      </c>
      <c r="G403">
        <v>1726</v>
      </c>
      <c r="I403">
        <v>0</v>
      </c>
    </row>
    <row r="404" spans="1:11" hidden="1" x14ac:dyDescent="0.25">
      <c r="A404" s="210" t="s">
        <v>1493</v>
      </c>
      <c r="B404">
        <v>9637</v>
      </c>
      <c r="C404" s="100">
        <v>46169</v>
      </c>
      <c r="D404" t="s">
        <v>13</v>
      </c>
      <c r="E404" t="s">
        <v>50</v>
      </c>
      <c r="F404" t="s">
        <v>110</v>
      </c>
      <c r="G404">
        <v>2214</v>
      </c>
      <c r="I404">
        <v>0</v>
      </c>
    </row>
    <row r="405" spans="1:11" hidden="1" x14ac:dyDescent="0.25">
      <c r="A405" s="210" t="s">
        <v>1834</v>
      </c>
      <c r="B405">
        <v>9636</v>
      </c>
      <c r="C405" s="100">
        <v>46168</v>
      </c>
      <c r="D405" t="s">
        <v>13</v>
      </c>
      <c r="E405" t="s">
        <v>109</v>
      </c>
      <c r="F405" t="s">
        <v>886</v>
      </c>
      <c r="G405">
        <v>296</v>
      </c>
      <c r="H405">
        <v>64000</v>
      </c>
      <c r="I405">
        <v>18944000</v>
      </c>
    </row>
    <row r="406" spans="1:11" hidden="1" x14ac:dyDescent="0.25">
      <c r="A406" s="210" t="s">
        <v>1834</v>
      </c>
      <c r="B406">
        <v>9636</v>
      </c>
      <c r="C406" s="100">
        <v>46168</v>
      </c>
      <c r="D406" t="s">
        <v>13</v>
      </c>
      <c r="E406" t="s">
        <v>317</v>
      </c>
      <c r="F406" t="s">
        <v>449</v>
      </c>
      <c r="G406">
        <v>1021</v>
      </c>
      <c r="H406">
        <v>65500</v>
      </c>
      <c r="I406">
        <v>66875500</v>
      </c>
    </row>
    <row r="407" spans="1:11" hidden="1" x14ac:dyDescent="0.25">
      <c r="A407" s="210" t="s">
        <v>1592</v>
      </c>
      <c r="B407">
        <v>9635</v>
      </c>
      <c r="C407" s="100">
        <v>46168</v>
      </c>
      <c r="D407" t="s">
        <v>49</v>
      </c>
      <c r="E407" t="s">
        <v>2362</v>
      </c>
      <c r="F407" t="s">
        <v>146</v>
      </c>
      <c r="G407">
        <v>975</v>
      </c>
      <c r="I407">
        <v>0</v>
      </c>
      <c r="K407" t="s">
        <v>1740</v>
      </c>
    </row>
    <row r="408" spans="1:11" hidden="1" x14ac:dyDescent="0.25">
      <c r="A408" s="210" t="s">
        <v>1552</v>
      </c>
      <c r="B408">
        <v>9634</v>
      </c>
      <c r="C408" s="100">
        <v>46168</v>
      </c>
      <c r="D408" t="s">
        <v>13</v>
      </c>
      <c r="E408" t="s">
        <v>43</v>
      </c>
      <c r="F408" t="s">
        <v>283</v>
      </c>
      <c r="G408">
        <v>2120</v>
      </c>
      <c r="H408">
        <v>63000</v>
      </c>
      <c r="I408">
        <v>133560000</v>
      </c>
    </row>
    <row r="409" spans="1:11" hidden="1" x14ac:dyDescent="0.25">
      <c r="A409" s="210" t="s">
        <v>1552</v>
      </c>
      <c r="B409">
        <v>9634</v>
      </c>
      <c r="C409" s="100">
        <v>46168</v>
      </c>
      <c r="D409" t="s">
        <v>13</v>
      </c>
      <c r="E409" t="s">
        <v>265</v>
      </c>
      <c r="F409" t="s">
        <v>136</v>
      </c>
      <c r="G409">
        <v>5320</v>
      </c>
      <c r="H409">
        <v>67500</v>
      </c>
      <c r="I409">
        <v>359100000</v>
      </c>
    </row>
    <row r="410" spans="1:11" hidden="1" x14ac:dyDescent="0.25">
      <c r="A410" s="210" t="s">
        <v>1580</v>
      </c>
      <c r="B410">
        <v>9633</v>
      </c>
      <c r="C410" s="100">
        <v>46168</v>
      </c>
      <c r="D410" t="s">
        <v>13</v>
      </c>
      <c r="E410" t="s">
        <v>17</v>
      </c>
      <c r="F410" t="s">
        <v>2361</v>
      </c>
      <c r="G410">
        <v>1026</v>
      </c>
      <c r="H410">
        <v>65000</v>
      </c>
      <c r="I410">
        <v>66690000</v>
      </c>
      <c r="K410" t="s">
        <v>42</v>
      </c>
    </row>
    <row r="411" spans="1:11" hidden="1" x14ac:dyDescent="0.25">
      <c r="A411" s="210" t="s">
        <v>1579</v>
      </c>
      <c r="B411">
        <v>9632</v>
      </c>
      <c r="C411" s="100">
        <v>46168</v>
      </c>
      <c r="D411" t="s">
        <v>13</v>
      </c>
      <c r="E411" t="s">
        <v>43</v>
      </c>
      <c r="F411" t="s">
        <v>44</v>
      </c>
      <c r="G411">
        <v>2588</v>
      </c>
      <c r="H411">
        <v>61000</v>
      </c>
      <c r="I411">
        <v>157868000</v>
      </c>
    </row>
    <row r="412" spans="1:11" hidden="1" x14ac:dyDescent="0.25">
      <c r="A412" s="210" t="s">
        <v>1518</v>
      </c>
      <c r="B412">
        <v>9631</v>
      </c>
      <c r="C412" s="100">
        <v>46168</v>
      </c>
      <c r="D412" t="s">
        <v>13</v>
      </c>
      <c r="E412" t="s">
        <v>17</v>
      </c>
      <c r="F412" t="s">
        <v>255</v>
      </c>
      <c r="G412">
        <v>521</v>
      </c>
      <c r="H412">
        <v>65000</v>
      </c>
      <c r="I412">
        <v>33865000</v>
      </c>
    </row>
    <row r="413" spans="1:11" hidden="1" x14ac:dyDescent="0.25">
      <c r="A413" s="210" t="s">
        <v>1478</v>
      </c>
      <c r="B413">
        <v>9628</v>
      </c>
      <c r="C413" s="100">
        <v>46168</v>
      </c>
      <c r="D413" t="s">
        <v>13</v>
      </c>
      <c r="E413" t="s">
        <v>17</v>
      </c>
      <c r="F413" t="s">
        <v>33</v>
      </c>
      <c r="G413">
        <v>1296</v>
      </c>
      <c r="H413">
        <v>61800</v>
      </c>
      <c r="I413">
        <v>80092800</v>
      </c>
      <c r="K413" t="s">
        <v>42</v>
      </c>
    </row>
    <row r="414" spans="1:11" hidden="1" x14ac:dyDescent="0.25">
      <c r="A414" s="210" t="s">
        <v>1478</v>
      </c>
      <c r="B414">
        <v>9628</v>
      </c>
      <c r="C414" s="100">
        <v>46168</v>
      </c>
      <c r="D414" t="s">
        <v>13</v>
      </c>
      <c r="E414" t="s">
        <v>36</v>
      </c>
      <c r="F414" t="s">
        <v>177</v>
      </c>
      <c r="G414">
        <v>1344</v>
      </c>
      <c r="H414">
        <v>56200</v>
      </c>
      <c r="I414">
        <v>75532800</v>
      </c>
      <c r="K414" t="s">
        <v>2474</v>
      </c>
    </row>
    <row r="415" spans="1:11" hidden="1" x14ac:dyDescent="0.25">
      <c r="A415" s="210" t="s">
        <v>1572</v>
      </c>
      <c r="B415">
        <v>9627</v>
      </c>
      <c r="C415" s="100">
        <v>46168</v>
      </c>
      <c r="D415" t="s">
        <v>49</v>
      </c>
      <c r="E415" t="s">
        <v>1263</v>
      </c>
      <c r="F415" t="s">
        <v>2473</v>
      </c>
      <c r="G415">
        <v>686</v>
      </c>
      <c r="H415">
        <v>66500</v>
      </c>
      <c r="I415">
        <v>45619000</v>
      </c>
    </row>
    <row r="416" spans="1:11" hidden="1" x14ac:dyDescent="0.25">
      <c r="A416" s="210" t="s">
        <v>1597</v>
      </c>
      <c r="B416">
        <v>9626</v>
      </c>
      <c r="C416" s="100">
        <v>46168</v>
      </c>
      <c r="D416" t="s">
        <v>13</v>
      </c>
      <c r="E416" t="s">
        <v>43</v>
      </c>
      <c r="F416" t="s">
        <v>134</v>
      </c>
      <c r="G416">
        <v>1158</v>
      </c>
      <c r="H416">
        <v>62000</v>
      </c>
      <c r="I416">
        <v>71796000</v>
      </c>
    </row>
    <row r="417" spans="1:11" hidden="1" x14ac:dyDescent="0.25">
      <c r="A417" s="210" t="s">
        <v>1597</v>
      </c>
      <c r="B417">
        <v>9626</v>
      </c>
      <c r="C417" s="100">
        <v>46168</v>
      </c>
      <c r="D417" t="s">
        <v>13</v>
      </c>
      <c r="E417" t="s">
        <v>17</v>
      </c>
      <c r="F417" t="s">
        <v>41</v>
      </c>
      <c r="G417">
        <v>711</v>
      </c>
      <c r="H417">
        <v>62000</v>
      </c>
      <c r="I417">
        <v>44082000</v>
      </c>
    </row>
    <row r="418" spans="1:11" hidden="1" x14ac:dyDescent="0.25">
      <c r="A418" s="210" t="s">
        <v>1597</v>
      </c>
      <c r="B418">
        <v>9626</v>
      </c>
      <c r="C418" s="100">
        <v>46168</v>
      </c>
      <c r="D418" t="s">
        <v>13</v>
      </c>
      <c r="E418" t="s">
        <v>14</v>
      </c>
      <c r="F418" t="s">
        <v>78</v>
      </c>
      <c r="G418">
        <v>528</v>
      </c>
      <c r="H418">
        <v>45000</v>
      </c>
      <c r="I418">
        <v>23760000</v>
      </c>
    </row>
    <row r="419" spans="1:11" hidden="1" x14ac:dyDescent="0.25">
      <c r="A419" s="210" t="s">
        <v>1597</v>
      </c>
      <c r="B419">
        <v>9626</v>
      </c>
      <c r="C419" s="100">
        <v>46168</v>
      </c>
      <c r="D419" t="s">
        <v>426</v>
      </c>
      <c r="E419" t="s">
        <v>17</v>
      </c>
      <c r="F419" t="s">
        <v>41</v>
      </c>
      <c r="G419">
        <v>825</v>
      </c>
      <c r="H419">
        <v>-62000</v>
      </c>
      <c r="I419">
        <v>-51150000</v>
      </c>
    </row>
    <row r="420" spans="1:11" hidden="1" x14ac:dyDescent="0.25">
      <c r="A420" s="210" t="s">
        <v>1476</v>
      </c>
      <c r="B420">
        <v>9625</v>
      </c>
      <c r="C420" s="100">
        <v>46168</v>
      </c>
      <c r="D420" t="s">
        <v>49</v>
      </c>
      <c r="E420" t="s">
        <v>150</v>
      </c>
      <c r="F420" t="s">
        <v>1347</v>
      </c>
      <c r="G420">
        <v>108</v>
      </c>
      <c r="I420">
        <v>0</v>
      </c>
      <c r="K420" t="s">
        <v>64</v>
      </c>
    </row>
    <row r="421" spans="1:11" hidden="1" x14ac:dyDescent="0.25">
      <c r="A421" s="210" t="s">
        <v>1489</v>
      </c>
      <c r="B421">
        <v>9624</v>
      </c>
      <c r="C421" s="100">
        <v>46168</v>
      </c>
      <c r="D421" t="s">
        <v>13</v>
      </c>
      <c r="E421" t="s">
        <v>17</v>
      </c>
      <c r="F421" t="s">
        <v>136</v>
      </c>
      <c r="G421">
        <v>270</v>
      </c>
      <c r="H421">
        <v>60000</v>
      </c>
      <c r="I421">
        <v>16200000</v>
      </c>
      <c r="K421" t="s">
        <v>42</v>
      </c>
    </row>
    <row r="422" spans="1:11" hidden="1" x14ac:dyDescent="0.25">
      <c r="A422" s="210" t="s">
        <v>1489</v>
      </c>
      <c r="B422">
        <v>9624</v>
      </c>
      <c r="C422" s="100">
        <v>46168</v>
      </c>
      <c r="D422" t="s">
        <v>13</v>
      </c>
      <c r="E422" t="s">
        <v>68</v>
      </c>
      <c r="F422" t="s">
        <v>148</v>
      </c>
      <c r="G422">
        <v>146</v>
      </c>
      <c r="H422">
        <v>41000</v>
      </c>
      <c r="I422">
        <v>5986000</v>
      </c>
      <c r="K422" t="s">
        <v>42</v>
      </c>
    </row>
    <row r="423" spans="1:11" hidden="1" x14ac:dyDescent="0.25">
      <c r="A423" s="210" t="s">
        <v>1547</v>
      </c>
      <c r="B423">
        <v>9623</v>
      </c>
      <c r="C423" s="100">
        <v>46168</v>
      </c>
      <c r="D423" t="s">
        <v>13</v>
      </c>
      <c r="E423" t="s">
        <v>43</v>
      </c>
      <c r="F423" t="s">
        <v>271</v>
      </c>
      <c r="G423">
        <v>1126</v>
      </c>
      <c r="H423">
        <v>64000</v>
      </c>
      <c r="I423">
        <v>72064000</v>
      </c>
    </row>
    <row r="424" spans="1:11" hidden="1" x14ac:dyDescent="0.25">
      <c r="A424" s="210" t="s">
        <v>2360</v>
      </c>
      <c r="B424">
        <v>9622</v>
      </c>
      <c r="C424" s="100">
        <v>46168</v>
      </c>
      <c r="D424" t="s">
        <v>13</v>
      </c>
      <c r="E424" t="s">
        <v>26</v>
      </c>
      <c r="F424" t="s">
        <v>1176</v>
      </c>
      <c r="G424">
        <v>2534</v>
      </c>
      <c r="H424">
        <v>26000</v>
      </c>
      <c r="I424">
        <v>65884000</v>
      </c>
    </row>
    <row r="425" spans="1:11" hidden="1" x14ac:dyDescent="0.25">
      <c r="A425" s="210" t="s">
        <v>2360</v>
      </c>
      <c r="B425">
        <v>9622</v>
      </c>
      <c r="C425" s="100">
        <v>46168</v>
      </c>
      <c r="D425" t="s">
        <v>13</v>
      </c>
      <c r="E425" t="s">
        <v>26</v>
      </c>
      <c r="F425" t="s">
        <v>1416</v>
      </c>
      <c r="G425">
        <v>798</v>
      </c>
      <c r="H425">
        <v>29000</v>
      </c>
      <c r="I425">
        <v>23142000</v>
      </c>
    </row>
    <row r="426" spans="1:11" hidden="1" x14ac:dyDescent="0.25">
      <c r="A426" s="210" t="s">
        <v>2348</v>
      </c>
      <c r="B426">
        <v>9621</v>
      </c>
      <c r="C426" s="100">
        <v>46168</v>
      </c>
      <c r="D426" t="s">
        <v>13</v>
      </c>
      <c r="E426" t="s">
        <v>26</v>
      </c>
      <c r="F426" t="s">
        <v>747</v>
      </c>
      <c r="G426">
        <v>1960</v>
      </c>
      <c r="H426">
        <v>33000</v>
      </c>
      <c r="I426">
        <v>64680000</v>
      </c>
    </row>
    <row r="427" spans="1:11" hidden="1" x14ac:dyDescent="0.25">
      <c r="A427" s="210" t="s">
        <v>1596</v>
      </c>
      <c r="B427">
        <v>9620</v>
      </c>
      <c r="C427" s="100">
        <v>46168</v>
      </c>
      <c r="D427" t="s">
        <v>49</v>
      </c>
      <c r="E427" t="s">
        <v>43</v>
      </c>
      <c r="F427" t="s">
        <v>40</v>
      </c>
      <c r="G427">
        <v>156</v>
      </c>
      <c r="I427">
        <v>0</v>
      </c>
    </row>
    <row r="428" spans="1:11" hidden="1" x14ac:dyDescent="0.25">
      <c r="A428" s="210" t="s">
        <v>1512</v>
      </c>
      <c r="B428">
        <v>9619</v>
      </c>
      <c r="C428" s="100">
        <v>46168</v>
      </c>
      <c r="D428" t="s">
        <v>49</v>
      </c>
      <c r="E428" t="s">
        <v>43</v>
      </c>
      <c r="F428" t="s">
        <v>146</v>
      </c>
      <c r="G428">
        <v>5242</v>
      </c>
      <c r="I428">
        <v>0</v>
      </c>
      <c r="K428" t="s">
        <v>2358</v>
      </c>
    </row>
    <row r="429" spans="1:11" hidden="1" x14ac:dyDescent="0.25">
      <c r="A429" s="210" t="s">
        <v>1610</v>
      </c>
      <c r="B429">
        <v>9616</v>
      </c>
      <c r="C429" s="100">
        <v>46168</v>
      </c>
      <c r="D429" t="s">
        <v>13</v>
      </c>
      <c r="E429" t="s">
        <v>43</v>
      </c>
      <c r="F429" t="s">
        <v>915</v>
      </c>
      <c r="G429">
        <v>2254</v>
      </c>
      <c r="H429">
        <v>62000</v>
      </c>
      <c r="I429">
        <v>139748000</v>
      </c>
    </row>
    <row r="430" spans="1:11" hidden="1" x14ac:dyDescent="0.25">
      <c r="A430" s="210" t="s">
        <v>2076</v>
      </c>
      <c r="B430">
        <v>9615</v>
      </c>
      <c r="C430" s="100">
        <v>46168</v>
      </c>
      <c r="D430" t="s">
        <v>13</v>
      </c>
      <c r="E430" t="s">
        <v>43</v>
      </c>
      <c r="F430" t="s">
        <v>134</v>
      </c>
      <c r="G430">
        <v>5275</v>
      </c>
      <c r="H430">
        <v>63000</v>
      </c>
      <c r="I430">
        <v>332325000</v>
      </c>
    </row>
    <row r="431" spans="1:11" hidden="1" x14ac:dyDescent="0.25">
      <c r="A431" s="210" t="s">
        <v>1512</v>
      </c>
      <c r="B431">
        <v>9614</v>
      </c>
      <c r="C431" s="100">
        <v>46168</v>
      </c>
      <c r="D431" t="s">
        <v>13</v>
      </c>
      <c r="E431" t="s">
        <v>14</v>
      </c>
      <c r="F431" t="s">
        <v>78</v>
      </c>
      <c r="G431">
        <v>328</v>
      </c>
      <c r="H431">
        <v>45000</v>
      </c>
      <c r="I431">
        <v>14760000</v>
      </c>
    </row>
    <row r="432" spans="1:11" hidden="1" x14ac:dyDescent="0.25">
      <c r="A432" s="210" t="s">
        <v>1512</v>
      </c>
      <c r="B432">
        <v>9614</v>
      </c>
      <c r="C432" s="100">
        <v>46168</v>
      </c>
      <c r="D432" t="s">
        <v>13</v>
      </c>
      <c r="E432" t="s">
        <v>43</v>
      </c>
      <c r="F432" t="s">
        <v>259</v>
      </c>
      <c r="G432">
        <v>72</v>
      </c>
      <c r="H432">
        <v>65000</v>
      </c>
      <c r="I432">
        <v>4680000</v>
      </c>
    </row>
    <row r="433" spans="1:11" hidden="1" x14ac:dyDescent="0.25">
      <c r="A433" s="210" t="s">
        <v>1595</v>
      </c>
      <c r="B433">
        <v>9613</v>
      </c>
      <c r="C433" s="100">
        <v>46168</v>
      </c>
      <c r="D433" t="s">
        <v>13</v>
      </c>
      <c r="E433" t="s">
        <v>150</v>
      </c>
      <c r="F433" t="s">
        <v>886</v>
      </c>
      <c r="G433">
        <v>1428</v>
      </c>
      <c r="H433">
        <v>35000</v>
      </c>
      <c r="I433">
        <v>49980000</v>
      </c>
    </row>
    <row r="434" spans="1:11" hidden="1" x14ac:dyDescent="0.25">
      <c r="A434" s="210" t="s">
        <v>1595</v>
      </c>
      <c r="B434">
        <v>9613</v>
      </c>
      <c r="C434" s="100">
        <v>46168</v>
      </c>
      <c r="D434" t="s">
        <v>13</v>
      </c>
      <c r="E434" t="s">
        <v>150</v>
      </c>
      <c r="F434" t="s">
        <v>151</v>
      </c>
      <c r="G434">
        <v>1798</v>
      </c>
      <c r="H434">
        <v>35000</v>
      </c>
      <c r="I434">
        <v>62930000</v>
      </c>
    </row>
    <row r="435" spans="1:11" hidden="1" x14ac:dyDescent="0.25">
      <c r="A435" s="210" t="s">
        <v>1595</v>
      </c>
      <c r="B435">
        <v>9613</v>
      </c>
      <c r="C435" s="100">
        <v>46168</v>
      </c>
      <c r="D435" t="s">
        <v>13</v>
      </c>
      <c r="E435" t="s">
        <v>109</v>
      </c>
      <c r="F435" t="s">
        <v>2472</v>
      </c>
      <c r="G435">
        <v>1408</v>
      </c>
      <c r="H435">
        <v>61000</v>
      </c>
      <c r="I435">
        <v>85888000</v>
      </c>
    </row>
    <row r="436" spans="1:11" hidden="1" x14ac:dyDescent="0.25">
      <c r="A436" s="210" t="s">
        <v>1595</v>
      </c>
      <c r="B436">
        <v>9613</v>
      </c>
      <c r="C436" s="100">
        <v>46168</v>
      </c>
      <c r="D436" t="s">
        <v>13</v>
      </c>
      <c r="E436" t="s">
        <v>109</v>
      </c>
      <c r="F436" t="s">
        <v>73</v>
      </c>
      <c r="G436">
        <v>1534</v>
      </c>
      <c r="H436">
        <v>61000</v>
      </c>
      <c r="I436">
        <v>93574000</v>
      </c>
    </row>
    <row r="437" spans="1:11" hidden="1" x14ac:dyDescent="0.25">
      <c r="A437" s="210" t="s">
        <v>2471</v>
      </c>
      <c r="B437">
        <v>9612</v>
      </c>
      <c r="C437" s="100">
        <v>46168</v>
      </c>
      <c r="D437" t="s">
        <v>13</v>
      </c>
      <c r="E437" t="s">
        <v>17</v>
      </c>
      <c r="F437" t="s">
        <v>38</v>
      </c>
      <c r="G437">
        <v>1114</v>
      </c>
      <c r="H437">
        <v>69000</v>
      </c>
      <c r="I437">
        <v>76866000</v>
      </c>
    </row>
    <row r="438" spans="1:11" hidden="1" x14ac:dyDescent="0.25">
      <c r="A438" s="210" t="s">
        <v>1572</v>
      </c>
      <c r="B438">
        <v>9611</v>
      </c>
      <c r="C438" s="100">
        <v>46168</v>
      </c>
      <c r="D438" t="s">
        <v>13</v>
      </c>
      <c r="E438" t="s">
        <v>169</v>
      </c>
      <c r="F438" t="s">
        <v>148</v>
      </c>
      <c r="G438">
        <v>1550</v>
      </c>
      <c r="H438">
        <v>40500</v>
      </c>
      <c r="I438">
        <v>62775000</v>
      </c>
    </row>
    <row r="439" spans="1:11" hidden="1" x14ac:dyDescent="0.25">
      <c r="A439" s="210" t="s">
        <v>1476</v>
      </c>
      <c r="B439">
        <v>9609</v>
      </c>
      <c r="C439" s="100">
        <v>46168</v>
      </c>
      <c r="D439" t="s">
        <v>49</v>
      </c>
      <c r="E439" t="s">
        <v>50</v>
      </c>
      <c r="F439" t="s">
        <v>177</v>
      </c>
      <c r="G439">
        <v>1344</v>
      </c>
      <c r="I439">
        <v>0</v>
      </c>
      <c r="K439" t="s">
        <v>64</v>
      </c>
    </row>
    <row r="440" spans="1:11" hidden="1" x14ac:dyDescent="0.25">
      <c r="A440" s="210" t="s">
        <v>1524</v>
      </c>
      <c r="B440">
        <v>9608</v>
      </c>
      <c r="C440" s="100">
        <v>46167</v>
      </c>
      <c r="D440" t="s">
        <v>49</v>
      </c>
      <c r="E440" t="s">
        <v>43</v>
      </c>
      <c r="F440" t="s">
        <v>915</v>
      </c>
      <c r="G440">
        <v>5273</v>
      </c>
      <c r="I440">
        <v>0</v>
      </c>
      <c r="K440" t="s">
        <v>564</v>
      </c>
    </row>
    <row r="441" spans="1:11" hidden="1" x14ac:dyDescent="0.25">
      <c r="A441" s="210" t="s">
        <v>1524</v>
      </c>
      <c r="B441">
        <v>9607</v>
      </c>
      <c r="C441" s="100">
        <v>46167</v>
      </c>
      <c r="D441" t="s">
        <v>49</v>
      </c>
      <c r="E441" t="s">
        <v>17</v>
      </c>
      <c r="F441" t="s">
        <v>40</v>
      </c>
      <c r="G441">
        <v>5580</v>
      </c>
      <c r="I441">
        <v>0</v>
      </c>
      <c r="K441" t="s">
        <v>2346</v>
      </c>
    </row>
    <row r="442" spans="1:11" hidden="1" x14ac:dyDescent="0.25">
      <c r="A442" s="210" t="s">
        <v>2342</v>
      </c>
      <c r="B442">
        <v>9606</v>
      </c>
      <c r="C442" s="100">
        <v>46167</v>
      </c>
      <c r="D442" t="s">
        <v>13</v>
      </c>
      <c r="E442" t="s">
        <v>26</v>
      </c>
      <c r="F442" t="s">
        <v>2343</v>
      </c>
      <c r="G442">
        <v>5550</v>
      </c>
      <c r="H442">
        <v>34000</v>
      </c>
      <c r="I442">
        <v>188700000</v>
      </c>
    </row>
    <row r="443" spans="1:11" hidden="1" x14ac:dyDescent="0.25">
      <c r="A443" s="210" t="s">
        <v>2342</v>
      </c>
      <c r="B443">
        <v>9606</v>
      </c>
      <c r="C443" s="100">
        <v>46167</v>
      </c>
      <c r="D443" t="s">
        <v>13</v>
      </c>
      <c r="E443" t="s">
        <v>26</v>
      </c>
      <c r="F443" t="s">
        <v>2344</v>
      </c>
      <c r="G443">
        <v>224</v>
      </c>
      <c r="H443">
        <v>34000</v>
      </c>
      <c r="I443">
        <v>7616000</v>
      </c>
    </row>
    <row r="444" spans="1:11" hidden="1" x14ac:dyDescent="0.25">
      <c r="A444" s="210" t="s">
        <v>2342</v>
      </c>
      <c r="B444">
        <v>9606</v>
      </c>
      <c r="C444" s="100">
        <v>46167</v>
      </c>
      <c r="D444" t="s">
        <v>13</v>
      </c>
      <c r="E444" t="s">
        <v>26</v>
      </c>
      <c r="F444" t="s">
        <v>2345</v>
      </c>
      <c r="G444">
        <v>531</v>
      </c>
      <c r="H444">
        <v>34000</v>
      </c>
      <c r="I444">
        <v>18054000</v>
      </c>
    </row>
    <row r="445" spans="1:11" hidden="1" x14ac:dyDescent="0.25">
      <c r="A445" s="210" t="s">
        <v>1675</v>
      </c>
      <c r="B445">
        <v>9605</v>
      </c>
      <c r="C445" s="100">
        <v>46167</v>
      </c>
      <c r="D445" t="s">
        <v>13</v>
      </c>
      <c r="E445" t="s">
        <v>103</v>
      </c>
      <c r="F445" t="s">
        <v>2340</v>
      </c>
      <c r="G445">
        <v>1560</v>
      </c>
      <c r="H445">
        <v>37500</v>
      </c>
      <c r="I445">
        <v>58500000</v>
      </c>
    </row>
    <row r="446" spans="1:11" hidden="1" x14ac:dyDescent="0.25">
      <c r="A446" s="210" t="s">
        <v>1675</v>
      </c>
      <c r="B446">
        <v>9605</v>
      </c>
      <c r="C446" s="100">
        <v>46167</v>
      </c>
      <c r="D446" t="s">
        <v>426</v>
      </c>
      <c r="E446" t="s">
        <v>26</v>
      </c>
      <c r="F446" t="s">
        <v>146</v>
      </c>
      <c r="G446">
        <v>306</v>
      </c>
      <c r="H446">
        <v>-32000</v>
      </c>
      <c r="I446">
        <v>-9792000</v>
      </c>
    </row>
    <row r="447" spans="1:11" hidden="1" x14ac:dyDescent="0.25">
      <c r="A447" s="210" t="s">
        <v>1596</v>
      </c>
      <c r="B447">
        <v>9604</v>
      </c>
      <c r="C447" s="100">
        <v>46167</v>
      </c>
      <c r="D447" t="s">
        <v>49</v>
      </c>
      <c r="E447" t="s">
        <v>43</v>
      </c>
      <c r="F447" t="s">
        <v>484</v>
      </c>
      <c r="G447">
        <v>1878</v>
      </c>
      <c r="I447">
        <v>0</v>
      </c>
      <c r="K447" t="s">
        <v>2339</v>
      </c>
    </row>
    <row r="448" spans="1:11" hidden="1" x14ac:dyDescent="0.25">
      <c r="A448" s="210" t="s">
        <v>1648</v>
      </c>
      <c r="B448">
        <v>9603</v>
      </c>
      <c r="C448" s="100">
        <v>46167</v>
      </c>
      <c r="D448" t="s">
        <v>13</v>
      </c>
      <c r="E448" t="s">
        <v>150</v>
      </c>
      <c r="F448" t="s">
        <v>390</v>
      </c>
      <c r="G448">
        <v>110</v>
      </c>
      <c r="H448">
        <v>38000</v>
      </c>
      <c r="I448">
        <v>4180000</v>
      </c>
    </row>
    <row r="449" spans="1:11" hidden="1" x14ac:dyDescent="0.25">
      <c r="A449" s="210" t="s">
        <v>1524</v>
      </c>
      <c r="B449">
        <v>9602</v>
      </c>
      <c r="C449" s="100">
        <v>46167</v>
      </c>
      <c r="D449" t="s">
        <v>49</v>
      </c>
      <c r="E449" t="s">
        <v>17</v>
      </c>
      <c r="F449" t="s">
        <v>2335</v>
      </c>
      <c r="G449">
        <v>2727</v>
      </c>
      <c r="I449">
        <v>0</v>
      </c>
      <c r="K449" t="s">
        <v>2336</v>
      </c>
    </row>
    <row r="450" spans="1:11" hidden="1" x14ac:dyDescent="0.25">
      <c r="A450" s="210" t="s">
        <v>1524</v>
      </c>
      <c r="B450">
        <v>9602</v>
      </c>
      <c r="C450" s="100">
        <v>46167</v>
      </c>
      <c r="D450" t="s">
        <v>49</v>
      </c>
      <c r="E450" t="s">
        <v>17</v>
      </c>
      <c r="F450" t="s">
        <v>2337</v>
      </c>
      <c r="G450">
        <v>3515</v>
      </c>
      <c r="I450">
        <v>0</v>
      </c>
      <c r="K450" t="s">
        <v>2338</v>
      </c>
    </row>
    <row r="451" spans="1:11" hidden="1" x14ac:dyDescent="0.25">
      <c r="A451" s="210" t="s">
        <v>1677</v>
      </c>
      <c r="B451">
        <v>9601</v>
      </c>
      <c r="C451" s="100">
        <v>46168</v>
      </c>
      <c r="D451" t="s">
        <v>13</v>
      </c>
      <c r="E451" t="s">
        <v>50</v>
      </c>
      <c r="F451" t="s">
        <v>2356</v>
      </c>
      <c r="G451">
        <v>1090</v>
      </c>
      <c r="H451">
        <v>66000</v>
      </c>
      <c r="I451">
        <v>71940000</v>
      </c>
    </row>
    <row r="452" spans="1:11" hidden="1" x14ac:dyDescent="0.25">
      <c r="A452" s="210" t="s">
        <v>1677</v>
      </c>
      <c r="B452">
        <v>9601</v>
      </c>
      <c r="C452" s="100">
        <v>46168</v>
      </c>
      <c r="D452" t="s">
        <v>13</v>
      </c>
      <c r="E452" t="s">
        <v>50</v>
      </c>
      <c r="F452" t="s">
        <v>2357</v>
      </c>
      <c r="G452">
        <v>115</v>
      </c>
      <c r="H452">
        <v>66000</v>
      </c>
      <c r="I452">
        <v>7590000</v>
      </c>
    </row>
    <row r="453" spans="1:11" hidden="1" x14ac:dyDescent="0.25">
      <c r="A453" s="210" t="s">
        <v>1677</v>
      </c>
      <c r="B453">
        <v>9601</v>
      </c>
      <c r="C453" s="100">
        <v>46168</v>
      </c>
      <c r="D453" t="s">
        <v>13</v>
      </c>
      <c r="E453" t="s">
        <v>50</v>
      </c>
      <c r="F453" t="s">
        <v>2356</v>
      </c>
      <c r="G453">
        <v>76</v>
      </c>
      <c r="H453">
        <v>66000</v>
      </c>
      <c r="I453">
        <v>5016000</v>
      </c>
    </row>
    <row r="454" spans="1:11" hidden="1" x14ac:dyDescent="0.25">
      <c r="A454" s="210" t="s">
        <v>1577</v>
      </c>
      <c r="B454">
        <v>9600</v>
      </c>
      <c r="C454" s="100">
        <v>46167</v>
      </c>
      <c r="D454" t="s">
        <v>13</v>
      </c>
      <c r="E454" t="s">
        <v>150</v>
      </c>
      <c r="F454" t="s">
        <v>390</v>
      </c>
      <c r="G454">
        <v>1222</v>
      </c>
      <c r="H454">
        <v>35500</v>
      </c>
      <c r="I454">
        <v>43381000</v>
      </c>
    </row>
    <row r="455" spans="1:11" hidden="1" x14ac:dyDescent="0.25">
      <c r="A455" s="210" t="s">
        <v>2076</v>
      </c>
      <c r="B455">
        <v>9599</v>
      </c>
      <c r="C455" s="100">
        <v>46167</v>
      </c>
      <c r="D455" t="s">
        <v>13</v>
      </c>
      <c r="E455" t="s">
        <v>43</v>
      </c>
      <c r="F455" t="s">
        <v>134</v>
      </c>
      <c r="G455">
        <v>3822</v>
      </c>
      <c r="H455">
        <v>59000</v>
      </c>
      <c r="I455">
        <v>225498000</v>
      </c>
    </row>
    <row r="456" spans="1:11" hidden="1" x14ac:dyDescent="0.25">
      <c r="A456" s="210" t="s">
        <v>1703</v>
      </c>
      <c r="B456">
        <v>9598</v>
      </c>
      <c r="C456" s="100">
        <v>46167</v>
      </c>
      <c r="D456" t="s">
        <v>13</v>
      </c>
      <c r="E456" t="s">
        <v>26</v>
      </c>
      <c r="F456" t="s">
        <v>2334</v>
      </c>
      <c r="G456">
        <v>242</v>
      </c>
      <c r="H456">
        <v>35000</v>
      </c>
      <c r="I456">
        <v>8470000</v>
      </c>
    </row>
    <row r="457" spans="1:11" hidden="1" x14ac:dyDescent="0.25">
      <c r="A457" s="210" t="s">
        <v>1491</v>
      </c>
      <c r="B457">
        <v>9597</v>
      </c>
      <c r="C457" s="100">
        <v>46167</v>
      </c>
      <c r="D457" t="s">
        <v>13</v>
      </c>
      <c r="E457" t="s">
        <v>26</v>
      </c>
      <c r="F457" t="s">
        <v>62</v>
      </c>
      <c r="G457">
        <v>584</v>
      </c>
      <c r="H457">
        <v>33000</v>
      </c>
      <c r="I457">
        <v>19272000</v>
      </c>
    </row>
    <row r="458" spans="1:11" hidden="1" x14ac:dyDescent="0.25">
      <c r="A458" s="210" t="s">
        <v>1489</v>
      </c>
      <c r="B458">
        <v>9596</v>
      </c>
      <c r="C458" s="100">
        <v>46167</v>
      </c>
      <c r="D458" t="s">
        <v>13</v>
      </c>
      <c r="E458" t="s">
        <v>17</v>
      </c>
      <c r="F458" t="s">
        <v>41</v>
      </c>
      <c r="G458">
        <v>232</v>
      </c>
      <c r="H458">
        <v>63000</v>
      </c>
      <c r="I458">
        <v>14616000</v>
      </c>
      <c r="K458" t="s">
        <v>42</v>
      </c>
    </row>
    <row r="459" spans="1:11" hidden="1" x14ac:dyDescent="0.25">
      <c r="A459" s="210" t="s">
        <v>1512</v>
      </c>
      <c r="B459">
        <v>9594</v>
      </c>
      <c r="C459" s="100">
        <v>46167</v>
      </c>
      <c r="D459" t="s">
        <v>13</v>
      </c>
      <c r="E459" t="s">
        <v>32</v>
      </c>
      <c r="F459" t="s">
        <v>78</v>
      </c>
      <c r="G459">
        <v>1854</v>
      </c>
      <c r="H459">
        <v>41000</v>
      </c>
      <c r="I459">
        <v>76014000</v>
      </c>
    </row>
    <row r="460" spans="1:11" hidden="1" x14ac:dyDescent="0.25">
      <c r="A460" s="210" t="s">
        <v>1512</v>
      </c>
      <c r="B460">
        <v>9594</v>
      </c>
      <c r="C460" s="100">
        <v>46167</v>
      </c>
      <c r="D460" t="s">
        <v>13</v>
      </c>
      <c r="E460" t="s">
        <v>150</v>
      </c>
      <c r="F460" t="s">
        <v>73</v>
      </c>
      <c r="G460">
        <v>216</v>
      </c>
      <c r="H460">
        <v>36000</v>
      </c>
      <c r="I460">
        <v>7776000</v>
      </c>
    </row>
    <row r="461" spans="1:11" hidden="1" x14ac:dyDescent="0.25">
      <c r="A461" s="210" t="s">
        <v>1512</v>
      </c>
      <c r="B461">
        <v>9594</v>
      </c>
      <c r="C461" s="100">
        <v>46167</v>
      </c>
      <c r="D461" t="s">
        <v>13</v>
      </c>
      <c r="E461" t="s">
        <v>43</v>
      </c>
      <c r="F461" t="s">
        <v>271</v>
      </c>
      <c r="G461">
        <v>898</v>
      </c>
      <c r="H461">
        <v>66000</v>
      </c>
      <c r="I461">
        <v>59268000</v>
      </c>
    </row>
    <row r="462" spans="1:11" hidden="1" x14ac:dyDescent="0.25">
      <c r="A462" s="210" t="s">
        <v>1672</v>
      </c>
      <c r="B462">
        <v>9593</v>
      </c>
      <c r="C462" s="100">
        <v>46167</v>
      </c>
      <c r="D462" t="s">
        <v>13</v>
      </c>
      <c r="E462" t="s">
        <v>43</v>
      </c>
      <c r="F462" t="s">
        <v>230</v>
      </c>
      <c r="G462">
        <v>460</v>
      </c>
      <c r="H462">
        <v>68000</v>
      </c>
      <c r="I462">
        <v>31280000</v>
      </c>
    </row>
    <row r="463" spans="1:11" hidden="1" x14ac:dyDescent="0.25">
      <c r="A463" s="210" t="s">
        <v>1504</v>
      </c>
      <c r="B463">
        <v>9592</v>
      </c>
      <c r="C463" s="100">
        <v>46167</v>
      </c>
      <c r="D463" t="s">
        <v>13</v>
      </c>
      <c r="E463" t="s">
        <v>173</v>
      </c>
      <c r="F463" t="s">
        <v>2330</v>
      </c>
      <c r="G463">
        <v>1252</v>
      </c>
      <c r="H463">
        <v>74000</v>
      </c>
      <c r="I463">
        <v>92648000</v>
      </c>
    </row>
    <row r="464" spans="1:11" hidden="1" x14ac:dyDescent="0.25">
      <c r="A464" s="210" t="s">
        <v>1504</v>
      </c>
      <c r="B464">
        <v>9592</v>
      </c>
      <c r="C464" s="100">
        <v>46167</v>
      </c>
      <c r="D464" t="s">
        <v>13</v>
      </c>
      <c r="E464" t="s">
        <v>54</v>
      </c>
      <c r="F464" t="s">
        <v>2331</v>
      </c>
      <c r="G464">
        <v>1696</v>
      </c>
      <c r="H464">
        <v>37000</v>
      </c>
      <c r="I464">
        <v>62752000</v>
      </c>
    </row>
    <row r="465" spans="1:11" hidden="1" x14ac:dyDescent="0.25">
      <c r="A465" s="210" t="s">
        <v>1504</v>
      </c>
      <c r="B465">
        <v>9592</v>
      </c>
      <c r="C465" s="100">
        <v>46167</v>
      </c>
      <c r="D465" t="s">
        <v>13</v>
      </c>
      <c r="E465" t="s">
        <v>54</v>
      </c>
      <c r="F465" t="s">
        <v>2332</v>
      </c>
      <c r="G465">
        <v>1354</v>
      </c>
      <c r="H465">
        <v>37000</v>
      </c>
      <c r="I465">
        <v>50098000</v>
      </c>
    </row>
    <row r="466" spans="1:11" hidden="1" x14ac:dyDescent="0.25">
      <c r="A466" s="210" t="s">
        <v>1504</v>
      </c>
      <c r="B466">
        <v>9592</v>
      </c>
      <c r="C466" s="100">
        <v>46167</v>
      </c>
      <c r="D466" t="s">
        <v>13</v>
      </c>
      <c r="E466" t="s">
        <v>54</v>
      </c>
      <c r="F466" t="s">
        <v>53</v>
      </c>
      <c r="G466">
        <v>990</v>
      </c>
      <c r="H466">
        <v>37000</v>
      </c>
      <c r="I466">
        <v>36630000</v>
      </c>
    </row>
    <row r="467" spans="1:11" hidden="1" x14ac:dyDescent="0.25">
      <c r="A467" s="210" t="s">
        <v>1504</v>
      </c>
      <c r="B467">
        <v>9592</v>
      </c>
      <c r="C467" s="100">
        <v>46167</v>
      </c>
      <c r="D467" t="s">
        <v>13</v>
      </c>
      <c r="E467" t="s">
        <v>17</v>
      </c>
      <c r="F467" t="s">
        <v>78</v>
      </c>
      <c r="G467">
        <v>214</v>
      </c>
      <c r="H467">
        <v>70000</v>
      </c>
      <c r="I467">
        <v>14980000</v>
      </c>
    </row>
    <row r="468" spans="1:11" hidden="1" x14ac:dyDescent="0.25">
      <c r="A468" s="210" t="s">
        <v>1504</v>
      </c>
      <c r="B468">
        <v>9592</v>
      </c>
      <c r="C468" s="100">
        <v>46167</v>
      </c>
      <c r="D468" t="s">
        <v>13</v>
      </c>
      <c r="E468" t="s">
        <v>26</v>
      </c>
      <c r="F468" t="s">
        <v>2333</v>
      </c>
      <c r="G468">
        <v>214</v>
      </c>
      <c r="H468">
        <v>42000</v>
      </c>
      <c r="I468">
        <v>8988000</v>
      </c>
    </row>
    <row r="469" spans="1:11" hidden="1" x14ac:dyDescent="0.25">
      <c r="A469" s="210" t="s">
        <v>1558</v>
      </c>
      <c r="B469">
        <v>9591</v>
      </c>
      <c r="C469" s="100">
        <v>46167</v>
      </c>
      <c r="D469" t="s">
        <v>13</v>
      </c>
      <c r="E469" t="s">
        <v>301</v>
      </c>
      <c r="F469" t="s">
        <v>941</v>
      </c>
      <c r="G469">
        <v>2092</v>
      </c>
      <c r="H469">
        <v>29000</v>
      </c>
      <c r="I469">
        <v>60668000</v>
      </c>
    </row>
    <row r="470" spans="1:11" hidden="1" x14ac:dyDescent="0.25">
      <c r="A470" s="210" t="s">
        <v>1524</v>
      </c>
      <c r="B470">
        <v>9590</v>
      </c>
      <c r="C470" s="100">
        <v>46167</v>
      </c>
      <c r="D470" t="s">
        <v>49</v>
      </c>
      <c r="E470" t="s">
        <v>135</v>
      </c>
      <c r="F470" t="s">
        <v>148</v>
      </c>
      <c r="G470">
        <v>5402</v>
      </c>
      <c r="I470">
        <v>0</v>
      </c>
      <c r="K470" t="s">
        <v>2329</v>
      </c>
    </row>
    <row r="471" spans="1:11" hidden="1" x14ac:dyDescent="0.25">
      <c r="A471" s="210" t="s">
        <v>1530</v>
      </c>
      <c r="B471">
        <v>9589</v>
      </c>
      <c r="C471" s="100">
        <v>46165</v>
      </c>
      <c r="D471" t="s">
        <v>13</v>
      </c>
      <c r="E471" t="s">
        <v>2328</v>
      </c>
      <c r="F471" t="s">
        <v>1163</v>
      </c>
      <c r="G471">
        <v>6021</v>
      </c>
      <c r="H471">
        <v>35500</v>
      </c>
      <c r="I471">
        <v>213745500</v>
      </c>
    </row>
    <row r="472" spans="1:11" hidden="1" x14ac:dyDescent="0.25">
      <c r="A472" s="210" t="s">
        <v>1531</v>
      </c>
      <c r="B472">
        <v>9588</v>
      </c>
      <c r="C472" s="100">
        <v>46167</v>
      </c>
      <c r="D472" t="s">
        <v>13</v>
      </c>
      <c r="E472" t="s">
        <v>17</v>
      </c>
      <c r="F472" t="s">
        <v>416</v>
      </c>
      <c r="G472">
        <v>548</v>
      </c>
      <c r="H472">
        <v>58500</v>
      </c>
      <c r="I472">
        <v>32058000</v>
      </c>
      <c r="K472" t="s">
        <v>231</v>
      </c>
    </row>
    <row r="473" spans="1:11" hidden="1" x14ac:dyDescent="0.25">
      <c r="A473" s="210" t="s">
        <v>1531</v>
      </c>
      <c r="B473">
        <v>9588</v>
      </c>
      <c r="C473" s="100">
        <v>46167</v>
      </c>
      <c r="D473" t="s">
        <v>13</v>
      </c>
      <c r="E473" t="s">
        <v>17</v>
      </c>
      <c r="F473" t="s">
        <v>2319</v>
      </c>
      <c r="G473">
        <v>977</v>
      </c>
      <c r="H473">
        <v>59000</v>
      </c>
      <c r="I473">
        <v>57643000</v>
      </c>
    </row>
    <row r="474" spans="1:11" hidden="1" x14ac:dyDescent="0.25">
      <c r="A474" s="210" t="s">
        <v>1558</v>
      </c>
      <c r="B474">
        <v>9587</v>
      </c>
      <c r="C474" s="100">
        <v>46165</v>
      </c>
      <c r="D474" t="s">
        <v>13</v>
      </c>
      <c r="E474" t="s">
        <v>301</v>
      </c>
      <c r="F474" t="s">
        <v>941</v>
      </c>
      <c r="G474">
        <v>2768</v>
      </c>
      <c r="H474">
        <v>29000</v>
      </c>
      <c r="I474">
        <v>80272000</v>
      </c>
    </row>
    <row r="475" spans="1:11" hidden="1" x14ac:dyDescent="0.25">
      <c r="A475" s="210" t="s">
        <v>1562</v>
      </c>
      <c r="B475">
        <v>9586</v>
      </c>
      <c r="C475" s="100">
        <v>46165</v>
      </c>
      <c r="D475" t="s">
        <v>13</v>
      </c>
      <c r="E475" t="s">
        <v>442</v>
      </c>
      <c r="F475" t="s">
        <v>2318</v>
      </c>
      <c r="G475">
        <v>750</v>
      </c>
      <c r="H475">
        <v>65000</v>
      </c>
      <c r="I475">
        <v>48750000</v>
      </c>
    </row>
    <row r="476" spans="1:11" hidden="1" x14ac:dyDescent="0.25">
      <c r="A476" s="210" t="s">
        <v>1562</v>
      </c>
      <c r="B476">
        <v>9586</v>
      </c>
      <c r="C476" s="100">
        <v>46165</v>
      </c>
      <c r="D476" t="s">
        <v>13</v>
      </c>
      <c r="E476" t="s">
        <v>265</v>
      </c>
      <c r="F476" t="s">
        <v>136</v>
      </c>
      <c r="G476">
        <v>662</v>
      </c>
      <c r="H476">
        <v>69000</v>
      </c>
      <c r="I476">
        <v>45678000</v>
      </c>
    </row>
    <row r="477" spans="1:11" hidden="1" x14ac:dyDescent="0.25">
      <c r="A477" s="210" t="s">
        <v>1511</v>
      </c>
      <c r="B477">
        <v>9585</v>
      </c>
      <c r="C477" s="100">
        <v>46165</v>
      </c>
      <c r="D477" t="s">
        <v>13</v>
      </c>
      <c r="E477" t="s">
        <v>54</v>
      </c>
      <c r="F477" t="s">
        <v>2316</v>
      </c>
      <c r="G477">
        <v>1208</v>
      </c>
      <c r="H477">
        <v>33500</v>
      </c>
      <c r="I477">
        <v>40468000</v>
      </c>
      <c r="J477">
        <v>40468000</v>
      </c>
      <c r="K477" t="s">
        <v>2317</v>
      </c>
    </row>
    <row r="478" spans="1:11" hidden="1" x14ac:dyDescent="0.25">
      <c r="A478" s="210" t="s">
        <v>1512</v>
      </c>
      <c r="B478">
        <v>9584</v>
      </c>
      <c r="C478" s="100">
        <v>46165</v>
      </c>
      <c r="D478" t="s">
        <v>13</v>
      </c>
      <c r="E478" t="s">
        <v>32</v>
      </c>
      <c r="F478" t="s">
        <v>78</v>
      </c>
      <c r="G478">
        <v>1546</v>
      </c>
      <c r="H478">
        <v>41000</v>
      </c>
      <c r="I478">
        <v>63386000</v>
      </c>
    </row>
    <row r="479" spans="1:11" hidden="1" x14ac:dyDescent="0.25">
      <c r="A479" s="210" t="s">
        <v>1506</v>
      </c>
      <c r="B479">
        <v>9582</v>
      </c>
      <c r="C479" s="100">
        <v>46165</v>
      </c>
      <c r="D479" t="s">
        <v>13</v>
      </c>
      <c r="E479" t="s">
        <v>265</v>
      </c>
      <c r="F479" t="s">
        <v>443</v>
      </c>
      <c r="G479">
        <v>590</v>
      </c>
      <c r="H479">
        <v>68500</v>
      </c>
      <c r="I479">
        <v>40415000</v>
      </c>
    </row>
    <row r="480" spans="1:11" hidden="1" x14ac:dyDescent="0.25">
      <c r="A480" s="210" t="s">
        <v>1506</v>
      </c>
      <c r="B480">
        <v>9582</v>
      </c>
      <c r="C480" s="100">
        <v>46165</v>
      </c>
      <c r="D480" t="s">
        <v>13</v>
      </c>
      <c r="E480" t="s">
        <v>265</v>
      </c>
      <c r="F480" t="s">
        <v>136</v>
      </c>
      <c r="G480">
        <v>641</v>
      </c>
      <c r="H480">
        <v>68500</v>
      </c>
      <c r="I480">
        <v>43908500</v>
      </c>
    </row>
    <row r="481" spans="1:11" hidden="1" x14ac:dyDescent="0.25">
      <c r="A481" s="210" t="s">
        <v>1506</v>
      </c>
      <c r="B481">
        <v>9582</v>
      </c>
      <c r="C481" s="100">
        <v>46165</v>
      </c>
      <c r="D481" t="s">
        <v>13</v>
      </c>
      <c r="E481" t="s">
        <v>265</v>
      </c>
      <c r="F481" t="s">
        <v>41</v>
      </c>
      <c r="G481">
        <v>620</v>
      </c>
      <c r="H481">
        <v>68500</v>
      </c>
      <c r="I481">
        <v>42470000</v>
      </c>
    </row>
    <row r="482" spans="1:11" hidden="1" x14ac:dyDescent="0.25">
      <c r="A482" s="210" t="s">
        <v>1591</v>
      </c>
      <c r="B482">
        <v>9581</v>
      </c>
      <c r="C482" s="100">
        <v>46165</v>
      </c>
      <c r="D482" t="s">
        <v>13</v>
      </c>
      <c r="E482" t="s">
        <v>50</v>
      </c>
      <c r="F482" t="s">
        <v>73</v>
      </c>
      <c r="G482">
        <v>436</v>
      </c>
      <c r="H482">
        <v>64000</v>
      </c>
      <c r="I482">
        <v>27904000</v>
      </c>
    </row>
    <row r="483" spans="1:11" hidden="1" x14ac:dyDescent="0.25">
      <c r="A483" s="210" t="s">
        <v>1591</v>
      </c>
      <c r="B483">
        <v>9581</v>
      </c>
      <c r="C483" s="100">
        <v>46165</v>
      </c>
      <c r="D483" t="s">
        <v>13</v>
      </c>
      <c r="E483" t="s">
        <v>265</v>
      </c>
      <c r="F483" t="s">
        <v>41</v>
      </c>
      <c r="G483">
        <v>1026</v>
      </c>
      <c r="H483">
        <v>68500</v>
      </c>
      <c r="I483">
        <v>70281000</v>
      </c>
    </row>
    <row r="484" spans="1:11" hidden="1" x14ac:dyDescent="0.25">
      <c r="A484" s="210" t="s">
        <v>1591</v>
      </c>
      <c r="B484">
        <v>9581</v>
      </c>
      <c r="C484" s="100">
        <v>46165</v>
      </c>
      <c r="D484" t="s">
        <v>13</v>
      </c>
      <c r="E484" t="s">
        <v>265</v>
      </c>
      <c r="F484" t="s">
        <v>136</v>
      </c>
      <c r="G484">
        <v>1056</v>
      </c>
      <c r="H484">
        <v>67500</v>
      </c>
      <c r="I484">
        <v>71280000</v>
      </c>
    </row>
    <row r="485" spans="1:11" hidden="1" x14ac:dyDescent="0.25">
      <c r="A485" s="210" t="s">
        <v>1591</v>
      </c>
      <c r="B485">
        <v>9581</v>
      </c>
      <c r="C485" s="100">
        <v>46165</v>
      </c>
      <c r="D485" t="s">
        <v>13</v>
      </c>
      <c r="E485" t="s">
        <v>265</v>
      </c>
      <c r="F485" t="s">
        <v>78</v>
      </c>
      <c r="G485">
        <v>640</v>
      </c>
      <c r="H485">
        <v>69500</v>
      </c>
      <c r="I485">
        <v>44480000</v>
      </c>
    </row>
    <row r="486" spans="1:11" hidden="1" x14ac:dyDescent="0.25">
      <c r="A486" s="210" t="s">
        <v>1591</v>
      </c>
      <c r="B486">
        <v>9581</v>
      </c>
      <c r="C486" s="100">
        <v>46165</v>
      </c>
      <c r="D486" t="s">
        <v>13</v>
      </c>
      <c r="E486" t="s">
        <v>17</v>
      </c>
      <c r="F486" t="s">
        <v>41</v>
      </c>
      <c r="G486">
        <v>300</v>
      </c>
      <c r="H486">
        <v>65500</v>
      </c>
      <c r="I486">
        <v>19650000</v>
      </c>
    </row>
    <row r="487" spans="1:11" hidden="1" x14ac:dyDescent="0.25">
      <c r="A487" s="210" t="s">
        <v>1591</v>
      </c>
      <c r="B487">
        <v>9581</v>
      </c>
      <c r="C487" s="100">
        <v>46165</v>
      </c>
      <c r="D487" t="s">
        <v>13</v>
      </c>
      <c r="E487" t="s">
        <v>17</v>
      </c>
      <c r="F487" t="s">
        <v>136</v>
      </c>
      <c r="G487">
        <v>300</v>
      </c>
      <c r="H487">
        <v>65500</v>
      </c>
      <c r="I487">
        <v>19650000</v>
      </c>
    </row>
    <row r="488" spans="1:11" hidden="1" x14ac:dyDescent="0.25">
      <c r="A488" s="210" t="s">
        <v>2342</v>
      </c>
      <c r="B488">
        <v>9580</v>
      </c>
      <c r="C488" s="100">
        <v>46165</v>
      </c>
      <c r="D488" t="s">
        <v>13</v>
      </c>
      <c r="E488" t="s">
        <v>26</v>
      </c>
      <c r="F488" t="s">
        <v>2355</v>
      </c>
      <c r="G488">
        <v>6184</v>
      </c>
      <c r="H488">
        <v>34000</v>
      </c>
      <c r="I488">
        <v>210256000</v>
      </c>
    </row>
    <row r="489" spans="1:11" hidden="1" x14ac:dyDescent="0.25">
      <c r="A489" s="210" t="s">
        <v>1650</v>
      </c>
      <c r="B489">
        <v>9579</v>
      </c>
      <c r="C489" s="100">
        <v>46165</v>
      </c>
      <c r="D489" t="s">
        <v>13</v>
      </c>
      <c r="E489" t="s">
        <v>14</v>
      </c>
      <c r="F489" t="s">
        <v>40</v>
      </c>
      <c r="G489">
        <v>1636</v>
      </c>
      <c r="H489">
        <v>47000</v>
      </c>
      <c r="I489">
        <v>76892000</v>
      </c>
    </row>
    <row r="490" spans="1:11" hidden="1" x14ac:dyDescent="0.25">
      <c r="A490" s="210" t="s">
        <v>1532</v>
      </c>
      <c r="B490">
        <v>9578</v>
      </c>
      <c r="C490" s="100">
        <v>46165</v>
      </c>
      <c r="D490" t="s">
        <v>49</v>
      </c>
      <c r="E490" t="s">
        <v>301</v>
      </c>
      <c r="F490" t="s">
        <v>2321</v>
      </c>
      <c r="G490">
        <v>1125</v>
      </c>
      <c r="I490">
        <v>0</v>
      </c>
      <c r="K490" t="s">
        <v>2322</v>
      </c>
    </row>
    <row r="491" spans="1:11" hidden="1" x14ac:dyDescent="0.25">
      <c r="A491" s="210" t="s">
        <v>1532</v>
      </c>
      <c r="B491">
        <v>9578</v>
      </c>
      <c r="C491" s="100">
        <v>46165</v>
      </c>
      <c r="D491" t="s">
        <v>49</v>
      </c>
      <c r="E491" t="s">
        <v>301</v>
      </c>
      <c r="F491" t="s">
        <v>465</v>
      </c>
      <c r="G491">
        <v>922</v>
      </c>
      <c r="I491">
        <v>0</v>
      </c>
      <c r="K491" t="s">
        <v>2323</v>
      </c>
    </row>
    <row r="492" spans="1:11" hidden="1" x14ac:dyDescent="0.25">
      <c r="A492" s="210" t="s">
        <v>1532</v>
      </c>
      <c r="B492">
        <v>9578</v>
      </c>
      <c r="C492" s="100">
        <v>46165</v>
      </c>
      <c r="D492" t="s">
        <v>49</v>
      </c>
      <c r="E492" t="s">
        <v>301</v>
      </c>
      <c r="F492" t="s">
        <v>2324</v>
      </c>
      <c r="G492">
        <v>1320</v>
      </c>
      <c r="I492">
        <v>0</v>
      </c>
      <c r="K492" t="s">
        <v>2325</v>
      </c>
    </row>
    <row r="493" spans="1:11" hidden="1" x14ac:dyDescent="0.25">
      <c r="A493" s="210" t="s">
        <v>1532</v>
      </c>
      <c r="B493">
        <v>9578</v>
      </c>
      <c r="C493" s="100">
        <v>46165</v>
      </c>
      <c r="D493" t="s">
        <v>49</v>
      </c>
      <c r="E493" t="s">
        <v>301</v>
      </c>
      <c r="F493" t="s">
        <v>2326</v>
      </c>
      <c r="G493">
        <v>4274</v>
      </c>
      <c r="I493">
        <v>0</v>
      </c>
      <c r="K493" t="s">
        <v>2327</v>
      </c>
    </row>
    <row r="494" spans="1:11" hidden="1" x14ac:dyDescent="0.25">
      <c r="A494" s="210" t="s">
        <v>1520</v>
      </c>
      <c r="B494">
        <v>9577</v>
      </c>
      <c r="C494" s="100">
        <v>46165</v>
      </c>
      <c r="D494" t="s">
        <v>13</v>
      </c>
      <c r="E494" t="s">
        <v>14</v>
      </c>
      <c r="F494" t="s">
        <v>146</v>
      </c>
      <c r="G494">
        <v>854</v>
      </c>
      <c r="H494">
        <v>42000</v>
      </c>
      <c r="I494">
        <v>35868000</v>
      </c>
      <c r="K494">
        <v>856</v>
      </c>
    </row>
    <row r="495" spans="1:11" hidden="1" x14ac:dyDescent="0.25">
      <c r="A495" s="210" t="s">
        <v>1705</v>
      </c>
      <c r="B495">
        <v>9576</v>
      </c>
      <c r="C495" s="100">
        <v>46165</v>
      </c>
      <c r="D495" t="s">
        <v>13</v>
      </c>
      <c r="E495" t="s">
        <v>17</v>
      </c>
      <c r="F495" t="s">
        <v>134</v>
      </c>
      <c r="G495">
        <v>1656</v>
      </c>
      <c r="H495">
        <v>61000</v>
      </c>
      <c r="I495">
        <v>101016000</v>
      </c>
    </row>
    <row r="496" spans="1:11" hidden="1" x14ac:dyDescent="0.25">
      <c r="A496" s="210" t="s">
        <v>1530</v>
      </c>
      <c r="B496">
        <v>9575</v>
      </c>
      <c r="C496" s="100">
        <v>46165</v>
      </c>
      <c r="D496" t="s">
        <v>13</v>
      </c>
      <c r="E496" t="s">
        <v>702</v>
      </c>
      <c r="F496" t="s">
        <v>2315</v>
      </c>
      <c r="G496">
        <v>510</v>
      </c>
      <c r="H496">
        <v>42000</v>
      </c>
      <c r="I496">
        <v>21420000</v>
      </c>
      <c r="K496">
        <v>514</v>
      </c>
    </row>
    <row r="497" spans="1:11" hidden="1" x14ac:dyDescent="0.25">
      <c r="A497" s="210" t="s">
        <v>1539</v>
      </c>
      <c r="B497">
        <v>9574</v>
      </c>
      <c r="C497" s="100">
        <v>46165</v>
      </c>
      <c r="D497" t="s">
        <v>13</v>
      </c>
      <c r="E497" t="s">
        <v>17</v>
      </c>
      <c r="F497" t="s">
        <v>251</v>
      </c>
      <c r="G497">
        <v>350</v>
      </c>
      <c r="H497">
        <v>66000</v>
      </c>
      <c r="I497">
        <v>23100000</v>
      </c>
    </row>
    <row r="498" spans="1:11" hidden="1" x14ac:dyDescent="0.25">
      <c r="A498" s="210" t="s">
        <v>1638</v>
      </c>
      <c r="B498">
        <v>9573</v>
      </c>
      <c r="C498" s="100">
        <v>46165</v>
      </c>
      <c r="D498" t="s">
        <v>13</v>
      </c>
      <c r="E498" t="s">
        <v>43</v>
      </c>
      <c r="F498" t="s">
        <v>1767</v>
      </c>
      <c r="G498">
        <v>730</v>
      </c>
      <c r="H498">
        <v>-58500</v>
      </c>
      <c r="I498">
        <v>-42705000</v>
      </c>
    </row>
    <row r="499" spans="1:11" hidden="1" x14ac:dyDescent="0.25">
      <c r="A499" s="210" t="s">
        <v>1677</v>
      </c>
      <c r="B499">
        <v>9572</v>
      </c>
      <c r="C499" s="100">
        <v>46165</v>
      </c>
      <c r="D499" t="s">
        <v>13</v>
      </c>
      <c r="E499" t="s">
        <v>170</v>
      </c>
      <c r="F499" t="s">
        <v>116</v>
      </c>
      <c r="G499">
        <v>72</v>
      </c>
      <c r="H499">
        <v>68000</v>
      </c>
      <c r="I499">
        <v>4896000</v>
      </c>
    </row>
    <row r="500" spans="1:11" hidden="1" x14ac:dyDescent="0.25">
      <c r="A500" s="210" t="s">
        <v>1493</v>
      </c>
      <c r="B500">
        <v>9571</v>
      </c>
      <c r="C500" s="100">
        <v>46165</v>
      </c>
      <c r="D500" t="s">
        <v>13</v>
      </c>
      <c r="E500" t="s">
        <v>26</v>
      </c>
      <c r="F500" t="s">
        <v>146</v>
      </c>
      <c r="G500">
        <v>796</v>
      </c>
      <c r="H500">
        <v>35000</v>
      </c>
      <c r="I500">
        <v>27860000</v>
      </c>
    </row>
    <row r="501" spans="1:11" hidden="1" x14ac:dyDescent="0.25">
      <c r="A501" s="210" t="s">
        <v>1493</v>
      </c>
      <c r="B501">
        <v>9571</v>
      </c>
      <c r="C501" s="100">
        <v>46165</v>
      </c>
      <c r="D501" t="s">
        <v>13</v>
      </c>
      <c r="E501" t="s">
        <v>26</v>
      </c>
      <c r="F501" t="s">
        <v>134</v>
      </c>
      <c r="G501">
        <v>714</v>
      </c>
      <c r="H501">
        <v>35000</v>
      </c>
      <c r="I501">
        <v>24990000</v>
      </c>
    </row>
    <row r="502" spans="1:11" hidden="1" x14ac:dyDescent="0.25">
      <c r="A502" s="210" t="s">
        <v>1545</v>
      </c>
      <c r="B502">
        <v>9570</v>
      </c>
      <c r="C502" s="100">
        <v>46165</v>
      </c>
      <c r="D502" t="s">
        <v>13</v>
      </c>
      <c r="E502" t="s">
        <v>43</v>
      </c>
      <c r="F502" t="s">
        <v>2314</v>
      </c>
      <c r="G502">
        <v>4921</v>
      </c>
      <c r="H502">
        <v>63000</v>
      </c>
      <c r="I502">
        <v>310023000</v>
      </c>
    </row>
    <row r="503" spans="1:11" hidden="1" x14ac:dyDescent="0.25">
      <c r="A503" s="210" t="s">
        <v>1479</v>
      </c>
      <c r="B503">
        <v>9569</v>
      </c>
      <c r="C503" s="100">
        <v>46165</v>
      </c>
      <c r="D503" t="s">
        <v>13</v>
      </c>
      <c r="E503" t="s">
        <v>68</v>
      </c>
      <c r="F503" t="s">
        <v>1127</v>
      </c>
      <c r="G503">
        <v>412</v>
      </c>
      <c r="H503">
        <v>43000</v>
      </c>
      <c r="I503">
        <v>17716000</v>
      </c>
    </row>
    <row r="504" spans="1:11" hidden="1" x14ac:dyDescent="0.25">
      <c r="A504" s="210" t="s">
        <v>1479</v>
      </c>
      <c r="B504">
        <v>9569</v>
      </c>
      <c r="C504" s="100">
        <v>46165</v>
      </c>
      <c r="D504" t="s">
        <v>13</v>
      </c>
      <c r="E504" t="s">
        <v>68</v>
      </c>
      <c r="F504" t="s">
        <v>1844</v>
      </c>
      <c r="G504">
        <v>184</v>
      </c>
      <c r="H504">
        <v>43000</v>
      </c>
      <c r="I504">
        <v>7912000</v>
      </c>
    </row>
    <row r="505" spans="1:11" hidden="1" x14ac:dyDescent="0.25">
      <c r="A505" s="210" t="s">
        <v>1688</v>
      </c>
      <c r="B505">
        <v>9568</v>
      </c>
      <c r="C505" s="100">
        <v>46165</v>
      </c>
      <c r="D505" t="s">
        <v>13</v>
      </c>
      <c r="E505" t="s">
        <v>26</v>
      </c>
      <c r="F505" t="s">
        <v>62</v>
      </c>
      <c r="G505">
        <v>1132</v>
      </c>
      <c r="H505">
        <v>34500</v>
      </c>
      <c r="I505">
        <v>39054000</v>
      </c>
    </row>
    <row r="506" spans="1:11" hidden="1" x14ac:dyDescent="0.25">
      <c r="A506" s="210" t="s">
        <v>1609</v>
      </c>
      <c r="B506">
        <v>9567</v>
      </c>
      <c r="C506" s="100">
        <v>46165</v>
      </c>
      <c r="D506" t="s">
        <v>13</v>
      </c>
      <c r="E506" t="s">
        <v>1085</v>
      </c>
      <c r="F506" t="s">
        <v>62</v>
      </c>
      <c r="G506">
        <v>1989</v>
      </c>
      <c r="H506">
        <v>38300</v>
      </c>
      <c r="I506">
        <v>76178700</v>
      </c>
      <c r="K506" t="s">
        <v>2311</v>
      </c>
    </row>
    <row r="507" spans="1:11" hidden="1" x14ac:dyDescent="0.25">
      <c r="A507" s="210" t="s">
        <v>1499</v>
      </c>
      <c r="B507">
        <v>9566</v>
      </c>
      <c r="C507" s="100">
        <v>46165</v>
      </c>
      <c r="D507" t="s">
        <v>13</v>
      </c>
      <c r="E507" t="s">
        <v>170</v>
      </c>
      <c r="F507" t="s">
        <v>288</v>
      </c>
      <c r="G507">
        <v>2938</v>
      </c>
      <c r="H507">
        <v>67500</v>
      </c>
      <c r="I507">
        <v>198315000</v>
      </c>
    </row>
    <row r="508" spans="1:11" hidden="1" x14ac:dyDescent="0.25">
      <c r="A508" s="210" t="s">
        <v>1499</v>
      </c>
      <c r="B508">
        <v>9566</v>
      </c>
      <c r="C508" s="100">
        <v>46165</v>
      </c>
      <c r="D508" t="s">
        <v>13</v>
      </c>
      <c r="E508" t="s">
        <v>170</v>
      </c>
      <c r="F508" t="s">
        <v>116</v>
      </c>
      <c r="G508">
        <v>988</v>
      </c>
      <c r="H508">
        <v>67000</v>
      </c>
      <c r="I508">
        <v>66196000</v>
      </c>
    </row>
    <row r="509" spans="1:11" hidden="1" x14ac:dyDescent="0.25">
      <c r="A509" s="210" t="s">
        <v>1499</v>
      </c>
      <c r="B509">
        <v>9566</v>
      </c>
      <c r="C509" s="100">
        <v>46165</v>
      </c>
      <c r="D509" t="s">
        <v>13</v>
      </c>
      <c r="E509" t="s">
        <v>170</v>
      </c>
      <c r="F509" t="s">
        <v>2313</v>
      </c>
      <c r="G509">
        <v>374</v>
      </c>
      <c r="H509">
        <v>67000</v>
      </c>
      <c r="I509">
        <v>25058000</v>
      </c>
    </row>
    <row r="510" spans="1:11" hidden="1" x14ac:dyDescent="0.25">
      <c r="A510" s="210" t="s">
        <v>1592</v>
      </c>
      <c r="B510">
        <v>9564</v>
      </c>
      <c r="C510" s="100">
        <v>46165</v>
      </c>
      <c r="D510" t="s">
        <v>49</v>
      </c>
      <c r="E510" t="s">
        <v>43</v>
      </c>
      <c r="F510" t="s">
        <v>136</v>
      </c>
      <c r="G510">
        <v>5320</v>
      </c>
      <c r="I510">
        <v>0</v>
      </c>
      <c r="K510" t="s">
        <v>2310</v>
      </c>
    </row>
    <row r="511" spans="1:11" hidden="1" x14ac:dyDescent="0.25">
      <c r="A511" s="210" t="s">
        <v>1673</v>
      </c>
      <c r="B511">
        <v>9563</v>
      </c>
      <c r="C511" s="100">
        <v>46165</v>
      </c>
      <c r="D511" t="s">
        <v>13</v>
      </c>
      <c r="E511" t="s">
        <v>109</v>
      </c>
      <c r="F511" t="s">
        <v>946</v>
      </c>
      <c r="G511">
        <v>2916</v>
      </c>
      <c r="H511">
        <v>61000</v>
      </c>
      <c r="I511">
        <v>177876000</v>
      </c>
      <c r="K511" t="s">
        <v>42</v>
      </c>
    </row>
    <row r="512" spans="1:11" hidden="1" x14ac:dyDescent="0.25">
      <c r="A512" s="210" t="s">
        <v>2154</v>
      </c>
      <c r="B512">
        <v>9562</v>
      </c>
      <c r="C512" s="100">
        <v>46165</v>
      </c>
      <c r="D512" t="s">
        <v>13</v>
      </c>
      <c r="E512" t="s">
        <v>68</v>
      </c>
      <c r="F512" t="s">
        <v>2307</v>
      </c>
      <c r="G512">
        <v>108</v>
      </c>
      <c r="H512">
        <v>42500</v>
      </c>
      <c r="I512">
        <v>4590000</v>
      </c>
    </row>
    <row r="513" spans="1:11" hidden="1" x14ac:dyDescent="0.25">
      <c r="A513" s="210" t="s">
        <v>2154</v>
      </c>
      <c r="B513">
        <v>9562</v>
      </c>
      <c r="C513" s="100">
        <v>46165</v>
      </c>
      <c r="D513" t="s">
        <v>13</v>
      </c>
      <c r="E513" t="s">
        <v>68</v>
      </c>
      <c r="F513" t="s">
        <v>1016</v>
      </c>
      <c r="G513">
        <v>490</v>
      </c>
      <c r="H513">
        <v>42500</v>
      </c>
      <c r="I513">
        <v>20825000</v>
      </c>
    </row>
    <row r="514" spans="1:11" hidden="1" x14ac:dyDescent="0.25">
      <c r="A514" s="210" t="s">
        <v>2154</v>
      </c>
      <c r="B514">
        <v>9562</v>
      </c>
      <c r="C514" s="100">
        <v>46165</v>
      </c>
      <c r="D514" t="s">
        <v>13</v>
      </c>
      <c r="E514" t="s">
        <v>150</v>
      </c>
      <c r="F514" t="s">
        <v>2308</v>
      </c>
      <c r="G514">
        <v>834</v>
      </c>
      <c r="H514">
        <v>36000</v>
      </c>
      <c r="I514">
        <v>30024000</v>
      </c>
    </row>
    <row r="515" spans="1:11" hidden="1" x14ac:dyDescent="0.25">
      <c r="A515" s="210" t="s">
        <v>2154</v>
      </c>
      <c r="B515">
        <v>9562</v>
      </c>
      <c r="C515" s="100">
        <v>46165</v>
      </c>
      <c r="D515" t="s">
        <v>13</v>
      </c>
      <c r="E515" t="s">
        <v>1105</v>
      </c>
      <c r="F515" t="s">
        <v>221</v>
      </c>
      <c r="G515">
        <v>684</v>
      </c>
      <c r="H515">
        <v>67500</v>
      </c>
      <c r="I515">
        <v>46170000</v>
      </c>
    </row>
    <row r="516" spans="1:11" hidden="1" x14ac:dyDescent="0.25">
      <c r="A516" s="210" t="s">
        <v>2154</v>
      </c>
      <c r="B516">
        <v>9562</v>
      </c>
      <c r="C516" s="100">
        <v>46165</v>
      </c>
      <c r="D516" t="s">
        <v>13</v>
      </c>
      <c r="E516" t="s">
        <v>355</v>
      </c>
      <c r="F516" t="s">
        <v>380</v>
      </c>
      <c r="G516">
        <v>124</v>
      </c>
      <c r="H516">
        <v>69000</v>
      </c>
      <c r="I516">
        <v>8556000</v>
      </c>
    </row>
    <row r="517" spans="1:11" hidden="1" x14ac:dyDescent="0.25">
      <c r="A517" s="210" t="s">
        <v>1536</v>
      </c>
      <c r="B517">
        <v>9561</v>
      </c>
      <c r="C517" s="100">
        <v>46163</v>
      </c>
      <c r="D517" t="s">
        <v>13</v>
      </c>
      <c r="E517" t="s">
        <v>150</v>
      </c>
      <c r="F517" t="s">
        <v>110</v>
      </c>
      <c r="G517">
        <v>490</v>
      </c>
      <c r="H517">
        <v>35500</v>
      </c>
      <c r="I517">
        <v>17395000</v>
      </c>
    </row>
    <row r="518" spans="1:11" hidden="1" x14ac:dyDescent="0.25">
      <c r="A518" s="210" t="s">
        <v>1536</v>
      </c>
      <c r="B518">
        <v>9561</v>
      </c>
      <c r="C518" s="100">
        <v>46163</v>
      </c>
      <c r="D518" t="s">
        <v>13</v>
      </c>
      <c r="E518" t="s">
        <v>355</v>
      </c>
      <c r="F518" t="s">
        <v>288</v>
      </c>
      <c r="G518">
        <v>88</v>
      </c>
      <c r="H518">
        <v>67500</v>
      </c>
      <c r="I518">
        <v>5940000</v>
      </c>
    </row>
    <row r="519" spans="1:11" hidden="1" x14ac:dyDescent="0.25">
      <c r="A519" s="210" t="s">
        <v>1646</v>
      </c>
      <c r="B519">
        <v>9560</v>
      </c>
      <c r="C519" s="100">
        <v>46164</v>
      </c>
      <c r="D519" t="s">
        <v>13</v>
      </c>
      <c r="E519" t="s">
        <v>1842</v>
      </c>
      <c r="F519" t="s">
        <v>117</v>
      </c>
      <c r="G519">
        <v>200</v>
      </c>
      <c r="I519">
        <v>0</v>
      </c>
    </row>
    <row r="520" spans="1:11" hidden="1" x14ac:dyDescent="0.25">
      <c r="A520" s="210" t="s">
        <v>1499</v>
      </c>
      <c r="B520">
        <v>9559</v>
      </c>
      <c r="C520" s="100">
        <v>46164</v>
      </c>
      <c r="D520" t="s">
        <v>13</v>
      </c>
      <c r="E520" t="s">
        <v>2306</v>
      </c>
      <c r="F520" t="s">
        <v>230</v>
      </c>
      <c r="G520">
        <v>2386</v>
      </c>
      <c r="H520">
        <v>67000</v>
      </c>
      <c r="I520">
        <v>159862000</v>
      </c>
    </row>
    <row r="521" spans="1:11" hidden="1" x14ac:dyDescent="0.25">
      <c r="A521" s="210" t="s">
        <v>1499</v>
      </c>
      <c r="B521">
        <v>9559</v>
      </c>
      <c r="C521" s="100">
        <v>46164</v>
      </c>
      <c r="D521" t="s">
        <v>13</v>
      </c>
      <c r="E521" t="s">
        <v>43</v>
      </c>
      <c r="F521" t="s">
        <v>230</v>
      </c>
      <c r="G521">
        <v>1108</v>
      </c>
      <c r="H521">
        <v>68000</v>
      </c>
      <c r="I521">
        <v>75344000</v>
      </c>
    </row>
    <row r="522" spans="1:11" hidden="1" x14ac:dyDescent="0.25">
      <c r="A522" s="210" t="s">
        <v>1524</v>
      </c>
      <c r="B522">
        <v>9558</v>
      </c>
      <c r="C522" s="100">
        <v>46164</v>
      </c>
      <c r="D522" t="s">
        <v>49</v>
      </c>
      <c r="E522" t="s">
        <v>26</v>
      </c>
      <c r="F522" t="s">
        <v>2282</v>
      </c>
      <c r="G522">
        <v>2376</v>
      </c>
      <c r="I522">
        <v>0</v>
      </c>
      <c r="K522" t="s">
        <v>2283</v>
      </c>
    </row>
    <row r="523" spans="1:11" hidden="1" x14ac:dyDescent="0.25">
      <c r="A523" s="210" t="s">
        <v>1524</v>
      </c>
      <c r="B523">
        <v>9558</v>
      </c>
      <c r="C523" s="100">
        <v>46164</v>
      </c>
      <c r="D523" t="s">
        <v>49</v>
      </c>
      <c r="E523" t="s">
        <v>26</v>
      </c>
      <c r="F523" t="s">
        <v>2282</v>
      </c>
      <c r="G523">
        <v>2452</v>
      </c>
      <c r="I523">
        <v>0</v>
      </c>
      <c r="K523" t="s">
        <v>2284</v>
      </c>
    </row>
    <row r="524" spans="1:11" hidden="1" x14ac:dyDescent="0.25">
      <c r="A524" s="210" t="s">
        <v>1524</v>
      </c>
      <c r="B524">
        <v>9558</v>
      </c>
      <c r="C524" s="100">
        <v>46164</v>
      </c>
      <c r="D524" t="s">
        <v>49</v>
      </c>
      <c r="E524" t="s">
        <v>26</v>
      </c>
      <c r="F524" t="s">
        <v>2285</v>
      </c>
      <c r="G524">
        <v>2106</v>
      </c>
      <c r="I524">
        <v>0</v>
      </c>
      <c r="K524" t="s">
        <v>2286</v>
      </c>
    </row>
    <row r="525" spans="1:11" hidden="1" x14ac:dyDescent="0.25">
      <c r="A525" s="210" t="s">
        <v>1524</v>
      </c>
      <c r="B525">
        <v>9558</v>
      </c>
      <c r="C525" s="100">
        <v>46164</v>
      </c>
      <c r="D525" t="s">
        <v>49</v>
      </c>
      <c r="E525" t="s">
        <v>26</v>
      </c>
      <c r="F525" t="s">
        <v>2287</v>
      </c>
      <c r="G525">
        <v>2345</v>
      </c>
      <c r="I525">
        <v>0</v>
      </c>
      <c r="K525" t="s">
        <v>2288</v>
      </c>
    </row>
    <row r="526" spans="1:11" hidden="1" x14ac:dyDescent="0.25">
      <c r="A526" s="210" t="s">
        <v>1725</v>
      </c>
      <c r="B526">
        <v>9556</v>
      </c>
      <c r="C526" s="100">
        <v>46164</v>
      </c>
      <c r="D526" t="s">
        <v>49</v>
      </c>
      <c r="E526" t="s">
        <v>43</v>
      </c>
      <c r="F526" t="s">
        <v>78</v>
      </c>
      <c r="G526">
        <v>10860</v>
      </c>
      <c r="I526">
        <v>0</v>
      </c>
      <c r="K526" t="s">
        <v>2305</v>
      </c>
    </row>
    <row r="527" spans="1:11" hidden="1" x14ac:dyDescent="0.25">
      <c r="A527" s="210" t="s">
        <v>1541</v>
      </c>
      <c r="B527">
        <v>9555</v>
      </c>
      <c r="C527" s="100">
        <v>46164</v>
      </c>
      <c r="D527" t="s">
        <v>13</v>
      </c>
      <c r="E527" t="s">
        <v>17</v>
      </c>
      <c r="F527" t="s">
        <v>25</v>
      </c>
      <c r="G527">
        <v>1035.5</v>
      </c>
      <c r="H527">
        <v>62500</v>
      </c>
      <c r="I527">
        <v>64718750</v>
      </c>
      <c r="K527">
        <v>1040</v>
      </c>
    </row>
    <row r="528" spans="1:11" hidden="1" x14ac:dyDescent="0.25">
      <c r="A528" s="210" t="s">
        <v>1541</v>
      </c>
      <c r="B528">
        <v>9555</v>
      </c>
      <c r="C528" s="100">
        <v>46164</v>
      </c>
      <c r="D528" t="s">
        <v>13</v>
      </c>
      <c r="E528" t="s">
        <v>17</v>
      </c>
      <c r="F528" t="s">
        <v>33</v>
      </c>
      <c r="G528">
        <v>699</v>
      </c>
      <c r="H528">
        <v>62500</v>
      </c>
      <c r="I528">
        <v>43687500</v>
      </c>
      <c r="K528">
        <v>700</v>
      </c>
    </row>
    <row r="529" spans="1:11" hidden="1" x14ac:dyDescent="0.25">
      <c r="A529" s="210" t="s">
        <v>1541</v>
      </c>
      <c r="B529">
        <v>9555</v>
      </c>
      <c r="C529" s="100">
        <v>46164</v>
      </c>
      <c r="D529" t="s">
        <v>13</v>
      </c>
      <c r="E529" t="s">
        <v>252</v>
      </c>
      <c r="F529" t="s">
        <v>41</v>
      </c>
      <c r="G529">
        <v>434</v>
      </c>
      <c r="H529">
        <v>38000</v>
      </c>
      <c r="I529">
        <v>16492000</v>
      </c>
    </row>
    <row r="530" spans="1:11" hidden="1" x14ac:dyDescent="0.25">
      <c r="A530" s="210" t="s">
        <v>1541</v>
      </c>
      <c r="B530">
        <v>9555</v>
      </c>
      <c r="C530" s="100">
        <v>46164</v>
      </c>
      <c r="D530" t="s">
        <v>13</v>
      </c>
      <c r="E530" t="s">
        <v>50</v>
      </c>
      <c r="F530" t="s">
        <v>117</v>
      </c>
      <c r="G530">
        <v>572</v>
      </c>
      <c r="H530">
        <v>61000</v>
      </c>
      <c r="I530">
        <v>34892000</v>
      </c>
      <c r="K530">
        <v>573</v>
      </c>
    </row>
    <row r="531" spans="1:11" hidden="1" x14ac:dyDescent="0.25">
      <c r="A531" s="210" t="s">
        <v>1531</v>
      </c>
      <c r="B531">
        <v>9554</v>
      </c>
      <c r="C531" s="100">
        <v>46164</v>
      </c>
      <c r="D531" t="s">
        <v>13</v>
      </c>
      <c r="E531" t="s">
        <v>173</v>
      </c>
      <c r="F531" t="s">
        <v>2055</v>
      </c>
      <c r="G531">
        <v>278</v>
      </c>
      <c r="H531">
        <v>66000</v>
      </c>
      <c r="I531">
        <v>18348000</v>
      </c>
      <c r="K531" t="s">
        <v>231</v>
      </c>
    </row>
    <row r="532" spans="1:11" hidden="1" x14ac:dyDescent="0.25">
      <c r="A532" s="210" t="s">
        <v>1566</v>
      </c>
      <c r="B532">
        <v>9553</v>
      </c>
      <c r="C532" s="100">
        <v>46164</v>
      </c>
      <c r="D532" t="s">
        <v>13</v>
      </c>
      <c r="E532" t="s">
        <v>27</v>
      </c>
      <c r="F532" t="s">
        <v>2281</v>
      </c>
      <c r="G532">
        <v>294</v>
      </c>
      <c r="H532">
        <v>61500</v>
      </c>
      <c r="I532">
        <v>18081000</v>
      </c>
    </row>
    <row r="533" spans="1:11" hidden="1" x14ac:dyDescent="0.25">
      <c r="A533" s="210" t="s">
        <v>1566</v>
      </c>
      <c r="B533">
        <v>9553</v>
      </c>
      <c r="C533" s="100">
        <v>46164</v>
      </c>
      <c r="D533" t="s">
        <v>13</v>
      </c>
      <c r="E533" t="s">
        <v>17</v>
      </c>
      <c r="F533" t="s">
        <v>230</v>
      </c>
      <c r="G533">
        <v>272</v>
      </c>
      <c r="H533">
        <v>71000</v>
      </c>
      <c r="I533">
        <v>19312000</v>
      </c>
    </row>
    <row r="534" spans="1:11" hidden="1" x14ac:dyDescent="0.25">
      <c r="A534" s="210" t="s">
        <v>1539</v>
      </c>
      <c r="B534">
        <v>9552</v>
      </c>
      <c r="C534" s="100">
        <v>46164</v>
      </c>
      <c r="D534" t="s">
        <v>13</v>
      </c>
      <c r="E534" t="s">
        <v>43</v>
      </c>
      <c r="F534" t="s">
        <v>154</v>
      </c>
      <c r="G534">
        <v>656</v>
      </c>
      <c r="H534">
        <v>60500</v>
      </c>
      <c r="I534">
        <v>39688000</v>
      </c>
    </row>
    <row r="535" spans="1:11" hidden="1" x14ac:dyDescent="0.25">
      <c r="A535" s="210" t="s">
        <v>1539</v>
      </c>
      <c r="B535">
        <v>9552</v>
      </c>
      <c r="C535" s="100">
        <v>46164</v>
      </c>
      <c r="D535" t="s">
        <v>13</v>
      </c>
      <c r="E535" t="s">
        <v>43</v>
      </c>
      <c r="F535" t="s">
        <v>154</v>
      </c>
      <c r="G535">
        <v>556</v>
      </c>
      <c r="H535">
        <v>60500</v>
      </c>
      <c r="I535">
        <v>33638000</v>
      </c>
    </row>
    <row r="536" spans="1:11" hidden="1" x14ac:dyDescent="0.25">
      <c r="A536" s="210" t="s">
        <v>1539</v>
      </c>
      <c r="B536">
        <v>9552</v>
      </c>
      <c r="C536" s="100">
        <v>46164</v>
      </c>
      <c r="D536" t="s">
        <v>13</v>
      </c>
      <c r="E536" t="s">
        <v>43</v>
      </c>
      <c r="F536" t="s">
        <v>248</v>
      </c>
      <c r="G536">
        <v>508</v>
      </c>
      <c r="H536">
        <v>57000</v>
      </c>
      <c r="I536">
        <v>28956000</v>
      </c>
      <c r="K536" t="s">
        <v>2280</v>
      </c>
    </row>
    <row r="537" spans="1:11" hidden="1" x14ac:dyDescent="0.25">
      <c r="A537" s="210" t="s">
        <v>1475</v>
      </c>
      <c r="B537">
        <v>9551</v>
      </c>
      <c r="C537" s="100">
        <v>46164</v>
      </c>
      <c r="D537" t="s">
        <v>13</v>
      </c>
      <c r="E537" t="s">
        <v>17</v>
      </c>
      <c r="F537" t="s">
        <v>33</v>
      </c>
      <c r="G537">
        <v>2568</v>
      </c>
      <c r="H537">
        <v>62500</v>
      </c>
      <c r="I537">
        <v>160500000</v>
      </c>
    </row>
    <row r="538" spans="1:11" hidden="1" x14ac:dyDescent="0.25">
      <c r="A538" s="210" t="s">
        <v>1475</v>
      </c>
      <c r="B538">
        <v>9551</v>
      </c>
      <c r="C538" s="100">
        <v>46164</v>
      </c>
      <c r="D538" t="s">
        <v>13</v>
      </c>
      <c r="E538" t="s">
        <v>17</v>
      </c>
      <c r="F538" t="s">
        <v>46</v>
      </c>
      <c r="G538">
        <v>2126</v>
      </c>
      <c r="H538">
        <v>62500</v>
      </c>
      <c r="I538">
        <v>132875000</v>
      </c>
    </row>
    <row r="539" spans="1:11" hidden="1" x14ac:dyDescent="0.25">
      <c r="A539" s="210" t="s">
        <v>1475</v>
      </c>
      <c r="B539">
        <v>9551</v>
      </c>
      <c r="C539" s="100">
        <v>46164</v>
      </c>
      <c r="D539" t="s">
        <v>13</v>
      </c>
      <c r="E539" t="s">
        <v>26</v>
      </c>
      <c r="F539" t="s">
        <v>918</v>
      </c>
      <c r="G539">
        <v>1238</v>
      </c>
      <c r="H539">
        <v>32500</v>
      </c>
      <c r="I539">
        <v>40235000</v>
      </c>
    </row>
    <row r="540" spans="1:11" hidden="1" x14ac:dyDescent="0.25">
      <c r="A540" s="210" t="s">
        <v>1475</v>
      </c>
      <c r="B540">
        <v>9551</v>
      </c>
      <c r="C540" s="100">
        <v>46164</v>
      </c>
      <c r="D540" t="s">
        <v>13</v>
      </c>
      <c r="E540" t="s">
        <v>68</v>
      </c>
      <c r="F540" t="s">
        <v>117</v>
      </c>
      <c r="G540">
        <v>116</v>
      </c>
      <c r="H540">
        <v>42000</v>
      </c>
      <c r="I540">
        <v>4872000</v>
      </c>
    </row>
    <row r="541" spans="1:11" hidden="1" x14ac:dyDescent="0.25">
      <c r="A541" s="210" t="s">
        <v>1715</v>
      </c>
      <c r="B541">
        <v>9549</v>
      </c>
      <c r="C541" s="100">
        <v>46164</v>
      </c>
      <c r="D541" t="s">
        <v>13</v>
      </c>
      <c r="E541" t="s">
        <v>26</v>
      </c>
      <c r="F541" t="s">
        <v>41</v>
      </c>
      <c r="G541">
        <v>1058</v>
      </c>
      <c r="H541">
        <v>36000</v>
      </c>
      <c r="I541">
        <v>38088000</v>
      </c>
    </row>
    <row r="542" spans="1:11" hidden="1" x14ac:dyDescent="0.25">
      <c r="A542" s="210" t="s">
        <v>1641</v>
      </c>
      <c r="B542">
        <v>9548</v>
      </c>
      <c r="C542" s="100">
        <v>46164</v>
      </c>
      <c r="D542" t="s">
        <v>13</v>
      </c>
      <c r="E542" t="s">
        <v>43</v>
      </c>
      <c r="F542" t="s">
        <v>248</v>
      </c>
      <c r="G542">
        <v>1380</v>
      </c>
      <c r="H542">
        <v>58000</v>
      </c>
      <c r="I542">
        <v>80040000</v>
      </c>
    </row>
    <row r="543" spans="1:11" hidden="1" x14ac:dyDescent="0.25">
      <c r="A543" s="210" t="s">
        <v>1688</v>
      </c>
      <c r="B543">
        <v>9547</v>
      </c>
      <c r="C543" s="100">
        <v>46164</v>
      </c>
      <c r="D543" t="s">
        <v>13</v>
      </c>
      <c r="E543" t="s">
        <v>54</v>
      </c>
      <c r="F543" t="s">
        <v>2279</v>
      </c>
      <c r="G543">
        <v>684</v>
      </c>
      <c r="H543">
        <v>35000</v>
      </c>
      <c r="I543">
        <v>23940000</v>
      </c>
    </row>
    <row r="544" spans="1:11" hidden="1" x14ac:dyDescent="0.25">
      <c r="A544" s="210" t="s">
        <v>1479</v>
      </c>
      <c r="B544">
        <v>9546</v>
      </c>
      <c r="C544" s="100">
        <v>46164</v>
      </c>
      <c r="D544" t="s">
        <v>13</v>
      </c>
      <c r="E544" t="s">
        <v>103</v>
      </c>
      <c r="F544" t="s">
        <v>1015</v>
      </c>
      <c r="G544">
        <v>3508</v>
      </c>
      <c r="H544">
        <v>37000</v>
      </c>
      <c r="I544">
        <v>129796000</v>
      </c>
    </row>
    <row r="545" spans="1:11" hidden="1" x14ac:dyDescent="0.25">
      <c r="A545" s="210" t="s">
        <v>1479</v>
      </c>
      <c r="B545">
        <v>9546</v>
      </c>
      <c r="C545" s="100">
        <v>46164</v>
      </c>
      <c r="D545" t="s">
        <v>13</v>
      </c>
      <c r="E545" t="s">
        <v>17</v>
      </c>
      <c r="F545" t="s">
        <v>230</v>
      </c>
      <c r="G545">
        <v>1672</v>
      </c>
      <c r="H545">
        <v>71000</v>
      </c>
      <c r="I545">
        <v>118712000</v>
      </c>
    </row>
    <row r="546" spans="1:11" hidden="1" x14ac:dyDescent="0.25">
      <c r="A546" s="210" t="s">
        <v>1479</v>
      </c>
      <c r="B546">
        <v>9546</v>
      </c>
      <c r="C546" s="100">
        <v>46164</v>
      </c>
      <c r="D546" t="s">
        <v>13</v>
      </c>
      <c r="E546" t="s">
        <v>17</v>
      </c>
      <c r="F546" t="s">
        <v>146</v>
      </c>
      <c r="G546">
        <v>2130</v>
      </c>
      <c r="H546">
        <v>62500</v>
      </c>
      <c r="I546">
        <v>133125000</v>
      </c>
    </row>
    <row r="547" spans="1:11" hidden="1" x14ac:dyDescent="0.25">
      <c r="A547" s="210" t="s">
        <v>1596</v>
      </c>
      <c r="B547">
        <v>9545</v>
      </c>
      <c r="C547" s="100">
        <v>46164</v>
      </c>
      <c r="D547" t="s">
        <v>49</v>
      </c>
      <c r="E547" t="s">
        <v>26</v>
      </c>
      <c r="F547" t="s">
        <v>62</v>
      </c>
      <c r="G547">
        <v>3992</v>
      </c>
      <c r="I547">
        <v>0</v>
      </c>
      <c r="K547" t="s">
        <v>2278</v>
      </c>
    </row>
    <row r="548" spans="1:11" hidden="1" x14ac:dyDescent="0.25">
      <c r="A548" s="210" t="s">
        <v>1524</v>
      </c>
      <c r="B548">
        <v>9544</v>
      </c>
      <c r="C548" s="100">
        <v>46164</v>
      </c>
      <c r="D548" t="s">
        <v>49</v>
      </c>
      <c r="E548" t="s">
        <v>17</v>
      </c>
      <c r="F548" t="s">
        <v>891</v>
      </c>
      <c r="G548">
        <v>4532</v>
      </c>
      <c r="I548">
        <v>0</v>
      </c>
      <c r="K548" t="s">
        <v>2277</v>
      </c>
    </row>
    <row r="549" spans="1:11" hidden="1" x14ac:dyDescent="0.25">
      <c r="A549" s="210" t="s">
        <v>2276</v>
      </c>
      <c r="B549">
        <v>9543</v>
      </c>
      <c r="C549" s="100">
        <v>46163</v>
      </c>
      <c r="D549" t="s">
        <v>13</v>
      </c>
      <c r="E549" t="s">
        <v>17</v>
      </c>
      <c r="F549" t="s">
        <v>891</v>
      </c>
      <c r="G549">
        <v>2022</v>
      </c>
      <c r="H549">
        <v>69000</v>
      </c>
      <c r="I549">
        <v>139518000</v>
      </c>
      <c r="K549">
        <v>2026</v>
      </c>
    </row>
    <row r="550" spans="1:11" hidden="1" x14ac:dyDescent="0.25">
      <c r="A550" s="210" t="s">
        <v>1592</v>
      </c>
      <c r="B550">
        <v>9542</v>
      </c>
      <c r="C550" s="100">
        <v>46163</v>
      </c>
      <c r="D550" t="s">
        <v>49</v>
      </c>
      <c r="E550" t="s">
        <v>43</v>
      </c>
      <c r="F550" t="s">
        <v>134</v>
      </c>
      <c r="G550">
        <v>1726</v>
      </c>
      <c r="I550">
        <v>0</v>
      </c>
      <c r="K550" t="s">
        <v>1740</v>
      </c>
    </row>
    <row r="551" spans="1:11" hidden="1" x14ac:dyDescent="0.25">
      <c r="A551" s="210" t="s">
        <v>1592</v>
      </c>
      <c r="B551">
        <v>9542</v>
      </c>
      <c r="C551" s="100">
        <v>46163</v>
      </c>
      <c r="D551" t="s">
        <v>49</v>
      </c>
      <c r="E551" t="s">
        <v>43</v>
      </c>
      <c r="F551" t="s">
        <v>136</v>
      </c>
      <c r="G551">
        <v>5349</v>
      </c>
      <c r="I551">
        <v>0</v>
      </c>
      <c r="K551" t="s">
        <v>1740</v>
      </c>
    </row>
    <row r="552" spans="1:11" hidden="1" x14ac:dyDescent="0.25">
      <c r="A552" s="210" t="s">
        <v>1592</v>
      </c>
      <c r="B552">
        <v>9542</v>
      </c>
      <c r="C552" s="100">
        <v>46163</v>
      </c>
      <c r="D552" t="s">
        <v>49</v>
      </c>
      <c r="E552" t="s">
        <v>43</v>
      </c>
      <c r="F552" t="s">
        <v>78</v>
      </c>
      <c r="G552">
        <v>640</v>
      </c>
      <c r="I552">
        <v>0</v>
      </c>
      <c r="K552" t="s">
        <v>1740</v>
      </c>
    </row>
    <row r="553" spans="1:11" hidden="1" x14ac:dyDescent="0.25">
      <c r="A553" s="210" t="s">
        <v>1590</v>
      </c>
      <c r="B553">
        <v>9541</v>
      </c>
      <c r="C553" s="100">
        <v>46163</v>
      </c>
      <c r="D553" t="s">
        <v>13</v>
      </c>
      <c r="E553" t="s">
        <v>43</v>
      </c>
      <c r="F553" t="s">
        <v>134</v>
      </c>
      <c r="G553">
        <v>5324</v>
      </c>
      <c r="H553">
        <v>63500</v>
      </c>
      <c r="I553">
        <v>338074000</v>
      </c>
    </row>
    <row r="554" spans="1:11" hidden="1" x14ac:dyDescent="0.25">
      <c r="A554" s="210" t="s">
        <v>1590</v>
      </c>
      <c r="B554">
        <v>9541</v>
      </c>
      <c r="C554" s="100">
        <v>46163</v>
      </c>
      <c r="D554" t="s">
        <v>426</v>
      </c>
      <c r="E554" t="s">
        <v>43</v>
      </c>
      <c r="F554" t="s">
        <v>134</v>
      </c>
      <c r="G554">
        <v>5275</v>
      </c>
      <c r="H554">
        <v>-63500</v>
      </c>
      <c r="I554">
        <v>-334962500</v>
      </c>
    </row>
    <row r="555" spans="1:11" hidden="1" x14ac:dyDescent="0.25">
      <c r="A555" s="210" t="s">
        <v>1822</v>
      </c>
      <c r="B555">
        <v>9540</v>
      </c>
      <c r="C555" s="100">
        <v>46163</v>
      </c>
      <c r="D555" t="s">
        <v>13</v>
      </c>
      <c r="E555" t="s">
        <v>43</v>
      </c>
      <c r="F555" t="s">
        <v>136</v>
      </c>
      <c r="G555">
        <v>44</v>
      </c>
      <c r="H555">
        <v>66000</v>
      </c>
      <c r="I555">
        <v>2904000</v>
      </c>
    </row>
    <row r="556" spans="1:11" hidden="1" x14ac:dyDescent="0.25">
      <c r="A556" s="210" t="s">
        <v>1562</v>
      </c>
      <c r="B556">
        <v>9539</v>
      </c>
      <c r="C556" s="100">
        <v>46163</v>
      </c>
      <c r="D556" t="s">
        <v>13</v>
      </c>
      <c r="E556" t="s">
        <v>265</v>
      </c>
      <c r="F556" t="s">
        <v>41</v>
      </c>
      <c r="G556">
        <v>698</v>
      </c>
      <c r="H556">
        <v>69500</v>
      </c>
      <c r="I556">
        <v>48511000</v>
      </c>
    </row>
    <row r="557" spans="1:11" hidden="1" x14ac:dyDescent="0.25">
      <c r="A557" s="210" t="s">
        <v>1538</v>
      </c>
      <c r="B557">
        <v>9538</v>
      </c>
      <c r="C557" s="100">
        <v>46163</v>
      </c>
      <c r="D557" t="s">
        <v>13</v>
      </c>
      <c r="E557" t="s">
        <v>170</v>
      </c>
      <c r="F557" t="s">
        <v>288</v>
      </c>
      <c r="G557">
        <v>1676</v>
      </c>
      <c r="H557">
        <v>67500</v>
      </c>
      <c r="I557">
        <v>113130000</v>
      </c>
    </row>
    <row r="558" spans="1:11" hidden="1" x14ac:dyDescent="0.25">
      <c r="A558" s="210" t="s">
        <v>1622</v>
      </c>
      <c r="B558">
        <v>9537</v>
      </c>
      <c r="C558" s="100">
        <v>46163</v>
      </c>
      <c r="D558" t="s">
        <v>13</v>
      </c>
      <c r="E558" t="s">
        <v>26</v>
      </c>
      <c r="F558" t="s">
        <v>40</v>
      </c>
      <c r="G558">
        <v>706</v>
      </c>
      <c r="H558">
        <v>36000</v>
      </c>
      <c r="I558">
        <v>25416000</v>
      </c>
    </row>
    <row r="559" spans="1:11" hidden="1" x14ac:dyDescent="0.25">
      <c r="A559" s="210" t="s">
        <v>1622</v>
      </c>
      <c r="B559">
        <v>9537</v>
      </c>
      <c r="C559" s="100">
        <v>46163</v>
      </c>
      <c r="D559" t="s">
        <v>13</v>
      </c>
      <c r="E559" t="s">
        <v>169</v>
      </c>
      <c r="F559" t="s">
        <v>62</v>
      </c>
      <c r="G559">
        <v>514</v>
      </c>
      <c r="H559">
        <v>40000</v>
      </c>
      <c r="I559">
        <v>20560000</v>
      </c>
    </row>
    <row r="560" spans="1:11" hidden="1" x14ac:dyDescent="0.25">
      <c r="A560" s="210" t="s">
        <v>1689</v>
      </c>
      <c r="B560">
        <v>9536</v>
      </c>
      <c r="C560" s="100">
        <v>46163</v>
      </c>
      <c r="D560" t="s">
        <v>13</v>
      </c>
      <c r="E560" t="s">
        <v>43</v>
      </c>
      <c r="F560" t="s">
        <v>44</v>
      </c>
      <c r="G560">
        <v>3894</v>
      </c>
      <c r="H560">
        <v>61000</v>
      </c>
      <c r="I560">
        <v>237534000</v>
      </c>
    </row>
    <row r="561" spans="1:11" hidden="1" x14ac:dyDescent="0.25">
      <c r="A561" s="210" t="s">
        <v>1734</v>
      </c>
      <c r="B561">
        <v>9535</v>
      </c>
      <c r="C561" s="100">
        <v>46163</v>
      </c>
      <c r="D561" t="s">
        <v>13</v>
      </c>
      <c r="E561" t="s">
        <v>50</v>
      </c>
      <c r="F561" t="s">
        <v>111</v>
      </c>
      <c r="G561">
        <v>3434</v>
      </c>
      <c r="H561">
        <v>65000</v>
      </c>
      <c r="I561">
        <v>223210000</v>
      </c>
    </row>
    <row r="562" spans="1:11" hidden="1" x14ac:dyDescent="0.25">
      <c r="A562" s="210" t="s">
        <v>1734</v>
      </c>
      <c r="B562">
        <v>9535</v>
      </c>
      <c r="C562" s="100">
        <v>46163</v>
      </c>
      <c r="D562" t="s">
        <v>13</v>
      </c>
      <c r="E562" t="s">
        <v>50</v>
      </c>
      <c r="F562" t="s">
        <v>151</v>
      </c>
      <c r="G562">
        <v>1098</v>
      </c>
      <c r="H562">
        <v>65000</v>
      </c>
      <c r="I562">
        <v>71370000</v>
      </c>
    </row>
    <row r="563" spans="1:11" hidden="1" x14ac:dyDescent="0.25">
      <c r="A563" s="210" t="s">
        <v>1734</v>
      </c>
      <c r="B563">
        <v>9535</v>
      </c>
      <c r="C563" s="100">
        <v>46163</v>
      </c>
      <c r="D563" t="s">
        <v>13</v>
      </c>
      <c r="E563" t="s">
        <v>50</v>
      </c>
      <c r="F563" t="s">
        <v>2271</v>
      </c>
      <c r="G563">
        <v>68</v>
      </c>
      <c r="H563">
        <v>68000</v>
      </c>
      <c r="I563">
        <v>4624000</v>
      </c>
    </row>
    <row r="564" spans="1:11" hidden="1" x14ac:dyDescent="0.25">
      <c r="A564" s="210" t="s">
        <v>1734</v>
      </c>
      <c r="B564">
        <v>9535</v>
      </c>
      <c r="C564" s="100">
        <v>46163</v>
      </c>
      <c r="D564" t="s">
        <v>13</v>
      </c>
      <c r="E564" t="s">
        <v>1965</v>
      </c>
      <c r="F564" t="s">
        <v>2240</v>
      </c>
      <c r="G564">
        <v>815</v>
      </c>
      <c r="H564">
        <v>74000</v>
      </c>
      <c r="I564">
        <v>60310000</v>
      </c>
    </row>
    <row r="565" spans="1:11" hidden="1" x14ac:dyDescent="0.25">
      <c r="A565" s="210" t="s">
        <v>1734</v>
      </c>
      <c r="B565">
        <v>9535</v>
      </c>
      <c r="C565" s="100">
        <v>46163</v>
      </c>
      <c r="D565" t="s">
        <v>13</v>
      </c>
      <c r="E565" t="s">
        <v>1951</v>
      </c>
      <c r="F565" t="s">
        <v>2272</v>
      </c>
      <c r="G565">
        <v>19</v>
      </c>
      <c r="H565">
        <v>75000</v>
      </c>
      <c r="I565">
        <v>1425000</v>
      </c>
      <c r="J565">
        <v>-3535</v>
      </c>
    </row>
    <row r="566" spans="1:11" hidden="1" x14ac:dyDescent="0.25">
      <c r="A566" s="210" t="s">
        <v>2016</v>
      </c>
      <c r="B566">
        <v>9534</v>
      </c>
      <c r="C566" s="100">
        <v>46163</v>
      </c>
      <c r="D566" t="s">
        <v>13</v>
      </c>
      <c r="E566" t="s">
        <v>195</v>
      </c>
      <c r="F566" t="s">
        <v>2320</v>
      </c>
      <c r="G566">
        <v>156</v>
      </c>
      <c r="H566">
        <v>29000</v>
      </c>
      <c r="I566">
        <v>4524000</v>
      </c>
    </row>
    <row r="567" spans="1:11" hidden="1" x14ac:dyDescent="0.25">
      <c r="A567" s="210" t="s">
        <v>1573</v>
      </c>
      <c r="B567">
        <v>9533</v>
      </c>
      <c r="C567" s="100">
        <v>46163</v>
      </c>
      <c r="D567" t="s">
        <v>13</v>
      </c>
      <c r="E567" t="s">
        <v>252</v>
      </c>
      <c r="F567" t="s">
        <v>146</v>
      </c>
      <c r="G567">
        <v>148</v>
      </c>
      <c r="H567">
        <v>39000</v>
      </c>
      <c r="I567">
        <v>5772000</v>
      </c>
    </row>
    <row r="568" spans="1:11" hidden="1" x14ac:dyDescent="0.25">
      <c r="A568" s="210" t="s">
        <v>1590</v>
      </c>
      <c r="B568">
        <v>9532</v>
      </c>
      <c r="C568" s="100">
        <v>46163</v>
      </c>
      <c r="D568" t="s">
        <v>13</v>
      </c>
      <c r="E568" t="s">
        <v>43</v>
      </c>
      <c r="F568" t="s">
        <v>134</v>
      </c>
      <c r="G568">
        <v>5275</v>
      </c>
      <c r="H568">
        <v>63500</v>
      </c>
      <c r="I568">
        <v>334962500</v>
      </c>
    </row>
    <row r="569" spans="1:11" hidden="1" x14ac:dyDescent="0.25">
      <c r="A569" s="210" t="s">
        <v>1692</v>
      </c>
      <c r="B569">
        <v>9531</v>
      </c>
      <c r="C569" s="100">
        <v>46163</v>
      </c>
      <c r="D569" t="s">
        <v>13</v>
      </c>
      <c r="E569" t="s">
        <v>43</v>
      </c>
      <c r="F569" t="s">
        <v>136</v>
      </c>
      <c r="G569">
        <v>1800</v>
      </c>
      <c r="H569">
        <v>58500</v>
      </c>
      <c r="I569">
        <v>105300000</v>
      </c>
    </row>
    <row r="570" spans="1:11" hidden="1" x14ac:dyDescent="0.25">
      <c r="A570" s="210" t="s">
        <v>1527</v>
      </c>
      <c r="B570">
        <v>9529</v>
      </c>
      <c r="C570" s="100">
        <v>46163</v>
      </c>
      <c r="D570" t="s">
        <v>13</v>
      </c>
      <c r="E570" t="s">
        <v>43</v>
      </c>
      <c r="F570" t="s">
        <v>1812</v>
      </c>
      <c r="G570">
        <v>570</v>
      </c>
      <c r="H570">
        <v>60000</v>
      </c>
      <c r="I570">
        <v>34200000</v>
      </c>
    </row>
    <row r="571" spans="1:11" hidden="1" x14ac:dyDescent="0.25">
      <c r="A571" s="210" t="s">
        <v>1677</v>
      </c>
      <c r="B571">
        <v>9528</v>
      </c>
      <c r="C571" s="100">
        <v>46163</v>
      </c>
      <c r="D571" t="s">
        <v>13</v>
      </c>
      <c r="E571" t="s">
        <v>43</v>
      </c>
      <c r="F571" t="s">
        <v>2270</v>
      </c>
      <c r="G571">
        <v>835</v>
      </c>
      <c r="H571">
        <v>65000</v>
      </c>
      <c r="I571">
        <v>54275000</v>
      </c>
    </row>
    <row r="572" spans="1:11" hidden="1" x14ac:dyDescent="0.25">
      <c r="A572" s="210" t="s">
        <v>1526</v>
      </c>
      <c r="B572">
        <v>9527</v>
      </c>
      <c r="C572" s="100">
        <v>46163</v>
      </c>
      <c r="D572" t="s">
        <v>13</v>
      </c>
      <c r="E572" t="s">
        <v>192</v>
      </c>
      <c r="F572" t="s">
        <v>188</v>
      </c>
      <c r="G572">
        <v>426</v>
      </c>
      <c r="H572">
        <v>33000</v>
      </c>
      <c r="I572">
        <v>14058000</v>
      </c>
    </row>
    <row r="573" spans="1:11" hidden="1" x14ac:dyDescent="0.25">
      <c r="A573" s="210" t="s">
        <v>1610</v>
      </c>
      <c r="B573">
        <v>9526</v>
      </c>
      <c r="C573" s="100">
        <v>46163</v>
      </c>
      <c r="D573" t="s">
        <v>13</v>
      </c>
      <c r="E573" t="s">
        <v>305</v>
      </c>
      <c r="F573" t="s">
        <v>1150</v>
      </c>
      <c r="G573">
        <v>1450</v>
      </c>
      <c r="H573">
        <v>35500</v>
      </c>
      <c r="I573">
        <v>51475000</v>
      </c>
      <c r="K573" t="s">
        <v>2266</v>
      </c>
    </row>
    <row r="574" spans="1:11" hidden="1" x14ac:dyDescent="0.25">
      <c r="A574" s="210" t="s">
        <v>1610</v>
      </c>
      <c r="B574">
        <v>9526</v>
      </c>
      <c r="C574" s="100">
        <v>46163</v>
      </c>
      <c r="D574" t="s">
        <v>13</v>
      </c>
      <c r="E574" t="s">
        <v>26</v>
      </c>
      <c r="F574" t="s">
        <v>2265</v>
      </c>
      <c r="G574">
        <v>2458</v>
      </c>
      <c r="H574">
        <v>33000</v>
      </c>
      <c r="I574">
        <v>81114000</v>
      </c>
    </row>
    <row r="575" spans="1:11" hidden="1" x14ac:dyDescent="0.25">
      <c r="A575" s="210" t="s">
        <v>1610</v>
      </c>
      <c r="B575">
        <v>9526</v>
      </c>
      <c r="C575" s="100">
        <v>46163</v>
      </c>
      <c r="D575" t="s">
        <v>13</v>
      </c>
      <c r="E575" t="s">
        <v>26</v>
      </c>
      <c r="F575" t="s">
        <v>2267</v>
      </c>
      <c r="G575">
        <v>985</v>
      </c>
      <c r="H575">
        <v>33700</v>
      </c>
      <c r="I575">
        <v>33194500</v>
      </c>
      <c r="K575" t="s">
        <v>1805</v>
      </c>
    </row>
    <row r="576" spans="1:11" hidden="1" x14ac:dyDescent="0.25">
      <c r="A576" s="210" t="s">
        <v>1610</v>
      </c>
      <c r="B576">
        <v>9526</v>
      </c>
      <c r="C576" s="100">
        <v>46163</v>
      </c>
      <c r="D576" t="s">
        <v>13</v>
      </c>
      <c r="E576" t="s">
        <v>26</v>
      </c>
      <c r="F576" t="s">
        <v>2268</v>
      </c>
      <c r="G576">
        <v>1005</v>
      </c>
      <c r="H576">
        <v>33700</v>
      </c>
      <c r="I576">
        <v>33868500</v>
      </c>
      <c r="K576" t="s">
        <v>1805</v>
      </c>
    </row>
    <row r="577" spans="1:11" hidden="1" x14ac:dyDescent="0.25">
      <c r="A577" s="210" t="s">
        <v>1610</v>
      </c>
      <c r="B577">
        <v>9526</v>
      </c>
      <c r="C577" s="100">
        <v>46163</v>
      </c>
      <c r="D577" t="s">
        <v>13</v>
      </c>
      <c r="E577" t="s">
        <v>26</v>
      </c>
      <c r="F577" t="s">
        <v>2269</v>
      </c>
      <c r="G577">
        <v>1340</v>
      </c>
      <c r="H577">
        <v>33700</v>
      </c>
      <c r="I577">
        <v>45158000</v>
      </c>
      <c r="K577" t="s">
        <v>1805</v>
      </c>
    </row>
    <row r="578" spans="1:11" hidden="1" x14ac:dyDescent="0.25">
      <c r="A578" s="210" t="s">
        <v>1531</v>
      </c>
      <c r="B578">
        <v>9525</v>
      </c>
      <c r="C578" s="100">
        <v>46163</v>
      </c>
      <c r="D578" t="s">
        <v>13</v>
      </c>
      <c r="E578" t="s">
        <v>143</v>
      </c>
      <c r="F578" t="s">
        <v>2264</v>
      </c>
      <c r="G578">
        <v>21345</v>
      </c>
      <c r="H578">
        <v>52000</v>
      </c>
      <c r="I578">
        <v>1109940000</v>
      </c>
      <c r="K578" t="s">
        <v>42</v>
      </c>
    </row>
    <row r="579" spans="1:11" hidden="1" x14ac:dyDescent="0.25">
      <c r="A579" s="210" t="s">
        <v>1524</v>
      </c>
      <c r="B579">
        <v>9524</v>
      </c>
      <c r="C579" s="100">
        <v>46163</v>
      </c>
      <c r="D579" t="s">
        <v>49</v>
      </c>
      <c r="E579" t="s">
        <v>135</v>
      </c>
      <c r="F579" t="s">
        <v>62</v>
      </c>
      <c r="G579">
        <v>1083</v>
      </c>
      <c r="I579">
        <v>0</v>
      </c>
      <c r="K579" t="s">
        <v>2263</v>
      </c>
    </row>
    <row r="580" spans="1:11" hidden="1" x14ac:dyDescent="0.25">
      <c r="A580" s="210" t="s">
        <v>1637</v>
      </c>
      <c r="B580">
        <v>9523</v>
      </c>
      <c r="C580" s="100">
        <v>46163</v>
      </c>
      <c r="D580" t="s">
        <v>13</v>
      </c>
      <c r="E580" t="s">
        <v>2262</v>
      </c>
      <c r="F580" t="s">
        <v>2226</v>
      </c>
      <c r="G580">
        <v>225</v>
      </c>
      <c r="H580">
        <v>70000</v>
      </c>
      <c r="I580">
        <v>15750000</v>
      </c>
    </row>
    <row r="581" spans="1:11" hidden="1" x14ac:dyDescent="0.25">
      <c r="A581" s="210" t="s">
        <v>1530</v>
      </c>
      <c r="B581">
        <v>9522</v>
      </c>
      <c r="C581" s="100">
        <v>46163</v>
      </c>
      <c r="D581" t="s">
        <v>13</v>
      </c>
      <c r="E581" t="s">
        <v>195</v>
      </c>
      <c r="F581" t="s">
        <v>2261</v>
      </c>
      <c r="G581">
        <v>680</v>
      </c>
      <c r="H581">
        <v>29000</v>
      </c>
      <c r="I581">
        <v>19720000</v>
      </c>
    </row>
    <row r="582" spans="1:11" hidden="1" x14ac:dyDescent="0.25">
      <c r="A582" s="210" t="s">
        <v>1530</v>
      </c>
      <c r="B582">
        <v>9522</v>
      </c>
      <c r="C582" s="100">
        <v>46163</v>
      </c>
      <c r="D582" t="s">
        <v>13</v>
      </c>
      <c r="E582" t="s">
        <v>26</v>
      </c>
      <c r="F582" t="s">
        <v>62</v>
      </c>
      <c r="G582">
        <v>1737</v>
      </c>
      <c r="H582">
        <v>33000</v>
      </c>
      <c r="I582">
        <v>57321000</v>
      </c>
    </row>
    <row r="583" spans="1:11" hidden="1" x14ac:dyDescent="0.25">
      <c r="A583" s="210" t="s">
        <v>1488</v>
      </c>
      <c r="B583">
        <v>9520</v>
      </c>
      <c r="C583" s="100">
        <v>46163</v>
      </c>
      <c r="D583" t="s">
        <v>13</v>
      </c>
      <c r="E583" t="s">
        <v>17</v>
      </c>
      <c r="F583" t="s">
        <v>416</v>
      </c>
      <c r="G583">
        <v>2697</v>
      </c>
      <c r="H583">
        <v>61500</v>
      </c>
      <c r="I583">
        <v>165865500</v>
      </c>
    </row>
    <row r="584" spans="1:11" hidden="1" x14ac:dyDescent="0.25">
      <c r="A584" s="210" t="s">
        <v>1524</v>
      </c>
      <c r="B584">
        <v>9519</v>
      </c>
      <c r="C584" s="100">
        <v>46163</v>
      </c>
      <c r="D584" t="s">
        <v>49</v>
      </c>
      <c r="E584" t="s">
        <v>26</v>
      </c>
      <c r="F584" t="s">
        <v>416</v>
      </c>
      <c r="G584">
        <v>1189</v>
      </c>
      <c r="I584">
        <v>0</v>
      </c>
      <c r="K584" t="s">
        <v>2245</v>
      </c>
    </row>
    <row r="585" spans="1:11" hidden="1" x14ac:dyDescent="0.25">
      <c r="A585" s="210" t="s">
        <v>1524</v>
      </c>
      <c r="B585">
        <v>9519</v>
      </c>
      <c r="C585" s="100">
        <v>46163</v>
      </c>
      <c r="D585" t="s">
        <v>49</v>
      </c>
      <c r="E585" t="s">
        <v>17</v>
      </c>
      <c r="F585" t="s">
        <v>891</v>
      </c>
      <c r="G585">
        <v>4458</v>
      </c>
      <c r="I585">
        <v>0</v>
      </c>
      <c r="K585" t="s">
        <v>2246</v>
      </c>
    </row>
    <row r="586" spans="1:11" hidden="1" x14ac:dyDescent="0.25">
      <c r="A586" s="210" t="s">
        <v>1707</v>
      </c>
      <c r="B586">
        <v>9518</v>
      </c>
      <c r="C586" s="100">
        <v>46163</v>
      </c>
      <c r="D586" t="s">
        <v>13</v>
      </c>
      <c r="E586" t="s">
        <v>26</v>
      </c>
      <c r="F586" t="s">
        <v>78</v>
      </c>
      <c r="G586">
        <v>1155</v>
      </c>
      <c r="H586">
        <v>38000</v>
      </c>
      <c r="I586">
        <v>43890000</v>
      </c>
    </row>
    <row r="587" spans="1:11" hidden="1" x14ac:dyDescent="0.25">
      <c r="A587" s="210" t="s">
        <v>1653</v>
      </c>
      <c r="B587">
        <v>9517</v>
      </c>
      <c r="C587" s="100">
        <v>46163</v>
      </c>
      <c r="D587" t="s">
        <v>13</v>
      </c>
      <c r="E587" t="s">
        <v>858</v>
      </c>
      <c r="F587" t="s">
        <v>1267</v>
      </c>
      <c r="G587">
        <v>558</v>
      </c>
      <c r="H587">
        <v>42000</v>
      </c>
      <c r="I587">
        <v>23436000</v>
      </c>
    </row>
    <row r="588" spans="1:11" hidden="1" x14ac:dyDescent="0.25">
      <c r="A588" s="210" t="s">
        <v>1653</v>
      </c>
      <c r="B588">
        <v>9517</v>
      </c>
      <c r="C588" s="100">
        <v>46163</v>
      </c>
      <c r="D588" t="s">
        <v>13</v>
      </c>
      <c r="E588" t="s">
        <v>1105</v>
      </c>
      <c r="F588" t="s">
        <v>1267</v>
      </c>
      <c r="G588">
        <v>306</v>
      </c>
      <c r="H588">
        <v>72300</v>
      </c>
      <c r="I588">
        <v>22123800</v>
      </c>
      <c r="K588" t="s">
        <v>2311</v>
      </c>
    </row>
    <row r="589" spans="1:11" hidden="1" x14ac:dyDescent="0.25">
      <c r="A589" s="210" t="s">
        <v>1653</v>
      </c>
      <c r="B589">
        <v>9517</v>
      </c>
      <c r="C589" s="100">
        <v>46163</v>
      </c>
      <c r="D589" t="s">
        <v>13</v>
      </c>
      <c r="E589" t="s">
        <v>1105</v>
      </c>
      <c r="F589" t="s">
        <v>1265</v>
      </c>
      <c r="G589">
        <v>290</v>
      </c>
      <c r="H589">
        <v>71900</v>
      </c>
      <c r="I589">
        <v>20851000</v>
      </c>
      <c r="K589" t="s">
        <v>2312</v>
      </c>
    </row>
    <row r="590" spans="1:11" hidden="1" x14ac:dyDescent="0.25">
      <c r="A590" s="210" t="s">
        <v>1552</v>
      </c>
      <c r="B590">
        <v>9516</v>
      </c>
      <c r="C590" s="100">
        <v>46163</v>
      </c>
      <c r="D590" t="s">
        <v>13</v>
      </c>
      <c r="E590" t="s">
        <v>169</v>
      </c>
      <c r="F590" t="s">
        <v>136</v>
      </c>
      <c r="G590">
        <v>5446</v>
      </c>
      <c r="H590">
        <v>37500</v>
      </c>
      <c r="I590">
        <v>204225000</v>
      </c>
    </row>
    <row r="591" spans="1:11" hidden="1" x14ac:dyDescent="0.25">
      <c r="A591" s="210" t="s">
        <v>1552</v>
      </c>
      <c r="B591">
        <v>9516</v>
      </c>
      <c r="C591" s="100">
        <v>46163</v>
      </c>
      <c r="D591" t="s">
        <v>13</v>
      </c>
      <c r="E591" t="s">
        <v>169</v>
      </c>
      <c r="F591" t="s">
        <v>62</v>
      </c>
      <c r="G591">
        <v>2042</v>
      </c>
      <c r="H591">
        <v>39000</v>
      </c>
      <c r="I591">
        <v>79638000</v>
      </c>
    </row>
    <row r="592" spans="1:11" hidden="1" x14ac:dyDescent="0.25">
      <c r="A592" s="210" t="s">
        <v>1638</v>
      </c>
      <c r="B592">
        <v>9515</v>
      </c>
      <c r="C592" s="100">
        <v>46162</v>
      </c>
      <c r="D592" t="s">
        <v>13</v>
      </c>
      <c r="E592" t="s">
        <v>43</v>
      </c>
      <c r="F592" t="s">
        <v>1767</v>
      </c>
      <c r="G592">
        <v>1313</v>
      </c>
      <c r="H592">
        <v>58500</v>
      </c>
      <c r="I592">
        <v>76810500</v>
      </c>
    </row>
    <row r="593" spans="1:11" hidden="1" x14ac:dyDescent="0.25">
      <c r="A593" s="210" t="s">
        <v>1579</v>
      </c>
      <c r="B593">
        <v>9514</v>
      </c>
      <c r="C593" s="100">
        <v>46162</v>
      </c>
      <c r="D593" t="s">
        <v>13</v>
      </c>
      <c r="E593" t="s">
        <v>43</v>
      </c>
      <c r="F593" t="s">
        <v>271</v>
      </c>
      <c r="G593">
        <v>5840</v>
      </c>
      <c r="I593">
        <v>0</v>
      </c>
    </row>
    <row r="594" spans="1:11" hidden="1" x14ac:dyDescent="0.25">
      <c r="A594" s="210" t="s">
        <v>1512</v>
      </c>
      <c r="B594">
        <v>9513</v>
      </c>
      <c r="C594" s="100">
        <v>46162</v>
      </c>
      <c r="D594" t="s">
        <v>49</v>
      </c>
      <c r="E594" t="s">
        <v>17</v>
      </c>
      <c r="F594" t="s">
        <v>41</v>
      </c>
      <c r="G594">
        <v>1420</v>
      </c>
      <c r="I594">
        <v>0</v>
      </c>
      <c r="K594" t="s">
        <v>2244</v>
      </c>
    </row>
    <row r="595" spans="1:11" hidden="1" x14ac:dyDescent="0.25">
      <c r="A595" s="210" t="s">
        <v>1512</v>
      </c>
      <c r="B595">
        <v>9513</v>
      </c>
      <c r="C595" s="100">
        <v>46162</v>
      </c>
      <c r="D595" t="s">
        <v>49</v>
      </c>
      <c r="E595" t="s">
        <v>17</v>
      </c>
      <c r="F595" t="s">
        <v>136</v>
      </c>
      <c r="G595">
        <v>1372</v>
      </c>
      <c r="I595">
        <v>0</v>
      </c>
      <c r="K595" t="s">
        <v>2244</v>
      </c>
    </row>
    <row r="596" spans="1:11" hidden="1" x14ac:dyDescent="0.25">
      <c r="A596" s="210" t="s">
        <v>1635</v>
      </c>
      <c r="B596">
        <v>9512</v>
      </c>
      <c r="C596" s="100">
        <v>46162</v>
      </c>
      <c r="D596" t="s">
        <v>13</v>
      </c>
      <c r="E596" t="s">
        <v>135</v>
      </c>
      <c r="F596" t="s">
        <v>134</v>
      </c>
      <c r="G596">
        <v>1475</v>
      </c>
      <c r="H596">
        <v>37500</v>
      </c>
      <c r="I596">
        <v>55312500</v>
      </c>
    </row>
    <row r="597" spans="1:11" hidden="1" x14ac:dyDescent="0.25">
      <c r="A597" s="210" t="s">
        <v>1635</v>
      </c>
      <c r="B597">
        <v>9512</v>
      </c>
      <c r="C597" s="100">
        <v>46162</v>
      </c>
      <c r="D597" t="s">
        <v>13</v>
      </c>
      <c r="E597" t="s">
        <v>68</v>
      </c>
      <c r="F597" t="s">
        <v>185</v>
      </c>
      <c r="G597">
        <v>294</v>
      </c>
      <c r="H597">
        <v>42500</v>
      </c>
      <c r="I597">
        <v>12495000</v>
      </c>
    </row>
    <row r="598" spans="1:11" hidden="1" x14ac:dyDescent="0.25">
      <c r="A598" s="210" t="s">
        <v>1478</v>
      </c>
      <c r="B598">
        <v>9511</v>
      </c>
      <c r="C598" s="100">
        <v>46162</v>
      </c>
      <c r="D598" t="s">
        <v>13</v>
      </c>
      <c r="E598" t="s">
        <v>17</v>
      </c>
      <c r="F598" t="s">
        <v>25</v>
      </c>
      <c r="G598">
        <v>1444</v>
      </c>
      <c r="H598">
        <v>61800</v>
      </c>
      <c r="I598">
        <v>89239200</v>
      </c>
      <c r="K598" t="s">
        <v>42</v>
      </c>
    </row>
    <row r="599" spans="1:11" hidden="1" x14ac:dyDescent="0.25">
      <c r="A599" s="210" t="s">
        <v>1477</v>
      </c>
      <c r="B599">
        <v>9510</v>
      </c>
      <c r="C599" s="100">
        <v>46162</v>
      </c>
      <c r="D599" t="s">
        <v>13</v>
      </c>
      <c r="E599" t="s">
        <v>17</v>
      </c>
      <c r="F599" t="s">
        <v>2238</v>
      </c>
      <c r="G599">
        <v>669</v>
      </c>
      <c r="H599">
        <v>61500</v>
      </c>
      <c r="I599">
        <v>41143500</v>
      </c>
      <c r="K599" t="s">
        <v>42</v>
      </c>
    </row>
    <row r="600" spans="1:11" hidden="1" x14ac:dyDescent="0.25">
      <c r="A600" s="210" t="s">
        <v>1477</v>
      </c>
      <c r="B600">
        <v>9510</v>
      </c>
      <c r="C600" s="100">
        <v>46162</v>
      </c>
      <c r="D600" t="s">
        <v>13</v>
      </c>
      <c r="E600" t="s">
        <v>17</v>
      </c>
      <c r="F600" t="s">
        <v>25</v>
      </c>
      <c r="G600">
        <v>1458</v>
      </c>
      <c r="H600">
        <v>62500</v>
      </c>
      <c r="I600">
        <v>91125000</v>
      </c>
      <c r="K600" t="s">
        <v>42</v>
      </c>
    </row>
    <row r="601" spans="1:11" hidden="1" x14ac:dyDescent="0.25">
      <c r="A601" s="210" t="s">
        <v>1595</v>
      </c>
      <c r="B601">
        <v>9509</v>
      </c>
      <c r="C601" s="100">
        <v>46162</v>
      </c>
      <c r="D601" t="s">
        <v>13</v>
      </c>
      <c r="E601" t="s">
        <v>36</v>
      </c>
      <c r="F601" t="s">
        <v>2237</v>
      </c>
      <c r="G601">
        <v>564</v>
      </c>
      <c r="H601">
        <v>60000</v>
      </c>
      <c r="I601">
        <v>33840000</v>
      </c>
    </row>
    <row r="602" spans="1:11" hidden="1" x14ac:dyDescent="0.25">
      <c r="A602" s="210" t="s">
        <v>1689</v>
      </c>
      <c r="B602">
        <v>9508</v>
      </c>
      <c r="C602" s="100">
        <v>46162</v>
      </c>
      <c r="D602" t="s">
        <v>13</v>
      </c>
      <c r="E602" t="s">
        <v>50</v>
      </c>
      <c r="F602" t="s">
        <v>2236</v>
      </c>
      <c r="G602">
        <v>1494</v>
      </c>
      <c r="H602">
        <v>64500</v>
      </c>
      <c r="I602">
        <v>96363000</v>
      </c>
    </row>
    <row r="603" spans="1:11" hidden="1" x14ac:dyDescent="0.25">
      <c r="A603" s="210" t="s">
        <v>1606</v>
      </c>
      <c r="B603">
        <v>9507</v>
      </c>
      <c r="C603" s="100">
        <v>46162</v>
      </c>
      <c r="D603" t="s">
        <v>13</v>
      </c>
      <c r="E603" t="s">
        <v>173</v>
      </c>
      <c r="F603" t="s">
        <v>185</v>
      </c>
      <c r="G603">
        <v>98</v>
      </c>
      <c r="H603">
        <v>72000</v>
      </c>
      <c r="I603">
        <v>7056000</v>
      </c>
    </row>
    <row r="604" spans="1:11" hidden="1" x14ac:dyDescent="0.25">
      <c r="A604" s="210" t="s">
        <v>1582</v>
      </c>
      <c r="B604">
        <v>9506</v>
      </c>
      <c r="C604" s="100">
        <v>46162</v>
      </c>
      <c r="D604" t="s">
        <v>13</v>
      </c>
      <c r="E604" t="s">
        <v>135</v>
      </c>
      <c r="F604" t="s">
        <v>148</v>
      </c>
      <c r="G604">
        <v>201</v>
      </c>
      <c r="H604">
        <v>38000</v>
      </c>
      <c r="I604">
        <v>7638000</v>
      </c>
    </row>
    <row r="605" spans="1:11" hidden="1" x14ac:dyDescent="0.25">
      <c r="A605" s="210" t="s">
        <v>1582</v>
      </c>
      <c r="B605">
        <v>9506</v>
      </c>
      <c r="C605" s="100">
        <v>46162</v>
      </c>
      <c r="D605" t="s">
        <v>13</v>
      </c>
      <c r="E605" t="s">
        <v>1162</v>
      </c>
      <c r="F605" t="s">
        <v>110</v>
      </c>
      <c r="G605">
        <v>180</v>
      </c>
      <c r="H605">
        <v>36000</v>
      </c>
      <c r="I605">
        <v>6480000</v>
      </c>
    </row>
    <row r="606" spans="1:11" hidden="1" x14ac:dyDescent="0.25">
      <c r="A606" s="210" t="s">
        <v>1582</v>
      </c>
      <c r="B606">
        <v>9506</v>
      </c>
      <c r="C606" s="100">
        <v>46162</v>
      </c>
      <c r="D606" t="s">
        <v>13</v>
      </c>
      <c r="E606" t="s">
        <v>50</v>
      </c>
      <c r="F606" t="s">
        <v>1106</v>
      </c>
      <c r="G606">
        <v>118</v>
      </c>
      <c r="H606">
        <v>64000</v>
      </c>
      <c r="I606">
        <v>7552000</v>
      </c>
    </row>
    <row r="607" spans="1:11" hidden="1" x14ac:dyDescent="0.25">
      <c r="A607" s="210" t="s">
        <v>1582</v>
      </c>
      <c r="B607">
        <v>9506</v>
      </c>
      <c r="C607" s="100">
        <v>46162</v>
      </c>
      <c r="D607" t="s">
        <v>13</v>
      </c>
      <c r="E607" t="s">
        <v>45</v>
      </c>
      <c r="F607" t="s">
        <v>38</v>
      </c>
      <c r="G607">
        <v>916</v>
      </c>
      <c r="H607">
        <v>33500</v>
      </c>
      <c r="I607">
        <v>30686000</v>
      </c>
    </row>
    <row r="608" spans="1:11" hidden="1" x14ac:dyDescent="0.25">
      <c r="A608" s="210" t="s">
        <v>1577</v>
      </c>
      <c r="B608">
        <v>9505</v>
      </c>
      <c r="C608" s="100">
        <v>46162</v>
      </c>
      <c r="D608" t="s">
        <v>13</v>
      </c>
      <c r="E608" t="s">
        <v>14</v>
      </c>
      <c r="F608" t="s">
        <v>148</v>
      </c>
      <c r="G608">
        <v>2252</v>
      </c>
      <c r="H608">
        <v>43000</v>
      </c>
      <c r="I608">
        <v>96836000</v>
      </c>
    </row>
    <row r="609" spans="1:11" hidden="1" x14ac:dyDescent="0.25">
      <c r="A609" s="210" t="s">
        <v>1577</v>
      </c>
      <c r="B609">
        <v>9505</v>
      </c>
      <c r="C609" s="100">
        <v>46162</v>
      </c>
      <c r="D609" t="s">
        <v>13</v>
      </c>
      <c r="E609" t="s">
        <v>36</v>
      </c>
      <c r="F609" t="s">
        <v>221</v>
      </c>
      <c r="G609">
        <v>244.5</v>
      </c>
      <c r="H609">
        <v>68000</v>
      </c>
      <c r="I609">
        <v>16626000</v>
      </c>
      <c r="K609">
        <v>345</v>
      </c>
    </row>
    <row r="610" spans="1:11" hidden="1" x14ac:dyDescent="0.25">
      <c r="A610" s="210" t="s">
        <v>1577</v>
      </c>
      <c r="B610">
        <v>9505</v>
      </c>
      <c r="C610" s="100">
        <v>46162</v>
      </c>
      <c r="D610" t="s">
        <v>13</v>
      </c>
      <c r="E610" t="s">
        <v>43</v>
      </c>
      <c r="F610" t="s">
        <v>146</v>
      </c>
      <c r="G610">
        <v>584</v>
      </c>
      <c r="H610">
        <v>61000</v>
      </c>
      <c r="I610">
        <v>35624000</v>
      </c>
    </row>
    <row r="611" spans="1:11" hidden="1" x14ac:dyDescent="0.25">
      <c r="A611" s="210" t="s">
        <v>1728</v>
      </c>
      <c r="B611">
        <v>9504</v>
      </c>
      <c r="C611" s="100">
        <v>46162</v>
      </c>
      <c r="D611" t="s">
        <v>13</v>
      </c>
      <c r="E611" t="s">
        <v>17</v>
      </c>
      <c r="F611" t="s">
        <v>38</v>
      </c>
      <c r="G611">
        <v>2656</v>
      </c>
      <c r="H611">
        <v>68000</v>
      </c>
      <c r="I611">
        <v>180608000</v>
      </c>
    </row>
    <row r="612" spans="1:11" hidden="1" x14ac:dyDescent="0.25">
      <c r="A612" s="210" t="s">
        <v>1728</v>
      </c>
      <c r="B612">
        <v>9504</v>
      </c>
      <c r="C612" s="100">
        <v>46162</v>
      </c>
      <c r="D612" t="s">
        <v>13</v>
      </c>
      <c r="E612" t="s">
        <v>17</v>
      </c>
      <c r="F612" t="s">
        <v>46</v>
      </c>
      <c r="G612">
        <v>1566</v>
      </c>
      <c r="H612">
        <v>68000</v>
      </c>
      <c r="I612">
        <v>106488000</v>
      </c>
    </row>
    <row r="613" spans="1:11" hidden="1" x14ac:dyDescent="0.25">
      <c r="A613" s="210" t="s">
        <v>1536</v>
      </c>
      <c r="B613">
        <v>9503</v>
      </c>
      <c r="C613" s="100">
        <v>46162</v>
      </c>
      <c r="D613" t="s">
        <v>13</v>
      </c>
      <c r="E613" t="s">
        <v>103</v>
      </c>
      <c r="F613" t="s">
        <v>116</v>
      </c>
      <c r="G613">
        <v>105</v>
      </c>
      <c r="H613">
        <v>37500</v>
      </c>
      <c r="I613">
        <v>3937500</v>
      </c>
    </row>
    <row r="614" spans="1:11" hidden="1" x14ac:dyDescent="0.25">
      <c r="A614" s="210" t="s">
        <v>1536</v>
      </c>
      <c r="B614">
        <v>9503</v>
      </c>
      <c r="C614" s="100">
        <v>46162</v>
      </c>
      <c r="D614" t="s">
        <v>13</v>
      </c>
      <c r="E614" t="s">
        <v>355</v>
      </c>
      <c r="F614" t="s">
        <v>288</v>
      </c>
      <c r="G614">
        <v>88</v>
      </c>
      <c r="H614">
        <v>67500</v>
      </c>
      <c r="I614">
        <v>5940000</v>
      </c>
    </row>
    <row r="615" spans="1:11" hidden="1" x14ac:dyDescent="0.25">
      <c r="A615" s="210" t="s">
        <v>2234</v>
      </c>
      <c r="B615">
        <v>9502</v>
      </c>
      <c r="C615" s="100">
        <v>46162</v>
      </c>
      <c r="D615" t="s">
        <v>13</v>
      </c>
      <c r="E615" t="s">
        <v>26</v>
      </c>
      <c r="F615" t="s">
        <v>78</v>
      </c>
      <c r="G615">
        <v>4993</v>
      </c>
      <c r="H615">
        <v>35300</v>
      </c>
      <c r="I615">
        <v>176252900</v>
      </c>
    </row>
    <row r="616" spans="1:11" hidden="1" x14ac:dyDescent="0.25">
      <c r="A616" s="210" t="s">
        <v>1534</v>
      </c>
      <c r="B616">
        <v>9501</v>
      </c>
      <c r="C616" s="100">
        <v>46162</v>
      </c>
      <c r="D616" t="s">
        <v>13</v>
      </c>
      <c r="E616" t="s">
        <v>841</v>
      </c>
      <c r="F616" t="s">
        <v>824</v>
      </c>
      <c r="G616">
        <v>632</v>
      </c>
      <c r="H616">
        <v>30000</v>
      </c>
      <c r="I616">
        <v>18960000</v>
      </c>
    </row>
    <row r="617" spans="1:11" hidden="1" x14ac:dyDescent="0.25">
      <c r="A617" s="210" t="s">
        <v>1524</v>
      </c>
      <c r="B617">
        <v>9500</v>
      </c>
      <c r="C617" s="100">
        <v>46162</v>
      </c>
      <c r="D617" t="s">
        <v>49</v>
      </c>
      <c r="E617" t="s">
        <v>26</v>
      </c>
      <c r="F617" t="s">
        <v>2228</v>
      </c>
      <c r="G617">
        <v>4834</v>
      </c>
      <c r="I617">
        <v>0</v>
      </c>
      <c r="K617" t="s">
        <v>2229</v>
      </c>
    </row>
    <row r="618" spans="1:11" hidden="1" x14ac:dyDescent="0.25">
      <c r="A618" s="210" t="s">
        <v>1524</v>
      </c>
      <c r="B618">
        <v>9500</v>
      </c>
      <c r="C618" s="100">
        <v>46162</v>
      </c>
      <c r="D618" t="s">
        <v>49</v>
      </c>
      <c r="E618" t="s">
        <v>26</v>
      </c>
      <c r="F618" t="s">
        <v>2230</v>
      </c>
      <c r="G618">
        <v>1346</v>
      </c>
      <c r="I618">
        <v>0</v>
      </c>
      <c r="K618" t="s">
        <v>2231</v>
      </c>
    </row>
    <row r="619" spans="1:11" hidden="1" x14ac:dyDescent="0.25">
      <c r="A619" s="210" t="s">
        <v>1524</v>
      </c>
      <c r="B619">
        <v>9500</v>
      </c>
      <c r="C619" s="100">
        <v>46162</v>
      </c>
      <c r="D619" t="s">
        <v>49</v>
      </c>
      <c r="E619" t="s">
        <v>43</v>
      </c>
      <c r="F619" t="s">
        <v>2232</v>
      </c>
      <c r="G619">
        <v>844</v>
      </c>
      <c r="I619">
        <v>0</v>
      </c>
      <c r="K619" t="s">
        <v>2233</v>
      </c>
    </row>
    <row r="620" spans="1:11" hidden="1" x14ac:dyDescent="0.25">
      <c r="A620" s="210" t="s">
        <v>1562</v>
      </c>
      <c r="B620">
        <v>9499</v>
      </c>
      <c r="C620" s="100">
        <v>46161</v>
      </c>
      <c r="D620" t="s">
        <v>13</v>
      </c>
      <c r="E620" t="s">
        <v>109</v>
      </c>
      <c r="F620" t="s">
        <v>678</v>
      </c>
      <c r="G620">
        <v>216</v>
      </c>
      <c r="H620">
        <v>65000</v>
      </c>
      <c r="I620">
        <v>14040000</v>
      </c>
    </row>
    <row r="621" spans="1:11" hidden="1" x14ac:dyDescent="0.25">
      <c r="A621" s="210" t="s">
        <v>1562</v>
      </c>
      <c r="B621">
        <v>9499</v>
      </c>
      <c r="C621" s="100">
        <v>46161</v>
      </c>
      <c r="D621" t="s">
        <v>13</v>
      </c>
      <c r="E621" t="s">
        <v>50</v>
      </c>
      <c r="F621" t="s">
        <v>2227</v>
      </c>
      <c r="G621">
        <v>108</v>
      </c>
      <c r="H621">
        <v>66000</v>
      </c>
      <c r="I621">
        <v>7128000</v>
      </c>
    </row>
    <row r="622" spans="1:11" hidden="1" x14ac:dyDescent="0.25">
      <c r="A622" s="210" t="s">
        <v>1562</v>
      </c>
      <c r="B622">
        <v>9498</v>
      </c>
      <c r="C622" s="100">
        <v>46161</v>
      </c>
      <c r="D622" t="s">
        <v>13</v>
      </c>
      <c r="E622" t="s">
        <v>54</v>
      </c>
      <c r="F622" t="s">
        <v>221</v>
      </c>
      <c r="G622">
        <v>694</v>
      </c>
      <c r="H622">
        <v>37500</v>
      </c>
      <c r="I622">
        <v>26025000</v>
      </c>
    </row>
    <row r="623" spans="1:11" hidden="1" x14ac:dyDescent="0.25">
      <c r="A623" s="210" t="s">
        <v>1562</v>
      </c>
      <c r="B623">
        <v>9498</v>
      </c>
      <c r="C623" s="100">
        <v>46161</v>
      </c>
      <c r="D623" t="s">
        <v>13</v>
      </c>
      <c r="E623" t="s">
        <v>50</v>
      </c>
      <c r="F623" t="s">
        <v>221</v>
      </c>
      <c r="G623">
        <v>102</v>
      </c>
      <c r="H623">
        <v>67000</v>
      </c>
      <c r="I623">
        <v>6834000</v>
      </c>
    </row>
    <row r="624" spans="1:11" hidden="1" x14ac:dyDescent="0.25">
      <c r="A624" s="210" t="s">
        <v>1562</v>
      </c>
      <c r="B624">
        <v>9498</v>
      </c>
      <c r="C624" s="100">
        <v>46161</v>
      </c>
      <c r="D624" t="s">
        <v>13</v>
      </c>
      <c r="E624" t="s">
        <v>50</v>
      </c>
      <c r="F624" t="s">
        <v>117</v>
      </c>
      <c r="G624">
        <v>180</v>
      </c>
      <c r="H624">
        <v>66000</v>
      </c>
      <c r="I624">
        <v>11880000</v>
      </c>
    </row>
    <row r="625" spans="1:11" hidden="1" x14ac:dyDescent="0.25">
      <c r="A625" s="210" t="s">
        <v>1562</v>
      </c>
      <c r="B625">
        <v>9498</v>
      </c>
      <c r="C625" s="100">
        <v>46161</v>
      </c>
      <c r="D625" t="s">
        <v>13</v>
      </c>
      <c r="E625" t="s">
        <v>1842</v>
      </c>
      <c r="F625" t="s">
        <v>1127</v>
      </c>
      <c r="G625">
        <v>116</v>
      </c>
      <c r="H625">
        <v>76000</v>
      </c>
      <c r="I625">
        <v>8816000</v>
      </c>
    </row>
    <row r="626" spans="1:11" hidden="1" x14ac:dyDescent="0.25">
      <c r="A626" s="210" t="s">
        <v>1562</v>
      </c>
      <c r="B626">
        <v>9498</v>
      </c>
      <c r="C626" s="100">
        <v>46161</v>
      </c>
      <c r="D626" t="s">
        <v>13</v>
      </c>
      <c r="E626" t="s">
        <v>252</v>
      </c>
      <c r="F626" t="s">
        <v>136</v>
      </c>
      <c r="G626">
        <v>1060</v>
      </c>
      <c r="H626">
        <v>39500</v>
      </c>
      <c r="I626">
        <v>41870000</v>
      </c>
    </row>
    <row r="627" spans="1:11" hidden="1" x14ac:dyDescent="0.25">
      <c r="A627" s="210" t="s">
        <v>2234</v>
      </c>
      <c r="B627">
        <v>9496</v>
      </c>
      <c r="C627" s="100">
        <v>46162</v>
      </c>
      <c r="D627" t="s">
        <v>13</v>
      </c>
      <c r="E627" t="s">
        <v>26</v>
      </c>
      <c r="F627" t="s">
        <v>78</v>
      </c>
      <c r="G627">
        <v>7387</v>
      </c>
      <c r="H627">
        <v>35300</v>
      </c>
      <c r="I627">
        <v>260761100</v>
      </c>
    </row>
    <row r="628" spans="1:11" hidden="1" x14ac:dyDescent="0.25">
      <c r="A628" s="210" t="s">
        <v>1524</v>
      </c>
      <c r="B628">
        <v>9495</v>
      </c>
      <c r="C628" s="100">
        <v>46161</v>
      </c>
      <c r="D628" t="s">
        <v>49</v>
      </c>
      <c r="E628" t="s">
        <v>14</v>
      </c>
      <c r="F628" t="s">
        <v>148</v>
      </c>
      <c r="I628">
        <v>0</v>
      </c>
      <c r="K628" t="s">
        <v>2243</v>
      </c>
    </row>
    <row r="629" spans="1:11" hidden="1" x14ac:dyDescent="0.25">
      <c r="A629" s="210" t="s">
        <v>1628</v>
      </c>
      <c r="B629">
        <v>9494</v>
      </c>
      <c r="C629" s="100">
        <v>46161</v>
      </c>
      <c r="D629" t="s">
        <v>13</v>
      </c>
      <c r="E629" t="s">
        <v>17</v>
      </c>
      <c r="F629" t="s">
        <v>230</v>
      </c>
      <c r="G629">
        <v>70</v>
      </c>
      <c r="H629">
        <v>71000</v>
      </c>
      <c r="I629">
        <v>4970000</v>
      </c>
    </row>
    <row r="630" spans="1:11" hidden="1" x14ac:dyDescent="0.25">
      <c r="A630" s="210" t="s">
        <v>1671</v>
      </c>
      <c r="B630">
        <v>9493</v>
      </c>
      <c r="C630" s="100">
        <v>46161</v>
      </c>
      <c r="D630" t="s">
        <v>13</v>
      </c>
      <c r="E630" t="s">
        <v>317</v>
      </c>
      <c r="F630" t="s">
        <v>288</v>
      </c>
      <c r="G630">
        <v>28</v>
      </c>
      <c r="H630">
        <v>66500</v>
      </c>
      <c r="I630">
        <v>1862000</v>
      </c>
    </row>
    <row r="631" spans="1:11" hidden="1" x14ac:dyDescent="0.25">
      <c r="A631" s="210" t="s">
        <v>1476</v>
      </c>
      <c r="B631">
        <v>9492</v>
      </c>
      <c r="C631" s="100">
        <v>46161</v>
      </c>
      <c r="D631" t="s">
        <v>49</v>
      </c>
      <c r="E631" t="s">
        <v>50</v>
      </c>
      <c r="F631" t="s">
        <v>2226</v>
      </c>
      <c r="I631">
        <v>0</v>
      </c>
    </row>
    <row r="632" spans="1:11" hidden="1" x14ac:dyDescent="0.25">
      <c r="A632" s="210" t="s">
        <v>1476</v>
      </c>
      <c r="B632">
        <v>9492</v>
      </c>
      <c r="C632" s="100">
        <v>46161</v>
      </c>
      <c r="D632" t="s">
        <v>49</v>
      </c>
      <c r="E632" t="s">
        <v>50</v>
      </c>
      <c r="F632" t="s">
        <v>221</v>
      </c>
      <c r="I632">
        <v>0</v>
      </c>
    </row>
    <row r="633" spans="1:11" hidden="1" x14ac:dyDescent="0.25">
      <c r="A633" s="210" t="s">
        <v>1626</v>
      </c>
      <c r="B633">
        <v>9491</v>
      </c>
      <c r="C633" s="100">
        <v>46161</v>
      </c>
      <c r="D633" t="s">
        <v>13</v>
      </c>
      <c r="E633" t="s">
        <v>50</v>
      </c>
      <c r="F633" t="s">
        <v>2224</v>
      </c>
      <c r="G633">
        <v>164</v>
      </c>
      <c r="H633">
        <v>60000</v>
      </c>
      <c r="I633">
        <v>9840000</v>
      </c>
    </row>
    <row r="634" spans="1:11" hidden="1" x14ac:dyDescent="0.25">
      <c r="A634" s="210" t="s">
        <v>1626</v>
      </c>
      <c r="B634">
        <v>9491</v>
      </c>
      <c r="C634" s="100">
        <v>46161</v>
      </c>
      <c r="D634" t="s">
        <v>13</v>
      </c>
      <c r="E634" t="s">
        <v>50</v>
      </c>
      <c r="F634" t="s">
        <v>2225</v>
      </c>
      <c r="G634">
        <v>294</v>
      </c>
      <c r="H634">
        <v>65000</v>
      </c>
      <c r="I634">
        <v>19110000</v>
      </c>
    </row>
    <row r="635" spans="1:11" hidden="1" x14ac:dyDescent="0.25">
      <c r="A635" s="210" t="s">
        <v>1734</v>
      </c>
      <c r="B635">
        <v>9490</v>
      </c>
      <c r="C635" s="100">
        <v>46161</v>
      </c>
      <c r="D635" t="s">
        <v>13</v>
      </c>
      <c r="E635" t="s">
        <v>50</v>
      </c>
      <c r="F635" t="s">
        <v>1106</v>
      </c>
      <c r="G635">
        <v>4892</v>
      </c>
      <c r="H635">
        <v>65000</v>
      </c>
      <c r="I635">
        <v>317980000</v>
      </c>
    </row>
    <row r="636" spans="1:11" hidden="1" x14ac:dyDescent="0.25">
      <c r="A636" s="210" t="s">
        <v>1734</v>
      </c>
      <c r="B636">
        <v>9490</v>
      </c>
      <c r="C636" s="100">
        <v>46161</v>
      </c>
      <c r="D636" t="s">
        <v>13</v>
      </c>
      <c r="E636" t="s">
        <v>1965</v>
      </c>
      <c r="F636" t="s">
        <v>2223</v>
      </c>
      <c r="G636">
        <v>4576.5</v>
      </c>
      <c r="H636">
        <v>72000</v>
      </c>
      <c r="I636">
        <v>329508000</v>
      </c>
    </row>
    <row r="637" spans="1:11" hidden="1" x14ac:dyDescent="0.25">
      <c r="A637" s="210" t="s">
        <v>1489</v>
      </c>
      <c r="B637">
        <v>9488</v>
      </c>
      <c r="C637" s="100">
        <v>46161</v>
      </c>
      <c r="D637" t="s">
        <v>13</v>
      </c>
      <c r="E637" t="s">
        <v>317</v>
      </c>
      <c r="F637" t="s">
        <v>221</v>
      </c>
      <c r="G637">
        <v>314</v>
      </c>
      <c r="H637">
        <v>59000</v>
      </c>
      <c r="I637">
        <v>18526000</v>
      </c>
    </row>
    <row r="638" spans="1:11" hidden="1" x14ac:dyDescent="0.25">
      <c r="A638" s="210" t="s">
        <v>1536</v>
      </c>
      <c r="B638">
        <v>9487</v>
      </c>
      <c r="C638" s="100">
        <v>46161</v>
      </c>
      <c r="D638" t="s">
        <v>13</v>
      </c>
      <c r="E638" t="s">
        <v>27</v>
      </c>
      <c r="F638" t="s">
        <v>2221</v>
      </c>
      <c r="G638">
        <v>310</v>
      </c>
      <c r="H638">
        <v>26000</v>
      </c>
      <c r="I638">
        <v>8060000</v>
      </c>
    </row>
    <row r="639" spans="1:11" hidden="1" x14ac:dyDescent="0.25">
      <c r="A639" s="210" t="s">
        <v>1536</v>
      </c>
      <c r="B639">
        <v>9487</v>
      </c>
      <c r="C639" s="100">
        <v>46161</v>
      </c>
      <c r="D639" t="s">
        <v>13</v>
      </c>
      <c r="E639" t="s">
        <v>45</v>
      </c>
      <c r="F639" t="s">
        <v>487</v>
      </c>
      <c r="G639">
        <v>278</v>
      </c>
      <c r="H639">
        <v>33000</v>
      </c>
      <c r="I639">
        <v>9174000</v>
      </c>
    </row>
    <row r="640" spans="1:11" hidden="1" x14ac:dyDescent="0.25">
      <c r="A640" s="210" t="s">
        <v>1536</v>
      </c>
      <c r="B640">
        <v>9487</v>
      </c>
      <c r="C640" s="100">
        <v>46161</v>
      </c>
      <c r="D640" t="s">
        <v>13</v>
      </c>
      <c r="E640" t="s">
        <v>109</v>
      </c>
      <c r="F640" t="s">
        <v>2222</v>
      </c>
      <c r="G640">
        <v>180</v>
      </c>
      <c r="H640">
        <v>60000</v>
      </c>
      <c r="I640">
        <v>10800000</v>
      </c>
    </row>
    <row r="641" spans="1:11" hidden="1" x14ac:dyDescent="0.25">
      <c r="A641" s="210" t="s">
        <v>1536</v>
      </c>
      <c r="B641">
        <v>9487</v>
      </c>
      <c r="C641" s="100">
        <v>46161</v>
      </c>
      <c r="D641" t="s">
        <v>13</v>
      </c>
      <c r="E641" t="s">
        <v>26</v>
      </c>
      <c r="F641" t="s">
        <v>62</v>
      </c>
      <c r="G641">
        <v>3441</v>
      </c>
      <c r="H641">
        <v>35000</v>
      </c>
      <c r="I641">
        <v>120435000</v>
      </c>
    </row>
    <row r="642" spans="1:11" hidden="1" x14ac:dyDescent="0.25">
      <c r="A642" s="210" t="s">
        <v>1536</v>
      </c>
      <c r="B642">
        <v>9487</v>
      </c>
      <c r="C642" s="100">
        <v>46161</v>
      </c>
      <c r="D642" t="s">
        <v>13</v>
      </c>
      <c r="E642" t="s">
        <v>26</v>
      </c>
      <c r="F642" t="s">
        <v>2126</v>
      </c>
      <c r="G642">
        <v>1193</v>
      </c>
      <c r="H642">
        <v>35000</v>
      </c>
      <c r="I642">
        <v>41755000</v>
      </c>
    </row>
    <row r="643" spans="1:11" hidden="1" x14ac:dyDescent="0.25">
      <c r="A643" s="210" t="s">
        <v>1648</v>
      </c>
      <c r="B643">
        <v>9486</v>
      </c>
      <c r="C643" s="100">
        <v>46161</v>
      </c>
      <c r="D643" t="s">
        <v>13</v>
      </c>
      <c r="E643" t="s">
        <v>103</v>
      </c>
      <c r="F643" t="s">
        <v>2220</v>
      </c>
      <c r="G643">
        <v>1012</v>
      </c>
      <c r="H643">
        <v>39000</v>
      </c>
      <c r="I643">
        <v>39468000</v>
      </c>
      <c r="J643">
        <v>53</v>
      </c>
    </row>
    <row r="644" spans="1:11" hidden="1" x14ac:dyDescent="0.25">
      <c r="A644" s="210" t="s">
        <v>1548</v>
      </c>
      <c r="B644">
        <v>9485</v>
      </c>
      <c r="C644" s="100">
        <v>46161</v>
      </c>
      <c r="D644" t="s">
        <v>13</v>
      </c>
      <c r="E644" t="s">
        <v>50</v>
      </c>
      <c r="F644" t="s">
        <v>1763</v>
      </c>
      <c r="G644">
        <v>254</v>
      </c>
      <c r="H644">
        <v>58000</v>
      </c>
      <c r="I644">
        <v>14732000</v>
      </c>
    </row>
    <row r="645" spans="1:11" hidden="1" x14ac:dyDescent="0.25">
      <c r="A645" s="210" t="s">
        <v>1548</v>
      </c>
      <c r="B645">
        <v>9485</v>
      </c>
      <c r="C645" s="100">
        <v>46161</v>
      </c>
      <c r="D645" t="s">
        <v>13</v>
      </c>
      <c r="E645" t="s">
        <v>50</v>
      </c>
      <c r="F645" t="s">
        <v>1763</v>
      </c>
      <c r="G645">
        <v>108</v>
      </c>
      <c r="H645">
        <v>61000</v>
      </c>
      <c r="I645">
        <v>6588000</v>
      </c>
    </row>
    <row r="646" spans="1:11" hidden="1" x14ac:dyDescent="0.25">
      <c r="A646" s="210" t="s">
        <v>1548</v>
      </c>
      <c r="B646">
        <v>9485</v>
      </c>
      <c r="C646" s="100">
        <v>46161</v>
      </c>
      <c r="D646" t="s">
        <v>13</v>
      </c>
      <c r="E646" t="s">
        <v>50</v>
      </c>
      <c r="F646" t="s">
        <v>848</v>
      </c>
      <c r="G646">
        <v>198</v>
      </c>
      <c r="H646">
        <v>58000</v>
      </c>
      <c r="I646">
        <v>11484000</v>
      </c>
    </row>
    <row r="647" spans="1:11" hidden="1" x14ac:dyDescent="0.25">
      <c r="A647" s="210" t="s">
        <v>1822</v>
      </c>
      <c r="B647">
        <v>9484</v>
      </c>
      <c r="C647" s="100">
        <v>46161</v>
      </c>
      <c r="D647" t="s">
        <v>13</v>
      </c>
      <c r="E647" t="s">
        <v>14</v>
      </c>
      <c r="F647" t="s">
        <v>1823</v>
      </c>
      <c r="G647">
        <v>2982</v>
      </c>
      <c r="H647">
        <v>43600</v>
      </c>
      <c r="I647">
        <v>130015200</v>
      </c>
      <c r="K647" t="s">
        <v>1837</v>
      </c>
    </row>
    <row r="648" spans="1:11" hidden="1" x14ac:dyDescent="0.25">
      <c r="A648" s="210" t="s">
        <v>1822</v>
      </c>
      <c r="B648">
        <v>9484</v>
      </c>
      <c r="C648" s="100">
        <v>46161</v>
      </c>
      <c r="D648" t="s">
        <v>13</v>
      </c>
      <c r="E648" t="s">
        <v>17</v>
      </c>
      <c r="F648" t="s">
        <v>723</v>
      </c>
      <c r="G648">
        <v>2286</v>
      </c>
      <c r="H648">
        <v>56500</v>
      </c>
      <c r="I648">
        <v>129159000</v>
      </c>
    </row>
    <row r="649" spans="1:11" hidden="1" x14ac:dyDescent="0.25">
      <c r="A649" s="210" t="s">
        <v>1573</v>
      </c>
      <c r="B649">
        <v>9483</v>
      </c>
      <c r="C649" s="100">
        <v>46161</v>
      </c>
      <c r="D649" t="s">
        <v>13</v>
      </c>
      <c r="E649" t="s">
        <v>252</v>
      </c>
      <c r="F649" t="s">
        <v>136</v>
      </c>
      <c r="G649">
        <v>156</v>
      </c>
      <c r="H649">
        <v>40000</v>
      </c>
      <c r="I649">
        <v>6240000</v>
      </c>
    </row>
    <row r="650" spans="1:11" hidden="1" x14ac:dyDescent="0.25">
      <c r="A650" s="210" t="s">
        <v>1573</v>
      </c>
      <c r="B650">
        <v>9483</v>
      </c>
      <c r="C650" s="100">
        <v>46161</v>
      </c>
      <c r="D650" t="s">
        <v>13</v>
      </c>
      <c r="E650" t="s">
        <v>14</v>
      </c>
      <c r="F650" t="s">
        <v>40</v>
      </c>
      <c r="G650">
        <v>428</v>
      </c>
      <c r="H650">
        <v>47000</v>
      </c>
      <c r="I650">
        <v>20116000</v>
      </c>
    </row>
    <row r="651" spans="1:11" hidden="1" x14ac:dyDescent="0.25">
      <c r="A651" s="210" t="s">
        <v>1573</v>
      </c>
      <c r="B651">
        <v>9483</v>
      </c>
      <c r="C651" s="100">
        <v>46161</v>
      </c>
      <c r="D651" t="s">
        <v>13</v>
      </c>
      <c r="E651" t="s">
        <v>43</v>
      </c>
      <c r="F651" t="s">
        <v>204</v>
      </c>
      <c r="G651">
        <v>138</v>
      </c>
      <c r="H651">
        <v>60000</v>
      </c>
      <c r="I651">
        <v>8280000</v>
      </c>
    </row>
    <row r="652" spans="1:11" hidden="1" x14ac:dyDescent="0.25">
      <c r="A652" s="210" t="s">
        <v>1538</v>
      </c>
      <c r="B652">
        <v>9482</v>
      </c>
      <c r="C652" s="100">
        <v>46161</v>
      </c>
      <c r="D652" t="s">
        <v>13</v>
      </c>
      <c r="E652" t="s">
        <v>26</v>
      </c>
      <c r="F652" t="s">
        <v>33</v>
      </c>
      <c r="G652">
        <v>616</v>
      </c>
      <c r="H652">
        <v>34000</v>
      </c>
      <c r="I652">
        <v>20944000</v>
      </c>
    </row>
    <row r="653" spans="1:11" hidden="1" x14ac:dyDescent="0.25">
      <c r="A653" s="210" t="s">
        <v>1590</v>
      </c>
      <c r="B653">
        <v>9481</v>
      </c>
      <c r="C653" s="100">
        <v>46161</v>
      </c>
      <c r="D653" t="s">
        <v>49</v>
      </c>
      <c r="E653" t="s">
        <v>50</v>
      </c>
      <c r="F653" t="s">
        <v>1127</v>
      </c>
      <c r="G653">
        <v>564</v>
      </c>
      <c r="I653">
        <v>0</v>
      </c>
    </row>
    <row r="654" spans="1:11" hidden="1" x14ac:dyDescent="0.25">
      <c r="A654" s="210" t="s">
        <v>1579</v>
      </c>
      <c r="B654">
        <v>9479</v>
      </c>
      <c r="C654" s="100">
        <v>46161</v>
      </c>
      <c r="D654" t="s">
        <v>13</v>
      </c>
      <c r="E654" t="s">
        <v>14</v>
      </c>
      <c r="F654" t="s">
        <v>134</v>
      </c>
      <c r="G654">
        <v>962</v>
      </c>
      <c r="H654">
        <v>42000</v>
      </c>
      <c r="I654">
        <v>40404000</v>
      </c>
    </row>
    <row r="655" spans="1:11" hidden="1" x14ac:dyDescent="0.25">
      <c r="A655" s="210" t="s">
        <v>1579</v>
      </c>
      <c r="B655">
        <v>9479</v>
      </c>
      <c r="C655" s="100">
        <v>46161</v>
      </c>
      <c r="D655" t="s">
        <v>13</v>
      </c>
      <c r="E655" t="s">
        <v>43</v>
      </c>
      <c r="F655" t="s">
        <v>44</v>
      </c>
      <c r="G655">
        <v>645</v>
      </c>
      <c r="H655">
        <v>61000</v>
      </c>
      <c r="I655">
        <v>39345000</v>
      </c>
    </row>
    <row r="656" spans="1:11" hidden="1" x14ac:dyDescent="0.25">
      <c r="A656" s="210" t="s">
        <v>1676</v>
      </c>
      <c r="B656">
        <v>9478</v>
      </c>
      <c r="C656" s="100">
        <v>46161</v>
      </c>
      <c r="D656" t="s">
        <v>13</v>
      </c>
      <c r="E656" t="s">
        <v>14</v>
      </c>
      <c r="F656" t="s">
        <v>41</v>
      </c>
      <c r="G656">
        <v>842</v>
      </c>
      <c r="H656">
        <v>42500</v>
      </c>
      <c r="I656">
        <v>35785000</v>
      </c>
    </row>
    <row r="657" spans="1:11" hidden="1" x14ac:dyDescent="0.25">
      <c r="A657" s="210" t="s">
        <v>1676</v>
      </c>
      <c r="B657">
        <v>9478</v>
      </c>
      <c r="C657" s="100">
        <v>46161</v>
      </c>
      <c r="D657" t="s">
        <v>13</v>
      </c>
      <c r="E657" t="s">
        <v>43</v>
      </c>
      <c r="F657" t="s">
        <v>1225</v>
      </c>
      <c r="G657">
        <v>736</v>
      </c>
      <c r="H657">
        <v>62000</v>
      </c>
      <c r="I657">
        <v>45632000</v>
      </c>
    </row>
    <row r="658" spans="1:11" hidden="1" x14ac:dyDescent="0.25">
      <c r="A658" s="210" t="s">
        <v>1676</v>
      </c>
      <c r="B658">
        <v>9478</v>
      </c>
      <c r="C658" s="100">
        <v>46161</v>
      </c>
      <c r="D658" t="s">
        <v>13</v>
      </c>
      <c r="E658" t="s">
        <v>26</v>
      </c>
      <c r="F658" t="s">
        <v>446</v>
      </c>
      <c r="G658">
        <v>651</v>
      </c>
      <c r="H658">
        <v>36000</v>
      </c>
      <c r="I658">
        <v>23436000</v>
      </c>
    </row>
    <row r="659" spans="1:11" hidden="1" x14ac:dyDescent="0.25">
      <c r="A659" s="210" t="s">
        <v>1676</v>
      </c>
      <c r="B659">
        <v>9477</v>
      </c>
      <c r="C659" s="100">
        <v>46161</v>
      </c>
      <c r="D659" t="s">
        <v>13</v>
      </c>
      <c r="E659" t="s">
        <v>17</v>
      </c>
      <c r="F659" t="s">
        <v>25</v>
      </c>
      <c r="G659">
        <v>934</v>
      </c>
      <c r="H659">
        <v>69000</v>
      </c>
      <c r="I659">
        <v>64446000</v>
      </c>
      <c r="K659">
        <v>935</v>
      </c>
    </row>
    <row r="660" spans="1:11" hidden="1" x14ac:dyDescent="0.25">
      <c r="A660" s="210" t="s">
        <v>1676</v>
      </c>
      <c r="B660">
        <v>9477</v>
      </c>
      <c r="C660" s="100">
        <v>46161</v>
      </c>
      <c r="D660" t="s">
        <v>13</v>
      </c>
      <c r="E660" t="s">
        <v>17</v>
      </c>
      <c r="F660" t="s">
        <v>33</v>
      </c>
      <c r="G660">
        <v>1474</v>
      </c>
      <c r="H660">
        <v>69000</v>
      </c>
      <c r="I660">
        <v>101706000</v>
      </c>
      <c r="K660">
        <v>1476</v>
      </c>
    </row>
    <row r="661" spans="1:11" hidden="1" x14ac:dyDescent="0.25">
      <c r="A661" s="210" t="s">
        <v>1676</v>
      </c>
      <c r="B661">
        <v>9477</v>
      </c>
      <c r="C661" s="100">
        <v>46161</v>
      </c>
      <c r="D661" t="s">
        <v>13</v>
      </c>
      <c r="E661" t="s">
        <v>17</v>
      </c>
      <c r="F661" t="s">
        <v>46</v>
      </c>
      <c r="G661">
        <v>1102</v>
      </c>
      <c r="H661">
        <v>69000</v>
      </c>
      <c r="I661">
        <v>76038000</v>
      </c>
      <c r="K661">
        <v>1105</v>
      </c>
    </row>
    <row r="662" spans="1:11" hidden="1" x14ac:dyDescent="0.25">
      <c r="A662" s="210" t="s">
        <v>1676</v>
      </c>
      <c r="B662">
        <v>9477</v>
      </c>
      <c r="C662" s="100">
        <v>46161</v>
      </c>
      <c r="D662" t="s">
        <v>13</v>
      </c>
      <c r="E662" t="s">
        <v>17</v>
      </c>
      <c r="F662" t="s">
        <v>78</v>
      </c>
      <c r="G662">
        <v>664</v>
      </c>
      <c r="H662">
        <v>69000</v>
      </c>
      <c r="I662">
        <v>45816000</v>
      </c>
      <c r="K662">
        <v>664</v>
      </c>
    </row>
    <row r="663" spans="1:11" hidden="1" x14ac:dyDescent="0.25">
      <c r="A663" s="210" t="s">
        <v>1676</v>
      </c>
      <c r="B663">
        <v>9477</v>
      </c>
      <c r="C663" s="100">
        <v>46161</v>
      </c>
      <c r="D663" t="s">
        <v>13</v>
      </c>
      <c r="E663" t="s">
        <v>17</v>
      </c>
      <c r="F663" t="s">
        <v>154</v>
      </c>
      <c r="G663">
        <v>1016</v>
      </c>
      <c r="H663">
        <v>60000</v>
      </c>
      <c r="I663">
        <v>60960000</v>
      </c>
      <c r="K663">
        <v>1020</v>
      </c>
    </row>
    <row r="664" spans="1:11" hidden="1" x14ac:dyDescent="0.25">
      <c r="A664" s="210" t="s">
        <v>1524</v>
      </c>
      <c r="B664">
        <v>9476</v>
      </c>
      <c r="C664" s="100">
        <v>46161</v>
      </c>
      <c r="D664" t="s">
        <v>49</v>
      </c>
      <c r="E664" t="s">
        <v>17</v>
      </c>
      <c r="F664" t="s">
        <v>842</v>
      </c>
      <c r="G664">
        <v>8122</v>
      </c>
      <c r="I664">
        <v>0</v>
      </c>
      <c r="K664" t="s">
        <v>2242</v>
      </c>
    </row>
    <row r="665" spans="1:11" hidden="1" x14ac:dyDescent="0.25">
      <c r="A665" s="210" t="s">
        <v>1555</v>
      </c>
      <c r="B665">
        <v>9475</v>
      </c>
      <c r="C665" s="100">
        <v>46161</v>
      </c>
      <c r="D665" t="s">
        <v>13</v>
      </c>
      <c r="E665" t="s">
        <v>54</v>
      </c>
      <c r="F665" t="s">
        <v>62</v>
      </c>
      <c r="G665">
        <v>60</v>
      </c>
      <c r="H665">
        <v>36000</v>
      </c>
      <c r="I665">
        <v>2160000</v>
      </c>
    </row>
    <row r="666" spans="1:11" hidden="1" x14ac:dyDescent="0.25">
      <c r="A666" s="210" t="s">
        <v>1555</v>
      </c>
      <c r="B666">
        <v>9475</v>
      </c>
      <c r="C666" s="100">
        <v>46161</v>
      </c>
      <c r="D666" t="s">
        <v>13</v>
      </c>
      <c r="E666" t="s">
        <v>1085</v>
      </c>
      <c r="F666" t="s">
        <v>446</v>
      </c>
      <c r="G666">
        <v>985</v>
      </c>
      <c r="H666">
        <v>35500</v>
      </c>
      <c r="I666">
        <v>34967500</v>
      </c>
    </row>
    <row r="667" spans="1:11" hidden="1" x14ac:dyDescent="0.25">
      <c r="A667" s="210" t="s">
        <v>1703</v>
      </c>
      <c r="B667">
        <v>9474</v>
      </c>
      <c r="C667" s="100">
        <v>46160</v>
      </c>
      <c r="D667" t="s">
        <v>13</v>
      </c>
      <c r="E667" t="s">
        <v>36</v>
      </c>
      <c r="F667" t="s">
        <v>28</v>
      </c>
      <c r="G667">
        <v>938</v>
      </c>
      <c r="H667">
        <v>62000</v>
      </c>
      <c r="I667">
        <v>58156000</v>
      </c>
      <c r="K667" t="s">
        <v>42</v>
      </c>
    </row>
    <row r="668" spans="1:11" hidden="1" x14ac:dyDescent="0.25">
      <c r="A668" s="210" t="s">
        <v>1491</v>
      </c>
      <c r="B668">
        <v>9473</v>
      </c>
      <c r="C668" s="100">
        <v>46160</v>
      </c>
      <c r="D668" t="s">
        <v>13</v>
      </c>
      <c r="E668" t="s">
        <v>270</v>
      </c>
      <c r="F668" t="s">
        <v>146</v>
      </c>
      <c r="G668">
        <v>562</v>
      </c>
      <c r="H668">
        <v>67000</v>
      </c>
      <c r="I668">
        <v>37654000</v>
      </c>
    </row>
    <row r="669" spans="1:11" hidden="1" x14ac:dyDescent="0.25">
      <c r="A669" s="210" t="s">
        <v>1491</v>
      </c>
      <c r="B669">
        <v>9473</v>
      </c>
      <c r="C669" s="100">
        <v>46160</v>
      </c>
      <c r="D669" t="s">
        <v>13</v>
      </c>
      <c r="E669" t="s">
        <v>109</v>
      </c>
      <c r="F669" t="s">
        <v>1818</v>
      </c>
      <c r="G669">
        <v>856</v>
      </c>
      <c r="H669">
        <v>64000</v>
      </c>
      <c r="I669">
        <v>54784000</v>
      </c>
    </row>
    <row r="670" spans="1:11" hidden="1" x14ac:dyDescent="0.25">
      <c r="A670" s="210" t="s">
        <v>1822</v>
      </c>
      <c r="B670">
        <v>9472</v>
      </c>
      <c r="C670" s="100">
        <v>46160</v>
      </c>
      <c r="D670" t="s">
        <v>13</v>
      </c>
      <c r="E670" t="s">
        <v>317</v>
      </c>
      <c r="F670" t="s">
        <v>441</v>
      </c>
      <c r="G670">
        <v>202</v>
      </c>
      <c r="H670">
        <v>65000</v>
      </c>
      <c r="I670">
        <v>13130000</v>
      </c>
    </row>
    <row r="671" spans="1:11" hidden="1" x14ac:dyDescent="0.25">
      <c r="A671" s="210" t="s">
        <v>1822</v>
      </c>
      <c r="B671">
        <v>9472</v>
      </c>
      <c r="C671" s="100">
        <v>46160</v>
      </c>
      <c r="D671" t="s">
        <v>13</v>
      </c>
      <c r="E671" t="s">
        <v>317</v>
      </c>
      <c r="F671" t="s">
        <v>2210</v>
      </c>
      <c r="G671">
        <v>68</v>
      </c>
      <c r="H671">
        <v>63000</v>
      </c>
      <c r="I671">
        <v>4284000</v>
      </c>
    </row>
    <row r="672" spans="1:11" hidden="1" x14ac:dyDescent="0.25">
      <c r="A672" s="210" t="s">
        <v>1493</v>
      </c>
      <c r="B672">
        <v>9471</v>
      </c>
      <c r="C672" s="100">
        <v>46161</v>
      </c>
      <c r="D672" t="s">
        <v>13</v>
      </c>
      <c r="E672" t="s">
        <v>17</v>
      </c>
      <c r="F672" t="s">
        <v>136</v>
      </c>
      <c r="G672">
        <v>779</v>
      </c>
      <c r="H672">
        <v>62000</v>
      </c>
      <c r="I672">
        <v>48298000</v>
      </c>
    </row>
    <row r="673" spans="1:11" hidden="1" x14ac:dyDescent="0.25">
      <c r="A673" s="210" t="s">
        <v>1493</v>
      </c>
      <c r="B673">
        <v>9471</v>
      </c>
      <c r="C673" s="100">
        <v>46161</v>
      </c>
      <c r="D673" t="s">
        <v>13</v>
      </c>
      <c r="E673" t="s">
        <v>278</v>
      </c>
      <c r="F673" t="s">
        <v>913</v>
      </c>
      <c r="G673">
        <v>512</v>
      </c>
      <c r="H673">
        <v>68000</v>
      </c>
      <c r="I673">
        <v>34816000</v>
      </c>
      <c r="K673" t="s">
        <v>1144</v>
      </c>
    </row>
    <row r="674" spans="1:11" hidden="1" x14ac:dyDescent="0.25">
      <c r="A674" s="210" t="s">
        <v>1493</v>
      </c>
      <c r="B674">
        <v>9471</v>
      </c>
      <c r="C674" s="100">
        <v>46161</v>
      </c>
      <c r="D674" t="s">
        <v>13</v>
      </c>
      <c r="E674" t="s">
        <v>17</v>
      </c>
      <c r="F674" t="s">
        <v>469</v>
      </c>
      <c r="G674">
        <v>363</v>
      </c>
      <c r="H674">
        <v>67000</v>
      </c>
      <c r="I674">
        <v>24321000</v>
      </c>
    </row>
    <row r="675" spans="1:11" hidden="1" x14ac:dyDescent="0.25">
      <c r="A675" s="210" t="s">
        <v>1664</v>
      </c>
      <c r="B675">
        <v>9470</v>
      </c>
      <c r="C675" s="100">
        <v>46161</v>
      </c>
      <c r="D675" t="s">
        <v>13</v>
      </c>
      <c r="E675" t="s">
        <v>317</v>
      </c>
      <c r="F675" t="s">
        <v>2219</v>
      </c>
      <c r="G675">
        <v>870</v>
      </c>
      <c r="H675">
        <v>62500</v>
      </c>
      <c r="I675">
        <v>54375000</v>
      </c>
    </row>
    <row r="676" spans="1:11" hidden="1" x14ac:dyDescent="0.25">
      <c r="A676" s="210" t="s">
        <v>1675</v>
      </c>
      <c r="B676">
        <v>9469</v>
      </c>
      <c r="C676" s="100">
        <v>46161</v>
      </c>
      <c r="D676" t="s">
        <v>13</v>
      </c>
      <c r="E676" t="s">
        <v>17</v>
      </c>
      <c r="F676" t="s">
        <v>842</v>
      </c>
      <c r="G676">
        <v>3791</v>
      </c>
      <c r="H676">
        <v>66000</v>
      </c>
      <c r="I676">
        <v>250206000</v>
      </c>
    </row>
    <row r="677" spans="1:11" hidden="1" x14ac:dyDescent="0.25">
      <c r="A677" s="210" t="s">
        <v>1675</v>
      </c>
      <c r="B677">
        <v>9469</v>
      </c>
      <c r="C677" s="100">
        <v>46161</v>
      </c>
      <c r="D677" t="s">
        <v>13</v>
      </c>
      <c r="E677" t="s">
        <v>17</v>
      </c>
      <c r="F677" t="s">
        <v>891</v>
      </c>
      <c r="G677">
        <v>4140</v>
      </c>
      <c r="H677">
        <v>66000</v>
      </c>
      <c r="I677">
        <v>273240000</v>
      </c>
    </row>
    <row r="678" spans="1:11" hidden="1" x14ac:dyDescent="0.25">
      <c r="A678" s="210" t="s">
        <v>1689</v>
      </c>
      <c r="B678">
        <v>9468</v>
      </c>
      <c r="C678" s="100">
        <v>46160</v>
      </c>
      <c r="D678" t="s">
        <v>13</v>
      </c>
      <c r="E678" t="s">
        <v>43</v>
      </c>
      <c r="F678" t="s">
        <v>2209</v>
      </c>
      <c r="G678">
        <v>500</v>
      </c>
      <c r="H678">
        <v>55000</v>
      </c>
      <c r="I678">
        <v>27500000</v>
      </c>
    </row>
    <row r="679" spans="1:11" hidden="1" x14ac:dyDescent="0.25">
      <c r="A679" s="210" t="s">
        <v>1504</v>
      </c>
      <c r="B679">
        <v>9467</v>
      </c>
      <c r="C679" s="100">
        <v>46160</v>
      </c>
      <c r="D679" t="s">
        <v>13</v>
      </c>
      <c r="E679" t="s">
        <v>54</v>
      </c>
      <c r="F679" t="s">
        <v>1917</v>
      </c>
      <c r="G679">
        <v>1426</v>
      </c>
      <c r="H679">
        <v>37000</v>
      </c>
      <c r="I679">
        <v>52762000</v>
      </c>
    </row>
    <row r="680" spans="1:11" hidden="1" x14ac:dyDescent="0.25">
      <c r="A680" s="210" t="s">
        <v>1504</v>
      </c>
      <c r="B680">
        <v>9467</v>
      </c>
      <c r="C680" s="100">
        <v>46160</v>
      </c>
      <c r="D680" t="s">
        <v>13</v>
      </c>
      <c r="E680" t="s">
        <v>54</v>
      </c>
      <c r="F680" t="s">
        <v>2208</v>
      </c>
      <c r="G680">
        <v>698</v>
      </c>
      <c r="H680">
        <v>37000</v>
      </c>
      <c r="I680">
        <v>25826000</v>
      </c>
    </row>
    <row r="681" spans="1:11" hidden="1" x14ac:dyDescent="0.25">
      <c r="A681" s="210" t="s">
        <v>1504</v>
      </c>
      <c r="B681">
        <v>9467</v>
      </c>
      <c r="C681" s="100">
        <v>46160</v>
      </c>
      <c r="D681" t="s">
        <v>13</v>
      </c>
      <c r="E681" t="s">
        <v>36</v>
      </c>
      <c r="F681" t="s">
        <v>53</v>
      </c>
      <c r="G681">
        <v>81</v>
      </c>
      <c r="H681">
        <v>70000</v>
      </c>
      <c r="I681">
        <v>5670000</v>
      </c>
    </row>
    <row r="682" spans="1:11" hidden="1" x14ac:dyDescent="0.25">
      <c r="A682" s="210" t="s">
        <v>1504</v>
      </c>
      <c r="B682">
        <v>9467</v>
      </c>
      <c r="C682" s="100">
        <v>46160</v>
      </c>
      <c r="D682" t="s">
        <v>13</v>
      </c>
      <c r="E682" t="s">
        <v>314</v>
      </c>
      <c r="F682" t="s">
        <v>81</v>
      </c>
      <c r="G682">
        <v>648</v>
      </c>
      <c r="H682">
        <v>46000</v>
      </c>
      <c r="I682">
        <v>29808000</v>
      </c>
    </row>
    <row r="683" spans="1:11" hidden="1" x14ac:dyDescent="0.25">
      <c r="A683" s="210" t="s">
        <v>1592</v>
      </c>
      <c r="B683">
        <v>9466</v>
      </c>
      <c r="C683" s="100">
        <v>46160</v>
      </c>
      <c r="D683" t="s">
        <v>49</v>
      </c>
      <c r="E683" t="s">
        <v>17</v>
      </c>
      <c r="F683" t="s">
        <v>363</v>
      </c>
      <c r="G683">
        <v>592</v>
      </c>
      <c r="I683">
        <v>0</v>
      </c>
      <c r="K683" t="s">
        <v>1740</v>
      </c>
    </row>
    <row r="684" spans="1:11" hidden="1" x14ac:dyDescent="0.25">
      <c r="A684" s="210" t="s">
        <v>1592</v>
      </c>
      <c r="B684">
        <v>9466</v>
      </c>
      <c r="C684" s="100">
        <v>46160</v>
      </c>
      <c r="D684" t="s">
        <v>49</v>
      </c>
      <c r="E684" t="s">
        <v>43</v>
      </c>
      <c r="F684" t="s">
        <v>62</v>
      </c>
      <c r="G684">
        <v>3456</v>
      </c>
      <c r="I684">
        <v>0</v>
      </c>
      <c r="K684" t="s">
        <v>1740</v>
      </c>
    </row>
    <row r="685" spans="1:11" hidden="1" x14ac:dyDescent="0.25">
      <c r="A685" s="210" t="s">
        <v>1592</v>
      </c>
      <c r="B685">
        <v>9466</v>
      </c>
      <c r="C685" s="100">
        <v>46160</v>
      </c>
      <c r="D685" t="s">
        <v>49</v>
      </c>
      <c r="E685" t="s">
        <v>17</v>
      </c>
      <c r="F685" t="s">
        <v>41</v>
      </c>
      <c r="G685">
        <v>3332</v>
      </c>
      <c r="I685">
        <v>0</v>
      </c>
      <c r="K685" t="s">
        <v>2207</v>
      </c>
    </row>
    <row r="686" spans="1:11" hidden="1" x14ac:dyDescent="0.25">
      <c r="A686" s="210" t="s">
        <v>1592</v>
      </c>
      <c r="B686">
        <v>9466</v>
      </c>
      <c r="C686" s="100">
        <v>46160</v>
      </c>
      <c r="D686" t="s">
        <v>49</v>
      </c>
      <c r="E686" t="s">
        <v>17</v>
      </c>
      <c r="F686" t="s">
        <v>136</v>
      </c>
      <c r="G686">
        <v>2064</v>
      </c>
      <c r="I686">
        <v>0</v>
      </c>
      <c r="K686" t="s">
        <v>1740</v>
      </c>
    </row>
    <row r="687" spans="1:11" hidden="1" x14ac:dyDescent="0.25">
      <c r="A687" s="210" t="s">
        <v>1656</v>
      </c>
      <c r="B687">
        <v>9465</v>
      </c>
      <c r="C687" s="100">
        <v>46160</v>
      </c>
      <c r="D687" t="s">
        <v>13</v>
      </c>
      <c r="E687" t="s">
        <v>17</v>
      </c>
      <c r="F687" t="s">
        <v>953</v>
      </c>
      <c r="G687">
        <v>772</v>
      </c>
      <c r="H687">
        <v>63500</v>
      </c>
      <c r="I687">
        <v>49022000</v>
      </c>
    </row>
    <row r="688" spans="1:11" hidden="1" x14ac:dyDescent="0.25">
      <c r="A688" s="210" t="s">
        <v>1672</v>
      </c>
      <c r="B688">
        <v>9465</v>
      </c>
      <c r="C688" s="100">
        <v>46175</v>
      </c>
      <c r="D688" t="s">
        <v>692</v>
      </c>
      <c r="E688" t="s">
        <v>1319</v>
      </c>
      <c r="F688" t="s">
        <v>2559</v>
      </c>
      <c r="G688">
        <v>1018</v>
      </c>
      <c r="H688">
        <v>-41000</v>
      </c>
      <c r="I688">
        <v>-41738000</v>
      </c>
    </row>
    <row r="689" spans="1:11" hidden="1" x14ac:dyDescent="0.25">
      <c r="A689" s="210" t="s">
        <v>1613</v>
      </c>
      <c r="B689">
        <v>9464</v>
      </c>
      <c r="C689" s="100">
        <v>46160</v>
      </c>
      <c r="D689" t="s">
        <v>13</v>
      </c>
      <c r="E689" t="s">
        <v>150</v>
      </c>
      <c r="F689" t="s">
        <v>73</v>
      </c>
      <c r="G689">
        <v>1612</v>
      </c>
      <c r="H689">
        <v>36000</v>
      </c>
      <c r="I689">
        <v>58032000</v>
      </c>
    </row>
    <row r="690" spans="1:11" hidden="1" x14ac:dyDescent="0.25">
      <c r="A690" s="210" t="s">
        <v>1610</v>
      </c>
      <c r="B690">
        <v>9462</v>
      </c>
      <c r="C690" s="100">
        <v>46160</v>
      </c>
      <c r="D690" t="s">
        <v>13</v>
      </c>
      <c r="E690" t="s">
        <v>54</v>
      </c>
      <c r="F690" t="s">
        <v>2206</v>
      </c>
      <c r="G690">
        <v>1450</v>
      </c>
      <c r="I690">
        <v>0</v>
      </c>
      <c r="J690">
        <v>-4160</v>
      </c>
    </row>
    <row r="691" spans="1:11" hidden="1" x14ac:dyDescent="0.25">
      <c r="A691" s="210" t="s">
        <v>1624</v>
      </c>
      <c r="B691">
        <v>9461</v>
      </c>
      <c r="C691" s="100">
        <v>46160</v>
      </c>
      <c r="D691" t="s">
        <v>13</v>
      </c>
      <c r="E691" t="s">
        <v>17</v>
      </c>
      <c r="F691" t="s">
        <v>230</v>
      </c>
      <c r="G691">
        <v>342</v>
      </c>
      <c r="H691">
        <v>71000</v>
      </c>
      <c r="I691">
        <v>24282000</v>
      </c>
    </row>
    <row r="692" spans="1:11" hidden="1" x14ac:dyDescent="0.25">
      <c r="A692" s="210" t="s">
        <v>1707</v>
      </c>
      <c r="B692">
        <v>9460</v>
      </c>
      <c r="C692" s="100">
        <v>46160</v>
      </c>
      <c r="D692" t="s">
        <v>13</v>
      </c>
      <c r="E692" t="s">
        <v>26</v>
      </c>
      <c r="F692" t="s">
        <v>2217</v>
      </c>
      <c r="G692">
        <v>2992</v>
      </c>
      <c r="H692">
        <v>38000</v>
      </c>
      <c r="I692">
        <v>113696000</v>
      </c>
    </row>
    <row r="693" spans="1:11" hidden="1" x14ac:dyDescent="0.25">
      <c r="A693" s="210" t="s">
        <v>1707</v>
      </c>
      <c r="B693">
        <v>9460</v>
      </c>
      <c r="C693" s="100">
        <v>46160</v>
      </c>
      <c r="D693" t="s">
        <v>13</v>
      </c>
      <c r="E693" t="s">
        <v>26</v>
      </c>
      <c r="F693" t="s">
        <v>2218</v>
      </c>
      <c r="G693">
        <v>2078</v>
      </c>
      <c r="H693">
        <v>38000</v>
      </c>
      <c r="I693">
        <v>78964000</v>
      </c>
    </row>
    <row r="694" spans="1:11" hidden="1" x14ac:dyDescent="0.25">
      <c r="A694" s="210" t="s">
        <v>1707</v>
      </c>
      <c r="B694">
        <v>9460</v>
      </c>
      <c r="C694" s="100">
        <v>46160</v>
      </c>
      <c r="D694" t="s">
        <v>13</v>
      </c>
      <c r="E694" t="s">
        <v>26</v>
      </c>
      <c r="F694" t="s">
        <v>1760</v>
      </c>
      <c r="G694">
        <v>242</v>
      </c>
      <c r="H694">
        <v>38000</v>
      </c>
      <c r="I694">
        <v>9196000</v>
      </c>
    </row>
    <row r="695" spans="1:11" hidden="1" x14ac:dyDescent="0.25">
      <c r="A695" s="210" t="s">
        <v>1490</v>
      </c>
      <c r="B695">
        <v>9459</v>
      </c>
      <c r="C695" s="100">
        <v>46160</v>
      </c>
      <c r="D695" t="s">
        <v>13</v>
      </c>
      <c r="E695" t="s">
        <v>17</v>
      </c>
      <c r="F695" t="s">
        <v>38</v>
      </c>
      <c r="G695">
        <v>460</v>
      </c>
      <c r="H695">
        <v>62500</v>
      </c>
      <c r="I695">
        <v>28750000</v>
      </c>
    </row>
    <row r="696" spans="1:11" hidden="1" x14ac:dyDescent="0.25">
      <c r="A696" s="210" t="s">
        <v>1597</v>
      </c>
      <c r="B696">
        <v>9458</v>
      </c>
      <c r="C696" s="100">
        <v>46160</v>
      </c>
      <c r="D696" t="s">
        <v>13</v>
      </c>
      <c r="E696" t="s">
        <v>36</v>
      </c>
      <c r="F696" t="s">
        <v>848</v>
      </c>
      <c r="G696">
        <v>314</v>
      </c>
      <c r="H696">
        <v>62000</v>
      </c>
      <c r="I696">
        <v>19468000</v>
      </c>
    </row>
    <row r="697" spans="1:11" hidden="1" x14ac:dyDescent="0.25">
      <c r="A697" s="210" t="s">
        <v>1597</v>
      </c>
      <c r="B697">
        <v>9458</v>
      </c>
      <c r="C697" s="100">
        <v>46160</v>
      </c>
      <c r="D697" t="s">
        <v>13</v>
      </c>
      <c r="E697" t="s">
        <v>50</v>
      </c>
      <c r="F697" t="s">
        <v>1763</v>
      </c>
      <c r="G697">
        <v>304</v>
      </c>
      <c r="H697">
        <v>60000</v>
      </c>
      <c r="I697">
        <v>18240000</v>
      </c>
    </row>
    <row r="698" spans="1:11" hidden="1" x14ac:dyDescent="0.25">
      <c r="A698" s="210" t="s">
        <v>1597</v>
      </c>
      <c r="B698">
        <v>9458</v>
      </c>
      <c r="C698" s="100">
        <v>46160</v>
      </c>
      <c r="D698" t="s">
        <v>13</v>
      </c>
      <c r="E698" t="s">
        <v>68</v>
      </c>
      <c r="F698" t="s">
        <v>2205</v>
      </c>
      <c r="G698">
        <v>196</v>
      </c>
      <c r="H698">
        <v>43000</v>
      </c>
      <c r="I698">
        <v>8428000</v>
      </c>
    </row>
    <row r="699" spans="1:11" hidden="1" x14ac:dyDescent="0.25">
      <c r="A699" s="210" t="s">
        <v>1478</v>
      </c>
      <c r="B699">
        <v>9457</v>
      </c>
      <c r="C699" s="100">
        <v>46160</v>
      </c>
      <c r="D699" t="s">
        <v>13</v>
      </c>
      <c r="E699" t="s">
        <v>841</v>
      </c>
      <c r="F699" t="s">
        <v>2204</v>
      </c>
      <c r="G699">
        <v>1338</v>
      </c>
      <c r="H699">
        <v>33000</v>
      </c>
      <c r="I699">
        <v>44154000</v>
      </c>
    </row>
    <row r="700" spans="1:11" hidden="1" x14ac:dyDescent="0.25">
      <c r="A700" s="210" t="s">
        <v>1478</v>
      </c>
      <c r="B700">
        <v>9457</v>
      </c>
      <c r="C700" s="100">
        <v>46160</v>
      </c>
      <c r="D700" t="s">
        <v>13</v>
      </c>
      <c r="E700" t="s">
        <v>17</v>
      </c>
      <c r="F700" t="s">
        <v>38</v>
      </c>
      <c r="G700">
        <v>5268</v>
      </c>
      <c r="H700">
        <v>61800</v>
      </c>
      <c r="I700">
        <v>325562400</v>
      </c>
    </row>
    <row r="701" spans="1:11" hidden="1" x14ac:dyDescent="0.25">
      <c r="A701" s="210" t="s">
        <v>1478</v>
      </c>
      <c r="B701">
        <v>9457</v>
      </c>
      <c r="C701" s="100">
        <v>46160</v>
      </c>
      <c r="D701" t="s">
        <v>13</v>
      </c>
      <c r="E701" t="s">
        <v>17</v>
      </c>
      <c r="F701" t="s">
        <v>46</v>
      </c>
      <c r="G701">
        <v>1968</v>
      </c>
      <c r="H701">
        <v>61800</v>
      </c>
      <c r="I701">
        <v>121622400</v>
      </c>
    </row>
    <row r="702" spans="1:11" hidden="1" x14ac:dyDescent="0.25">
      <c r="A702" s="210" t="s">
        <v>1524</v>
      </c>
      <c r="B702">
        <v>9456</v>
      </c>
      <c r="C702" s="100">
        <v>46160</v>
      </c>
      <c r="D702" t="s">
        <v>49</v>
      </c>
      <c r="E702" t="s">
        <v>17</v>
      </c>
      <c r="F702" t="s">
        <v>842</v>
      </c>
      <c r="G702">
        <v>3846</v>
      </c>
      <c r="I702">
        <v>0</v>
      </c>
      <c r="K702" t="s">
        <v>2203</v>
      </c>
    </row>
    <row r="703" spans="1:11" hidden="1" x14ac:dyDescent="0.25">
      <c r="A703" s="210" t="s">
        <v>1476</v>
      </c>
      <c r="B703">
        <v>9455</v>
      </c>
      <c r="C703" s="100">
        <v>46160</v>
      </c>
      <c r="D703" t="s">
        <v>49</v>
      </c>
      <c r="E703" t="s">
        <v>26</v>
      </c>
      <c r="F703" t="s">
        <v>81</v>
      </c>
      <c r="G703">
        <v>648</v>
      </c>
      <c r="I703">
        <v>0</v>
      </c>
      <c r="K703" t="s">
        <v>1985</v>
      </c>
    </row>
    <row r="704" spans="1:11" hidden="1" x14ac:dyDescent="0.25">
      <c r="A704" s="210" t="s">
        <v>1512</v>
      </c>
      <c r="B704">
        <v>9454</v>
      </c>
      <c r="C704" s="100">
        <v>46160</v>
      </c>
      <c r="D704" t="s">
        <v>49</v>
      </c>
      <c r="E704" t="s">
        <v>17</v>
      </c>
      <c r="F704" t="s">
        <v>913</v>
      </c>
      <c r="G704">
        <v>3628</v>
      </c>
      <c r="I704">
        <v>0</v>
      </c>
      <c r="K704" t="s">
        <v>2202</v>
      </c>
    </row>
    <row r="705" spans="1:11" hidden="1" x14ac:dyDescent="0.25">
      <c r="A705" s="210" t="s">
        <v>1643</v>
      </c>
      <c r="B705">
        <v>9453</v>
      </c>
      <c r="C705" s="100">
        <v>46160</v>
      </c>
      <c r="D705" t="s">
        <v>13</v>
      </c>
      <c r="E705" t="s">
        <v>17</v>
      </c>
      <c r="F705" t="s">
        <v>134</v>
      </c>
      <c r="G705">
        <v>510</v>
      </c>
      <c r="H705">
        <v>60500</v>
      </c>
      <c r="I705">
        <v>30855000</v>
      </c>
    </row>
    <row r="706" spans="1:11" hidden="1" x14ac:dyDescent="0.25">
      <c r="A706" s="210" t="s">
        <v>1643</v>
      </c>
      <c r="B706">
        <v>9453</v>
      </c>
      <c r="C706" s="100">
        <v>46160</v>
      </c>
      <c r="D706" t="s">
        <v>13</v>
      </c>
      <c r="E706" t="s">
        <v>17</v>
      </c>
      <c r="F706" t="s">
        <v>136</v>
      </c>
      <c r="G706">
        <v>599</v>
      </c>
      <c r="H706">
        <v>62000</v>
      </c>
      <c r="I706">
        <v>37138000</v>
      </c>
    </row>
    <row r="707" spans="1:11" hidden="1" x14ac:dyDescent="0.25">
      <c r="A707" s="210" t="s">
        <v>1524</v>
      </c>
      <c r="B707">
        <v>9452</v>
      </c>
      <c r="C707" s="100">
        <v>46160</v>
      </c>
      <c r="D707" t="s">
        <v>49</v>
      </c>
      <c r="E707" t="s">
        <v>301</v>
      </c>
      <c r="F707" t="s">
        <v>466</v>
      </c>
      <c r="G707">
        <v>4366</v>
      </c>
      <c r="I707">
        <v>0</v>
      </c>
      <c r="K707" t="s">
        <v>2201</v>
      </c>
    </row>
    <row r="708" spans="1:11" hidden="1" x14ac:dyDescent="0.25">
      <c r="A708" s="210" t="s">
        <v>1822</v>
      </c>
      <c r="B708">
        <v>9451</v>
      </c>
      <c r="C708" s="100">
        <v>46158</v>
      </c>
      <c r="D708" t="s">
        <v>13</v>
      </c>
      <c r="E708" t="s">
        <v>27</v>
      </c>
      <c r="F708" t="s">
        <v>2200</v>
      </c>
      <c r="G708">
        <v>38</v>
      </c>
      <c r="H708">
        <v>65000</v>
      </c>
      <c r="I708">
        <v>2470000</v>
      </c>
    </row>
    <row r="709" spans="1:11" hidden="1" x14ac:dyDescent="0.25">
      <c r="A709" s="210" t="s">
        <v>1622</v>
      </c>
      <c r="B709">
        <v>9450</v>
      </c>
      <c r="C709" s="100">
        <v>46160</v>
      </c>
      <c r="D709" t="s">
        <v>13</v>
      </c>
      <c r="E709" t="s">
        <v>103</v>
      </c>
      <c r="F709" t="s">
        <v>2193</v>
      </c>
      <c r="G709">
        <v>292</v>
      </c>
      <c r="H709">
        <v>38000</v>
      </c>
      <c r="I709">
        <v>11096000</v>
      </c>
    </row>
    <row r="710" spans="1:11" hidden="1" x14ac:dyDescent="0.25">
      <c r="A710" s="210" t="s">
        <v>1622</v>
      </c>
      <c r="B710">
        <v>9450</v>
      </c>
      <c r="C710" s="100">
        <v>46160</v>
      </c>
      <c r="D710" t="s">
        <v>13</v>
      </c>
      <c r="E710" t="s">
        <v>26</v>
      </c>
      <c r="F710" t="s">
        <v>40</v>
      </c>
      <c r="G710">
        <v>424</v>
      </c>
      <c r="H710">
        <v>36000</v>
      </c>
      <c r="I710">
        <v>15264000</v>
      </c>
    </row>
    <row r="711" spans="1:11" hidden="1" x14ac:dyDescent="0.25">
      <c r="A711" s="210" t="s">
        <v>1572</v>
      </c>
      <c r="B711">
        <v>9449</v>
      </c>
      <c r="C711" s="100">
        <v>46160</v>
      </c>
      <c r="D711" t="s">
        <v>13</v>
      </c>
      <c r="E711" t="s">
        <v>43</v>
      </c>
      <c r="F711" t="s">
        <v>1106</v>
      </c>
      <c r="G711">
        <v>1406</v>
      </c>
      <c r="H711">
        <v>57000</v>
      </c>
      <c r="I711">
        <v>80142000</v>
      </c>
      <c r="K711" t="s">
        <v>186</v>
      </c>
    </row>
    <row r="712" spans="1:11" hidden="1" x14ac:dyDescent="0.25">
      <c r="A712" s="210" t="s">
        <v>1633</v>
      </c>
      <c r="B712">
        <v>9448</v>
      </c>
      <c r="C712" s="100">
        <v>46160</v>
      </c>
      <c r="D712" t="s">
        <v>13</v>
      </c>
      <c r="E712" t="s">
        <v>17</v>
      </c>
      <c r="F712" t="s">
        <v>78</v>
      </c>
      <c r="G712">
        <v>3082</v>
      </c>
      <c r="H712">
        <v>67000</v>
      </c>
      <c r="I712">
        <v>206494000</v>
      </c>
      <c r="K712">
        <v>3130</v>
      </c>
    </row>
    <row r="713" spans="1:11" hidden="1" x14ac:dyDescent="0.25">
      <c r="A713" s="210" t="s">
        <v>1579</v>
      </c>
      <c r="B713">
        <v>9445</v>
      </c>
      <c r="C713" s="100">
        <v>46160</v>
      </c>
      <c r="D713" t="s">
        <v>13</v>
      </c>
      <c r="E713" t="s">
        <v>50</v>
      </c>
      <c r="F713" t="s">
        <v>28</v>
      </c>
      <c r="G713">
        <v>3008</v>
      </c>
      <c r="H713">
        <v>61000</v>
      </c>
      <c r="I713">
        <v>183488000</v>
      </c>
    </row>
    <row r="714" spans="1:11" hidden="1" x14ac:dyDescent="0.25">
      <c r="A714" s="210" t="s">
        <v>1641</v>
      </c>
      <c r="B714">
        <v>9444</v>
      </c>
      <c r="C714" s="100">
        <v>46160</v>
      </c>
      <c r="D714" t="s">
        <v>13</v>
      </c>
      <c r="E714" t="s">
        <v>14</v>
      </c>
      <c r="F714" t="s">
        <v>134</v>
      </c>
      <c r="G714">
        <v>4742</v>
      </c>
      <c r="H714">
        <v>42000</v>
      </c>
      <c r="I714">
        <v>199164000</v>
      </c>
    </row>
    <row r="715" spans="1:11" hidden="1" x14ac:dyDescent="0.25">
      <c r="A715" s="210" t="s">
        <v>1641</v>
      </c>
      <c r="B715">
        <v>9444</v>
      </c>
      <c r="C715" s="100">
        <v>46160</v>
      </c>
      <c r="D715" t="s">
        <v>13</v>
      </c>
      <c r="E715" t="s">
        <v>265</v>
      </c>
      <c r="F715" t="s">
        <v>41</v>
      </c>
      <c r="G715">
        <v>1044</v>
      </c>
      <c r="H715">
        <v>69000</v>
      </c>
      <c r="I715">
        <v>72036000</v>
      </c>
      <c r="K715" t="s">
        <v>874</v>
      </c>
    </row>
    <row r="716" spans="1:11" hidden="1" x14ac:dyDescent="0.25">
      <c r="A716" s="210" t="s">
        <v>1582</v>
      </c>
      <c r="B716">
        <v>9443</v>
      </c>
      <c r="C716" s="100">
        <v>46158</v>
      </c>
      <c r="D716" t="s">
        <v>13</v>
      </c>
      <c r="E716" t="s">
        <v>103</v>
      </c>
      <c r="F716" t="s">
        <v>243</v>
      </c>
      <c r="G716">
        <v>540</v>
      </c>
      <c r="H716">
        <v>37500</v>
      </c>
      <c r="I716">
        <v>20250000</v>
      </c>
    </row>
    <row r="717" spans="1:11" hidden="1" x14ac:dyDescent="0.25">
      <c r="A717" s="210" t="s">
        <v>1582</v>
      </c>
      <c r="B717">
        <v>9443</v>
      </c>
      <c r="C717" s="100">
        <v>46158</v>
      </c>
      <c r="D717" t="s">
        <v>13</v>
      </c>
      <c r="E717" t="s">
        <v>17</v>
      </c>
      <c r="F717" t="s">
        <v>46</v>
      </c>
      <c r="G717">
        <v>1834</v>
      </c>
      <c r="H717">
        <v>66600</v>
      </c>
      <c r="I717">
        <v>122144400</v>
      </c>
      <c r="K717" t="s">
        <v>2192</v>
      </c>
    </row>
    <row r="718" spans="1:11" hidden="1" x14ac:dyDescent="0.25">
      <c r="A718" s="210" t="s">
        <v>1582</v>
      </c>
      <c r="B718">
        <v>9443</v>
      </c>
      <c r="C718" s="100">
        <v>46158</v>
      </c>
      <c r="D718" t="s">
        <v>13</v>
      </c>
      <c r="E718" t="s">
        <v>17</v>
      </c>
      <c r="F718" t="s">
        <v>41</v>
      </c>
      <c r="G718">
        <v>56</v>
      </c>
      <c r="H718">
        <v>42500</v>
      </c>
      <c r="I718">
        <v>2380000</v>
      </c>
    </row>
    <row r="719" spans="1:11" hidden="1" x14ac:dyDescent="0.25">
      <c r="A719" s="210" t="s">
        <v>1834</v>
      </c>
      <c r="B719">
        <v>9442</v>
      </c>
      <c r="C719" s="100">
        <v>46158</v>
      </c>
      <c r="D719" t="s">
        <v>13</v>
      </c>
      <c r="E719" t="s">
        <v>317</v>
      </c>
      <c r="F719" t="s">
        <v>2191</v>
      </c>
      <c r="G719">
        <v>802</v>
      </c>
      <c r="H719">
        <v>64500</v>
      </c>
      <c r="I719">
        <v>51729000</v>
      </c>
    </row>
    <row r="720" spans="1:11" hidden="1" x14ac:dyDescent="0.25">
      <c r="A720" s="210" t="s">
        <v>1479</v>
      </c>
      <c r="B720">
        <v>9441</v>
      </c>
      <c r="C720" s="100">
        <v>46158</v>
      </c>
      <c r="D720" t="s">
        <v>13</v>
      </c>
      <c r="E720" t="s">
        <v>50</v>
      </c>
      <c r="F720" t="s">
        <v>73</v>
      </c>
      <c r="G720">
        <v>3826</v>
      </c>
      <c r="H720">
        <v>61000</v>
      </c>
      <c r="I720">
        <v>233386000</v>
      </c>
    </row>
    <row r="721" spans="1:11" hidden="1" x14ac:dyDescent="0.25">
      <c r="A721" s="210" t="s">
        <v>1575</v>
      </c>
      <c r="B721">
        <v>9440</v>
      </c>
      <c r="C721" s="100">
        <v>46158</v>
      </c>
      <c r="D721" t="s">
        <v>13</v>
      </c>
      <c r="E721" t="s">
        <v>50</v>
      </c>
      <c r="F721" t="s">
        <v>1372</v>
      </c>
      <c r="G721">
        <v>1696</v>
      </c>
      <c r="H721">
        <v>60000</v>
      </c>
      <c r="I721">
        <v>101760000</v>
      </c>
    </row>
    <row r="722" spans="1:11" hidden="1" x14ac:dyDescent="0.25">
      <c r="A722" s="210" t="s">
        <v>1580</v>
      </c>
      <c r="B722">
        <v>9439</v>
      </c>
      <c r="C722" s="100">
        <v>46158</v>
      </c>
      <c r="D722" t="s">
        <v>13</v>
      </c>
      <c r="E722" t="s">
        <v>43</v>
      </c>
      <c r="F722" t="s">
        <v>134</v>
      </c>
      <c r="G722">
        <v>586</v>
      </c>
      <c r="H722">
        <v>60000</v>
      </c>
      <c r="I722">
        <v>35160000</v>
      </c>
    </row>
    <row r="723" spans="1:11" hidden="1" x14ac:dyDescent="0.25">
      <c r="A723" s="210" t="s">
        <v>1580</v>
      </c>
      <c r="B723">
        <v>9439</v>
      </c>
      <c r="C723" s="100">
        <v>46158</v>
      </c>
      <c r="D723" t="s">
        <v>13</v>
      </c>
      <c r="E723" t="s">
        <v>43</v>
      </c>
      <c r="F723" t="s">
        <v>148</v>
      </c>
      <c r="G723">
        <v>748</v>
      </c>
      <c r="H723">
        <v>60000</v>
      </c>
      <c r="I723">
        <v>44880000</v>
      </c>
    </row>
    <row r="724" spans="1:11" hidden="1" x14ac:dyDescent="0.25">
      <c r="A724" s="210" t="s">
        <v>1580</v>
      </c>
      <c r="B724">
        <v>9439</v>
      </c>
      <c r="C724" s="100">
        <v>46158</v>
      </c>
      <c r="D724" t="s">
        <v>13</v>
      </c>
      <c r="E724" t="s">
        <v>17</v>
      </c>
      <c r="F724" t="s">
        <v>134</v>
      </c>
      <c r="G724">
        <v>2214</v>
      </c>
      <c r="H724">
        <v>61000</v>
      </c>
      <c r="I724">
        <v>135054000</v>
      </c>
    </row>
    <row r="725" spans="1:11" hidden="1" x14ac:dyDescent="0.25">
      <c r="A725" s="210" t="s">
        <v>1496</v>
      </c>
      <c r="B725">
        <v>9438</v>
      </c>
      <c r="C725" s="100">
        <v>46158</v>
      </c>
      <c r="D725" t="s">
        <v>13</v>
      </c>
      <c r="E725" t="s">
        <v>1842</v>
      </c>
      <c r="F725" t="s">
        <v>2189</v>
      </c>
      <c r="G725">
        <v>914</v>
      </c>
      <c r="H725">
        <v>72500</v>
      </c>
      <c r="I725">
        <v>66265000</v>
      </c>
    </row>
    <row r="726" spans="1:11" hidden="1" x14ac:dyDescent="0.25">
      <c r="A726" s="210" t="s">
        <v>1496</v>
      </c>
      <c r="B726">
        <v>9438</v>
      </c>
      <c r="C726" s="100">
        <v>46158</v>
      </c>
      <c r="D726" t="s">
        <v>13</v>
      </c>
      <c r="E726" t="s">
        <v>1105</v>
      </c>
      <c r="F726" t="s">
        <v>2190</v>
      </c>
      <c r="G726">
        <v>338</v>
      </c>
      <c r="H726">
        <v>67000</v>
      </c>
      <c r="I726">
        <v>22646000</v>
      </c>
    </row>
    <row r="727" spans="1:11" hidden="1" x14ac:dyDescent="0.25">
      <c r="A727" s="210" t="s">
        <v>1675</v>
      </c>
      <c r="B727">
        <v>9437</v>
      </c>
      <c r="C727" s="100">
        <v>46158</v>
      </c>
      <c r="D727" t="s">
        <v>13</v>
      </c>
      <c r="E727" t="s">
        <v>17</v>
      </c>
      <c r="F727" t="s">
        <v>41</v>
      </c>
      <c r="G727">
        <v>1329</v>
      </c>
      <c r="H727">
        <v>62000</v>
      </c>
      <c r="I727">
        <v>82398000</v>
      </c>
    </row>
    <row r="728" spans="1:11" hidden="1" x14ac:dyDescent="0.25">
      <c r="A728" s="210" t="s">
        <v>1675</v>
      </c>
      <c r="B728">
        <v>9437</v>
      </c>
      <c r="C728" s="100">
        <v>46158</v>
      </c>
      <c r="D728" t="s">
        <v>13</v>
      </c>
      <c r="E728" t="s">
        <v>26</v>
      </c>
      <c r="F728" t="s">
        <v>146</v>
      </c>
      <c r="G728">
        <v>306</v>
      </c>
      <c r="H728">
        <v>32000</v>
      </c>
      <c r="I728">
        <v>9792000</v>
      </c>
    </row>
    <row r="729" spans="1:11" hidden="1" x14ac:dyDescent="0.25">
      <c r="A729" s="210" t="s">
        <v>1675</v>
      </c>
      <c r="B729">
        <v>9437</v>
      </c>
      <c r="C729" s="100">
        <v>46158</v>
      </c>
      <c r="D729" t="s">
        <v>13</v>
      </c>
      <c r="E729" t="s">
        <v>17</v>
      </c>
      <c r="F729" t="s">
        <v>62</v>
      </c>
      <c r="G729">
        <v>432</v>
      </c>
      <c r="H729">
        <v>62500</v>
      </c>
      <c r="I729">
        <v>27000000</v>
      </c>
    </row>
    <row r="730" spans="1:11" hidden="1" x14ac:dyDescent="0.25">
      <c r="A730" s="210" t="s">
        <v>2154</v>
      </c>
      <c r="B730">
        <v>9436</v>
      </c>
      <c r="C730" s="100">
        <v>46158</v>
      </c>
      <c r="D730" t="s">
        <v>13</v>
      </c>
      <c r="E730" t="s">
        <v>858</v>
      </c>
      <c r="F730" t="s">
        <v>1016</v>
      </c>
      <c r="G730">
        <v>2452</v>
      </c>
      <c r="H730">
        <v>42500</v>
      </c>
      <c r="I730">
        <v>104210000</v>
      </c>
    </row>
    <row r="731" spans="1:11" hidden="1" x14ac:dyDescent="0.25">
      <c r="A731" s="210" t="s">
        <v>2154</v>
      </c>
      <c r="B731">
        <v>9436</v>
      </c>
      <c r="C731" s="100">
        <v>46158</v>
      </c>
      <c r="D731" t="s">
        <v>13</v>
      </c>
      <c r="E731" t="s">
        <v>317</v>
      </c>
      <c r="F731" t="s">
        <v>2188</v>
      </c>
      <c r="G731">
        <v>168</v>
      </c>
      <c r="H731">
        <v>62000</v>
      </c>
      <c r="I731">
        <v>10416000</v>
      </c>
    </row>
    <row r="732" spans="1:11" hidden="1" x14ac:dyDescent="0.25">
      <c r="A732" s="210" t="s">
        <v>1524</v>
      </c>
      <c r="B732">
        <v>9435</v>
      </c>
      <c r="C732" s="100">
        <v>46158</v>
      </c>
      <c r="D732" t="s">
        <v>49</v>
      </c>
      <c r="E732" t="s">
        <v>17</v>
      </c>
      <c r="F732" t="s">
        <v>913</v>
      </c>
      <c r="G732">
        <v>3628</v>
      </c>
      <c r="I732">
        <v>0</v>
      </c>
      <c r="K732" t="s">
        <v>1885</v>
      </c>
    </row>
    <row r="733" spans="1:11" hidden="1" x14ac:dyDescent="0.25">
      <c r="A733" s="210" t="s">
        <v>1506</v>
      </c>
      <c r="B733">
        <v>9433</v>
      </c>
      <c r="C733" s="100">
        <v>46158</v>
      </c>
      <c r="D733" t="s">
        <v>13</v>
      </c>
      <c r="E733" t="s">
        <v>150</v>
      </c>
      <c r="F733" t="s">
        <v>1839</v>
      </c>
      <c r="G733">
        <v>2218</v>
      </c>
      <c r="H733">
        <v>38500</v>
      </c>
      <c r="I733">
        <v>85393000</v>
      </c>
    </row>
    <row r="734" spans="1:11" hidden="1" x14ac:dyDescent="0.25">
      <c r="A734" s="210" t="s">
        <v>1506</v>
      </c>
      <c r="B734">
        <v>9433</v>
      </c>
      <c r="C734" s="100">
        <v>46158</v>
      </c>
      <c r="D734" t="s">
        <v>13</v>
      </c>
      <c r="E734" t="s">
        <v>2187</v>
      </c>
      <c r="F734" t="s">
        <v>2186</v>
      </c>
      <c r="G734">
        <v>29.7</v>
      </c>
      <c r="H734">
        <v>50000</v>
      </c>
      <c r="I734">
        <v>1485000</v>
      </c>
    </row>
    <row r="735" spans="1:11" hidden="1" x14ac:dyDescent="0.25">
      <c r="A735" s="210" t="s">
        <v>1506</v>
      </c>
      <c r="B735">
        <v>9433</v>
      </c>
      <c r="C735" s="100">
        <v>46158</v>
      </c>
      <c r="D735" t="s">
        <v>13</v>
      </c>
      <c r="E735" t="s">
        <v>169</v>
      </c>
      <c r="F735" t="s">
        <v>41</v>
      </c>
      <c r="G735">
        <v>534</v>
      </c>
      <c r="H735">
        <v>39000</v>
      </c>
      <c r="I735">
        <v>20826000</v>
      </c>
    </row>
    <row r="736" spans="1:11" hidden="1" x14ac:dyDescent="0.25">
      <c r="A736" s="210" t="s">
        <v>1538</v>
      </c>
      <c r="B736">
        <v>9432</v>
      </c>
      <c r="C736" s="100">
        <v>46158</v>
      </c>
      <c r="D736" t="s">
        <v>13</v>
      </c>
      <c r="E736" t="s">
        <v>17</v>
      </c>
      <c r="F736" t="s">
        <v>230</v>
      </c>
      <c r="G736">
        <v>346</v>
      </c>
      <c r="H736">
        <v>71000</v>
      </c>
      <c r="I736">
        <v>24566000</v>
      </c>
    </row>
    <row r="737" spans="1:9" hidden="1" x14ac:dyDescent="0.25">
      <c r="A737" s="210" t="s">
        <v>1538</v>
      </c>
      <c r="B737">
        <v>9432</v>
      </c>
      <c r="C737" s="100">
        <v>46158</v>
      </c>
      <c r="D737" t="s">
        <v>13</v>
      </c>
      <c r="E737" t="s">
        <v>14</v>
      </c>
      <c r="F737" t="s">
        <v>46</v>
      </c>
      <c r="G737">
        <v>616</v>
      </c>
      <c r="H737">
        <v>47000</v>
      </c>
      <c r="I737">
        <v>28952000</v>
      </c>
    </row>
    <row r="738" spans="1:9" hidden="1" x14ac:dyDescent="0.25">
      <c r="A738" s="210" t="s">
        <v>1520</v>
      </c>
      <c r="B738">
        <v>9431</v>
      </c>
      <c r="C738" s="100">
        <v>46158</v>
      </c>
      <c r="D738" t="s">
        <v>13</v>
      </c>
      <c r="E738" t="s">
        <v>17</v>
      </c>
      <c r="F738" t="s">
        <v>1082</v>
      </c>
      <c r="G738">
        <v>632</v>
      </c>
      <c r="H738">
        <v>64500</v>
      </c>
      <c r="I738">
        <v>40764000</v>
      </c>
    </row>
    <row r="739" spans="1:9" hidden="1" x14ac:dyDescent="0.25">
      <c r="A739" s="210" t="s">
        <v>1520</v>
      </c>
      <c r="B739">
        <v>9431</v>
      </c>
      <c r="C739" s="100">
        <v>46158</v>
      </c>
      <c r="D739" t="s">
        <v>13</v>
      </c>
      <c r="E739" t="s">
        <v>17</v>
      </c>
      <c r="F739" t="s">
        <v>446</v>
      </c>
      <c r="G739">
        <v>517</v>
      </c>
      <c r="H739">
        <v>65000</v>
      </c>
      <c r="I739">
        <v>33605000</v>
      </c>
    </row>
    <row r="740" spans="1:9" hidden="1" x14ac:dyDescent="0.25">
      <c r="A740" s="210" t="s">
        <v>1520</v>
      </c>
      <c r="B740">
        <v>9431</v>
      </c>
      <c r="C740" s="100">
        <v>46158</v>
      </c>
      <c r="D740" t="s">
        <v>13</v>
      </c>
      <c r="E740" t="s">
        <v>17</v>
      </c>
      <c r="F740" t="s">
        <v>136</v>
      </c>
      <c r="G740">
        <v>711</v>
      </c>
      <c r="H740">
        <v>61500</v>
      </c>
      <c r="I740">
        <v>43726500</v>
      </c>
    </row>
    <row r="741" spans="1:9" hidden="1" x14ac:dyDescent="0.25">
      <c r="A741" s="210" t="s">
        <v>1520</v>
      </c>
      <c r="B741">
        <v>9431</v>
      </c>
      <c r="C741" s="100">
        <v>46158</v>
      </c>
      <c r="D741" t="s">
        <v>13</v>
      </c>
      <c r="E741" t="s">
        <v>43</v>
      </c>
      <c r="F741" t="s">
        <v>148</v>
      </c>
      <c r="G741">
        <v>622</v>
      </c>
      <c r="H741">
        <v>60000</v>
      </c>
      <c r="I741">
        <v>37320000</v>
      </c>
    </row>
    <row r="742" spans="1:9" hidden="1" x14ac:dyDescent="0.25">
      <c r="A742" s="210" t="s">
        <v>1579</v>
      </c>
      <c r="B742">
        <v>9430</v>
      </c>
      <c r="C742" s="100">
        <v>46158</v>
      </c>
      <c r="D742" t="s">
        <v>13</v>
      </c>
      <c r="E742" t="s">
        <v>50</v>
      </c>
      <c r="F742" t="s">
        <v>896</v>
      </c>
      <c r="G742">
        <v>638</v>
      </c>
      <c r="H742">
        <v>62000</v>
      </c>
      <c r="I742">
        <v>39556000</v>
      </c>
    </row>
    <row r="743" spans="1:9" hidden="1" x14ac:dyDescent="0.25">
      <c r="A743" s="210" t="s">
        <v>1579</v>
      </c>
      <c r="B743">
        <v>9430</v>
      </c>
      <c r="C743" s="100">
        <v>46158</v>
      </c>
      <c r="D743" t="s">
        <v>13</v>
      </c>
      <c r="E743" t="s">
        <v>103</v>
      </c>
      <c r="F743" t="s">
        <v>1372</v>
      </c>
      <c r="G743">
        <v>995.8</v>
      </c>
      <c r="H743">
        <v>38500</v>
      </c>
      <c r="I743">
        <v>38338300</v>
      </c>
    </row>
    <row r="744" spans="1:9" hidden="1" x14ac:dyDescent="0.25">
      <c r="A744" s="210" t="s">
        <v>1527</v>
      </c>
      <c r="B744">
        <v>9429</v>
      </c>
      <c r="C744" s="100">
        <v>46158</v>
      </c>
      <c r="D744" t="s">
        <v>13</v>
      </c>
      <c r="E744" t="s">
        <v>43</v>
      </c>
      <c r="F744" t="s">
        <v>444</v>
      </c>
      <c r="G744">
        <v>858</v>
      </c>
      <c r="H744">
        <v>56000</v>
      </c>
      <c r="I744">
        <v>48048000</v>
      </c>
    </row>
    <row r="745" spans="1:9" hidden="1" x14ac:dyDescent="0.25">
      <c r="A745" s="210" t="s">
        <v>1527</v>
      </c>
      <c r="B745">
        <v>9429</v>
      </c>
      <c r="C745" s="100">
        <v>46158</v>
      </c>
      <c r="D745" t="s">
        <v>13</v>
      </c>
      <c r="E745" t="s">
        <v>43</v>
      </c>
      <c r="F745" t="s">
        <v>148</v>
      </c>
      <c r="G745">
        <v>697</v>
      </c>
      <c r="H745">
        <v>60000</v>
      </c>
      <c r="I745">
        <v>41820000</v>
      </c>
    </row>
    <row r="746" spans="1:9" hidden="1" x14ac:dyDescent="0.25">
      <c r="A746" s="210" t="s">
        <v>1527</v>
      </c>
      <c r="B746">
        <v>9429</v>
      </c>
      <c r="C746" s="100">
        <v>46158</v>
      </c>
      <c r="D746" t="s">
        <v>13</v>
      </c>
      <c r="E746" t="s">
        <v>14</v>
      </c>
      <c r="F746" t="s">
        <v>134</v>
      </c>
      <c r="G746">
        <v>730</v>
      </c>
      <c r="H746">
        <v>41500</v>
      </c>
      <c r="I746">
        <v>30295000</v>
      </c>
    </row>
    <row r="747" spans="1:9" hidden="1" x14ac:dyDescent="0.25">
      <c r="A747" s="210" t="s">
        <v>1475</v>
      </c>
      <c r="B747">
        <v>9428</v>
      </c>
      <c r="C747" s="100">
        <v>46158</v>
      </c>
      <c r="D747" t="s">
        <v>13</v>
      </c>
      <c r="E747" t="s">
        <v>17</v>
      </c>
      <c r="F747" t="s">
        <v>46</v>
      </c>
      <c r="G747">
        <v>524</v>
      </c>
      <c r="H747">
        <v>62500</v>
      </c>
      <c r="I747">
        <v>32750000</v>
      </c>
    </row>
    <row r="748" spans="1:9" hidden="1" x14ac:dyDescent="0.25">
      <c r="A748" s="210" t="s">
        <v>1475</v>
      </c>
      <c r="B748">
        <v>9428</v>
      </c>
      <c r="C748" s="100">
        <v>46158</v>
      </c>
      <c r="D748" t="s">
        <v>13</v>
      </c>
      <c r="E748" t="s">
        <v>17</v>
      </c>
      <c r="F748" t="s">
        <v>640</v>
      </c>
      <c r="G748">
        <v>492</v>
      </c>
      <c r="H748">
        <v>62500</v>
      </c>
      <c r="I748">
        <v>30750000</v>
      </c>
    </row>
    <row r="749" spans="1:9" hidden="1" x14ac:dyDescent="0.25">
      <c r="A749" s="210" t="s">
        <v>1475</v>
      </c>
      <c r="B749">
        <v>9428</v>
      </c>
      <c r="C749" s="100">
        <v>46158</v>
      </c>
      <c r="D749" t="s">
        <v>13</v>
      </c>
      <c r="E749" t="s">
        <v>17</v>
      </c>
      <c r="F749" t="s">
        <v>38</v>
      </c>
      <c r="G749">
        <v>3038</v>
      </c>
      <c r="H749">
        <v>62500</v>
      </c>
      <c r="I749">
        <v>189875000</v>
      </c>
    </row>
    <row r="750" spans="1:9" hidden="1" x14ac:dyDescent="0.25">
      <c r="A750" s="210" t="s">
        <v>1475</v>
      </c>
      <c r="B750">
        <v>9428</v>
      </c>
      <c r="C750" s="100">
        <v>46158</v>
      </c>
      <c r="D750" t="s">
        <v>13</v>
      </c>
      <c r="E750" t="s">
        <v>14</v>
      </c>
      <c r="F750" t="s">
        <v>33</v>
      </c>
      <c r="G750">
        <v>1022</v>
      </c>
      <c r="H750">
        <v>45000</v>
      </c>
      <c r="I750">
        <v>45990000</v>
      </c>
    </row>
    <row r="751" spans="1:9" hidden="1" x14ac:dyDescent="0.25">
      <c r="A751" s="210" t="s">
        <v>1475</v>
      </c>
      <c r="B751">
        <v>9428</v>
      </c>
      <c r="C751" s="100">
        <v>46158</v>
      </c>
      <c r="D751" t="s">
        <v>13</v>
      </c>
      <c r="E751" t="s">
        <v>26</v>
      </c>
      <c r="F751" t="s">
        <v>38</v>
      </c>
      <c r="G751">
        <v>1942</v>
      </c>
      <c r="H751">
        <v>32500</v>
      </c>
      <c r="I751">
        <v>63115000</v>
      </c>
    </row>
    <row r="752" spans="1:9" hidden="1" x14ac:dyDescent="0.25">
      <c r="A752" s="210" t="s">
        <v>1475</v>
      </c>
      <c r="B752">
        <v>9428</v>
      </c>
      <c r="C752" s="100">
        <v>46158</v>
      </c>
      <c r="D752" t="s">
        <v>13</v>
      </c>
      <c r="E752" t="s">
        <v>17</v>
      </c>
      <c r="F752" t="s">
        <v>469</v>
      </c>
      <c r="G752">
        <v>66</v>
      </c>
      <c r="H752">
        <v>67000</v>
      </c>
      <c r="I752">
        <v>4422000</v>
      </c>
    </row>
    <row r="753" spans="1:11" hidden="1" x14ac:dyDescent="0.25">
      <c r="A753" s="210" t="s">
        <v>1627</v>
      </c>
      <c r="B753">
        <v>9427</v>
      </c>
      <c r="C753" s="100">
        <v>46158</v>
      </c>
      <c r="D753" t="s">
        <v>13</v>
      </c>
      <c r="E753" t="s">
        <v>32</v>
      </c>
      <c r="F753" t="s">
        <v>230</v>
      </c>
      <c r="G753">
        <v>562</v>
      </c>
      <c r="H753">
        <v>45000</v>
      </c>
      <c r="I753">
        <v>25290000</v>
      </c>
    </row>
    <row r="754" spans="1:11" hidden="1" x14ac:dyDescent="0.25">
      <c r="A754" s="210" t="s">
        <v>1524</v>
      </c>
      <c r="B754">
        <v>9426</v>
      </c>
      <c r="C754" s="100">
        <v>46158</v>
      </c>
      <c r="D754" t="s">
        <v>49</v>
      </c>
      <c r="E754" t="s">
        <v>17</v>
      </c>
      <c r="F754" t="s">
        <v>891</v>
      </c>
      <c r="G754">
        <v>8860</v>
      </c>
      <c r="I754">
        <v>0</v>
      </c>
      <c r="K754" t="s">
        <v>2185</v>
      </c>
    </row>
    <row r="755" spans="1:11" hidden="1" x14ac:dyDescent="0.25">
      <c r="A755" s="210" t="s">
        <v>1524</v>
      </c>
      <c r="B755">
        <v>9424</v>
      </c>
      <c r="C755" s="100">
        <v>46158</v>
      </c>
      <c r="D755" t="s">
        <v>49</v>
      </c>
      <c r="E755" t="s">
        <v>26</v>
      </c>
      <c r="F755" t="s">
        <v>2183</v>
      </c>
      <c r="G755">
        <v>9412</v>
      </c>
      <c r="I755">
        <v>0</v>
      </c>
      <c r="K755" t="s">
        <v>2184</v>
      </c>
    </row>
    <row r="756" spans="1:11" hidden="1" x14ac:dyDescent="0.25">
      <c r="A756" s="210" t="s">
        <v>1525</v>
      </c>
      <c r="B756">
        <v>9423</v>
      </c>
      <c r="C756" s="100">
        <v>46158</v>
      </c>
      <c r="D756" t="s">
        <v>13</v>
      </c>
      <c r="E756" t="s">
        <v>17</v>
      </c>
      <c r="F756" t="s">
        <v>842</v>
      </c>
      <c r="G756">
        <v>7439</v>
      </c>
      <c r="H756">
        <v>66000</v>
      </c>
      <c r="I756">
        <v>490974000</v>
      </c>
    </row>
    <row r="757" spans="1:11" hidden="1" x14ac:dyDescent="0.25">
      <c r="A757" s="210" t="s">
        <v>1525</v>
      </c>
      <c r="B757">
        <v>9423</v>
      </c>
      <c r="C757" s="100">
        <v>46158</v>
      </c>
      <c r="D757" t="s">
        <v>13</v>
      </c>
      <c r="E757" t="s">
        <v>17</v>
      </c>
      <c r="F757" t="s">
        <v>891</v>
      </c>
      <c r="G757">
        <v>4498</v>
      </c>
      <c r="H757">
        <v>66000</v>
      </c>
      <c r="I757">
        <v>296868000</v>
      </c>
    </row>
    <row r="758" spans="1:11" hidden="1" x14ac:dyDescent="0.25">
      <c r="A758" s="210" t="s">
        <v>1672</v>
      </c>
      <c r="B758">
        <v>9423</v>
      </c>
      <c r="C758" s="100">
        <v>46171</v>
      </c>
      <c r="D758" t="s">
        <v>692</v>
      </c>
      <c r="E758" t="s">
        <v>1325</v>
      </c>
      <c r="F758" t="s">
        <v>2519</v>
      </c>
      <c r="G758">
        <v>390</v>
      </c>
      <c r="H758">
        <v>-37500</v>
      </c>
      <c r="I758">
        <v>-14625000</v>
      </c>
    </row>
    <row r="759" spans="1:11" hidden="1" x14ac:dyDescent="0.25">
      <c r="A759" s="210" t="s">
        <v>1524</v>
      </c>
      <c r="B759">
        <v>9422</v>
      </c>
      <c r="C759" s="100">
        <v>46158</v>
      </c>
      <c r="D759" t="s">
        <v>49</v>
      </c>
      <c r="E759" t="s">
        <v>26</v>
      </c>
      <c r="F759" t="s">
        <v>78</v>
      </c>
      <c r="G759">
        <v>7326</v>
      </c>
      <c r="I759">
        <v>0</v>
      </c>
      <c r="K759" t="s">
        <v>2181</v>
      </c>
    </row>
    <row r="760" spans="1:11" hidden="1" x14ac:dyDescent="0.25">
      <c r="A760" s="210" t="s">
        <v>1524</v>
      </c>
      <c r="B760">
        <v>9422</v>
      </c>
      <c r="C760" s="100">
        <v>46158</v>
      </c>
      <c r="D760" t="s">
        <v>49</v>
      </c>
      <c r="E760" t="s">
        <v>270</v>
      </c>
      <c r="F760" t="s">
        <v>62</v>
      </c>
      <c r="G760">
        <v>1334</v>
      </c>
      <c r="I760">
        <v>0</v>
      </c>
      <c r="K760" t="s">
        <v>2182</v>
      </c>
    </row>
    <row r="761" spans="1:11" hidden="1" x14ac:dyDescent="0.25">
      <c r="A761" s="210" t="s">
        <v>1524</v>
      </c>
      <c r="B761">
        <v>9421</v>
      </c>
      <c r="C761" s="100">
        <v>46158</v>
      </c>
      <c r="D761" t="s">
        <v>49</v>
      </c>
      <c r="E761" t="s">
        <v>43</v>
      </c>
      <c r="F761" t="s">
        <v>444</v>
      </c>
      <c r="G761">
        <v>6840</v>
      </c>
      <c r="I761">
        <v>0</v>
      </c>
      <c r="K761" t="s">
        <v>2167</v>
      </c>
    </row>
    <row r="762" spans="1:11" hidden="1" x14ac:dyDescent="0.25">
      <c r="A762" s="210" t="s">
        <v>1524</v>
      </c>
      <c r="B762">
        <v>9421</v>
      </c>
      <c r="C762" s="100">
        <v>46158</v>
      </c>
      <c r="D762" t="s">
        <v>49</v>
      </c>
      <c r="E762" t="s">
        <v>43</v>
      </c>
      <c r="F762" t="s">
        <v>953</v>
      </c>
      <c r="G762">
        <v>669</v>
      </c>
      <c r="I762">
        <v>0</v>
      </c>
      <c r="K762" t="s">
        <v>2168</v>
      </c>
    </row>
    <row r="763" spans="1:11" hidden="1" x14ac:dyDescent="0.25">
      <c r="A763" s="210" t="s">
        <v>1568</v>
      </c>
      <c r="B763">
        <v>9420</v>
      </c>
      <c r="C763" s="100">
        <v>46159</v>
      </c>
      <c r="D763" t="s">
        <v>13</v>
      </c>
      <c r="E763" t="s">
        <v>17</v>
      </c>
      <c r="F763" t="s">
        <v>38</v>
      </c>
      <c r="G763">
        <v>2362</v>
      </c>
      <c r="H763">
        <v>62000</v>
      </c>
      <c r="I763">
        <v>146444000</v>
      </c>
    </row>
    <row r="764" spans="1:11" hidden="1" x14ac:dyDescent="0.25">
      <c r="A764" s="210" t="s">
        <v>1568</v>
      </c>
      <c r="B764">
        <v>9420</v>
      </c>
      <c r="C764" s="100">
        <v>46159</v>
      </c>
      <c r="D764" t="s">
        <v>13</v>
      </c>
      <c r="E764" t="s">
        <v>17</v>
      </c>
      <c r="F764" t="s">
        <v>46</v>
      </c>
      <c r="G764">
        <v>498</v>
      </c>
      <c r="H764">
        <v>62000</v>
      </c>
      <c r="I764">
        <v>30876000</v>
      </c>
    </row>
    <row r="765" spans="1:11" hidden="1" x14ac:dyDescent="0.25">
      <c r="A765" s="210" t="s">
        <v>1626</v>
      </c>
      <c r="B765">
        <v>9419</v>
      </c>
      <c r="C765" s="100">
        <v>46157</v>
      </c>
      <c r="D765" t="s">
        <v>13</v>
      </c>
      <c r="E765" t="s">
        <v>103</v>
      </c>
      <c r="F765" t="s">
        <v>343</v>
      </c>
      <c r="G765">
        <v>30</v>
      </c>
      <c r="H765">
        <v>38000</v>
      </c>
      <c r="I765">
        <v>1140000</v>
      </c>
    </row>
    <row r="766" spans="1:11" hidden="1" x14ac:dyDescent="0.25">
      <c r="A766" s="210" t="s">
        <v>1626</v>
      </c>
      <c r="B766">
        <v>9419</v>
      </c>
      <c r="C766" s="100">
        <v>46157</v>
      </c>
      <c r="D766" t="s">
        <v>13</v>
      </c>
      <c r="E766" t="s">
        <v>103</v>
      </c>
      <c r="F766" t="s">
        <v>53</v>
      </c>
      <c r="G766">
        <v>182</v>
      </c>
      <c r="H766">
        <v>38000</v>
      </c>
      <c r="I766">
        <v>6916000</v>
      </c>
    </row>
    <row r="767" spans="1:11" hidden="1" x14ac:dyDescent="0.25">
      <c r="A767" s="210" t="s">
        <v>1626</v>
      </c>
      <c r="B767">
        <v>9419</v>
      </c>
      <c r="C767" s="100">
        <v>46157</v>
      </c>
      <c r="D767" t="s">
        <v>13</v>
      </c>
      <c r="E767" t="s">
        <v>43</v>
      </c>
      <c r="F767" t="s">
        <v>62</v>
      </c>
      <c r="G767">
        <v>60</v>
      </c>
      <c r="H767">
        <v>65000</v>
      </c>
      <c r="I767">
        <v>3900000</v>
      </c>
    </row>
    <row r="768" spans="1:11" hidden="1" x14ac:dyDescent="0.25">
      <c r="A768" s="210" t="s">
        <v>1672</v>
      </c>
      <c r="B768">
        <v>9418</v>
      </c>
      <c r="C768" s="100">
        <v>46157</v>
      </c>
      <c r="D768" t="s">
        <v>49</v>
      </c>
      <c r="E768" t="s">
        <v>17</v>
      </c>
      <c r="F768" t="s">
        <v>134</v>
      </c>
      <c r="G768">
        <v>1230</v>
      </c>
      <c r="I768">
        <v>0</v>
      </c>
      <c r="K768" t="s">
        <v>2132</v>
      </c>
    </row>
    <row r="769" spans="1:11" hidden="1" x14ac:dyDescent="0.25">
      <c r="A769" s="210" t="s">
        <v>1562</v>
      </c>
      <c r="B769">
        <v>9417</v>
      </c>
      <c r="C769" s="100">
        <v>46157</v>
      </c>
      <c r="D769" t="s">
        <v>13</v>
      </c>
      <c r="E769" t="s">
        <v>265</v>
      </c>
      <c r="F769" t="s">
        <v>62</v>
      </c>
      <c r="G769">
        <v>396</v>
      </c>
      <c r="H769">
        <v>70500</v>
      </c>
      <c r="I769">
        <v>27918000</v>
      </c>
    </row>
    <row r="770" spans="1:11" hidden="1" x14ac:dyDescent="0.25">
      <c r="A770" s="210" t="s">
        <v>1562</v>
      </c>
      <c r="B770">
        <v>9417</v>
      </c>
      <c r="C770" s="100">
        <v>46157</v>
      </c>
      <c r="D770" t="s">
        <v>13</v>
      </c>
      <c r="E770" t="s">
        <v>169</v>
      </c>
      <c r="F770" t="s">
        <v>62</v>
      </c>
      <c r="G770">
        <v>1442</v>
      </c>
      <c r="H770">
        <v>40500</v>
      </c>
      <c r="I770">
        <v>58401000</v>
      </c>
    </row>
    <row r="771" spans="1:11" hidden="1" x14ac:dyDescent="0.25">
      <c r="A771" s="210" t="s">
        <v>1562</v>
      </c>
      <c r="B771">
        <v>9417</v>
      </c>
      <c r="C771" s="100">
        <v>46157</v>
      </c>
      <c r="D771" t="s">
        <v>13</v>
      </c>
      <c r="E771" t="s">
        <v>50</v>
      </c>
      <c r="F771" t="s">
        <v>2131</v>
      </c>
      <c r="G771">
        <v>96</v>
      </c>
      <c r="H771">
        <v>65000</v>
      </c>
      <c r="I771">
        <v>6240000</v>
      </c>
      <c r="K771" t="s">
        <v>2163</v>
      </c>
    </row>
    <row r="772" spans="1:11" hidden="1" x14ac:dyDescent="0.25">
      <c r="A772" s="210" t="s">
        <v>1490</v>
      </c>
      <c r="B772">
        <v>9416</v>
      </c>
      <c r="C772" s="100">
        <v>46157</v>
      </c>
      <c r="D772" t="s">
        <v>13</v>
      </c>
      <c r="E772" t="s">
        <v>17</v>
      </c>
      <c r="F772" t="s">
        <v>33</v>
      </c>
      <c r="G772">
        <v>1234</v>
      </c>
      <c r="H772">
        <v>62500</v>
      </c>
      <c r="I772">
        <v>77125000</v>
      </c>
    </row>
    <row r="773" spans="1:11" hidden="1" x14ac:dyDescent="0.25">
      <c r="A773" s="210" t="s">
        <v>1525</v>
      </c>
      <c r="B773">
        <v>9415</v>
      </c>
      <c r="C773" s="100">
        <v>46157</v>
      </c>
      <c r="D773" t="s">
        <v>13</v>
      </c>
      <c r="E773" t="s">
        <v>17</v>
      </c>
      <c r="F773" t="s">
        <v>891</v>
      </c>
      <c r="G773">
        <v>4606</v>
      </c>
      <c r="H773">
        <v>66000</v>
      </c>
      <c r="I773">
        <v>303996000</v>
      </c>
    </row>
    <row r="774" spans="1:11" hidden="1" x14ac:dyDescent="0.25">
      <c r="A774" s="210" t="s">
        <v>1668</v>
      </c>
      <c r="B774">
        <v>9414</v>
      </c>
      <c r="C774" s="100">
        <v>46157</v>
      </c>
      <c r="D774" t="s">
        <v>13</v>
      </c>
      <c r="E774" t="s">
        <v>50</v>
      </c>
      <c r="F774" t="s">
        <v>117</v>
      </c>
      <c r="G774">
        <v>721</v>
      </c>
      <c r="H774">
        <v>60000</v>
      </c>
      <c r="I774">
        <v>43260000</v>
      </c>
    </row>
    <row r="775" spans="1:11" hidden="1" x14ac:dyDescent="0.25">
      <c r="A775" s="210" t="s">
        <v>1668</v>
      </c>
      <c r="B775">
        <v>9414</v>
      </c>
      <c r="C775" s="100">
        <v>46157</v>
      </c>
      <c r="D775" t="s">
        <v>13</v>
      </c>
      <c r="E775" t="s">
        <v>50</v>
      </c>
      <c r="F775" t="s">
        <v>117</v>
      </c>
      <c r="G775">
        <v>50</v>
      </c>
      <c r="H775">
        <v>64000</v>
      </c>
      <c r="I775">
        <v>3200000</v>
      </c>
    </row>
    <row r="776" spans="1:11" hidden="1" x14ac:dyDescent="0.25">
      <c r="A776" s="210" t="s">
        <v>1476</v>
      </c>
      <c r="B776">
        <v>9413</v>
      </c>
      <c r="C776" s="100">
        <v>46157</v>
      </c>
      <c r="D776" t="s">
        <v>49</v>
      </c>
      <c r="E776" t="s">
        <v>50</v>
      </c>
      <c r="F776" t="s">
        <v>1106</v>
      </c>
      <c r="I776">
        <v>0</v>
      </c>
      <c r="K776" t="s">
        <v>64</v>
      </c>
    </row>
    <row r="777" spans="1:11" hidden="1" x14ac:dyDescent="0.25">
      <c r="A777" s="210" t="s">
        <v>1476</v>
      </c>
      <c r="B777">
        <v>9413</v>
      </c>
      <c r="C777" s="100">
        <v>46157</v>
      </c>
      <c r="D777" t="s">
        <v>49</v>
      </c>
      <c r="E777" t="s">
        <v>50</v>
      </c>
      <c r="F777" t="s">
        <v>28</v>
      </c>
      <c r="I777">
        <v>0</v>
      </c>
      <c r="K777" t="s">
        <v>64</v>
      </c>
    </row>
    <row r="778" spans="1:11" hidden="1" x14ac:dyDescent="0.25">
      <c r="A778" s="210" t="s">
        <v>1476</v>
      </c>
      <c r="B778">
        <v>9413</v>
      </c>
      <c r="C778" s="100">
        <v>46157</v>
      </c>
      <c r="D778" t="s">
        <v>49</v>
      </c>
      <c r="E778" t="s">
        <v>50</v>
      </c>
      <c r="F778" t="s">
        <v>2128</v>
      </c>
      <c r="I778">
        <v>0</v>
      </c>
      <c r="K778" t="s">
        <v>64</v>
      </c>
    </row>
    <row r="779" spans="1:11" hidden="1" x14ac:dyDescent="0.25">
      <c r="A779" s="210" t="s">
        <v>1489</v>
      </c>
      <c r="B779">
        <v>9412</v>
      </c>
      <c r="C779" s="100">
        <v>46157</v>
      </c>
      <c r="D779" t="s">
        <v>13</v>
      </c>
      <c r="E779" t="s">
        <v>135</v>
      </c>
      <c r="F779" t="s">
        <v>41</v>
      </c>
      <c r="G779">
        <v>416</v>
      </c>
      <c r="H779">
        <v>37000</v>
      </c>
      <c r="I779">
        <v>15392000</v>
      </c>
      <c r="K779" t="s">
        <v>42</v>
      </c>
    </row>
    <row r="780" spans="1:11" hidden="1" x14ac:dyDescent="0.25">
      <c r="A780" s="210" t="s">
        <v>1899</v>
      </c>
      <c r="B780">
        <v>9411</v>
      </c>
      <c r="C780" s="100">
        <v>46157</v>
      </c>
      <c r="D780" t="s">
        <v>13</v>
      </c>
      <c r="E780" t="s">
        <v>32</v>
      </c>
      <c r="F780" t="s">
        <v>230</v>
      </c>
      <c r="G780">
        <v>384</v>
      </c>
      <c r="H780">
        <v>45000</v>
      </c>
      <c r="I780">
        <v>17280000</v>
      </c>
    </row>
    <row r="781" spans="1:11" hidden="1" x14ac:dyDescent="0.25">
      <c r="A781" s="210" t="s">
        <v>1899</v>
      </c>
      <c r="B781">
        <v>9411</v>
      </c>
      <c r="C781" s="100">
        <v>46157</v>
      </c>
      <c r="D781" t="s">
        <v>13</v>
      </c>
      <c r="E781" t="s">
        <v>14</v>
      </c>
      <c r="F781" t="s">
        <v>40</v>
      </c>
      <c r="G781">
        <v>354</v>
      </c>
      <c r="H781">
        <v>47000</v>
      </c>
      <c r="I781">
        <v>16638000</v>
      </c>
    </row>
    <row r="782" spans="1:11" hidden="1" x14ac:dyDescent="0.25">
      <c r="A782" s="210" t="s">
        <v>1899</v>
      </c>
      <c r="B782">
        <v>9411</v>
      </c>
      <c r="C782" s="100">
        <v>46157</v>
      </c>
      <c r="D782" t="s">
        <v>13</v>
      </c>
      <c r="E782" t="s">
        <v>14</v>
      </c>
      <c r="F782" t="s">
        <v>78</v>
      </c>
      <c r="G782">
        <v>120</v>
      </c>
      <c r="H782">
        <v>45000</v>
      </c>
      <c r="I782">
        <v>5400000</v>
      </c>
    </row>
    <row r="783" spans="1:11" hidden="1" x14ac:dyDescent="0.25">
      <c r="A783" s="210" t="s">
        <v>1596</v>
      </c>
      <c r="B783">
        <v>9409</v>
      </c>
      <c r="C783" s="100">
        <v>46157</v>
      </c>
      <c r="D783" t="s">
        <v>49</v>
      </c>
      <c r="E783" t="s">
        <v>26</v>
      </c>
      <c r="F783" t="s">
        <v>446</v>
      </c>
      <c r="G783">
        <v>965</v>
      </c>
      <c r="I783">
        <v>0</v>
      </c>
      <c r="K783" t="s">
        <v>2111</v>
      </c>
    </row>
    <row r="784" spans="1:11" hidden="1" x14ac:dyDescent="0.25">
      <c r="A784" s="210" t="s">
        <v>1596</v>
      </c>
      <c r="B784">
        <v>9409</v>
      </c>
      <c r="C784" s="100">
        <v>46157</v>
      </c>
      <c r="D784" t="s">
        <v>49</v>
      </c>
      <c r="E784" t="s">
        <v>26</v>
      </c>
      <c r="F784" t="s">
        <v>2126</v>
      </c>
      <c r="G784">
        <v>1196</v>
      </c>
      <c r="I784">
        <v>0</v>
      </c>
      <c r="K784" t="s">
        <v>2127</v>
      </c>
    </row>
    <row r="785" spans="1:11" hidden="1" x14ac:dyDescent="0.25">
      <c r="A785" s="210" t="s">
        <v>1623</v>
      </c>
      <c r="B785">
        <v>9408</v>
      </c>
      <c r="C785" s="100">
        <v>46157</v>
      </c>
      <c r="D785" t="s">
        <v>13</v>
      </c>
      <c r="E785" t="s">
        <v>43</v>
      </c>
      <c r="F785" t="s">
        <v>148</v>
      </c>
      <c r="G785">
        <v>5206</v>
      </c>
      <c r="H785">
        <v>63500</v>
      </c>
      <c r="I785">
        <v>330581000</v>
      </c>
    </row>
    <row r="786" spans="1:11" hidden="1" x14ac:dyDescent="0.25">
      <c r="A786" s="210" t="s">
        <v>1664</v>
      </c>
      <c r="B786">
        <v>9407</v>
      </c>
      <c r="C786" s="100">
        <v>46157</v>
      </c>
      <c r="D786" t="s">
        <v>13</v>
      </c>
      <c r="E786" t="s">
        <v>17</v>
      </c>
      <c r="F786" t="s">
        <v>41</v>
      </c>
      <c r="G786">
        <v>867</v>
      </c>
      <c r="H786">
        <v>62500</v>
      </c>
      <c r="I786">
        <v>54187500</v>
      </c>
    </row>
    <row r="787" spans="1:11" hidden="1" x14ac:dyDescent="0.25">
      <c r="A787" s="210" t="s">
        <v>1664</v>
      </c>
      <c r="B787">
        <v>9407</v>
      </c>
      <c r="C787" s="100">
        <v>46157</v>
      </c>
      <c r="D787" t="s">
        <v>13</v>
      </c>
      <c r="E787" t="s">
        <v>17</v>
      </c>
      <c r="F787" t="s">
        <v>78</v>
      </c>
      <c r="G787">
        <v>474</v>
      </c>
      <c r="H787">
        <v>68500</v>
      </c>
      <c r="I787">
        <v>32469000</v>
      </c>
    </row>
    <row r="788" spans="1:11" hidden="1" x14ac:dyDescent="0.25">
      <c r="A788" s="210" t="s">
        <v>1538</v>
      </c>
      <c r="B788">
        <v>9406</v>
      </c>
      <c r="C788" s="100">
        <v>46157</v>
      </c>
      <c r="D788" t="s">
        <v>13</v>
      </c>
      <c r="E788" t="s">
        <v>169</v>
      </c>
      <c r="F788" t="s">
        <v>41</v>
      </c>
      <c r="G788">
        <v>524</v>
      </c>
      <c r="H788">
        <v>38000</v>
      </c>
      <c r="I788">
        <v>19912000</v>
      </c>
    </row>
    <row r="789" spans="1:11" hidden="1" x14ac:dyDescent="0.25">
      <c r="A789" s="210" t="s">
        <v>1538</v>
      </c>
      <c r="B789">
        <v>9406</v>
      </c>
      <c r="C789" s="100">
        <v>46157</v>
      </c>
      <c r="D789" t="s">
        <v>13</v>
      </c>
      <c r="E789" t="s">
        <v>14</v>
      </c>
      <c r="F789" t="s">
        <v>40</v>
      </c>
      <c r="G789">
        <v>80</v>
      </c>
      <c r="H789">
        <v>47000</v>
      </c>
      <c r="I789">
        <v>3760000</v>
      </c>
    </row>
    <row r="790" spans="1:11" hidden="1" x14ac:dyDescent="0.25">
      <c r="A790" s="210" t="s">
        <v>1491</v>
      </c>
      <c r="B790">
        <v>9405</v>
      </c>
      <c r="C790" s="100">
        <v>46157</v>
      </c>
      <c r="D790" t="s">
        <v>13</v>
      </c>
      <c r="E790" t="s">
        <v>43</v>
      </c>
      <c r="F790" t="s">
        <v>243</v>
      </c>
      <c r="G790">
        <v>1068</v>
      </c>
      <c r="H790">
        <v>62000</v>
      </c>
      <c r="I790">
        <v>66216000</v>
      </c>
    </row>
    <row r="791" spans="1:11" hidden="1" x14ac:dyDescent="0.25">
      <c r="A791" s="210" t="s">
        <v>1491</v>
      </c>
      <c r="B791">
        <v>9405</v>
      </c>
      <c r="C791" s="100">
        <v>46157</v>
      </c>
      <c r="D791" t="s">
        <v>13</v>
      </c>
      <c r="E791" t="s">
        <v>17</v>
      </c>
      <c r="F791" t="s">
        <v>441</v>
      </c>
      <c r="G791">
        <v>2714</v>
      </c>
      <c r="H791">
        <v>62000</v>
      </c>
      <c r="I791">
        <v>168268000</v>
      </c>
    </row>
    <row r="792" spans="1:11" hidden="1" x14ac:dyDescent="0.25">
      <c r="A792" s="210" t="s">
        <v>1491</v>
      </c>
      <c r="B792">
        <v>9405</v>
      </c>
      <c r="C792" s="100">
        <v>46157</v>
      </c>
      <c r="D792" t="s">
        <v>13</v>
      </c>
      <c r="E792" t="s">
        <v>43</v>
      </c>
      <c r="F792" t="s">
        <v>2124</v>
      </c>
      <c r="G792">
        <v>1322</v>
      </c>
      <c r="H792">
        <v>65000</v>
      </c>
      <c r="I792">
        <v>85930000</v>
      </c>
    </row>
    <row r="793" spans="1:11" hidden="1" x14ac:dyDescent="0.25">
      <c r="A793" s="210" t="s">
        <v>1491</v>
      </c>
      <c r="B793">
        <v>9405</v>
      </c>
      <c r="C793" s="100">
        <v>46157</v>
      </c>
      <c r="D793" t="s">
        <v>13</v>
      </c>
      <c r="E793" t="s">
        <v>43</v>
      </c>
      <c r="F793" t="s">
        <v>2125</v>
      </c>
      <c r="G793">
        <v>168</v>
      </c>
      <c r="H793">
        <v>65000</v>
      </c>
      <c r="I793">
        <v>10920000</v>
      </c>
      <c r="K793" t="s">
        <v>2163</v>
      </c>
    </row>
    <row r="794" spans="1:11" hidden="1" x14ac:dyDescent="0.25">
      <c r="A794" s="210" t="s">
        <v>1688</v>
      </c>
      <c r="B794">
        <v>9404</v>
      </c>
      <c r="C794" s="100">
        <v>46157</v>
      </c>
      <c r="D794" t="s">
        <v>13</v>
      </c>
      <c r="E794" t="s">
        <v>150</v>
      </c>
      <c r="F794" t="s">
        <v>110</v>
      </c>
      <c r="G794">
        <v>1294</v>
      </c>
      <c r="H794">
        <v>35500</v>
      </c>
      <c r="I794">
        <v>45937000</v>
      </c>
    </row>
    <row r="795" spans="1:11" hidden="1" x14ac:dyDescent="0.25">
      <c r="A795" s="210" t="s">
        <v>1499</v>
      </c>
      <c r="B795">
        <v>9403</v>
      </c>
      <c r="C795" s="100">
        <v>46157</v>
      </c>
      <c r="D795" t="s">
        <v>13</v>
      </c>
      <c r="E795" t="s">
        <v>17</v>
      </c>
      <c r="F795" t="s">
        <v>41</v>
      </c>
      <c r="G795">
        <v>310</v>
      </c>
      <c r="H795">
        <v>66000</v>
      </c>
      <c r="I795">
        <v>20460000</v>
      </c>
    </row>
    <row r="796" spans="1:11" hidden="1" x14ac:dyDescent="0.25">
      <c r="A796" s="210" t="s">
        <v>1727</v>
      </c>
      <c r="B796">
        <v>9402</v>
      </c>
      <c r="C796" s="100">
        <v>46157</v>
      </c>
      <c r="D796" t="s">
        <v>13</v>
      </c>
      <c r="E796" t="s">
        <v>68</v>
      </c>
      <c r="F796" t="s">
        <v>2123</v>
      </c>
      <c r="G796">
        <v>3046</v>
      </c>
      <c r="H796">
        <v>43000</v>
      </c>
      <c r="I796">
        <v>130978000</v>
      </c>
    </row>
    <row r="797" spans="1:11" hidden="1" x14ac:dyDescent="0.25">
      <c r="A797" s="210" t="s">
        <v>1489</v>
      </c>
      <c r="B797">
        <v>9401</v>
      </c>
      <c r="C797" s="100">
        <v>46157</v>
      </c>
      <c r="D797" t="s">
        <v>13</v>
      </c>
      <c r="E797" t="s">
        <v>103</v>
      </c>
      <c r="F797" t="s">
        <v>2122</v>
      </c>
      <c r="G797">
        <v>122</v>
      </c>
      <c r="H797">
        <v>37000</v>
      </c>
      <c r="I797">
        <v>4514000</v>
      </c>
      <c r="K797" t="s">
        <v>42</v>
      </c>
    </row>
    <row r="798" spans="1:11" hidden="1" x14ac:dyDescent="0.25">
      <c r="A798" s="210" t="s">
        <v>1572</v>
      </c>
      <c r="B798">
        <v>9400</v>
      </c>
      <c r="C798" s="100">
        <v>46157</v>
      </c>
      <c r="D798" t="s">
        <v>13</v>
      </c>
      <c r="E798" t="s">
        <v>14</v>
      </c>
      <c r="F798" t="s">
        <v>62</v>
      </c>
      <c r="G798">
        <v>1632</v>
      </c>
      <c r="H798">
        <v>42500</v>
      </c>
      <c r="I798">
        <v>69360000</v>
      </c>
    </row>
    <row r="799" spans="1:11" hidden="1" x14ac:dyDescent="0.25">
      <c r="A799" s="210" t="s">
        <v>1477</v>
      </c>
      <c r="B799">
        <v>9399</v>
      </c>
      <c r="C799" s="100">
        <v>46157</v>
      </c>
      <c r="D799" t="s">
        <v>13</v>
      </c>
      <c r="E799" t="s">
        <v>17</v>
      </c>
      <c r="F799" t="s">
        <v>46</v>
      </c>
      <c r="G799">
        <v>814</v>
      </c>
      <c r="H799">
        <v>56000</v>
      </c>
      <c r="I799">
        <v>45584000</v>
      </c>
      <c r="K799" t="s">
        <v>42</v>
      </c>
    </row>
    <row r="800" spans="1:11" hidden="1" x14ac:dyDescent="0.25">
      <c r="A800" s="210" t="s">
        <v>1567</v>
      </c>
      <c r="B800">
        <v>9398</v>
      </c>
      <c r="C800" s="100">
        <v>46157</v>
      </c>
      <c r="D800" t="s">
        <v>13</v>
      </c>
      <c r="E800" t="s">
        <v>17</v>
      </c>
      <c r="F800" t="s">
        <v>2121</v>
      </c>
      <c r="G800">
        <v>167</v>
      </c>
      <c r="H800">
        <v>62000</v>
      </c>
      <c r="I800">
        <v>10354000</v>
      </c>
    </row>
    <row r="801" spans="1:11" hidden="1" x14ac:dyDescent="0.25">
      <c r="A801" s="210" t="s">
        <v>1567</v>
      </c>
      <c r="B801">
        <v>9398</v>
      </c>
      <c r="C801" s="100">
        <v>46157</v>
      </c>
      <c r="D801" t="s">
        <v>13</v>
      </c>
      <c r="E801" t="s">
        <v>17</v>
      </c>
      <c r="F801" t="s">
        <v>953</v>
      </c>
      <c r="G801">
        <v>1124</v>
      </c>
      <c r="H801">
        <v>60500</v>
      </c>
      <c r="I801">
        <v>68002000</v>
      </c>
    </row>
    <row r="802" spans="1:11" hidden="1" x14ac:dyDescent="0.25">
      <c r="A802" s="210" t="s">
        <v>1541</v>
      </c>
      <c r="B802">
        <v>9397</v>
      </c>
      <c r="C802" s="100">
        <v>46157</v>
      </c>
      <c r="D802" t="s">
        <v>13</v>
      </c>
      <c r="E802" t="s">
        <v>17</v>
      </c>
      <c r="F802" t="s">
        <v>484</v>
      </c>
      <c r="G802">
        <v>2610</v>
      </c>
      <c r="H802">
        <v>67000</v>
      </c>
      <c r="I802">
        <v>174870000</v>
      </c>
    </row>
    <row r="803" spans="1:11" hidden="1" x14ac:dyDescent="0.25">
      <c r="A803" s="210" t="s">
        <v>1524</v>
      </c>
      <c r="B803">
        <v>9395</v>
      </c>
      <c r="C803" s="100">
        <v>46157</v>
      </c>
      <c r="D803" t="s">
        <v>49</v>
      </c>
      <c r="E803" t="s">
        <v>841</v>
      </c>
      <c r="F803" t="s">
        <v>2118</v>
      </c>
      <c r="G803">
        <v>1514</v>
      </c>
      <c r="I803">
        <v>0</v>
      </c>
      <c r="K803" t="s">
        <v>2119</v>
      </c>
    </row>
    <row r="804" spans="1:11" hidden="1" x14ac:dyDescent="0.25">
      <c r="A804" s="210" t="s">
        <v>1524</v>
      </c>
      <c r="B804">
        <v>9395</v>
      </c>
      <c r="C804" s="100">
        <v>46157</v>
      </c>
      <c r="D804" t="s">
        <v>49</v>
      </c>
      <c r="E804" t="s">
        <v>14</v>
      </c>
      <c r="F804" t="s">
        <v>40</v>
      </c>
      <c r="G804">
        <v>5170</v>
      </c>
      <c r="I804">
        <v>0</v>
      </c>
      <c r="K804" t="s">
        <v>2120</v>
      </c>
    </row>
    <row r="805" spans="1:11" hidden="1" x14ac:dyDescent="0.25">
      <c r="A805" s="210" t="s">
        <v>1524</v>
      </c>
      <c r="B805">
        <v>9394</v>
      </c>
      <c r="C805" s="100">
        <v>46157</v>
      </c>
      <c r="D805" t="s">
        <v>49</v>
      </c>
      <c r="E805" t="s">
        <v>17</v>
      </c>
      <c r="F805" t="s">
        <v>891</v>
      </c>
      <c r="G805">
        <v>3750</v>
      </c>
      <c r="I805">
        <v>0</v>
      </c>
      <c r="K805" t="s">
        <v>2117</v>
      </c>
    </row>
    <row r="806" spans="1:11" hidden="1" x14ac:dyDescent="0.25">
      <c r="A806" s="210" t="s">
        <v>1623</v>
      </c>
      <c r="B806">
        <v>9393</v>
      </c>
      <c r="C806" s="100">
        <v>46157</v>
      </c>
      <c r="D806" t="s">
        <v>13</v>
      </c>
      <c r="E806" t="s">
        <v>43</v>
      </c>
      <c r="F806" t="s">
        <v>148</v>
      </c>
      <c r="G806">
        <v>5311</v>
      </c>
      <c r="H806">
        <v>63500</v>
      </c>
      <c r="I806">
        <v>337248500</v>
      </c>
    </row>
    <row r="807" spans="1:11" hidden="1" x14ac:dyDescent="0.25">
      <c r="A807" s="210" t="s">
        <v>1675</v>
      </c>
      <c r="B807">
        <v>9392</v>
      </c>
      <c r="C807" s="100">
        <v>46157</v>
      </c>
      <c r="D807" t="s">
        <v>13</v>
      </c>
      <c r="E807" t="s">
        <v>17</v>
      </c>
      <c r="F807" t="s">
        <v>842</v>
      </c>
      <c r="G807">
        <v>3748</v>
      </c>
      <c r="H807">
        <v>66000</v>
      </c>
      <c r="I807">
        <v>247368000</v>
      </c>
    </row>
    <row r="808" spans="1:11" hidden="1" x14ac:dyDescent="0.25">
      <c r="A808" s="210" t="s">
        <v>1675</v>
      </c>
      <c r="B808">
        <v>9392</v>
      </c>
      <c r="C808" s="100">
        <v>46157</v>
      </c>
      <c r="D808" t="s">
        <v>13</v>
      </c>
      <c r="E808" t="s">
        <v>17</v>
      </c>
      <c r="F808" t="s">
        <v>891</v>
      </c>
      <c r="G808">
        <v>4282</v>
      </c>
      <c r="H808">
        <v>66000</v>
      </c>
      <c r="I808">
        <v>282612000</v>
      </c>
    </row>
    <row r="809" spans="1:11" hidden="1" x14ac:dyDescent="0.25">
      <c r="A809" s="210" t="s">
        <v>2154</v>
      </c>
      <c r="B809">
        <v>9391</v>
      </c>
      <c r="C809" s="100">
        <v>46157</v>
      </c>
      <c r="D809" t="s">
        <v>13</v>
      </c>
      <c r="E809" t="s">
        <v>50</v>
      </c>
      <c r="F809" t="s">
        <v>2116</v>
      </c>
      <c r="G809">
        <v>974</v>
      </c>
      <c r="H809">
        <v>60000</v>
      </c>
      <c r="I809">
        <v>58440000</v>
      </c>
    </row>
    <row r="810" spans="1:11" hidden="1" x14ac:dyDescent="0.25">
      <c r="A810" s="210" t="s">
        <v>1579</v>
      </c>
      <c r="B810">
        <v>9389</v>
      </c>
      <c r="C810" s="100">
        <v>46157</v>
      </c>
      <c r="D810" t="s">
        <v>13</v>
      </c>
      <c r="E810" t="s">
        <v>143</v>
      </c>
      <c r="F810" t="s">
        <v>2114</v>
      </c>
      <c r="G810">
        <v>1019</v>
      </c>
      <c r="H810">
        <v>65000</v>
      </c>
      <c r="I810">
        <v>66235000</v>
      </c>
    </row>
    <row r="811" spans="1:11" hidden="1" x14ac:dyDescent="0.25">
      <c r="A811" s="210" t="s">
        <v>1579</v>
      </c>
      <c r="B811">
        <v>9389</v>
      </c>
      <c r="C811" s="100">
        <v>46157</v>
      </c>
      <c r="D811" t="s">
        <v>13</v>
      </c>
      <c r="E811" t="s">
        <v>143</v>
      </c>
      <c r="F811" t="s">
        <v>446</v>
      </c>
      <c r="G811">
        <v>937</v>
      </c>
      <c r="H811">
        <v>66000</v>
      </c>
      <c r="I811">
        <v>61842000</v>
      </c>
    </row>
    <row r="812" spans="1:11" hidden="1" x14ac:dyDescent="0.25">
      <c r="A812" s="210" t="s">
        <v>1579</v>
      </c>
      <c r="B812">
        <v>9389</v>
      </c>
      <c r="C812" s="100">
        <v>46157</v>
      </c>
      <c r="D812" t="s">
        <v>13</v>
      </c>
      <c r="E812" t="s">
        <v>143</v>
      </c>
      <c r="F812" t="s">
        <v>248</v>
      </c>
      <c r="G812">
        <v>4168</v>
      </c>
      <c r="H812">
        <v>61000</v>
      </c>
      <c r="I812">
        <v>254248000</v>
      </c>
    </row>
    <row r="813" spans="1:11" hidden="1" x14ac:dyDescent="0.25">
      <c r="A813" s="210" t="s">
        <v>2113</v>
      </c>
      <c r="B813">
        <v>9388</v>
      </c>
      <c r="C813" s="100">
        <v>46157</v>
      </c>
      <c r="D813" t="s">
        <v>13</v>
      </c>
      <c r="E813" t="s">
        <v>17</v>
      </c>
      <c r="F813" t="s">
        <v>78</v>
      </c>
      <c r="G813">
        <v>556</v>
      </c>
      <c r="H813">
        <v>63500</v>
      </c>
      <c r="I813">
        <v>35306000</v>
      </c>
    </row>
    <row r="814" spans="1:11" hidden="1" x14ac:dyDescent="0.25">
      <c r="A814" s="210" t="s">
        <v>2113</v>
      </c>
      <c r="B814">
        <v>9388</v>
      </c>
      <c r="C814" s="100">
        <v>46157</v>
      </c>
      <c r="D814" t="s">
        <v>13</v>
      </c>
      <c r="E814" t="s">
        <v>17</v>
      </c>
      <c r="F814" t="s">
        <v>62</v>
      </c>
      <c r="G814">
        <v>666</v>
      </c>
      <c r="H814">
        <v>63000</v>
      </c>
      <c r="I814">
        <v>41958000</v>
      </c>
    </row>
    <row r="815" spans="1:11" hidden="1" x14ac:dyDescent="0.25">
      <c r="A815" s="210" t="s">
        <v>2113</v>
      </c>
      <c r="B815">
        <v>9388</v>
      </c>
      <c r="C815" s="100">
        <v>46157</v>
      </c>
      <c r="D815" t="s">
        <v>13</v>
      </c>
      <c r="E815" t="s">
        <v>17</v>
      </c>
      <c r="F815" t="s">
        <v>41</v>
      </c>
      <c r="G815">
        <v>518</v>
      </c>
      <c r="H815">
        <v>62000</v>
      </c>
      <c r="I815">
        <v>32116000</v>
      </c>
    </row>
    <row r="816" spans="1:11" hidden="1" x14ac:dyDescent="0.25">
      <c r="A816" s="210" t="s">
        <v>2113</v>
      </c>
      <c r="B816">
        <v>9388</v>
      </c>
      <c r="C816" s="100">
        <v>46157</v>
      </c>
      <c r="D816" t="s">
        <v>13</v>
      </c>
      <c r="E816" t="s">
        <v>17</v>
      </c>
      <c r="F816" t="s">
        <v>136</v>
      </c>
      <c r="G816">
        <v>565</v>
      </c>
      <c r="H816">
        <v>61500</v>
      </c>
      <c r="I816">
        <v>34747500</v>
      </c>
    </row>
    <row r="817" spans="1:11" hidden="1" x14ac:dyDescent="0.25">
      <c r="A817" s="210" t="s">
        <v>2113</v>
      </c>
      <c r="B817">
        <v>9388</v>
      </c>
      <c r="C817" s="100">
        <v>46157</v>
      </c>
      <c r="D817" t="s">
        <v>13</v>
      </c>
      <c r="E817" t="s">
        <v>17</v>
      </c>
      <c r="F817" t="s">
        <v>146</v>
      </c>
      <c r="G817">
        <v>544</v>
      </c>
      <c r="H817">
        <v>61500</v>
      </c>
      <c r="I817">
        <v>33456000</v>
      </c>
      <c r="J817">
        <v>500</v>
      </c>
    </row>
    <row r="818" spans="1:11" hidden="1" x14ac:dyDescent="0.25">
      <c r="A818" s="210" t="s">
        <v>1622</v>
      </c>
      <c r="B818">
        <v>9387</v>
      </c>
      <c r="C818" s="100">
        <v>46156</v>
      </c>
      <c r="D818" t="s">
        <v>13</v>
      </c>
      <c r="E818" t="s">
        <v>265</v>
      </c>
      <c r="F818" t="s">
        <v>62</v>
      </c>
      <c r="G818">
        <v>616</v>
      </c>
      <c r="H818">
        <v>69500</v>
      </c>
      <c r="I818">
        <v>42812000</v>
      </c>
    </row>
    <row r="819" spans="1:11" hidden="1" x14ac:dyDescent="0.25">
      <c r="A819" s="210" t="s">
        <v>2107</v>
      </c>
      <c r="B819">
        <v>9386</v>
      </c>
      <c r="C819" s="100">
        <v>46156</v>
      </c>
      <c r="D819" t="s">
        <v>13</v>
      </c>
      <c r="E819" t="s">
        <v>17</v>
      </c>
      <c r="F819" t="s">
        <v>2112</v>
      </c>
      <c r="G819">
        <v>4260</v>
      </c>
      <c r="H819">
        <v>55000</v>
      </c>
      <c r="I819">
        <v>234300000</v>
      </c>
      <c r="K819" t="s">
        <v>42</v>
      </c>
    </row>
    <row r="820" spans="1:11" hidden="1" x14ac:dyDescent="0.25">
      <c r="A820" s="210" t="s">
        <v>1596</v>
      </c>
      <c r="B820">
        <v>9385</v>
      </c>
      <c r="C820" s="100">
        <v>46156</v>
      </c>
      <c r="D820" t="s">
        <v>49</v>
      </c>
      <c r="E820" t="s">
        <v>26</v>
      </c>
      <c r="F820" t="s">
        <v>446</v>
      </c>
      <c r="G820">
        <v>3373</v>
      </c>
      <c r="I820">
        <v>0</v>
      </c>
      <c r="K820" t="s">
        <v>2111</v>
      </c>
    </row>
    <row r="821" spans="1:11" hidden="1" x14ac:dyDescent="0.25">
      <c r="A821" s="210" t="s">
        <v>1593</v>
      </c>
      <c r="B821">
        <v>9382</v>
      </c>
      <c r="C821" s="100">
        <v>46156</v>
      </c>
      <c r="D821" t="s">
        <v>13</v>
      </c>
      <c r="E821" t="s">
        <v>265</v>
      </c>
      <c r="F821" t="s">
        <v>41</v>
      </c>
      <c r="G821">
        <v>1010</v>
      </c>
      <c r="H821">
        <v>68500</v>
      </c>
      <c r="I821">
        <v>69185000</v>
      </c>
    </row>
    <row r="822" spans="1:11" hidden="1" x14ac:dyDescent="0.25">
      <c r="A822" s="210" t="s">
        <v>1593</v>
      </c>
      <c r="B822">
        <v>9382</v>
      </c>
      <c r="C822" s="100">
        <v>46156</v>
      </c>
      <c r="D822" t="s">
        <v>13</v>
      </c>
      <c r="E822" t="s">
        <v>265</v>
      </c>
      <c r="F822" t="s">
        <v>62</v>
      </c>
      <c r="G822">
        <v>964</v>
      </c>
      <c r="H822">
        <v>69500</v>
      </c>
      <c r="I822">
        <v>66998000</v>
      </c>
    </row>
    <row r="823" spans="1:11" hidden="1" x14ac:dyDescent="0.25">
      <c r="A823" s="210" t="s">
        <v>1555</v>
      </c>
      <c r="B823">
        <v>9381</v>
      </c>
      <c r="C823" s="100">
        <v>46156</v>
      </c>
      <c r="D823" t="s">
        <v>13</v>
      </c>
      <c r="E823" t="s">
        <v>54</v>
      </c>
      <c r="F823" t="s">
        <v>1255</v>
      </c>
      <c r="G823">
        <v>396</v>
      </c>
      <c r="H823">
        <v>34000</v>
      </c>
      <c r="I823">
        <v>13464000</v>
      </c>
      <c r="K823" t="s">
        <v>42</v>
      </c>
    </row>
    <row r="824" spans="1:11" hidden="1" x14ac:dyDescent="0.25">
      <c r="A824" s="210" t="s">
        <v>1524</v>
      </c>
      <c r="B824">
        <v>9380</v>
      </c>
      <c r="C824" s="100">
        <v>46156</v>
      </c>
      <c r="D824" t="s">
        <v>49</v>
      </c>
      <c r="E824" t="s">
        <v>17</v>
      </c>
      <c r="F824" t="s">
        <v>891</v>
      </c>
      <c r="G824">
        <v>4432</v>
      </c>
      <c r="I824">
        <v>0</v>
      </c>
      <c r="K824" t="s">
        <v>2109</v>
      </c>
    </row>
    <row r="825" spans="1:11" hidden="1" x14ac:dyDescent="0.25">
      <c r="A825" s="210" t="s">
        <v>1524</v>
      </c>
      <c r="B825">
        <v>9380</v>
      </c>
      <c r="C825" s="100">
        <v>46156</v>
      </c>
      <c r="D825" t="s">
        <v>49</v>
      </c>
      <c r="E825" t="s">
        <v>17</v>
      </c>
      <c r="F825" t="s">
        <v>842</v>
      </c>
      <c r="G825">
        <v>3804</v>
      </c>
      <c r="I825">
        <v>0</v>
      </c>
      <c r="K825" t="s">
        <v>2110</v>
      </c>
    </row>
    <row r="826" spans="1:11" hidden="1" x14ac:dyDescent="0.25">
      <c r="A826" s="210" t="s">
        <v>1556</v>
      </c>
      <c r="B826">
        <v>9378</v>
      </c>
      <c r="C826" s="100">
        <v>46156</v>
      </c>
      <c r="D826" t="s">
        <v>13</v>
      </c>
      <c r="E826" t="s">
        <v>858</v>
      </c>
      <c r="F826" t="s">
        <v>2108</v>
      </c>
      <c r="G826">
        <v>514</v>
      </c>
      <c r="H826">
        <v>45000</v>
      </c>
      <c r="I826">
        <v>23130000</v>
      </c>
    </row>
    <row r="827" spans="1:11" hidden="1" x14ac:dyDescent="0.25">
      <c r="A827" s="210" t="s">
        <v>2107</v>
      </c>
      <c r="B827">
        <v>9376</v>
      </c>
      <c r="C827" s="100">
        <v>46156</v>
      </c>
      <c r="D827" t="s">
        <v>13</v>
      </c>
      <c r="E827" t="s">
        <v>17</v>
      </c>
      <c r="F827" t="s">
        <v>2106</v>
      </c>
      <c r="G827">
        <v>8753</v>
      </c>
      <c r="H827">
        <v>55000</v>
      </c>
      <c r="I827">
        <v>481415000</v>
      </c>
      <c r="K827" t="s">
        <v>42</v>
      </c>
    </row>
    <row r="828" spans="1:11" hidden="1" x14ac:dyDescent="0.25">
      <c r="A828" s="210" t="s">
        <v>1524</v>
      </c>
      <c r="B828">
        <v>9375</v>
      </c>
      <c r="C828" s="100">
        <v>46157</v>
      </c>
      <c r="D828" t="s">
        <v>49</v>
      </c>
      <c r="E828" t="s">
        <v>14</v>
      </c>
      <c r="F828" t="s">
        <v>62</v>
      </c>
      <c r="G828">
        <v>5135</v>
      </c>
      <c r="I828">
        <v>0</v>
      </c>
      <c r="K828" t="s">
        <v>2100</v>
      </c>
    </row>
    <row r="829" spans="1:11" hidden="1" x14ac:dyDescent="0.25">
      <c r="A829" s="210" t="s">
        <v>1524</v>
      </c>
      <c r="B829">
        <v>9375</v>
      </c>
      <c r="C829" s="100">
        <v>46157</v>
      </c>
      <c r="D829" t="s">
        <v>49</v>
      </c>
      <c r="E829" t="s">
        <v>192</v>
      </c>
      <c r="F829" t="s">
        <v>2101</v>
      </c>
      <c r="G829">
        <v>1102</v>
      </c>
      <c r="I829">
        <v>0</v>
      </c>
      <c r="K829" t="s">
        <v>2102</v>
      </c>
    </row>
    <row r="830" spans="1:11" hidden="1" x14ac:dyDescent="0.25">
      <c r="A830" s="210" t="s">
        <v>1524</v>
      </c>
      <c r="B830">
        <v>9375</v>
      </c>
      <c r="C830" s="100">
        <v>46157</v>
      </c>
      <c r="D830" t="s">
        <v>49</v>
      </c>
      <c r="E830" t="s">
        <v>192</v>
      </c>
      <c r="F830" t="s">
        <v>2103</v>
      </c>
      <c r="G830">
        <v>913</v>
      </c>
      <c r="I830">
        <v>0</v>
      </c>
      <c r="K830" t="s">
        <v>2104</v>
      </c>
    </row>
    <row r="831" spans="1:11" hidden="1" x14ac:dyDescent="0.25">
      <c r="A831" s="210" t="s">
        <v>1672</v>
      </c>
      <c r="B831">
        <v>9374</v>
      </c>
      <c r="C831" s="100">
        <v>46156</v>
      </c>
      <c r="D831" t="s">
        <v>13</v>
      </c>
      <c r="E831" t="s">
        <v>109</v>
      </c>
      <c r="F831" t="s">
        <v>202</v>
      </c>
      <c r="G831">
        <v>5136</v>
      </c>
      <c r="H831">
        <v>61500</v>
      </c>
      <c r="I831">
        <v>315864000</v>
      </c>
    </row>
    <row r="832" spans="1:11" hidden="1" x14ac:dyDescent="0.25">
      <c r="A832" s="210" t="s">
        <v>1656</v>
      </c>
      <c r="B832">
        <v>9373</v>
      </c>
      <c r="C832" s="100">
        <v>46156</v>
      </c>
      <c r="D832" t="s">
        <v>13</v>
      </c>
      <c r="E832" t="s">
        <v>2098</v>
      </c>
      <c r="G832">
        <v>380</v>
      </c>
      <c r="H832">
        <v>10000</v>
      </c>
      <c r="I832">
        <v>3800000</v>
      </c>
    </row>
    <row r="833" spans="1:11" hidden="1" x14ac:dyDescent="0.25">
      <c r="A833" s="210" t="s">
        <v>1656</v>
      </c>
      <c r="B833">
        <v>9373</v>
      </c>
      <c r="C833" s="100">
        <v>46156</v>
      </c>
      <c r="D833" t="s">
        <v>13</v>
      </c>
      <c r="E833" t="s">
        <v>2099</v>
      </c>
      <c r="G833">
        <v>16626</v>
      </c>
      <c r="H833">
        <v>12000</v>
      </c>
      <c r="I833">
        <v>199512000</v>
      </c>
    </row>
    <row r="834" spans="1:11" hidden="1" x14ac:dyDescent="0.25">
      <c r="A834" s="210" t="s">
        <v>1656</v>
      </c>
      <c r="B834">
        <v>9373</v>
      </c>
      <c r="C834" s="100">
        <v>46156</v>
      </c>
      <c r="D834" t="s">
        <v>13</v>
      </c>
      <c r="E834" t="s">
        <v>2059</v>
      </c>
      <c r="G834">
        <v>2759</v>
      </c>
      <c r="H834">
        <v>26000</v>
      </c>
      <c r="I834">
        <v>71734000</v>
      </c>
    </row>
    <row r="835" spans="1:11" hidden="1" x14ac:dyDescent="0.25">
      <c r="A835" s="210" t="s">
        <v>1572</v>
      </c>
      <c r="B835">
        <v>9372</v>
      </c>
      <c r="C835" s="100">
        <v>46156</v>
      </c>
      <c r="D835" t="s">
        <v>13</v>
      </c>
      <c r="E835" t="s">
        <v>43</v>
      </c>
      <c r="F835" t="s">
        <v>146</v>
      </c>
      <c r="G835">
        <v>340</v>
      </c>
      <c r="H835">
        <v>57000</v>
      </c>
      <c r="I835">
        <v>19380000</v>
      </c>
    </row>
    <row r="836" spans="1:11" hidden="1" x14ac:dyDescent="0.25">
      <c r="A836" s="210" t="s">
        <v>1572</v>
      </c>
      <c r="B836">
        <v>9372</v>
      </c>
      <c r="C836" s="100">
        <v>46156</v>
      </c>
      <c r="D836" t="s">
        <v>13</v>
      </c>
      <c r="E836" t="s">
        <v>43</v>
      </c>
      <c r="F836" t="s">
        <v>44</v>
      </c>
      <c r="G836">
        <v>2010</v>
      </c>
      <c r="H836">
        <v>57000</v>
      </c>
      <c r="I836">
        <v>114570000</v>
      </c>
    </row>
    <row r="837" spans="1:11" hidden="1" x14ac:dyDescent="0.25">
      <c r="A837" s="210" t="s">
        <v>1572</v>
      </c>
      <c r="B837">
        <v>9372</v>
      </c>
      <c r="C837" s="100">
        <v>46156</v>
      </c>
      <c r="D837" t="s">
        <v>13</v>
      </c>
      <c r="E837" t="s">
        <v>43</v>
      </c>
      <c r="F837" t="s">
        <v>251</v>
      </c>
      <c r="G837">
        <v>578</v>
      </c>
      <c r="H837">
        <v>62000</v>
      </c>
      <c r="I837">
        <v>35836000</v>
      </c>
    </row>
    <row r="838" spans="1:11" hidden="1" x14ac:dyDescent="0.25">
      <c r="A838" s="210" t="s">
        <v>1572</v>
      </c>
      <c r="B838">
        <v>9372</v>
      </c>
      <c r="C838" s="100">
        <v>46156</v>
      </c>
      <c r="D838" t="s">
        <v>13</v>
      </c>
      <c r="E838" t="s">
        <v>43</v>
      </c>
      <c r="F838" t="s">
        <v>62</v>
      </c>
      <c r="G838">
        <v>738</v>
      </c>
      <c r="H838">
        <v>63000</v>
      </c>
      <c r="I838">
        <v>46494000</v>
      </c>
      <c r="K838" t="s">
        <v>2097</v>
      </c>
    </row>
    <row r="839" spans="1:11" hidden="1" x14ac:dyDescent="0.25">
      <c r="A839" s="210" t="s">
        <v>1572</v>
      </c>
      <c r="B839">
        <v>9372</v>
      </c>
      <c r="C839" s="100">
        <v>46156</v>
      </c>
      <c r="D839" t="s">
        <v>13</v>
      </c>
      <c r="E839" t="s">
        <v>17</v>
      </c>
      <c r="F839" t="s">
        <v>41</v>
      </c>
      <c r="G839">
        <v>904</v>
      </c>
      <c r="H839">
        <v>62000</v>
      </c>
      <c r="I839">
        <v>56048000</v>
      </c>
    </row>
    <row r="840" spans="1:11" hidden="1" x14ac:dyDescent="0.25">
      <c r="A840" s="210" t="s">
        <v>1572</v>
      </c>
      <c r="B840">
        <v>9372</v>
      </c>
      <c r="C840" s="100">
        <v>46156</v>
      </c>
      <c r="D840" t="s">
        <v>13</v>
      </c>
      <c r="E840" t="s">
        <v>43</v>
      </c>
      <c r="F840" t="s">
        <v>136</v>
      </c>
      <c r="G840">
        <v>1361</v>
      </c>
      <c r="H840">
        <v>61500</v>
      </c>
      <c r="I840">
        <v>83701500</v>
      </c>
    </row>
    <row r="841" spans="1:11" hidden="1" x14ac:dyDescent="0.25">
      <c r="A841" s="210" t="s">
        <v>1597</v>
      </c>
      <c r="B841">
        <v>9371</v>
      </c>
      <c r="C841" s="100">
        <v>46156</v>
      </c>
      <c r="D841" t="s">
        <v>13</v>
      </c>
      <c r="E841" t="s">
        <v>701</v>
      </c>
      <c r="F841" t="s">
        <v>62</v>
      </c>
      <c r="G841">
        <v>458</v>
      </c>
      <c r="H841">
        <v>43000</v>
      </c>
      <c r="I841">
        <v>19694000</v>
      </c>
    </row>
    <row r="842" spans="1:11" hidden="1" x14ac:dyDescent="0.25">
      <c r="A842" s="210" t="s">
        <v>1511</v>
      </c>
      <c r="B842">
        <v>9370</v>
      </c>
      <c r="C842" s="100">
        <v>46155</v>
      </c>
      <c r="D842" t="s">
        <v>13</v>
      </c>
      <c r="E842" t="s">
        <v>75</v>
      </c>
      <c r="F842" t="s">
        <v>288</v>
      </c>
      <c r="G842">
        <v>6</v>
      </c>
      <c r="H842">
        <v>45000</v>
      </c>
      <c r="I842">
        <v>270000</v>
      </c>
      <c r="J842">
        <v>270000</v>
      </c>
    </row>
    <row r="843" spans="1:11" hidden="1" x14ac:dyDescent="0.25">
      <c r="A843" s="210" t="s">
        <v>1530</v>
      </c>
      <c r="B843">
        <v>9369</v>
      </c>
      <c r="C843" s="100">
        <v>46156</v>
      </c>
      <c r="D843" t="s">
        <v>13</v>
      </c>
      <c r="E843" t="s">
        <v>2096</v>
      </c>
      <c r="F843" t="s">
        <v>250</v>
      </c>
      <c r="G843">
        <v>6110</v>
      </c>
      <c r="H843">
        <v>35500</v>
      </c>
      <c r="I843">
        <v>216905000</v>
      </c>
    </row>
    <row r="844" spans="1:11" hidden="1" x14ac:dyDescent="0.25">
      <c r="A844" s="210" t="s">
        <v>1511</v>
      </c>
      <c r="B844">
        <v>9368</v>
      </c>
      <c r="C844" s="100">
        <v>46155</v>
      </c>
      <c r="D844" t="s">
        <v>13</v>
      </c>
      <c r="E844" t="s">
        <v>703</v>
      </c>
      <c r="F844" t="s">
        <v>2213</v>
      </c>
      <c r="G844">
        <v>192</v>
      </c>
      <c r="H844">
        <v>37000</v>
      </c>
      <c r="I844">
        <v>7104000</v>
      </c>
      <c r="J844">
        <v>7104000</v>
      </c>
    </row>
    <row r="845" spans="1:11" hidden="1" x14ac:dyDescent="0.25">
      <c r="A845" s="210" t="s">
        <v>1511</v>
      </c>
      <c r="B845">
        <v>9367</v>
      </c>
      <c r="C845" s="100">
        <v>46155</v>
      </c>
      <c r="D845" t="s">
        <v>13</v>
      </c>
      <c r="E845" t="s">
        <v>50</v>
      </c>
      <c r="F845" t="s">
        <v>78</v>
      </c>
      <c r="G845">
        <v>14</v>
      </c>
      <c r="H845">
        <v>68000</v>
      </c>
      <c r="I845">
        <v>952000</v>
      </c>
      <c r="J845">
        <v>952000</v>
      </c>
    </row>
    <row r="846" spans="1:11" hidden="1" x14ac:dyDescent="0.25">
      <c r="A846" s="210" t="s">
        <v>1623</v>
      </c>
      <c r="B846">
        <v>9365</v>
      </c>
      <c r="C846" s="100">
        <v>46155</v>
      </c>
      <c r="D846" t="s">
        <v>13</v>
      </c>
      <c r="E846" t="s">
        <v>17</v>
      </c>
      <c r="F846" t="s">
        <v>2094</v>
      </c>
      <c r="G846">
        <v>84</v>
      </c>
      <c r="H846">
        <v>71000</v>
      </c>
      <c r="I846">
        <v>5964000</v>
      </c>
    </row>
    <row r="847" spans="1:11" hidden="1" x14ac:dyDescent="0.25">
      <c r="A847" s="210" t="s">
        <v>1489</v>
      </c>
      <c r="B847">
        <v>9364</v>
      </c>
      <c r="C847" s="100">
        <v>46155</v>
      </c>
      <c r="D847" t="s">
        <v>13</v>
      </c>
      <c r="E847" t="s">
        <v>135</v>
      </c>
      <c r="F847" t="s">
        <v>146</v>
      </c>
      <c r="G847">
        <v>514</v>
      </c>
      <c r="H847">
        <v>37000</v>
      </c>
      <c r="I847">
        <v>19018000</v>
      </c>
    </row>
    <row r="848" spans="1:11" hidden="1" x14ac:dyDescent="0.25">
      <c r="A848" s="210" t="s">
        <v>2093</v>
      </c>
      <c r="B848">
        <v>9363</v>
      </c>
      <c r="C848" s="100">
        <v>46155</v>
      </c>
      <c r="D848" t="s">
        <v>13</v>
      </c>
      <c r="E848" t="s">
        <v>301</v>
      </c>
      <c r="F848" t="s">
        <v>797</v>
      </c>
      <c r="G848">
        <v>5348</v>
      </c>
      <c r="H848">
        <v>31500</v>
      </c>
      <c r="I848">
        <v>168462000</v>
      </c>
    </row>
    <row r="849" spans="1:11" hidden="1" x14ac:dyDescent="0.25">
      <c r="A849" s="210" t="s">
        <v>1624</v>
      </c>
      <c r="B849">
        <v>9362</v>
      </c>
      <c r="C849" s="100">
        <v>46155</v>
      </c>
      <c r="D849" t="s">
        <v>13</v>
      </c>
      <c r="E849" t="s">
        <v>26</v>
      </c>
      <c r="F849" t="s">
        <v>2091</v>
      </c>
      <c r="G849">
        <v>2743</v>
      </c>
      <c r="H849">
        <v>35000</v>
      </c>
      <c r="I849">
        <v>96005000</v>
      </c>
    </row>
    <row r="850" spans="1:11" hidden="1" x14ac:dyDescent="0.25">
      <c r="A850" s="210" t="s">
        <v>1592</v>
      </c>
      <c r="B850">
        <v>9361</v>
      </c>
      <c r="C850" s="100">
        <v>46155</v>
      </c>
      <c r="D850" t="s">
        <v>49</v>
      </c>
      <c r="E850" t="s">
        <v>43</v>
      </c>
      <c r="F850" t="s">
        <v>41</v>
      </c>
      <c r="G850">
        <v>2052</v>
      </c>
      <c r="I850">
        <v>0</v>
      </c>
      <c r="K850" t="s">
        <v>1740</v>
      </c>
    </row>
    <row r="851" spans="1:11" hidden="1" x14ac:dyDescent="0.25">
      <c r="A851" s="210" t="s">
        <v>1592</v>
      </c>
      <c r="B851">
        <v>9361</v>
      </c>
      <c r="C851" s="100">
        <v>46155</v>
      </c>
      <c r="D851" t="s">
        <v>49</v>
      </c>
      <c r="E851" t="s">
        <v>43</v>
      </c>
      <c r="F851" t="s">
        <v>62</v>
      </c>
      <c r="G851">
        <v>5431</v>
      </c>
      <c r="I851">
        <v>0</v>
      </c>
      <c r="K851" t="s">
        <v>2090</v>
      </c>
    </row>
    <row r="852" spans="1:11" hidden="1" x14ac:dyDescent="0.25">
      <c r="A852" s="210" t="s">
        <v>1524</v>
      </c>
      <c r="B852">
        <v>9360</v>
      </c>
      <c r="C852" s="100">
        <v>46155</v>
      </c>
      <c r="D852" t="s">
        <v>49</v>
      </c>
      <c r="E852" t="s">
        <v>77</v>
      </c>
      <c r="F852" t="s">
        <v>2078</v>
      </c>
      <c r="G852">
        <v>1826</v>
      </c>
      <c r="I852">
        <v>0</v>
      </c>
      <c r="K852" t="s">
        <v>2079</v>
      </c>
    </row>
    <row r="853" spans="1:11" hidden="1" x14ac:dyDescent="0.25">
      <c r="A853" s="210" t="s">
        <v>1524</v>
      </c>
      <c r="B853">
        <v>9360</v>
      </c>
      <c r="C853" s="100">
        <v>46155</v>
      </c>
      <c r="D853" t="s">
        <v>49</v>
      </c>
      <c r="E853" t="s">
        <v>77</v>
      </c>
      <c r="F853" t="s">
        <v>2080</v>
      </c>
      <c r="G853">
        <v>1816</v>
      </c>
      <c r="I853">
        <v>0</v>
      </c>
      <c r="K853" t="s">
        <v>2081</v>
      </c>
    </row>
    <row r="854" spans="1:11" hidden="1" x14ac:dyDescent="0.25">
      <c r="A854" s="210" t="s">
        <v>1524</v>
      </c>
      <c r="B854">
        <v>9360</v>
      </c>
      <c r="C854" s="100">
        <v>46155</v>
      </c>
      <c r="D854" t="s">
        <v>49</v>
      </c>
      <c r="E854" t="s">
        <v>77</v>
      </c>
      <c r="F854" t="s">
        <v>2082</v>
      </c>
      <c r="G854">
        <v>764</v>
      </c>
      <c r="I854">
        <v>0</v>
      </c>
      <c r="K854" t="s">
        <v>2083</v>
      </c>
    </row>
    <row r="855" spans="1:11" hidden="1" x14ac:dyDescent="0.25">
      <c r="A855" s="210" t="s">
        <v>1524</v>
      </c>
      <c r="B855">
        <v>9360</v>
      </c>
      <c r="C855" s="100">
        <v>46155</v>
      </c>
      <c r="D855" t="s">
        <v>49</v>
      </c>
      <c r="E855" t="s">
        <v>77</v>
      </c>
      <c r="F855" t="s">
        <v>2084</v>
      </c>
      <c r="G855">
        <v>1367</v>
      </c>
      <c r="I855">
        <v>0</v>
      </c>
      <c r="K855" t="s">
        <v>2085</v>
      </c>
    </row>
    <row r="856" spans="1:11" hidden="1" x14ac:dyDescent="0.25">
      <c r="A856" s="210" t="s">
        <v>1524</v>
      </c>
      <c r="B856">
        <v>9360</v>
      </c>
      <c r="C856" s="100">
        <v>46155</v>
      </c>
      <c r="D856" t="s">
        <v>49</v>
      </c>
      <c r="E856" t="s">
        <v>77</v>
      </c>
      <c r="F856" t="s">
        <v>2086</v>
      </c>
      <c r="G856">
        <v>715</v>
      </c>
      <c r="I856">
        <v>0</v>
      </c>
      <c r="K856" t="s">
        <v>2087</v>
      </c>
    </row>
    <row r="857" spans="1:11" hidden="1" x14ac:dyDescent="0.25">
      <c r="A857" s="210" t="s">
        <v>1524</v>
      </c>
      <c r="B857">
        <v>9360</v>
      </c>
      <c r="C857" s="100">
        <v>46155</v>
      </c>
      <c r="D857" t="s">
        <v>49</v>
      </c>
      <c r="E857" t="s">
        <v>77</v>
      </c>
      <c r="F857" t="s">
        <v>2088</v>
      </c>
      <c r="G857">
        <v>208</v>
      </c>
      <c r="I857">
        <v>0</v>
      </c>
      <c r="K857" t="s">
        <v>2089</v>
      </c>
    </row>
    <row r="858" spans="1:11" hidden="1" x14ac:dyDescent="0.25">
      <c r="A858" s="210" t="s">
        <v>1627</v>
      </c>
      <c r="B858">
        <v>9359</v>
      </c>
      <c r="C858" s="100">
        <v>46155</v>
      </c>
      <c r="D858" t="s">
        <v>13</v>
      </c>
      <c r="E858" t="s">
        <v>32</v>
      </c>
      <c r="F858" t="s">
        <v>230</v>
      </c>
      <c r="G858">
        <v>646</v>
      </c>
      <c r="H858">
        <v>45000</v>
      </c>
      <c r="I858">
        <v>29070000</v>
      </c>
    </row>
    <row r="859" spans="1:11" hidden="1" x14ac:dyDescent="0.25">
      <c r="A859" s="210" t="s">
        <v>1548</v>
      </c>
      <c r="B859">
        <v>9358</v>
      </c>
      <c r="C859" s="100">
        <v>46155</v>
      </c>
      <c r="D859" t="s">
        <v>13</v>
      </c>
      <c r="E859" t="s">
        <v>317</v>
      </c>
      <c r="F859" t="s">
        <v>116</v>
      </c>
      <c r="G859">
        <v>52</v>
      </c>
      <c r="H859">
        <v>64000</v>
      </c>
      <c r="I859">
        <v>3328000</v>
      </c>
    </row>
    <row r="860" spans="1:11" hidden="1" x14ac:dyDescent="0.25">
      <c r="A860" s="210" t="s">
        <v>1538</v>
      </c>
      <c r="B860">
        <v>9357</v>
      </c>
      <c r="C860" s="100">
        <v>46155</v>
      </c>
      <c r="D860" t="s">
        <v>13</v>
      </c>
      <c r="E860" t="s">
        <v>17</v>
      </c>
      <c r="F860" t="s">
        <v>469</v>
      </c>
      <c r="G860">
        <v>340</v>
      </c>
      <c r="H860">
        <v>67000</v>
      </c>
      <c r="I860">
        <v>22780000</v>
      </c>
    </row>
    <row r="861" spans="1:11" hidden="1" x14ac:dyDescent="0.25">
      <c r="A861" s="210" t="s">
        <v>1493</v>
      </c>
      <c r="B861">
        <v>9356</v>
      </c>
      <c r="C861" s="100">
        <v>46155</v>
      </c>
      <c r="D861" t="s">
        <v>13</v>
      </c>
      <c r="E861" t="s">
        <v>43</v>
      </c>
      <c r="F861" t="s">
        <v>191</v>
      </c>
      <c r="G861">
        <v>1042</v>
      </c>
      <c r="H861">
        <v>60000</v>
      </c>
      <c r="I861">
        <v>62520000</v>
      </c>
    </row>
    <row r="862" spans="1:11" hidden="1" x14ac:dyDescent="0.25">
      <c r="A862" s="210" t="s">
        <v>1491</v>
      </c>
      <c r="B862">
        <v>9355</v>
      </c>
      <c r="C862" s="100">
        <v>46155</v>
      </c>
      <c r="D862" t="s">
        <v>13</v>
      </c>
      <c r="E862" t="s">
        <v>43</v>
      </c>
      <c r="F862" t="s">
        <v>134</v>
      </c>
      <c r="G862">
        <v>2021</v>
      </c>
      <c r="H862">
        <v>61000</v>
      </c>
      <c r="I862">
        <v>123281000</v>
      </c>
    </row>
    <row r="863" spans="1:11" hidden="1" x14ac:dyDescent="0.25">
      <c r="A863" s="210" t="s">
        <v>1491</v>
      </c>
      <c r="B863">
        <v>9355</v>
      </c>
      <c r="C863" s="100">
        <v>46155</v>
      </c>
      <c r="D863" t="s">
        <v>13</v>
      </c>
      <c r="E863" t="s">
        <v>36</v>
      </c>
      <c r="F863" t="s">
        <v>73</v>
      </c>
      <c r="G863">
        <v>1154</v>
      </c>
      <c r="H863">
        <v>64000</v>
      </c>
      <c r="I863">
        <v>73856000</v>
      </c>
    </row>
    <row r="864" spans="1:11" hidden="1" x14ac:dyDescent="0.25">
      <c r="A864" s="210" t="s">
        <v>1491</v>
      </c>
      <c r="B864">
        <v>9355</v>
      </c>
      <c r="C864" s="100">
        <v>46155</v>
      </c>
      <c r="D864" t="s">
        <v>13</v>
      </c>
      <c r="E864" t="s">
        <v>36</v>
      </c>
      <c r="F864" t="s">
        <v>717</v>
      </c>
      <c r="G864">
        <v>364</v>
      </c>
      <c r="H864">
        <v>65500</v>
      </c>
      <c r="I864">
        <v>23842000</v>
      </c>
    </row>
    <row r="865" spans="1:9" hidden="1" x14ac:dyDescent="0.25">
      <c r="A865" s="210" t="s">
        <v>1580</v>
      </c>
      <c r="B865">
        <v>9354</v>
      </c>
      <c r="C865" s="100">
        <v>46088</v>
      </c>
      <c r="D865" t="s">
        <v>166</v>
      </c>
      <c r="E865" t="s">
        <v>43</v>
      </c>
      <c r="F865" t="s">
        <v>204</v>
      </c>
      <c r="G865">
        <v>-251</v>
      </c>
      <c r="H865">
        <v>57000</v>
      </c>
      <c r="I865">
        <v>-14307000</v>
      </c>
    </row>
    <row r="866" spans="1:9" hidden="1" x14ac:dyDescent="0.25">
      <c r="A866" s="210" t="s">
        <v>1703</v>
      </c>
      <c r="B866">
        <v>9354</v>
      </c>
      <c r="C866" s="100">
        <v>46155</v>
      </c>
      <c r="D866" t="s">
        <v>13</v>
      </c>
      <c r="E866" t="s">
        <v>109</v>
      </c>
      <c r="F866" t="s">
        <v>2077</v>
      </c>
      <c r="G866">
        <v>1318</v>
      </c>
      <c r="H866">
        <v>62000</v>
      </c>
      <c r="I866">
        <v>81716000</v>
      </c>
    </row>
    <row r="867" spans="1:9" hidden="1" x14ac:dyDescent="0.25">
      <c r="A867" s="210" t="s">
        <v>1703</v>
      </c>
      <c r="B867">
        <v>9354</v>
      </c>
      <c r="C867" s="100">
        <v>46155</v>
      </c>
      <c r="D867" t="s">
        <v>13</v>
      </c>
      <c r="E867" t="s">
        <v>150</v>
      </c>
      <c r="F867" t="s">
        <v>28</v>
      </c>
      <c r="G867">
        <v>858</v>
      </c>
      <c r="H867">
        <v>35000</v>
      </c>
      <c r="I867">
        <v>30030000</v>
      </c>
    </row>
    <row r="868" spans="1:9" hidden="1" x14ac:dyDescent="0.25">
      <c r="A868" s="210" t="s">
        <v>1703</v>
      </c>
      <c r="B868">
        <v>9354</v>
      </c>
      <c r="C868" s="100">
        <v>46155</v>
      </c>
      <c r="D868" t="s">
        <v>13</v>
      </c>
      <c r="E868" t="s">
        <v>150</v>
      </c>
      <c r="F868" t="s">
        <v>682</v>
      </c>
      <c r="G868">
        <v>285</v>
      </c>
      <c r="H868">
        <v>35000</v>
      </c>
      <c r="I868">
        <v>9975000</v>
      </c>
    </row>
    <row r="869" spans="1:9" hidden="1" x14ac:dyDescent="0.25">
      <c r="A869" s="210" t="s">
        <v>1579</v>
      </c>
      <c r="B869">
        <v>9353</v>
      </c>
      <c r="C869" s="100">
        <v>46155</v>
      </c>
      <c r="D869" t="s">
        <v>13</v>
      </c>
      <c r="E869" t="s">
        <v>103</v>
      </c>
      <c r="F869" t="s">
        <v>1372</v>
      </c>
      <c r="G869">
        <v>536</v>
      </c>
      <c r="H869">
        <v>38500</v>
      </c>
      <c r="I869">
        <v>20636000</v>
      </c>
    </row>
    <row r="870" spans="1:9" hidden="1" x14ac:dyDescent="0.25">
      <c r="A870" s="210" t="s">
        <v>2076</v>
      </c>
      <c r="B870">
        <v>9352</v>
      </c>
      <c r="C870" s="100">
        <v>46155</v>
      </c>
      <c r="D870" t="s">
        <v>13</v>
      </c>
      <c r="E870" t="s">
        <v>43</v>
      </c>
      <c r="F870" t="s">
        <v>148</v>
      </c>
      <c r="G870">
        <v>3523</v>
      </c>
      <c r="H870">
        <v>58000</v>
      </c>
      <c r="I870">
        <v>204334000</v>
      </c>
    </row>
    <row r="871" spans="1:9" hidden="1" x14ac:dyDescent="0.25">
      <c r="A871" s="210" t="s">
        <v>1562</v>
      </c>
      <c r="B871">
        <v>9351</v>
      </c>
      <c r="C871" s="100">
        <v>46155</v>
      </c>
      <c r="D871" t="s">
        <v>13</v>
      </c>
      <c r="E871" t="s">
        <v>265</v>
      </c>
      <c r="F871" t="s">
        <v>136</v>
      </c>
      <c r="G871">
        <v>740</v>
      </c>
      <c r="H871">
        <v>69000</v>
      </c>
      <c r="I871">
        <v>51060000</v>
      </c>
    </row>
    <row r="872" spans="1:9" hidden="1" x14ac:dyDescent="0.25">
      <c r="A872" s="210" t="s">
        <v>1562</v>
      </c>
      <c r="B872">
        <v>9351</v>
      </c>
      <c r="C872" s="100">
        <v>46155</v>
      </c>
      <c r="D872" t="s">
        <v>13</v>
      </c>
      <c r="E872" t="s">
        <v>265</v>
      </c>
      <c r="F872" t="s">
        <v>146</v>
      </c>
      <c r="G872">
        <v>992</v>
      </c>
      <c r="H872">
        <v>68000</v>
      </c>
      <c r="I872">
        <v>67456000</v>
      </c>
    </row>
    <row r="873" spans="1:9" hidden="1" x14ac:dyDescent="0.25">
      <c r="A873" s="210" t="s">
        <v>1512</v>
      </c>
      <c r="B873">
        <v>9350</v>
      </c>
      <c r="C873" s="100">
        <v>46155</v>
      </c>
      <c r="D873" t="s">
        <v>13</v>
      </c>
      <c r="E873" t="s">
        <v>192</v>
      </c>
      <c r="F873" t="s">
        <v>259</v>
      </c>
      <c r="G873">
        <v>642</v>
      </c>
      <c r="H873">
        <v>63000</v>
      </c>
      <c r="I873">
        <v>40446000</v>
      </c>
    </row>
    <row r="874" spans="1:9" hidden="1" x14ac:dyDescent="0.25">
      <c r="A874" s="210" t="s">
        <v>1530</v>
      </c>
      <c r="B874">
        <v>9349</v>
      </c>
      <c r="C874" s="100">
        <v>46155</v>
      </c>
      <c r="D874" t="s">
        <v>13</v>
      </c>
      <c r="E874" t="s">
        <v>2096</v>
      </c>
      <c r="F874" t="s">
        <v>250</v>
      </c>
      <c r="G874">
        <v>5816</v>
      </c>
      <c r="H874">
        <v>35500</v>
      </c>
      <c r="I874">
        <v>206468000</v>
      </c>
    </row>
    <row r="875" spans="1:9" hidden="1" x14ac:dyDescent="0.25">
      <c r="A875" s="210" t="s">
        <v>1525</v>
      </c>
      <c r="B875">
        <v>9348</v>
      </c>
      <c r="C875" s="100">
        <v>46155</v>
      </c>
      <c r="D875" t="s">
        <v>13</v>
      </c>
      <c r="E875" t="s">
        <v>45</v>
      </c>
      <c r="F875" t="s">
        <v>487</v>
      </c>
      <c r="G875">
        <v>6213</v>
      </c>
      <c r="H875">
        <v>32500</v>
      </c>
      <c r="I875">
        <v>201922500</v>
      </c>
    </row>
    <row r="876" spans="1:9" hidden="1" x14ac:dyDescent="0.25">
      <c r="A876" s="210" t="s">
        <v>2016</v>
      </c>
      <c r="B876">
        <v>9347</v>
      </c>
      <c r="C876" s="100">
        <v>46154</v>
      </c>
      <c r="D876" t="s">
        <v>13</v>
      </c>
      <c r="E876" t="s">
        <v>14</v>
      </c>
      <c r="F876" t="s">
        <v>62</v>
      </c>
      <c r="G876">
        <v>126</v>
      </c>
      <c r="H876">
        <v>43000</v>
      </c>
      <c r="I876">
        <v>5418000</v>
      </c>
    </row>
    <row r="877" spans="1:9" hidden="1" x14ac:dyDescent="0.25">
      <c r="A877" s="210" t="s">
        <v>1590</v>
      </c>
      <c r="B877">
        <v>9346</v>
      </c>
      <c r="C877" s="100">
        <v>46154</v>
      </c>
      <c r="D877" t="s">
        <v>13</v>
      </c>
      <c r="E877" t="s">
        <v>45</v>
      </c>
      <c r="F877" t="s">
        <v>1832</v>
      </c>
      <c r="G877">
        <v>196</v>
      </c>
      <c r="H877">
        <v>34000</v>
      </c>
      <c r="I877">
        <v>6664000</v>
      </c>
    </row>
    <row r="878" spans="1:9" hidden="1" x14ac:dyDescent="0.25">
      <c r="A878" s="210" t="s">
        <v>1524</v>
      </c>
      <c r="B878">
        <v>9345</v>
      </c>
      <c r="C878" s="100">
        <v>46154</v>
      </c>
      <c r="D878" t="s">
        <v>13</v>
      </c>
      <c r="E878" t="s">
        <v>43</v>
      </c>
      <c r="F878" t="s">
        <v>246</v>
      </c>
      <c r="G878">
        <v>506</v>
      </c>
      <c r="H878">
        <v>61000</v>
      </c>
      <c r="I878">
        <v>30866000</v>
      </c>
    </row>
    <row r="879" spans="1:9" hidden="1" x14ac:dyDescent="0.25">
      <c r="A879" s="210" t="s">
        <v>1635</v>
      </c>
      <c r="B879">
        <v>9344</v>
      </c>
      <c r="C879" s="100">
        <v>46154</v>
      </c>
      <c r="D879" t="s">
        <v>13</v>
      </c>
      <c r="E879" t="s">
        <v>32</v>
      </c>
      <c r="F879" t="s">
        <v>78</v>
      </c>
      <c r="G879">
        <v>1638</v>
      </c>
      <c r="H879">
        <v>41000</v>
      </c>
      <c r="I879">
        <v>67158000</v>
      </c>
    </row>
    <row r="880" spans="1:9" hidden="1" x14ac:dyDescent="0.25">
      <c r="A880" s="210" t="s">
        <v>1635</v>
      </c>
      <c r="B880">
        <v>9344</v>
      </c>
      <c r="C880" s="100">
        <v>46154</v>
      </c>
      <c r="D880" t="s">
        <v>13</v>
      </c>
      <c r="E880" t="s">
        <v>43</v>
      </c>
      <c r="F880" t="s">
        <v>2061</v>
      </c>
      <c r="G880">
        <v>517</v>
      </c>
      <c r="H880">
        <v>62000</v>
      </c>
      <c r="I880">
        <v>32054000</v>
      </c>
    </row>
    <row r="881" spans="1:11" hidden="1" x14ac:dyDescent="0.25">
      <c r="A881" s="210" t="s">
        <v>1635</v>
      </c>
      <c r="B881">
        <v>9344</v>
      </c>
      <c r="C881" s="100">
        <v>46154</v>
      </c>
      <c r="D881" t="s">
        <v>166</v>
      </c>
      <c r="E881" t="s">
        <v>43</v>
      </c>
      <c r="F881" t="s">
        <v>40</v>
      </c>
      <c r="G881">
        <v>170</v>
      </c>
      <c r="H881">
        <v>-65000</v>
      </c>
      <c r="I881">
        <v>-11050000</v>
      </c>
    </row>
    <row r="882" spans="1:11" hidden="1" x14ac:dyDescent="0.25">
      <c r="A882" s="210" t="s">
        <v>1635</v>
      </c>
      <c r="B882">
        <v>9344</v>
      </c>
      <c r="C882" s="100">
        <v>46154</v>
      </c>
      <c r="D882" t="s">
        <v>166</v>
      </c>
      <c r="E882" t="s">
        <v>2062</v>
      </c>
      <c r="F882" t="s">
        <v>2063</v>
      </c>
      <c r="G882">
        <v>189</v>
      </c>
      <c r="H882">
        <v>-32000</v>
      </c>
      <c r="I882">
        <v>-6048000</v>
      </c>
    </row>
    <row r="883" spans="1:11" hidden="1" x14ac:dyDescent="0.25">
      <c r="A883" s="210" t="s">
        <v>1504</v>
      </c>
      <c r="B883">
        <v>9343</v>
      </c>
      <c r="C883" s="100">
        <v>46154</v>
      </c>
      <c r="D883" t="s">
        <v>13</v>
      </c>
      <c r="E883" t="s">
        <v>17</v>
      </c>
      <c r="F883" t="s">
        <v>343</v>
      </c>
      <c r="G883">
        <v>294</v>
      </c>
      <c r="H883">
        <v>68000</v>
      </c>
      <c r="I883">
        <v>19992000</v>
      </c>
    </row>
    <row r="884" spans="1:11" hidden="1" x14ac:dyDescent="0.25">
      <c r="A884" s="210" t="s">
        <v>1504</v>
      </c>
      <c r="B884">
        <v>9343</v>
      </c>
      <c r="C884" s="100">
        <v>46154</v>
      </c>
      <c r="D884" t="s">
        <v>13</v>
      </c>
      <c r="E884" t="s">
        <v>703</v>
      </c>
      <c r="F884" t="s">
        <v>2060</v>
      </c>
      <c r="G884">
        <v>1</v>
      </c>
      <c r="H884">
        <v>4100000</v>
      </c>
      <c r="I884">
        <v>4100000</v>
      </c>
    </row>
    <row r="885" spans="1:11" hidden="1" x14ac:dyDescent="0.25">
      <c r="A885" s="210" t="s">
        <v>1525</v>
      </c>
      <c r="B885">
        <v>9342</v>
      </c>
      <c r="C885" s="100">
        <v>46154</v>
      </c>
      <c r="D885" t="s">
        <v>13</v>
      </c>
      <c r="E885" t="s">
        <v>17</v>
      </c>
      <c r="F885" t="s">
        <v>40</v>
      </c>
      <c r="G885">
        <v>4714</v>
      </c>
      <c r="H885">
        <v>68000</v>
      </c>
      <c r="I885">
        <v>320552000</v>
      </c>
    </row>
    <row r="886" spans="1:11" hidden="1" x14ac:dyDescent="0.25">
      <c r="A886" s="210" t="s">
        <v>1656</v>
      </c>
      <c r="B886">
        <v>9341</v>
      </c>
      <c r="C886" s="100">
        <v>46154</v>
      </c>
      <c r="D886" t="s">
        <v>13</v>
      </c>
      <c r="E886" t="s">
        <v>2059</v>
      </c>
      <c r="G886">
        <v>12901</v>
      </c>
      <c r="H886">
        <v>26000</v>
      </c>
      <c r="I886">
        <v>335426000</v>
      </c>
      <c r="K886">
        <v>12874</v>
      </c>
    </row>
    <row r="887" spans="1:11" hidden="1" x14ac:dyDescent="0.25">
      <c r="A887" s="210" t="s">
        <v>1623</v>
      </c>
      <c r="B887">
        <v>9340</v>
      </c>
      <c r="C887" s="100">
        <v>46154</v>
      </c>
      <c r="D887" t="s">
        <v>13</v>
      </c>
      <c r="E887" t="s">
        <v>17</v>
      </c>
      <c r="F887" t="s">
        <v>136</v>
      </c>
      <c r="G887">
        <v>734</v>
      </c>
      <c r="H887">
        <v>65500</v>
      </c>
      <c r="I887">
        <v>48077000</v>
      </c>
    </row>
    <row r="888" spans="1:11" hidden="1" x14ac:dyDescent="0.25">
      <c r="A888" s="210" t="s">
        <v>1623</v>
      </c>
      <c r="B888">
        <v>9340</v>
      </c>
      <c r="C888" s="100">
        <v>46154</v>
      </c>
      <c r="D888" t="s">
        <v>13</v>
      </c>
      <c r="E888" t="s">
        <v>26</v>
      </c>
      <c r="F888" t="s">
        <v>41</v>
      </c>
      <c r="G888">
        <v>1120</v>
      </c>
      <c r="H888">
        <v>35000</v>
      </c>
      <c r="I888">
        <v>39200000</v>
      </c>
    </row>
    <row r="889" spans="1:11" hidden="1" x14ac:dyDescent="0.25">
      <c r="A889" s="210" t="s">
        <v>1623</v>
      </c>
      <c r="B889">
        <v>9340</v>
      </c>
      <c r="C889" s="100">
        <v>46154</v>
      </c>
      <c r="D889" t="s">
        <v>166</v>
      </c>
      <c r="E889" t="s">
        <v>26</v>
      </c>
      <c r="F889" t="s">
        <v>148</v>
      </c>
      <c r="G889">
        <v>2461</v>
      </c>
      <c r="H889">
        <v>-35000</v>
      </c>
      <c r="I889">
        <v>-86135000</v>
      </c>
    </row>
    <row r="890" spans="1:11" hidden="1" x14ac:dyDescent="0.25">
      <c r="A890" s="210" t="s">
        <v>1689</v>
      </c>
      <c r="B890">
        <v>9339</v>
      </c>
      <c r="C890" s="100">
        <v>46154</v>
      </c>
      <c r="D890" t="s">
        <v>13</v>
      </c>
      <c r="E890" t="s">
        <v>170</v>
      </c>
      <c r="F890" t="s">
        <v>1213</v>
      </c>
      <c r="G890">
        <v>1326</v>
      </c>
      <c r="H890">
        <v>67500</v>
      </c>
      <c r="I890">
        <v>89505000</v>
      </c>
    </row>
    <row r="891" spans="1:11" hidden="1" x14ac:dyDescent="0.25">
      <c r="A891" s="210" t="s">
        <v>1511</v>
      </c>
      <c r="B891">
        <v>9338</v>
      </c>
      <c r="C891" s="100">
        <v>46154</v>
      </c>
      <c r="D891" t="s">
        <v>2058</v>
      </c>
      <c r="E891" t="s">
        <v>2053</v>
      </c>
      <c r="F891" t="s">
        <v>117</v>
      </c>
      <c r="G891">
        <v>622</v>
      </c>
      <c r="I891">
        <v>0</v>
      </c>
      <c r="J891">
        <v>0</v>
      </c>
      <c r="K891" t="s">
        <v>2054</v>
      </c>
    </row>
    <row r="892" spans="1:11" hidden="1" x14ac:dyDescent="0.25">
      <c r="A892" s="210" t="s">
        <v>1511</v>
      </c>
      <c r="B892">
        <v>9338</v>
      </c>
      <c r="C892" s="100">
        <v>46154</v>
      </c>
      <c r="D892" t="s">
        <v>2058</v>
      </c>
      <c r="E892" t="s">
        <v>1842</v>
      </c>
      <c r="F892" t="s">
        <v>2055</v>
      </c>
      <c r="G892">
        <v>1190</v>
      </c>
      <c r="I892">
        <v>0</v>
      </c>
      <c r="J892">
        <v>0</v>
      </c>
      <c r="K892" t="s">
        <v>2056</v>
      </c>
    </row>
    <row r="893" spans="1:11" hidden="1" x14ac:dyDescent="0.25">
      <c r="A893" s="210" t="s">
        <v>1511</v>
      </c>
      <c r="B893">
        <v>9337</v>
      </c>
      <c r="C893" s="100">
        <v>46154</v>
      </c>
      <c r="D893" t="s">
        <v>2057</v>
      </c>
      <c r="E893" t="s">
        <v>26</v>
      </c>
      <c r="F893" t="s">
        <v>40</v>
      </c>
      <c r="G893">
        <v>118</v>
      </c>
      <c r="I893">
        <v>0</v>
      </c>
      <c r="J893">
        <v>0</v>
      </c>
      <c r="K893" t="s">
        <v>2052</v>
      </c>
    </row>
    <row r="894" spans="1:11" hidden="1" x14ac:dyDescent="0.25">
      <c r="A894" s="210" t="s">
        <v>1834</v>
      </c>
      <c r="B894">
        <v>9336</v>
      </c>
      <c r="C894" s="100">
        <v>46154</v>
      </c>
      <c r="D894" t="s">
        <v>13</v>
      </c>
      <c r="E894" t="s">
        <v>50</v>
      </c>
      <c r="F894" t="s">
        <v>2050</v>
      </c>
      <c r="G894">
        <v>1010</v>
      </c>
      <c r="H894">
        <v>63500</v>
      </c>
      <c r="I894">
        <v>64135000</v>
      </c>
    </row>
    <row r="895" spans="1:11" hidden="1" x14ac:dyDescent="0.25">
      <c r="A895" s="210" t="s">
        <v>1834</v>
      </c>
      <c r="B895">
        <v>9336</v>
      </c>
      <c r="C895" s="100">
        <v>46154</v>
      </c>
      <c r="D895" t="s">
        <v>13</v>
      </c>
      <c r="E895" t="s">
        <v>50</v>
      </c>
      <c r="F895" t="s">
        <v>2051</v>
      </c>
      <c r="G895">
        <v>90</v>
      </c>
      <c r="H895">
        <v>62000</v>
      </c>
      <c r="I895">
        <v>5580000</v>
      </c>
    </row>
    <row r="896" spans="1:11" hidden="1" x14ac:dyDescent="0.25">
      <c r="A896" s="210" t="s">
        <v>1552</v>
      </c>
      <c r="B896">
        <v>9335</v>
      </c>
      <c r="C896" s="100">
        <v>46154</v>
      </c>
      <c r="D896" t="s">
        <v>13</v>
      </c>
      <c r="E896" t="s">
        <v>14</v>
      </c>
      <c r="F896" t="s">
        <v>146</v>
      </c>
      <c r="G896">
        <v>896</v>
      </c>
      <c r="H896">
        <v>43000</v>
      </c>
      <c r="I896">
        <v>38528000</v>
      </c>
    </row>
    <row r="897" spans="1:11" hidden="1" x14ac:dyDescent="0.25">
      <c r="A897" s="210" t="s">
        <v>1552</v>
      </c>
      <c r="B897">
        <v>9335</v>
      </c>
      <c r="C897" s="100">
        <v>46154</v>
      </c>
      <c r="D897" t="s">
        <v>13</v>
      </c>
      <c r="E897" t="s">
        <v>135</v>
      </c>
      <c r="F897" t="s">
        <v>148</v>
      </c>
      <c r="G897">
        <v>1052</v>
      </c>
      <c r="H897">
        <v>39500</v>
      </c>
      <c r="I897">
        <v>41554000</v>
      </c>
    </row>
    <row r="898" spans="1:11" hidden="1" x14ac:dyDescent="0.25">
      <c r="A898" s="210" t="s">
        <v>1499</v>
      </c>
      <c r="B898">
        <v>9334</v>
      </c>
      <c r="C898" s="100">
        <v>46154</v>
      </c>
      <c r="D898" t="s">
        <v>13</v>
      </c>
      <c r="E898" t="s">
        <v>43</v>
      </c>
      <c r="F898" t="s">
        <v>237</v>
      </c>
      <c r="G898">
        <v>406</v>
      </c>
      <c r="H898">
        <v>67000</v>
      </c>
      <c r="I898">
        <v>27202000</v>
      </c>
    </row>
    <row r="899" spans="1:11" hidden="1" x14ac:dyDescent="0.25">
      <c r="A899" s="210" t="s">
        <v>1499</v>
      </c>
      <c r="B899">
        <v>9334</v>
      </c>
      <c r="C899" s="100">
        <v>46154</v>
      </c>
      <c r="D899" t="s">
        <v>13</v>
      </c>
      <c r="E899" t="s">
        <v>84</v>
      </c>
      <c r="F899">
        <v>406</v>
      </c>
      <c r="G899">
        <v>1</v>
      </c>
      <c r="H899">
        <v>330000</v>
      </c>
      <c r="I899">
        <v>330000</v>
      </c>
    </row>
    <row r="900" spans="1:11" hidden="1" x14ac:dyDescent="0.25">
      <c r="A900" s="210" t="s">
        <v>1562</v>
      </c>
      <c r="B900">
        <v>9331</v>
      </c>
      <c r="C900" s="100">
        <v>46154</v>
      </c>
      <c r="D900" t="s">
        <v>13</v>
      </c>
      <c r="E900" t="s">
        <v>265</v>
      </c>
      <c r="F900" t="s">
        <v>62</v>
      </c>
      <c r="G900">
        <v>658</v>
      </c>
      <c r="H900">
        <v>70500</v>
      </c>
      <c r="I900">
        <v>46389000</v>
      </c>
    </row>
    <row r="901" spans="1:11" hidden="1" x14ac:dyDescent="0.25">
      <c r="A901" s="210" t="s">
        <v>1562</v>
      </c>
      <c r="B901">
        <v>9331</v>
      </c>
      <c r="C901" s="100">
        <v>46154</v>
      </c>
      <c r="D901" t="s">
        <v>13</v>
      </c>
      <c r="E901" t="s">
        <v>17</v>
      </c>
      <c r="F901" t="s">
        <v>146</v>
      </c>
      <c r="G901">
        <v>807</v>
      </c>
      <c r="H901">
        <v>63000</v>
      </c>
      <c r="I901">
        <v>50841000</v>
      </c>
    </row>
    <row r="902" spans="1:11" hidden="1" x14ac:dyDescent="0.25">
      <c r="A902" s="210" t="s">
        <v>1496</v>
      </c>
      <c r="B902">
        <v>9330</v>
      </c>
      <c r="C902" s="100">
        <v>46154</v>
      </c>
      <c r="D902" t="s">
        <v>13</v>
      </c>
      <c r="E902" t="s">
        <v>17</v>
      </c>
      <c r="F902" t="s">
        <v>40</v>
      </c>
      <c r="G902">
        <v>579</v>
      </c>
      <c r="H902">
        <v>67000</v>
      </c>
      <c r="I902">
        <v>38793000</v>
      </c>
    </row>
    <row r="903" spans="1:11" hidden="1" x14ac:dyDescent="0.25">
      <c r="A903" s="210" t="s">
        <v>1637</v>
      </c>
      <c r="B903">
        <v>9329</v>
      </c>
      <c r="C903" s="100">
        <v>46154</v>
      </c>
      <c r="D903" t="s">
        <v>13</v>
      </c>
      <c r="E903" t="s">
        <v>150</v>
      </c>
      <c r="F903" t="s">
        <v>2048</v>
      </c>
      <c r="G903">
        <v>170</v>
      </c>
      <c r="H903">
        <v>40000</v>
      </c>
      <c r="I903">
        <v>6800000</v>
      </c>
    </row>
    <row r="904" spans="1:11" hidden="1" x14ac:dyDescent="0.25">
      <c r="A904" s="210" t="s">
        <v>1637</v>
      </c>
      <c r="B904">
        <v>9329</v>
      </c>
      <c r="C904" s="100">
        <v>46154</v>
      </c>
      <c r="D904" t="s">
        <v>13</v>
      </c>
      <c r="E904" t="s">
        <v>68</v>
      </c>
      <c r="F904" t="s">
        <v>2049</v>
      </c>
      <c r="G904">
        <v>258</v>
      </c>
      <c r="H904">
        <v>45000</v>
      </c>
      <c r="I904">
        <v>11610000</v>
      </c>
    </row>
    <row r="905" spans="1:11" hidden="1" x14ac:dyDescent="0.25">
      <c r="A905" s="210" t="s">
        <v>1532</v>
      </c>
      <c r="B905">
        <v>9328</v>
      </c>
      <c r="C905" s="100">
        <v>46154</v>
      </c>
      <c r="D905" t="s">
        <v>49</v>
      </c>
      <c r="E905" t="s">
        <v>301</v>
      </c>
      <c r="F905" t="s">
        <v>2148</v>
      </c>
      <c r="G905">
        <v>9568</v>
      </c>
      <c r="I905">
        <v>0</v>
      </c>
      <c r="K905" t="s">
        <v>2047</v>
      </c>
    </row>
    <row r="906" spans="1:11" hidden="1" x14ac:dyDescent="0.25">
      <c r="A906" s="210" t="s">
        <v>1502</v>
      </c>
      <c r="B906">
        <v>9327</v>
      </c>
      <c r="C906" s="100">
        <v>46154</v>
      </c>
      <c r="D906" t="s">
        <v>13</v>
      </c>
      <c r="E906" t="s">
        <v>301</v>
      </c>
      <c r="F906" t="s">
        <v>302</v>
      </c>
      <c r="G906">
        <v>7503</v>
      </c>
      <c r="H906">
        <v>24000</v>
      </c>
      <c r="I906">
        <v>180072000</v>
      </c>
    </row>
    <row r="907" spans="1:11" hidden="1" x14ac:dyDescent="0.25">
      <c r="A907" s="210" t="s">
        <v>1672</v>
      </c>
      <c r="B907">
        <v>9327</v>
      </c>
      <c r="C907" s="100">
        <v>46164</v>
      </c>
      <c r="D907" t="s">
        <v>692</v>
      </c>
      <c r="E907" t="s">
        <v>68</v>
      </c>
      <c r="F907" t="s">
        <v>2289</v>
      </c>
      <c r="G907">
        <v>292</v>
      </c>
      <c r="H907">
        <v>-41000</v>
      </c>
      <c r="I907">
        <v>-11972000</v>
      </c>
    </row>
    <row r="908" spans="1:11" hidden="1" x14ac:dyDescent="0.25">
      <c r="A908" s="210" t="s">
        <v>1672</v>
      </c>
      <c r="B908">
        <v>9327</v>
      </c>
      <c r="C908" s="100">
        <v>46164</v>
      </c>
      <c r="D908" t="s">
        <v>692</v>
      </c>
      <c r="E908" t="s">
        <v>68</v>
      </c>
      <c r="F908" t="s">
        <v>2290</v>
      </c>
      <c r="G908">
        <v>490</v>
      </c>
      <c r="H908">
        <v>-41000</v>
      </c>
      <c r="I908">
        <v>-20090000</v>
      </c>
    </row>
    <row r="909" spans="1:11" hidden="1" x14ac:dyDescent="0.25">
      <c r="A909" s="210" t="s">
        <v>1672</v>
      </c>
      <c r="B909">
        <v>9327</v>
      </c>
      <c r="C909" s="100">
        <v>46164</v>
      </c>
      <c r="D909" t="s">
        <v>692</v>
      </c>
      <c r="E909" t="s">
        <v>1105</v>
      </c>
      <c r="F909" t="s">
        <v>343</v>
      </c>
      <c r="G909">
        <v>684</v>
      </c>
      <c r="H909">
        <v>-65000</v>
      </c>
      <c r="I909">
        <v>-44460000</v>
      </c>
    </row>
    <row r="910" spans="1:11" hidden="1" x14ac:dyDescent="0.25">
      <c r="A910" s="210" t="s">
        <v>1662</v>
      </c>
      <c r="B910">
        <v>9325</v>
      </c>
      <c r="C910" s="100">
        <v>46153</v>
      </c>
      <c r="D910" t="s">
        <v>1354</v>
      </c>
      <c r="E910" t="s">
        <v>26</v>
      </c>
      <c r="F910" t="s">
        <v>747</v>
      </c>
      <c r="G910">
        <v>25984</v>
      </c>
      <c r="I910">
        <v>0</v>
      </c>
    </row>
    <row r="911" spans="1:11" hidden="1" x14ac:dyDescent="0.25">
      <c r="A911" s="210" t="s">
        <v>1662</v>
      </c>
      <c r="B911">
        <v>9325</v>
      </c>
      <c r="C911" s="100">
        <v>46153</v>
      </c>
      <c r="D911" t="s">
        <v>1354</v>
      </c>
      <c r="E911" t="s">
        <v>26</v>
      </c>
      <c r="F911" t="s">
        <v>2018</v>
      </c>
      <c r="G911">
        <v>523</v>
      </c>
      <c r="I911">
        <v>0</v>
      </c>
    </row>
    <row r="912" spans="1:11" hidden="1" x14ac:dyDescent="0.25">
      <c r="A912" s="210" t="s">
        <v>1606</v>
      </c>
      <c r="B912">
        <v>9323</v>
      </c>
      <c r="C912" s="100">
        <v>46153</v>
      </c>
      <c r="D912" t="s">
        <v>13</v>
      </c>
      <c r="E912" t="s">
        <v>169</v>
      </c>
      <c r="F912" t="s">
        <v>41</v>
      </c>
      <c r="G912">
        <v>990</v>
      </c>
      <c r="H912">
        <v>38000</v>
      </c>
      <c r="I912">
        <v>37620000</v>
      </c>
    </row>
    <row r="913" spans="1:9" hidden="1" x14ac:dyDescent="0.25">
      <c r="A913" s="210" t="s">
        <v>1606</v>
      </c>
      <c r="B913">
        <v>9323</v>
      </c>
      <c r="C913" s="100">
        <v>46153</v>
      </c>
      <c r="D913" t="s">
        <v>13</v>
      </c>
      <c r="E913" t="s">
        <v>169</v>
      </c>
      <c r="F913" t="s">
        <v>62</v>
      </c>
      <c r="G913">
        <v>412</v>
      </c>
      <c r="H913">
        <v>39500</v>
      </c>
      <c r="I913">
        <v>16274000</v>
      </c>
    </row>
    <row r="914" spans="1:9" hidden="1" x14ac:dyDescent="0.25">
      <c r="A914" s="210" t="s">
        <v>1648</v>
      </c>
      <c r="B914">
        <v>9322</v>
      </c>
      <c r="C914" s="100">
        <v>46153</v>
      </c>
      <c r="D914" t="s">
        <v>13</v>
      </c>
      <c r="E914" t="s">
        <v>103</v>
      </c>
      <c r="F914" t="s">
        <v>117</v>
      </c>
      <c r="G914">
        <v>1107</v>
      </c>
      <c r="H914">
        <v>38500</v>
      </c>
      <c r="I914">
        <v>42619500</v>
      </c>
    </row>
    <row r="915" spans="1:9" hidden="1" x14ac:dyDescent="0.25">
      <c r="A915" s="210" t="s">
        <v>1490</v>
      </c>
      <c r="B915">
        <v>9321</v>
      </c>
      <c r="C915" s="100">
        <v>46153</v>
      </c>
      <c r="D915" t="s">
        <v>13</v>
      </c>
      <c r="E915" t="s">
        <v>219</v>
      </c>
      <c r="F915" t="s">
        <v>2017</v>
      </c>
      <c r="G915">
        <v>100</v>
      </c>
      <c r="H915">
        <v>49000</v>
      </c>
      <c r="I915">
        <v>4900000</v>
      </c>
    </row>
    <row r="916" spans="1:9" hidden="1" x14ac:dyDescent="0.25">
      <c r="A916" s="210" t="s">
        <v>2016</v>
      </c>
      <c r="B916">
        <v>9320</v>
      </c>
      <c r="C916" s="100">
        <v>46153</v>
      </c>
      <c r="D916" t="s">
        <v>13</v>
      </c>
      <c r="E916" t="s">
        <v>14</v>
      </c>
      <c r="F916" t="s">
        <v>62</v>
      </c>
      <c r="G916">
        <v>174</v>
      </c>
      <c r="H916">
        <v>43000</v>
      </c>
      <c r="I916">
        <v>7482000</v>
      </c>
    </row>
    <row r="917" spans="1:9" hidden="1" x14ac:dyDescent="0.25">
      <c r="A917" s="210" t="s">
        <v>1635</v>
      </c>
      <c r="B917">
        <v>9319</v>
      </c>
      <c r="C917" s="100">
        <v>46153</v>
      </c>
      <c r="D917" t="s">
        <v>13</v>
      </c>
      <c r="E917" t="s">
        <v>32</v>
      </c>
      <c r="F917" t="s">
        <v>78</v>
      </c>
      <c r="G917">
        <v>502</v>
      </c>
      <c r="H917">
        <v>41000</v>
      </c>
      <c r="I917">
        <v>20582000</v>
      </c>
    </row>
    <row r="918" spans="1:9" hidden="1" x14ac:dyDescent="0.25">
      <c r="A918" s="210" t="s">
        <v>1635</v>
      </c>
      <c r="B918">
        <v>9319</v>
      </c>
      <c r="C918" s="100">
        <v>46153</v>
      </c>
      <c r="D918" t="s">
        <v>13</v>
      </c>
      <c r="E918" t="s">
        <v>43</v>
      </c>
      <c r="F918" t="s">
        <v>40</v>
      </c>
      <c r="G918">
        <v>839</v>
      </c>
      <c r="H918">
        <v>65000</v>
      </c>
      <c r="I918">
        <v>54535000</v>
      </c>
    </row>
    <row r="919" spans="1:9" hidden="1" x14ac:dyDescent="0.25">
      <c r="A919" s="210" t="s">
        <v>1635</v>
      </c>
      <c r="B919">
        <v>9319</v>
      </c>
      <c r="C919" s="100">
        <v>46153</v>
      </c>
      <c r="D919" t="s">
        <v>13</v>
      </c>
      <c r="E919" t="s">
        <v>32</v>
      </c>
      <c r="F919" t="s">
        <v>78</v>
      </c>
      <c r="G919">
        <v>486</v>
      </c>
      <c r="H919">
        <v>41000</v>
      </c>
      <c r="I919">
        <v>19926000</v>
      </c>
    </row>
    <row r="920" spans="1:9" hidden="1" x14ac:dyDescent="0.25">
      <c r="A920" s="210" t="s">
        <v>1610</v>
      </c>
      <c r="B920">
        <v>9318</v>
      </c>
      <c r="C920" s="100">
        <v>46153</v>
      </c>
      <c r="D920" t="s">
        <v>13</v>
      </c>
      <c r="E920" t="s">
        <v>43</v>
      </c>
      <c r="F920" t="s">
        <v>2015</v>
      </c>
      <c r="G920">
        <v>1052</v>
      </c>
      <c r="H920">
        <v>61500</v>
      </c>
      <c r="I920">
        <v>64698000</v>
      </c>
    </row>
    <row r="921" spans="1:9" hidden="1" x14ac:dyDescent="0.25">
      <c r="A921" s="210" t="s">
        <v>1623</v>
      </c>
      <c r="B921">
        <v>9317</v>
      </c>
      <c r="C921" s="100">
        <v>46153</v>
      </c>
      <c r="D921" t="s">
        <v>13</v>
      </c>
      <c r="E921" t="s">
        <v>26</v>
      </c>
      <c r="F921" t="s">
        <v>148</v>
      </c>
      <c r="G921">
        <v>3670</v>
      </c>
      <c r="H921">
        <v>35000</v>
      </c>
      <c r="I921">
        <v>128450000</v>
      </c>
    </row>
    <row r="922" spans="1:9" hidden="1" x14ac:dyDescent="0.25">
      <c r="A922" s="210" t="s">
        <v>1623</v>
      </c>
      <c r="B922">
        <v>9317</v>
      </c>
      <c r="C922" s="100">
        <v>46153</v>
      </c>
      <c r="D922" t="s">
        <v>13</v>
      </c>
      <c r="E922" t="s">
        <v>26</v>
      </c>
      <c r="F922" t="s">
        <v>146</v>
      </c>
      <c r="G922">
        <v>1028</v>
      </c>
      <c r="H922">
        <v>35000</v>
      </c>
      <c r="I922">
        <v>35980000</v>
      </c>
    </row>
    <row r="923" spans="1:9" hidden="1" x14ac:dyDescent="0.25">
      <c r="A923" s="210" t="s">
        <v>1548</v>
      </c>
      <c r="B923">
        <v>9316</v>
      </c>
      <c r="C923" s="100">
        <v>46153</v>
      </c>
      <c r="D923" t="s">
        <v>13</v>
      </c>
      <c r="E923" t="s">
        <v>43</v>
      </c>
      <c r="F923" t="s">
        <v>41</v>
      </c>
      <c r="G923">
        <v>260</v>
      </c>
      <c r="H923">
        <v>58000</v>
      </c>
      <c r="I923">
        <v>15080000</v>
      </c>
    </row>
    <row r="924" spans="1:9" hidden="1" x14ac:dyDescent="0.25">
      <c r="A924" s="210" t="s">
        <v>1582</v>
      </c>
      <c r="B924">
        <v>9315</v>
      </c>
      <c r="C924" s="100">
        <v>46153</v>
      </c>
      <c r="D924" t="s">
        <v>13</v>
      </c>
      <c r="E924" t="s">
        <v>17</v>
      </c>
      <c r="F924" t="s">
        <v>2013</v>
      </c>
      <c r="G924">
        <v>224</v>
      </c>
      <c r="H924">
        <v>68000</v>
      </c>
      <c r="I924">
        <v>15232000</v>
      </c>
    </row>
    <row r="925" spans="1:9" hidden="1" x14ac:dyDescent="0.25">
      <c r="A925" s="210" t="s">
        <v>1582</v>
      </c>
      <c r="B925">
        <v>9315</v>
      </c>
      <c r="C925" s="100">
        <v>46153</v>
      </c>
      <c r="D925" t="s">
        <v>13</v>
      </c>
      <c r="E925" t="s">
        <v>43</v>
      </c>
      <c r="F925" t="s">
        <v>44</v>
      </c>
      <c r="G925">
        <v>142</v>
      </c>
      <c r="H925">
        <v>62500</v>
      </c>
      <c r="I925">
        <v>8875000</v>
      </c>
    </row>
    <row r="926" spans="1:9" hidden="1" x14ac:dyDescent="0.25">
      <c r="A926" s="210" t="s">
        <v>1582</v>
      </c>
      <c r="B926">
        <v>9315</v>
      </c>
      <c r="C926" s="100">
        <v>46153</v>
      </c>
      <c r="D926" t="s">
        <v>13</v>
      </c>
      <c r="E926" t="s">
        <v>43</v>
      </c>
      <c r="F926" t="s">
        <v>848</v>
      </c>
      <c r="G926">
        <v>430</v>
      </c>
      <c r="H926">
        <v>62500</v>
      </c>
      <c r="I926">
        <v>26875000</v>
      </c>
    </row>
    <row r="927" spans="1:9" hidden="1" x14ac:dyDescent="0.25">
      <c r="A927" s="210" t="s">
        <v>1582</v>
      </c>
      <c r="B927">
        <v>9315</v>
      </c>
      <c r="C927" s="100">
        <v>46153</v>
      </c>
      <c r="D927" t="s">
        <v>13</v>
      </c>
      <c r="E927" t="s">
        <v>45</v>
      </c>
      <c r="F927" t="s">
        <v>38</v>
      </c>
      <c r="G927">
        <v>1438</v>
      </c>
      <c r="H927">
        <v>33500</v>
      </c>
      <c r="I927">
        <v>48173000</v>
      </c>
    </row>
    <row r="928" spans="1:9" hidden="1" x14ac:dyDescent="0.25">
      <c r="A928" s="210" t="s">
        <v>1582</v>
      </c>
      <c r="B928">
        <v>9315</v>
      </c>
      <c r="C928" s="100">
        <v>46153</v>
      </c>
      <c r="D928" t="s">
        <v>13</v>
      </c>
      <c r="E928" t="s">
        <v>252</v>
      </c>
      <c r="F928" t="s">
        <v>148</v>
      </c>
      <c r="G928">
        <v>110</v>
      </c>
      <c r="H928">
        <v>40000</v>
      </c>
      <c r="I928">
        <v>4400000</v>
      </c>
    </row>
    <row r="929" spans="1:11" hidden="1" x14ac:dyDescent="0.25">
      <c r="A929" s="210" t="s">
        <v>1582</v>
      </c>
      <c r="B929">
        <v>9315</v>
      </c>
      <c r="C929" s="100">
        <v>46153</v>
      </c>
      <c r="D929" t="s">
        <v>13</v>
      </c>
      <c r="E929" t="s">
        <v>26</v>
      </c>
      <c r="F929" t="s">
        <v>2014</v>
      </c>
      <c r="G929">
        <v>1800</v>
      </c>
      <c r="H929">
        <v>35000</v>
      </c>
      <c r="I929">
        <v>63000000</v>
      </c>
    </row>
    <row r="930" spans="1:11" hidden="1" x14ac:dyDescent="0.25">
      <c r="A930" s="210" t="s">
        <v>1567</v>
      </c>
      <c r="B930">
        <v>9314</v>
      </c>
      <c r="C930" s="100">
        <v>46153</v>
      </c>
      <c r="D930" t="s">
        <v>13</v>
      </c>
      <c r="E930" t="s">
        <v>17</v>
      </c>
      <c r="F930" t="s">
        <v>953</v>
      </c>
      <c r="G930">
        <v>1263</v>
      </c>
      <c r="H930">
        <v>60000</v>
      </c>
      <c r="I930">
        <v>75780000</v>
      </c>
    </row>
    <row r="931" spans="1:11" hidden="1" x14ac:dyDescent="0.25">
      <c r="A931" s="210" t="s">
        <v>1567</v>
      </c>
      <c r="B931">
        <v>9314</v>
      </c>
      <c r="C931" s="100">
        <v>46153</v>
      </c>
      <c r="D931" t="s">
        <v>166</v>
      </c>
      <c r="E931" t="s">
        <v>17</v>
      </c>
      <c r="F931" t="s">
        <v>78</v>
      </c>
      <c r="G931">
        <v>148</v>
      </c>
      <c r="H931">
        <v>-59000</v>
      </c>
      <c r="I931">
        <v>-8732000</v>
      </c>
    </row>
    <row r="932" spans="1:11" hidden="1" x14ac:dyDescent="0.25">
      <c r="A932" s="210" t="s">
        <v>1595</v>
      </c>
      <c r="B932">
        <v>9313</v>
      </c>
      <c r="C932" s="100">
        <v>46153</v>
      </c>
      <c r="D932" t="s">
        <v>13</v>
      </c>
      <c r="E932" t="s">
        <v>150</v>
      </c>
      <c r="F932" t="s">
        <v>73</v>
      </c>
      <c r="G932">
        <v>2136</v>
      </c>
      <c r="H932">
        <v>35000</v>
      </c>
      <c r="I932">
        <v>74760000</v>
      </c>
      <c r="K932" t="s">
        <v>42</v>
      </c>
    </row>
    <row r="933" spans="1:11" hidden="1" x14ac:dyDescent="0.25">
      <c r="A933" s="210" t="s">
        <v>1595</v>
      </c>
      <c r="B933">
        <v>9313</v>
      </c>
      <c r="C933" s="100">
        <v>46153</v>
      </c>
      <c r="D933" t="s">
        <v>13</v>
      </c>
      <c r="E933" t="s">
        <v>14</v>
      </c>
      <c r="F933" t="s">
        <v>62</v>
      </c>
      <c r="G933">
        <v>548</v>
      </c>
      <c r="H933">
        <v>41500</v>
      </c>
      <c r="I933">
        <v>22742000</v>
      </c>
      <c r="K933" t="s">
        <v>42</v>
      </c>
    </row>
    <row r="934" spans="1:11" hidden="1" x14ac:dyDescent="0.25">
      <c r="A934" s="210" t="s">
        <v>1595</v>
      </c>
      <c r="B934">
        <v>9313</v>
      </c>
      <c r="C934" s="100">
        <v>46153</v>
      </c>
      <c r="D934" t="s">
        <v>13</v>
      </c>
      <c r="E934" t="s">
        <v>14</v>
      </c>
      <c r="F934" t="s">
        <v>41</v>
      </c>
      <c r="G934">
        <v>566</v>
      </c>
      <c r="H934">
        <v>40000</v>
      </c>
      <c r="I934">
        <v>22640000</v>
      </c>
      <c r="K934" t="s">
        <v>42</v>
      </c>
    </row>
    <row r="935" spans="1:11" hidden="1" x14ac:dyDescent="0.25">
      <c r="A935" s="210" t="s">
        <v>1651</v>
      </c>
      <c r="B935">
        <v>9312</v>
      </c>
      <c r="C935" s="100">
        <v>46153</v>
      </c>
      <c r="D935" t="s">
        <v>13</v>
      </c>
      <c r="E935" t="s">
        <v>26</v>
      </c>
      <c r="F935" t="s">
        <v>40</v>
      </c>
      <c r="G935">
        <v>254</v>
      </c>
      <c r="H935">
        <v>40000</v>
      </c>
      <c r="I935">
        <v>10160000</v>
      </c>
    </row>
    <row r="936" spans="1:11" hidden="1" x14ac:dyDescent="0.25">
      <c r="A936" s="210" t="s">
        <v>1524</v>
      </c>
      <c r="B936">
        <v>9311</v>
      </c>
      <c r="C936" s="100">
        <v>46153</v>
      </c>
      <c r="D936" t="s">
        <v>49</v>
      </c>
      <c r="E936" t="s">
        <v>26</v>
      </c>
      <c r="F936" t="s">
        <v>148</v>
      </c>
      <c r="G936">
        <v>3670</v>
      </c>
      <c r="I936">
        <v>0</v>
      </c>
      <c r="K936" t="s">
        <v>2012</v>
      </c>
    </row>
    <row r="937" spans="1:11" hidden="1" x14ac:dyDescent="0.25">
      <c r="A937" s="210" t="s">
        <v>1641</v>
      </c>
      <c r="B937">
        <v>9310</v>
      </c>
      <c r="C937" s="100">
        <v>46153</v>
      </c>
      <c r="D937" t="s">
        <v>13</v>
      </c>
      <c r="E937" t="s">
        <v>43</v>
      </c>
      <c r="F937" t="s">
        <v>154</v>
      </c>
      <c r="G937">
        <v>1135.5</v>
      </c>
      <c r="H937">
        <v>59000</v>
      </c>
      <c r="I937">
        <v>66994500</v>
      </c>
    </row>
    <row r="938" spans="1:11" hidden="1" x14ac:dyDescent="0.25">
      <c r="A938" s="210" t="s">
        <v>1485</v>
      </c>
      <c r="B938">
        <v>9309</v>
      </c>
      <c r="C938" s="100">
        <v>46153</v>
      </c>
      <c r="D938" t="s">
        <v>13</v>
      </c>
      <c r="E938" t="s">
        <v>43</v>
      </c>
      <c r="F938" t="s">
        <v>250</v>
      </c>
      <c r="G938">
        <v>2596</v>
      </c>
      <c r="H938">
        <v>60000</v>
      </c>
      <c r="I938">
        <v>155760000</v>
      </c>
    </row>
    <row r="939" spans="1:11" hidden="1" x14ac:dyDescent="0.25">
      <c r="A939" s="210" t="s">
        <v>1485</v>
      </c>
      <c r="B939">
        <v>9309</v>
      </c>
      <c r="C939" s="100">
        <v>46153</v>
      </c>
      <c r="D939" t="s">
        <v>13</v>
      </c>
      <c r="E939" t="s">
        <v>43</v>
      </c>
      <c r="F939" t="s">
        <v>446</v>
      </c>
      <c r="G939">
        <v>338</v>
      </c>
      <c r="H939">
        <v>64000</v>
      </c>
      <c r="I939">
        <v>21632000</v>
      </c>
    </row>
    <row r="940" spans="1:11" hidden="1" x14ac:dyDescent="0.25">
      <c r="A940" s="210" t="s">
        <v>1479</v>
      </c>
      <c r="B940">
        <v>9308</v>
      </c>
      <c r="C940" s="100">
        <v>46153</v>
      </c>
      <c r="D940" t="s">
        <v>13</v>
      </c>
      <c r="E940" t="s">
        <v>50</v>
      </c>
      <c r="F940" t="s">
        <v>378</v>
      </c>
      <c r="G940">
        <v>3213</v>
      </c>
      <c r="H940">
        <v>57000</v>
      </c>
      <c r="I940">
        <v>183141000</v>
      </c>
    </row>
    <row r="941" spans="1:11" hidden="1" x14ac:dyDescent="0.25">
      <c r="A941" s="210" t="s">
        <v>1479</v>
      </c>
      <c r="B941">
        <v>9308</v>
      </c>
      <c r="C941" s="100">
        <v>46153</v>
      </c>
      <c r="D941" t="s">
        <v>13</v>
      </c>
      <c r="E941" t="s">
        <v>50</v>
      </c>
      <c r="F941" t="s">
        <v>1303</v>
      </c>
      <c r="G941">
        <v>406</v>
      </c>
      <c r="H941">
        <v>57000</v>
      </c>
      <c r="I941">
        <v>23142000</v>
      </c>
    </row>
    <row r="942" spans="1:11" hidden="1" x14ac:dyDescent="0.25">
      <c r="A942" s="210" t="s">
        <v>1491</v>
      </c>
      <c r="B942">
        <v>9306</v>
      </c>
      <c r="C942" s="100">
        <v>46153</v>
      </c>
      <c r="D942" t="s">
        <v>13</v>
      </c>
      <c r="E942" t="s">
        <v>32</v>
      </c>
      <c r="F942" t="s">
        <v>78</v>
      </c>
      <c r="G942">
        <v>490</v>
      </c>
      <c r="H942">
        <v>41000</v>
      </c>
      <c r="I942">
        <v>20090000</v>
      </c>
    </row>
    <row r="943" spans="1:11" hidden="1" x14ac:dyDescent="0.25">
      <c r="A943" s="210" t="s">
        <v>1491</v>
      </c>
      <c r="B943">
        <v>9306</v>
      </c>
      <c r="C943" s="100">
        <v>46153</v>
      </c>
      <c r="D943" t="s">
        <v>426</v>
      </c>
      <c r="E943" t="s">
        <v>26</v>
      </c>
      <c r="F943" t="s">
        <v>249</v>
      </c>
      <c r="G943">
        <v>33</v>
      </c>
      <c r="H943">
        <v>-36000</v>
      </c>
      <c r="I943">
        <v>-1188000</v>
      </c>
    </row>
    <row r="944" spans="1:11" hidden="1" x14ac:dyDescent="0.25">
      <c r="A944" s="210" t="s">
        <v>1688</v>
      </c>
      <c r="B944">
        <v>9304</v>
      </c>
      <c r="C944" s="100">
        <v>46153</v>
      </c>
      <c r="D944" t="s">
        <v>13</v>
      </c>
      <c r="E944" t="s">
        <v>150</v>
      </c>
      <c r="F944" t="s">
        <v>835</v>
      </c>
      <c r="G944">
        <v>2104</v>
      </c>
      <c r="H944">
        <v>35500</v>
      </c>
      <c r="I944">
        <v>74692000</v>
      </c>
    </row>
    <row r="945" spans="1:11" hidden="1" x14ac:dyDescent="0.25">
      <c r="A945" s="210" t="s">
        <v>1688</v>
      </c>
      <c r="B945">
        <v>9304</v>
      </c>
      <c r="C945" s="100">
        <v>46153</v>
      </c>
      <c r="D945" t="s">
        <v>13</v>
      </c>
      <c r="E945" t="s">
        <v>150</v>
      </c>
      <c r="F945" t="s">
        <v>110</v>
      </c>
      <c r="G945">
        <v>1340</v>
      </c>
      <c r="H945">
        <v>35500</v>
      </c>
      <c r="I945">
        <v>47570000</v>
      </c>
    </row>
    <row r="946" spans="1:11" hidden="1" x14ac:dyDescent="0.25">
      <c r="A946" s="210" t="s">
        <v>2547</v>
      </c>
      <c r="B946">
        <v>9303</v>
      </c>
      <c r="C946" s="100">
        <v>46153</v>
      </c>
      <c r="D946" t="s">
        <v>13</v>
      </c>
      <c r="E946" t="s">
        <v>305</v>
      </c>
      <c r="F946" t="s">
        <v>1458</v>
      </c>
      <c r="G946">
        <v>928</v>
      </c>
      <c r="H946">
        <v>32500</v>
      </c>
      <c r="I946">
        <v>30160000</v>
      </c>
    </row>
    <row r="947" spans="1:11" hidden="1" x14ac:dyDescent="0.25">
      <c r="A947" s="210" t="s">
        <v>1476</v>
      </c>
      <c r="B947">
        <v>9302</v>
      </c>
      <c r="C947" s="100">
        <v>46153</v>
      </c>
      <c r="D947" t="s">
        <v>49</v>
      </c>
      <c r="E947" t="s">
        <v>50</v>
      </c>
      <c r="F947" t="s">
        <v>110</v>
      </c>
      <c r="G947">
        <v>1188</v>
      </c>
      <c r="I947">
        <v>0</v>
      </c>
      <c r="K947" t="s">
        <v>64</v>
      </c>
    </row>
    <row r="948" spans="1:11" hidden="1" x14ac:dyDescent="0.25">
      <c r="A948" s="210" t="s">
        <v>1524</v>
      </c>
      <c r="B948">
        <v>9301</v>
      </c>
      <c r="C948" s="100">
        <v>46153</v>
      </c>
      <c r="D948" t="s">
        <v>49</v>
      </c>
      <c r="E948" t="s">
        <v>43</v>
      </c>
      <c r="F948" t="s">
        <v>230</v>
      </c>
      <c r="G948">
        <v>2302</v>
      </c>
      <c r="I948">
        <v>0</v>
      </c>
      <c r="K948" t="s">
        <v>2007</v>
      </c>
    </row>
    <row r="949" spans="1:11" hidden="1" x14ac:dyDescent="0.25">
      <c r="A949" s="210" t="s">
        <v>1734</v>
      </c>
      <c r="B949">
        <v>9300</v>
      </c>
      <c r="C949" s="100">
        <v>46152</v>
      </c>
      <c r="D949" t="s">
        <v>13</v>
      </c>
      <c r="E949" t="s">
        <v>355</v>
      </c>
      <c r="F949" t="s">
        <v>2002</v>
      </c>
      <c r="G949">
        <v>130</v>
      </c>
      <c r="H949">
        <v>66000</v>
      </c>
      <c r="I949">
        <v>8580000</v>
      </c>
    </row>
    <row r="950" spans="1:11" hidden="1" x14ac:dyDescent="0.25">
      <c r="A950" s="210" t="s">
        <v>1734</v>
      </c>
      <c r="B950">
        <v>9300</v>
      </c>
      <c r="C950" s="100">
        <v>46152</v>
      </c>
      <c r="D950" t="s">
        <v>426</v>
      </c>
      <c r="E950" t="s">
        <v>355</v>
      </c>
      <c r="F950" t="s">
        <v>116</v>
      </c>
      <c r="G950">
        <v>70</v>
      </c>
      <c r="H950">
        <v>-64000</v>
      </c>
      <c r="I950">
        <v>-4480000</v>
      </c>
    </row>
    <row r="951" spans="1:11" hidden="1" x14ac:dyDescent="0.25">
      <c r="A951" s="210" t="s">
        <v>1613</v>
      </c>
      <c r="B951">
        <v>9299</v>
      </c>
      <c r="C951" s="100">
        <v>46153</v>
      </c>
      <c r="D951" t="s">
        <v>13</v>
      </c>
      <c r="E951" t="s">
        <v>2006</v>
      </c>
      <c r="F951" t="s">
        <v>134</v>
      </c>
      <c r="G951">
        <v>1984</v>
      </c>
      <c r="H951">
        <v>66500</v>
      </c>
      <c r="I951">
        <v>131936000</v>
      </c>
    </row>
    <row r="952" spans="1:11" hidden="1" x14ac:dyDescent="0.25">
      <c r="A952" s="210" t="s">
        <v>1532</v>
      </c>
      <c r="B952">
        <v>9298</v>
      </c>
      <c r="C952" s="100">
        <v>46153</v>
      </c>
      <c r="D952" t="s">
        <v>49</v>
      </c>
      <c r="E952" t="s">
        <v>301</v>
      </c>
      <c r="F952" t="s">
        <v>81</v>
      </c>
      <c r="G952">
        <v>7247</v>
      </c>
      <c r="I952">
        <v>0</v>
      </c>
      <c r="K952" t="s">
        <v>2047</v>
      </c>
    </row>
    <row r="953" spans="1:11" hidden="1" x14ac:dyDescent="0.25">
      <c r="A953" s="210" t="s">
        <v>1511</v>
      </c>
      <c r="B953">
        <v>9297</v>
      </c>
      <c r="C953" s="100">
        <v>46151</v>
      </c>
      <c r="D953" t="s">
        <v>13</v>
      </c>
      <c r="E953" t="s">
        <v>32</v>
      </c>
      <c r="F953" t="s">
        <v>78</v>
      </c>
      <c r="G953">
        <v>10</v>
      </c>
      <c r="H953">
        <v>45000</v>
      </c>
      <c r="I953">
        <v>450000</v>
      </c>
      <c r="J953">
        <v>450000</v>
      </c>
    </row>
    <row r="954" spans="1:11" hidden="1" x14ac:dyDescent="0.25">
      <c r="A954" s="210" t="s">
        <v>1524</v>
      </c>
      <c r="B954">
        <v>9295</v>
      </c>
      <c r="C954" s="100">
        <v>46151</v>
      </c>
      <c r="D954" t="s">
        <v>49</v>
      </c>
      <c r="E954" t="s">
        <v>1831</v>
      </c>
      <c r="F954" t="s">
        <v>148</v>
      </c>
      <c r="G954">
        <v>5410</v>
      </c>
      <c r="I954">
        <v>0</v>
      </c>
      <c r="K954" t="s">
        <v>1828</v>
      </c>
    </row>
    <row r="955" spans="1:11" hidden="1" x14ac:dyDescent="0.25">
      <c r="A955" s="210" t="s">
        <v>1668</v>
      </c>
      <c r="B955">
        <v>9294</v>
      </c>
      <c r="C955" s="100">
        <v>46151</v>
      </c>
      <c r="D955" t="s">
        <v>13</v>
      </c>
      <c r="E955" t="s">
        <v>50</v>
      </c>
      <c r="F955" t="s">
        <v>2001</v>
      </c>
      <c r="G955">
        <v>518</v>
      </c>
      <c r="H955">
        <v>60500</v>
      </c>
      <c r="I955">
        <v>31339000</v>
      </c>
    </row>
    <row r="956" spans="1:11" hidden="1" x14ac:dyDescent="0.25">
      <c r="A956" s="210" t="s">
        <v>1499</v>
      </c>
      <c r="B956">
        <v>9293</v>
      </c>
      <c r="C956" s="100">
        <v>46151</v>
      </c>
      <c r="D956" t="s">
        <v>13</v>
      </c>
      <c r="E956" t="s">
        <v>17</v>
      </c>
      <c r="F956" t="s">
        <v>41</v>
      </c>
      <c r="G956">
        <v>234</v>
      </c>
      <c r="H956">
        <v>66000</v>
      </c>
      <c r="I956">
        <v>15444000</v>
      </c>
    </row>
    <row r="957" spans="1:11" hidden="1" x14ac:dyDescent="0.25">
      <c r="A957" s="210" t="s">
        <v>1623</v>
      </c>
      <c r="B957">
        <v>9292</v>
      </c>
      <c r="C957" s="100">
        <v>46151</v>
      </c>
      <c r="D957" t="s">
        <v>13</v>
      </c>
      <c r="E957" t="s">
        <v>43</v>
      </c>
      <c r="F957" t="s">
        <v>148</v>
      </c>
      <c r="G957">
        <v>5077</v>
      </c>
      <c r="H957">
        <v>63500</v>
      </c>
      <c r="I957">
        <v>322389500</v>
      </c>
    </row>
    <row r="958" spans="1:11" hidden="1" x14ac:dyDescent="0.25">
      <c r="A958" s="210" t="s">
        <v>1592</v>
      </c>
      <c r="B958">
        <v>9290</v>
      </c>
      <c r="C958" s="100">
        <v>46151</v>
      </c>
      <c r="D958" t="s">
        <v>49</v>
      </c>
      <c r="E958" t="s">
        <v>277</v>
      </c>
      <c r="F958" t="s">
        <v>136</v>
      </c>
      <c r="G958">
        <v>735</v>
      </c>
      <c r="I958">
        <v>0</v>
      </c>
      <c r="K958" t="s">
        <v>1740</v>
      </c>
    </row>
    <row r="959" spans="1:11" hidden="1" x14ac:dyDescent="0.25">
      <c r="A959" s="210" t="s">
        <v>1592</v>
      </c>
      <c r="B959">
        <v>9290</v>
      </c>
      <c r="C959" s="100">
        <v>46151</v>
      </c>
      <c r="D959" t="s">
        <v>49</v>
      </c>
      <c r="E959" t="s">
        <v>277</v>
      </c>
      <c r="F959" t="s">
        <v>146</v>
      </c>
      <c r="G959">
        <v>988</v>
      </c>
      <c r="I959">
        <v>0</v>
      </c>
      <c r="K959" t="s">
        <v>1740</v>
      </c>
    </row>
    <row r="960" spans="1:11" hidden="1" x14ac:dyDescent="0.25">
      <c r="A960" s="210" t="s">
        <v>1511</v>
      </c>
      <c r="B960">
        <v>9289</v>
      </c>
      <c r="C960" s="100">
        <v>46151</v>
      </c>
      <c r="D960" t="s">
        <v>13</v>
      </c>
      <c r="E960" t="s">
        <v>1842</v>
      </c>
      <c r="F960" t="s">
        <v>221</v>
      </c>
      <c r="G960">
        <v>36</v>
      </c>
      <c r="H960">
        <v>75000</v>
      </c>
      <c r="I960">
        <v>2700000</v>
      </c>
      <c r="J960">
        <v>2700000</v>
      </c>
    </row>
    <row r="961" spans="1:11" hidden="1" x14ac:dyDescent="0.25">
      <c r="A961" s="210" t="s">
        <v>1511</v>
      </c>
      <c r="B961">
        <v>9288</v>
      </c>
      <c r="C961" s="100">
        <v>46151</v>
      </c>
      <c r="D961" t="s">
        <v>13</v>
      </c>
      <c r="E961" t="s">
        <v>14</v>
      </c>
      <c r="F961" t="s">
        <v>221</v>
      </c>
      <c r="G961">
        <v>92</v>
      </c>
      <c r="H961">
        <v>50000</v>
      </c>
      <c r="I961">
        <v>4600000</v>
      </c>
      <c r="J961">
        <v>4600000</v>
      </c>
    </row>
    <row r="962" spans="1:11" hidden="1" x14ac:dyDescent="0.25">
      <c r="A962" s="210" t="s">
        <v>1511</v>
      </c>
      <c r="B962">
        <v>9288</v>
      </c>
      <c r="C962" s="100">
        <v>46151</v>
      </c>
      <c r="D962" t="s">
        <v>13</v>
      </c>
      <c r="E962" t="s">
        <v>14</v>
      </c>
      <c r="F962" t="s">
        <v>62</v>
      </c>
      <c r="G962">
        <v>58</v>
      </c>
      <c r="H962">
        <v>50000</v>
      </c>
      <c r="I962">
        <v>2900000</v>
      </c>
      <c r="J962">
        <v>2900000</v>
      </c>
    </row>
    <row r="963" spans="1:11" hidden="1" x14ac:dyDescent="0.25">
      <c r="A963" s="210" t="s">
        <v>1622</v>
      </c>
      <c r="B963">
        <v>9287</v>
      </c>
      <c r="C963" s="100">
        <v>46151</v>
      </c>
      <c r="D963" t="s">
        <v>13</v>
      </c>
      <c r="E963" t="s">
        <v>17</v>
      </c>
      <c r="F963" t="s">
        <v>40</v>
      </c>
      <c r="G963">
        <v>624</v>
      </c>
      <c r="H963">
        <v>69000</v>
      </c>
      <c r="I963">
        <v>43056000</v>
      </c>
    </row>
    <row r="964" spans="1:11" hidden="1" x14ac:dyDescent="0.25">
      <c r="A964" s="210" t="s">
        <v>1535</v>
      </c>
      <c r="B964">
        <v>9285</v>
      </c>
      <c r="C964" s="100">
        <v>46151</v>
      </c>
      <c r="D964" t="s">
        <v>13</v>
      </c>
      <c r="E964" t="s">
        <v>103</v>
      </c>
      <c r="F964" t="s">
        <v>2000</v>
      </c>
      <c r="G964">
        <v>80</v>
      </c>
      <c r="H964">
        <v>39500</v>
      </c>
      <c r="I964">
        <v>3160000</v>
      </c>
    </row>
    <row r="965" spans="1:11" hidden="1" x14ac:dyDescent="0.25">
      <c r="A965" s="210" t="s">
        <v>1600</v>
      </c>
      <c r="B965">
        <v>9284</v>
      </c>
      <c r="C965" s="100">
        <v>46151</v>
      </c>
      <c r="D965" t="s">
        <v>13</v>
      </c>
      <c r="E965" t="s">
        <v>252</v>
      </c>
      <c r="F965" t="s">
        <v>62</v>
      </c>
      <c r="G965">
        <v>1096</v>
      </c>
      <c r="H965">
        <v>39000</v>
      </c>
      <c r="I965">
        <v>42744000</v>
      </c>
    </row>
    <row r="966" spans="1:11" hidden="1" x14ac:dyDescent="0.25">
      <c r="A966" s="210" t="s">
        <v>1633</v>
      </c>
      <c r="B966">
        <v>9283</v>
      </c>
      <c r="C966" s="100">
        <v>46151</v>
      </c>
      <c r="D966" t="s">
        <v>13</v>
      </c>
      <c r="E966" t="s">
        <v>252</v>
      </c>
      <c r="F966" t="s">
        <v>136</v>
      </c>
      <c r="G966">
        <v>318</v>
      </c>
      <c r="H966">
        <v>38000</v>
      </c>
      <c r="I966">
        <v>12084000</v>
      </c>
    </row>
    <row r="967" spans="1:11" hidden="1" x14ac:dyDescent="0.25">
      <c r="A967" s="210" t="s">
        <v>1633</v>
      </c>
      <c r="B967">
        <v>9283</v>
      </c>
      <c r="C967" s="100">
        <v>46151</v>
      </c>
      <c r="D967" t="s">
        <v>13</v>
      </c>
      <c r="E967" t="s">
        <v>252</v>
      </c>
      <c r="F967" t="s">
        <v>62</v>
      </c>
      <c r="G967">
        <v>318</v>
      </c>
      <c r="H967">
        <v>39500</v>
      </c>
      <c r="I967">
        <v>12561000</v>
      </c>
    </row>
    <row r="968" spans="1:11" hidden="1" x14ac:dyDescent="0.25">
      <c r="A968" s="210" t="s">
        <v>1633</v>
      </c>
      <c r="B968">
        <v>9283</v>
      </c>
      <c r="C968" s="100">
        <v>46151</v>
      </c>
      <c r="D968" t="s">
        <v>13</v>
      </c>
      <c r="E968" t="s">
        <v>252</v>
      </c>
      <c r="F968" t="s">
        <v>41</v>
      </c>
      <c r="G968">
        <v>336</v>
      </c>
      <c r="H968">
        <v>38000</v>
      </c>
      <c r="I968">
        <v>12768000</v>
      </c>
    </row>
    <row r="969" spans="1:11" hidden="1" x14ac:dyDescent="0.25">
      <c r="A969" s="210" t="s">
        <v>1541</v>
      </c>
      <c r="B969">
        <v>9282</v>
      </c>
      <c r="C969" s="100">
        <v>46151</v>
      </c>
      <c r="D969" t="s">
        <v>13</v>
      </c>
      <c r="E969" t="s">
        <v>103</v>
      </c>
      <c r="F969" t="s">
        <v>116</v>
      </c>
      <c r="G969">
        <v>201</v>
      </c>
      <c r="H969">
        <v>38000</v>
      </c>
      <c r="I969">
        <v>7638000</v>
      </c>
      <c r="K969" t="s">
        <v>1999</v>
      </c>
    </row>
    <row r="970" spans="1:11" hidden="1" x14ac:dyDescent="0.25">
      <c r="A970" s="210" t="s">
        <v>1541</v>
      </c>
      <c r="B970">
        <v>9282</v>
      </c>
      <c r="C970" s="100">
        <v>46151</v>
      </c>
      <c r="D970" t="s">
        <v>13</v>
      </c>
      <c r="E970" t="s">
        <v>1996</v>
      </c>
      <c r="F970" t="s">
        <v>288</v>
      </c>
      <c r="G970">
        <v>368</v>
      </c>
      <c r="H970">
        <v>38000</v>
      </c>
      <c r="I970">
        <v>13984000</v>
      </c>
    </row>
    <row r="971" spans="1:11" hidden="1" x14ac:dyDescent="0.25">
      <c r="A971" s="210" t="s">
        <v>1541</v>
      </c>
      <c r="B971">
        <v>9282</v>
      </c>
      <c r="C971" s="100">
        <v>46151</v>
      </c>
      <c r="D971" t="s">
        <v>13</v>
      </c>
      <c r="E971" t="s">
        <v>1996</v>
      </c>
      <c r="F971" t="s">
        <v>1997</v>
      </c>
      <c r="G971">
        <v>24</v>
      </c>
      <c r="H971">
        <v>38000</v>
      </c>
      <c r="I971">
        <v>912000</v>
      </c>
    </row>
    <row r="972" spans="1:11" hidden="1" x14ac:dyDescent="0.25">
      <c r="A972" s="210" t="s">
        <v>1541</v>
      </c>
      <c r="B972">
        <v>9282</v>
      </c>
      <c r="C972" s="100">
        <v>46151</v>
      </c>
      <c r="D972" t="s">
        <v>13</v>
      </c>
      <c r="E972" t="s">
        <v>50</v>
      </c>
      <c r="F972" t="s">
        <v>1998</v>
      </c>
      <c r="G972">
        <v>525</v>
      </c>
      <c r="H972">
        <v>57000</v>
      </c>
      <c r="I972">
        <v>29925000</v>
      </c>
      <c r="K972" t="s">
        <v>1999</v>
      </c>
    </row>
    <row r="973" spans="1:11" hidden="1" x14ac:dyDescent="0.25">
      <c r="A973" s="210" t="s">
        <v>1541</v>
      </c>
      <c r="B973">
        <v>9281</v>
      </c>
      <c r="C973" s="100">
        <v>46151</v>
      </c>
      <c r="D973" t="s">
        <v>13</v>
      </c>
      <c r="E973" t="s">
        <v>143</v>
      </c>
      <c r="F973" t="s">
        <v>1994</v>
      </c>
      <c r="G973">
        <v>330</v>
      </c>
      <c r="H973">
        <v>64000</v>
      </c>
      <c r="I973">
        <v>21120000</v>
      </c>
    </row>
    <row r="974" spans="1:11" hidden="1" x14ac:dyDescent="0.25">
      <c r="A974" s="210" t="s">
        <v>1541</v>
      </c>
      <c r="B974">
        <v>9281</v>
      </c>
      <c r="C974" s="100">
        <v>46151</v>
      </c>
      <c r="D974" t="s">
        <v>13</v>
      </c>
      <c r="E974" t="s">
        <v>45</v>
      </c>
      <c r="F974" t="s">
        <v>1832</v>
      </c>
      <c r="G974">
        <v>686</v>
      </c>
      <c r="H974">
        <v>34000</v>
      </c>
      <c r="I974">
        <v>23324000</v>
      </c>
    </row>
    <row r="975" spans="1:11" hidden="1" x14ac:dyDescent="0.25">
      <c r="A975" s="210" t="s">
        <v>1541</v>
      </c>
      <c r="B975">
        <v>9281</v>
      </c>
      <c r="C975" s="100">
        <v>46151</v>
      </c>
      <c r="D975" t="s">
        <v>13</v>
      </c>
      <c r="E975" t="s">
        <v>36</v>
      </c>
      <c r="F975" t="s">
        <v>288</v>
      </c>
      <c r="G975">
        <v>41</v>
      </c>
      <c r="H975">
        <v>3500</v>
      </c>
      <c r="I975">
        <v>143500</v>
      </c>
      <c r="K975" t="s">
        <v>1995</v>
      </c>
    </row>
    <row r="976" spans="1:11" hidden="1" x14ac:dyDescent="0.25">
      <c r="A976" s="210" t="s">
        <v>1593</v>
      </c>
      <c r="B976">
        <v>9280</v>
      </c>
      <c r="C976" s="100">
        <v>46151</v>
      </c>
      <c r="D976" t="s">
        <v>13</v>
      </c>
      <c r="E976" t="s">
        <v>169</v>
      </c>
      <c r="F976" t="s">
        <v>41</v>
      </c>
      <c r="G976">
        <v>1000</v>
      </c>
      <c r="H976">
        <v>38000</v>
      </c>
      <c r="I976">
        <v>38000000</v>
      </c>
    </row>
    <row r="977" spans="1:11" hidden="1" x14ac:dyDescent="0.25">
      <c r="A977" s="210" t="s">
        <v>1531</v>
      </c>
      <c r="B977">
        <v>9279</v>
      </c>
      <c r="C977" s="100">
        <v>46151</v>
      </c>
      <c r="D977" t="s">
        <v>13</v>
      </c>
      <c r="E977" t="s">
        <v>1842</v>
      </c>
      <c r="F977" t="s">
        <v>1851</v>
      </c>
      <c r="G977">
        <v>5320</v>
      </c>
      <c r="H977">
        <v>67000</v>
      </c>
      <c r="I977">
        <v>356440000</v>
      </c>
      <c r="K977" t="s">
        <v>42</v>
      </c>
    </row>
    <row r="978" spans="1:11" hidden="1" x14ac:dyDescent="0.25">
      <c r="A978" s="210" t="s">
        <v>1531</v>
      </c>
      <c r="B978">
        <v>9279</v>
      </c>
      <c r="C978" s="100">
        <v>46151</v>
      </c>
      <c r="D978" t="s">
        <v>13</v>
      </c>
      <c r="E978" t="s">
        <v>17</v>
      </c>
      <c r="F978" t="s">
        <v>46</v>
      </c>
      <c r="G978">
        <v>1192</v>
      </c>
      <c r="H978">
        <v>62500</v>
      </c>
      <c r="I978">
        <v>74500000</v>
      </c>
      <c r="K978" t="s">
        <v>42</v>
      </c>
    </row>
    <row r="979" spans="1:11" hidden="1" x14ac:dyDescent="0.25">
      <c r="A979" s="210" t="s">
        <v>1597</v>
      </c>
      <c r="B979">
        <v>9278</v>
      </c>
      <c r="C979" s="100">
        <v>46151</v>
      </c>
      <c r="D979" t="s">
        <v>13</v>
      </c>
      <c r="E979" t="s">
        <v>17</v>
      </c>
      <c r="F979" t="s">
        <v>41</v>
      </c>
      <c r="G979">
        <v>825</v>
      </c>
      <c r="H979">
        <v>62000</v>
      </c>
      <c r="I979">
        <v>51150000</v>
      </c>
    </row>
    <row r="980" spans="1:11" hidden="1" x14ac:dyDescent="0.25">
      <c r="A980" s="210" t="s">
        <v>1597</v>
      </c>
      <c r="B980">
        <v>9278</v>
      </c>
      <c r="C980" s="100">
        <v>46151</v>
      </c>
      <c r="D980" t="s">
        <v>13</v>
      </c>
      <c r="E980" t="s">
        <v>36</v>
      </c>
      <c r="F980" t="s">
        <v>1988</v>
      </c>
      <c r="G980">
        <v>126</v>
      </c>
      <c r="H980">
        <v>63000</v>
      </c>
      <c r="I980">
        <v>7938000</v>
      </c>
    </row>
    <row r="981" spans="1:11" hidden="1" x14ac:dyDescent="0.25">
      <c r="A981" s="210" t="s">
        <v>1478</v>
      </c>
      <c r="B981">
        <v>9277</v>
      </c>
      <c r="C981" s="100">
        <v>46151</v>
      </c>
      <c r="D981" t="s">
        <v>13</v>
      </c>
      <c r="E981" t="s">
        <v>26</v>
      </c>
      <c r="F981" t="s">
        <v>1761</v>
      </c>
      <c r="G981">
        <v>902</v>
      </c>
      <c r="H981">
        <v>33000</v>
      </c>
      <c r="I981">
        <v>29766000</v>
      </c>
      <c r="K981" t="s">
        <v>42</v>
      </c>
    </row>
    <row r="982" spans="1:11" hidden="1" x14ac:dyDescent="0.25">
      <c r="A982" s="210" t="s">
        <v>1478</v>
      </c>
      <c r="B982">
        <v>9277</v>
      </c>
      <c r="C982" s="100">
        <v>46151</v>
      </c>
      <c r="D982" t="s">
        <v>13</v>
      </c>
      <c r="E982" t="s">
        <v>43</v>
      </c>
      <c r="F982" t="s">
        <v>283</v>
      </c>
      <c r="G982">
        <v>1140</v>
      </c>
      <c r="H982">
        <v>56000</v>
      </c>
      <c r="I982">
        <v>63840000</v>
      </c>
      <c r="K982" t="s">
        <v>42</v>
      </c>
    </row>
    <row r="983" spans="1:11" hidden="1" x14ac:dyDescent="0.25">
      <c r="A983" s="210" t="s">
        <v>1643</v>
      </c>
      <c r="B983">
        <v>9276</v>
      </c>
      <c r="C983" s="100">
        <v>46151</v>
      </c>
      <c r="D983" t="s">
        <v>49</v>
      </c>
      <c r="E983" t="s">
        <v>50</v>
      </c>
      <c r="F983" t="s">
        <v>1255</v>
      </c>
      <c r="G983">
        <v>122</v>
      </c>
      <c r="I983">
        <v>0</v>
      </c>
      <c r="K983" t="s">
        <v>1993</v>
      </c>
    </row>
    <row r="984" spans="1:11" hidden="1" x14ac:dyDescent="0.25">
      <c r="A984" s="210" t="s">
        <v>1672</v>
      </c>
      <c r="B984">
        <v>9276</v>
      </c>
      <c r="C984" s="100">
        <v>46161</v>
      </c>
      <c r="D984" t="s">
        <v>692</v>
      </c>
      <c r="E984" t="s">
        <v>103</v>
      </c>
      <c r="F984" t="s">
        <v>2239</v>
      </c>
      <c r="G984">
        <v>1012</v>
      </c>
      <c r="H984">
        <v>-37000</v>
      </c>
      <c r="I984">
        <v>-37444000</v>
      </c>
    </row>
    <row r="985" spans="1:11" hidden="1" x14ac:dyDescent="0.25">
      <c r="A985" s="210" t="s">
        <v>1580</v>
      </c>
      <c r="B985">
        <v>9274</v>
      </c>
      <c r="C985" s="100">
        <v>46151</v>
      </c>
      <c r="D985" t="s">
        <v>13</v>
      </c>
      <c r="E985" t="s">
        <v>43</v>
      </c>
      <c r="F985" t="s">
        <v>154</v>
      </c>
      <c r="G985">
        <v>1511</v>
      </c>
      <c r="H985">
        <v>62000</v>
      </c>
      <c r="I985">
        <v>93682000</v>
      </c>
    </row>
    <row r="986" spans="1:11" hidden="1" x14ac:dyDescent="0.25">
      <c r="A986" s="210" t="s">
        <v>1493</v>
      </c>
      <c r="B986">
        <v>9273</v>
      </c>
      <c r="C986" s="100">
        <v>46151</v>
      </c>
      <c r="D986" t="s">
        <v>13</v>
      </c>
      <c r="E986" t="s">
        <v>17</v>
      </c>
      <c r="F986" t="s">
        <v>1814</v>
      </c>
      <c r="G986">
        <v>1260</v>
      </c>
      <c r="H986">
        <v>63550</v>
      </c>
      <c r="I986">
        <v>80073000</v>
      </c>
      <c r="K986" t="s">
        <v>2025</v>
      </c>
    </row>
    <row r="987" spans="1:11" hidden="1" x14ac:dyDescent="0.25">
      <c r="A987" s="210" t="s">
        <v>1493</v>
      </c>
      <c r="B987">
        <v>9273</v>
      </c>
      <c r="C987" s="100">
        <v>46151</v>
      </c>
      <c r="D987" t="s">
        <v>13</v>
      </c>
      <c r="E987" t="s">
        <v>305</v>
      </c>
      <c r="F987" t="s">
        <v>116</v>
      </c>
      <c r="G987">
        <v>178</v>
      </c>
      <c r="H987">
        <v>40000</v>
      </c>
      <c r="I987">
        <v>7120000</v>
      </c>
    </row>
    <row r="988" spans="1:11" hidden="1" x14ac:dyDescent="0.25">
      <c r="A988" s="210" t="s">
        <v>1485</v>
      </c>
      <c r="B988">
        <v>9272</v>
      </c>
      <c r="C988" s="100">
        <v>46151</v>
      </c>
      <c r="D988" t="s">
        <v>13</v>
      </c>
      <c r="E988" t="s">
        <v>43</v>
      </c>
      <c r="F988" t="s">
        <v>256</v>
      </c>
      <c r="G988">
        <v>491</v>
      </c>
      <c r="H988">
        <v>60000</v>
      </c>
      <c r="I988">
        <v>29460000</v>
      </c>
    </row>
    <row r="989" spans="1:11" hidden="1" x14ac:dyDescent="0.25">
      <c r="A989" s="210" t="s">
        <v>1485</v>
      </c>
      <c r="B989">
        <v>9272</v>
      </c>
      <c r="C989" s="100">
        <v>46151</v>
      </c>
      <c r="D989" t="s">
        <v>13</v>
      </c>
      <c r="E989" t="s">
        <v>26</v>
      </c>
      <c r="F989" t="s">
        <v>134</v>
      </c>
      <c r="G989">
        <v>2006</v>
      </c>
      <c r="H989">
        <v>35000</v>
      </c>
      <c r="I989">
        <v>70210000</v>
      </c>
    </row>
    <row r="990" spans="1:11" hidden="1" x14ac:dyDescent="0.25">
      <c r="A990" s="210" t="s">
        <v>1485</v>
      </c>
      <c r="B990">
        <v>9272</v>
      </c>
      <c r="C990" s="100">
        <v>46151</v>
      </c>
      <c r="D990" t="s">
        <v>13</v>
      </c>
      <c r="E990" t="s">
        <v>109</v>
      </c>
      <c r="F990" t="s">
        <v>946</v>
      </c>
      <c r="G990">
        <v>3486</v>
      </c>
      <c r="H990">
        <v>60500</v>
      </c>
      <c r="I990">
        <v>210903000</v>
      </c>
    </row>
    <row r="991" spans="1:11" hidden="1" x14ac:dyDescent="0.25">
      <c r="A991" s="210" t="s">
        <v>1536</v>
      </c>
      <c r="B991">
        <v>9271</v>
      </c>
      <c r="C991" s="100">
        <v>46150</v>
      </c>
      <c r="D991" t="s">
        <v>13</v>
      </c>
      <c r="E991" t="s">
        <v>17</v>
      </c>
      <c r="F991" t="s">
        <v>41</v>
      </c>
      <c r="G991">
        <v>94</v>
      </c>
      <c r="H991">
        <v>66000</v>
      </c>
      <c r="I991">
        <v>6204000</v>
      </c>
    </row>
    <row r="992" spans="1:11" hidden="1" x14ac:dyDescent="0.25">
      <c r="A992" s="210" t="s">
        <v>1536</v>
      </c>
      <c r="B992">
        <v>9271</v>
      </c>
      <c r="C992" s="100">
        <v>46150</v>
      </c>
      <c r="D992" t="s">
        <v>13</v>
      </c>
      <c r="E992" t="s">
        <v>68</v>
      </c>
      <c r="F992" t="s">
        <v>134</v>
      </c>
      <c r="G992">
        <v>72</v>
      </c>
      <c r="H992">
        <v>42000</v>
      </c>
      <c r="I992">
        <v>3024000</v>
      </c>
    </row>
    <row r="993" spans="1:11" hidden="1" x14ac:dyDescent="0.25">
      <c r="A993" s="210" t="s">
        <v>1536</v>
      </c>
      <c r="B993">
        <v>9271</v>
      </c>
      <c r="C993" s="100">
        <v>46150</v>
      </c>
      <c r="D993" t="s">
        <v>13</v>
      </c>
      <c r="E993" t="s">
        <v>1989</v>
      </c>
      <c r="F993" t="s">
        <v>136</v>
      </c>
      <c r="G993">
        <v>50</v>
      </c>
      <c r="H993">
        <v>38000</v>
      </c>
      <c r="I993">
        <v>1900000</v>
      </c>
    </row>
    <row r="994" spans="1:11" hidden="1" x14ac:dyDescent="0.25">
      <c r="A994" s="210" t="s">
        <v>1536</v>
      </c>
      <c r="B994">
        <v>9271</v>
      </c>
      <c r="C994" s="100">
        <v>46150</v>
      </c>
      <c r="D994" t="s">
        <v>13</v>
      </c>
      <c r="E994" t="s">
        <v>103</v>
      </c>
      <c r="F994" t="s">
        <v>134</v>
      </c>
      <c r="G994">
        <v>72</v>
      </c>
      <c r="H994">
        <v>37500</v>
      </c>
      <c r="I994">
        <v>2700000</v>
      </c>
    </row>
    <row r="995" spans="1:11" hidden="1" x14ac:dyDescent="0.25">
      <c r="A995" s="210" t="s">
        <v>1536</v>
      </c>
      <c r="B995">
        <v>9271</v>
      </c>
      <c r="C995" s="100">
        <v>46150</v>
      </c>
      <c r="D995" t="s">
        <v>13</v>
      </c>
      <c r="E995" t="s">
        <v>26</v>
      </c>
      <c r="F995" t="s">
        <v>134</v>
      </c>
      <c r="G995">
        <v>216</v>
      </c>
      <c r="H995">
        <v>35000</v>
      </c>
      <c r="I995">
        <v>7560000</v>
      </c>
    </row>
    <row r="996" spans="1:11" hidden="1" x14ac:dyDescent="0.25">
      <c r="A996" s="210" t="s">
        <v>1622</v>
      </c>
      <c r="B996">
        <v>9270</v>
      </c>
      <c r="C996" s="100">
        <v>46150</v>
      </c>
      <c r="D996" t="s">
        <v>13</v>
      </c>
      <c r="E996" t="s">
        <v>265</v>
      </c>
      <c r="F996" t="s">
        <v>136</v>
      </c>
      <c r="G996">
        <v>500</v>
      </c>
      <c r="H996">
        <v>68500</v>
      </c>
      <c r="I996">
        <v>34250000</v>
      </c>
    </row>
    <row r="997" spans="1:11" hidden="1" x14ac:dyDescent="0.25">
      <c r="A997" s="210" t="s">
        <v>1476</v>
      </c>
      <c r="B997">
        <v>9268</v>
      </c>
      <c r="C997" s="100">
        <v>46150</v>
      </c>
      <c r="D997" t="s">
        <v>49</v>
      </c>
      <c r="E997" t="s">
        <v>703</v>
      </c>
      <c r="F997" t="s">
        <v>122</v>
      </c>
      <c r="G997">
        <v>1002</v>
      </c>
      <c r="I997">
        <v>0</v>
      </c>
      <c r="K997" t="s">
        <v>64</v>
      </c>
    </row>
    <row r="998" spans="1:11" hidden="1" x14ac:dyDescent="0.25">
      <c r="A998" s="210" t="s">
        <v>1621</v>
      </c>
      <c r="B998">
        <v>9267</v>
      </c>
      <c r="C998" s="100">
        <v>46150</v>
      </c>
      <c r="D998" t="s">
        <v>13</v>
      </c>
      <c r="E998" t="s">
        <v>143</v>
      </c>
      <c r="F998" t="s">
        <v>469</v>
      </c>
      <c r="G998">
        <v>279</v>
      </c>
      <c r="H998">
        <v>67000</v>
      </c>
      <c r="I998">
        <v>18693000</v>
      </c>
    </row>
    <row r="999" spans="1:11" hidden="1" x14ac:dyDescent="0.25">
      <c r="A999" s="210" t="s">
        <v>1476</v>
      </c>
      <c r="B999">
        <v>9266</v>
      </c>
      <c r="C999" s="100">
        <v>46150</v>
      </c>
      <c r="D999" t="s">
        <v>49</v>
      </c>
      <c r="E999" t="s">
        <v>50</v>
      </c>
      <c r="F999" t="s">
        <v>1988</v>
      </c>
      <c r="G999">
        <v>126</v>
      </c>
      <c r="I999">
        <v>0</v>
      </c>
      <c r="K999" t="s">
        <v>64</v>
      </c>
    </row>
    <row r="1000" spans="1:11" hidden="1" x14ac:dyDescent="0.25">
      <c r="A1000" s="210" t="s">
        <v>1531</v>
      </c>
      <c r="B1000">
        <v>9265</v>
      </c>
      <c r="C1000" s="100">
        <v>46150</v>
      </c>
      <c r="D1000" t="s">
        <v>13</v>
      </c>
      <c r="E1000" t="s">
        <v>17</v>
      </c>
      <c r="F1000" t="s">
        <v>78</v>
      </c>
      <c r="G1000">
        <v>1490</v>
      </c>
      <c r="H1000">
        <v>57000</v>
      </c>
      <c r="I1000">
        <v>84930000</v>
      </c>
    </row>
    <row r="1001" spans="1:11" hidden="1" x14ac:dyDescent="0.25">
      <c r="A1001" s="210" t="s">
        <v>1511</v>
      </c>
      <c r="B1001">
        <v>9264</v>
      </c>
      <c r="C1001" s="100">
        <v>46150</v>
      </c>
      <c r="D1001" t="s">
        <v>13</v>
      </c>
      <c r="E1001" t="s">
        <v>50</v>
      </c>
      <c r="F1001" t="s">
        <v>1986</v>
      </c>
      <c r="G1001">
        <v>68</v>
      </c>
      <c r="H1001">
        <v>68000</v>
      </c>
      <c r="I1001">
        <v>4624000</v>
      </c>
      <c r="J1001">
        <v>4624000</v>
      </c>
      <c r="K1001" t="s">
        <v>1987</v>
      </c>
    </row>
    <row r="1002" spans="1:11" hidden="1" x14ac:dyDescent="0.25">
      <c r="A1002" s="210" t="s">
        <v>1490</v>
      </c>
      <c r="B1002">
        <v>9263</v>
      </c>
      <c r="C1002" s="100">
        <v>46150</v>
      </c>
      <c r="D1002" t="s">
        <v>13</v>
      </c>
      <c r="E1002" t="s">
        <v>17</v>
      </c>
      <c r="F1002" t="s">
        <v>33</v>
      </c>
      <c r="G1002">
        <v>392</v>
      </c>
      <c r="H1002">
        <v>63500</v>
      </c>
      <c r="I1002">
        <v>24892000</v>
      </c>
    </row>
    <row r="1003" spans="1:11" hidden="1" x14ac:dyDescent="0.25">
      <c r="A1003" s="210" t="s">
        <v>1490</v>
      </c>
      <c r="B1003">
        <v>9262</v>
      </c>
      <c r="C1003" s="100">
        <v>46150</v>
      </c>
      <c r="D1003" t="s">
        <v>13</v>
      </c>
      <c r="E1003" t="s">
        <v>17</v>
      </c>
      <c r="F1003" t="s">
        <v>33</v>
      </c>
      <c r="G1003">
        <v>504</v>
      </c>
      <c r="H1003">
        <v>63500</v>
      </c>
      <c r="I1003">
        <v>32004000</v>
      </c>
      <c r="K1003" t="s">
        <v>128</v>
      </c>
    </row>
    <row r="1004" spans="1:11" hidden="1" x14ac:dyDescent="0.25">
      <c r="A1004" s="210" t="s">
        <v>1490</v>
      </c>
      <c r="B1004">
        <v>9262</v>
      </c>
      <c r="C1004" s="100">
        <v>46150</v>
      </c>
      <c r="D1004" t="s">
        <v>13</v>
      </c>
      <c r="E1004" t="s">
        <v>26</v>
      </c>
      <c r="F1004" t="s">
        <v>33</v>
      </c>
      <c r="G1004">
        <v>552</v>
      </c>
      <c r="H1004">
        <v>32500</v>
      </c>
      <c r="I1004">
        <v>17940000</v>
      </c>
      <c r="K1004" t="s">
        <v>128</v>
      </c>
    </row>
    <row r="1005" spans="1:11" hidden="1" x14ac:dyDescent="0.25">
      <c r="A1005" s="210" t="s">
        <v>1606</v>
      </c>
      <c r="B1005">
        <v>9261</v>
      </c>
      <c r="C1005" s="100">
        <v>46150</v>
      </c>
      <c r="D1005" t="s">
        <v>13</v>
      </c>
      <c r="E1005" t="s">
        <v>32</v>
      </c>
      <c r="F1005" t="s">
        <v>78</v>
      </c>
      <c r="G1005">
        <v>296</v>
      </c>
      <c r="H1005">
        <v>41000</v>
      </c>
      <c r="I1005">
        <v>12136000</v>
      </c>
    </row>
    <row r="1006" spans="1:11" hidden="1" x14ac:dyDescent="0.25">
      <c r="A1006" s="210" t="s">
        <v>1476</v>
      </c>
      <c r="B1006">
        <v>9260</v>
      </c>
      <c r="C1006" s="100">
        <v>46150</v>
      </c>
      <c r="D1006" t="s">
        <v>49</v>
      </c>
      <c r="E1006" t="s">
        <v>14</v>
      </c>
      <c r="F1006" t="s">
        <v>62</v>
      </c>
      <c r="G1006">
        <v>100</v>
      </c>
      <c r="I1006">
        <v>0</v>
      </c>
      <c r="K1006" t="s">
        <v>1985</v>
      </c>
    </row>
    <row r="1007" spans="1:11" hidden="1" x14ac:dyDescent="0.25">
      <c r="A1007" s="210" t="s">
        <v>1489</v>
      </c>
      <c r="B1007">
        <v>9259</v>
      </c>
      <c r="C1007" s="100">
        <v>46150</v>
      </c>
      <c r="D1007" t="s">
        <v>13</v>
      </c>
      <c r="E1007" t="s">
        <v>75</v>
      </c>
      <c r="F1007" t="s">
        <v>1979</v>
      </c>
      <c r="G1007">
        <v>102</v>
      </c>
      <c r="H1007">
        <v>40000</v>
      </c>
      <c r="I1007">
        <v>4080000</v>
      </c>
      <c r="K1007" t="s">
        <v>42</v>
      </c>
    </row>
    <row r="1008" spans="1:11" hidden="1" x14ac:dyDescent="0.25">
      <c r="A1008" s="210" t="s">
        <v>1491</v>
      </c>
      <c r="B1008">
        <v>9258</v>
      </c>
      <c r="C1008" s="100">
        <v>46150</v>
      </c>
      <c r="D1008" t="s">
        <v>13</v>
      </c>
      <c r="E1008" t="s">
        <v>32</v>
      </c>
      <c r="F1008" t="s">
        <v>230</v>
      </c>
      <c r="G1008">
        <v>394</v>
      </c>
      <c r="H1008">
        <v>45500</v>
      </c>
      <c r="I1008">
        <v>17927000</v>
      </c>
    </row>
    <row r="1009" spans="1:11" hidden="1" x14ac:dyDescent="0.25">
      <c r="A1009" s="210" t="s">
        <v>1641</v>
      </c>
      <c r="B1009">
        <v>9257</v>
      </c>
      <c r="C1009" s="100">
        <v>46150</v>
      </c>
      <c r="D1009" t="s">
        <v>13</v>
      </c>
      <c r="E1009" t="s">
        <v>14</v>
      </c>
      <c r="F1009" t="s">
        <v>146</v>
      </c>
      <c r="G1009">
        <v>3486</v>
      </c>
      <c r="H1009">
        <v>42000</v>
      </c>
      <c r="I1009">
        <v>146412000</v>
      </c>
    </row>
    <row r="1010" spans="1:11" hidden="1" x14ac:dyDescent="0.25">
      <c r="A1010" s="210" t="s">
        <v>1641</v>
      </c>
      <c r="B1010">
        <v>9257</v>
      </c>
      <c r="C1010" s="100">
        <v>46150</v>
      </c>
      <c r="D1010" t="s">
        <v>13</v>
      </c>
      <c r="E1010" t="s">
        <v>43</v>
      </c>
      <c r="F1010" t="s">
        <v>78</v>
      </c>
      <c r="G1010">
        <v>674</v>
      </c>
      <c r="H1010">
        <v>63000</v>
      </c>
      <c r="I1010">
        <v>42462000</v>
      </c>
    </row>
    <row r="1011" spans="1:11" hidden="1" x14ac:dyDescent="0.25">
      <c r="A1011" s="210" t="s">
        <v>1579</v>
      </c>
      <c r="B1011">
        <v>9256</v>
      </c>
      <c r="C1011" s="100">
        <v>46150</v>
      </c>
      <c r="D1011" t="s">
        <v>13</v>
      </c>
      <c r="E1011" t="s">
        <v>43</v>
      </c>
      <c r="F1011" t="s">
        <v>248</v>
      </c>
      <c r="G1011">
        <v>516</v>
      </c>
      <c r="H1011">
        <v>61000</v>
      </c>
      <c r="I1011">
        <v>31476000</v>
      </c>
    </row>
    <row r="1012" spans="1:11" hidden="1" x14ac:dyDescent="0.25">
      <c r="A1012" s="210" t="s">
        <v>1575</v>
      </c>
      <c r="B1012">
        <v>9255</v>
      </c>
      <c r="C1012" s="100">
        <v>46150</v>
      </c>
      <c r="D1012" t="s">
        <v>13</v>
      </c>
      <c r="E1012" t="s">
        <v>143</v>
      </c>
      <c r="F1012" t="s">
        <v>446</v>
      </c>
      <c r="G1012">
        <v>649</v>
      </c>
      <c r="H1012">
        <v>65000</v>
      </c>
      <c r="I1012">
        <v>42185000</v>
      </c>
    </row>
    <row r="1013" spans="1:11" hidden="1" x14ac:dyDescent="0.25">
      <c r="A1013" s="210" t="s">
        <v>1504</v>
      </c>
      <c r="B1013">
        <v>9254</v>
      </c>
      <c r="C1013" s="100">
        <v>46150</v>
      </c>
      <c r="D1013" t="s">
        <v>13</v>
      </c>
      <c r="E1013" t="s">
        <v>192</v>
      </c>
      <c r="F1013" t="s">
        <v>78</v>
      </c>
      <c r="G1013">
        <v>1772</v>
      </c>
      <c r="H1013">
        <v>39500</v>
      </c>
      <c r="I1013">
        <v>69994000</v>
      </c>
    </row>
    <row r="1014" spans="1:11" hidden="1" x14ac:dyDescent="0.25">
      <c r="A1014" s="210" t="s">
        <v>1666</v>
      </c>
      <c r="B1014">
        <v>9253</v>
      </c>
      <c r="C1014" s="100">
        <v>46150</v>
      </c>
      <c r="D1014" t="s">
        <v>13</v>
      </c>
      <c r="E1014" t="s">
        <v>17</v>
      </c>
      <c r="F1014" t="s">
        <v>46</v>
      </c>
      <c r="G1014">
        <v>118</v>
      </c>
      <c r="H1014">
        <v>69000</v>
      </c>
      <c r="I1014">
        <v>8142000</v>
      </c>
    </row>
    <row r="1015" spans="1:11" hidden="1" x14ac:dyDescent="0.25">
      <c r="A1015" s="210" t="s">
        <v>1666</v>
      </c>
      <c r="B1015">
        <v>9253</v>
      </c>
      <c r="C1015" s="100">
        <v>46150</v>
      </c>
      <c r="D1015" t="s">
        <v>13</v>
      </c>
      <c r="E1015" t="s">
        <v>26</v>
      </c>
      <c r="F1015" t="s">
        <v>33</v>
      </c>
      <c r="G1015">
        <v>564</v>
      </c>
      <c r="H1015">
        <v>36000</v>
      </c>
      <c r="I1015">
        <v>20304000</v>
      </c>
    </row>
    <row r="1016" spans="1:11" hidden="1" x14ac:dyDescent="0.25">
      <c r="A1016" s="210" t="s">
        <v>1666</v>
      </c>
      <c r="B1016">
        <v>9253</v>
      </c>
      <c r="C1016" s="100">
        <v>46150</v>
      </c>
      <c r="D1016" t="s">
        <v>13</v>
      </c>
      <c r="E1016" t="s">
        <v>14</v>
      </c>
      <c r="F1016" t="s">
        <v>40</v>
      </c>
      <c r="G1016">
        <v>761</v>
      </c>
      <c r="H1016">
        <v>47000</v>
      </c>
      <c r="I1016">
        <v>35767000</v>
      </c>
    </row>
    <row r="1017" spans="1:11" hidden="1" x14ac:dyDescent="0.25">
      <c r="A1017" s="210" t="s">
        <v>1666</v>
      </c>
      <c r="B1017">
        <v>9253</v>
      </c>
      <c r="C1017" s="100">
        <v>46150</v>
      </c>
      <c r="D1017" t="s">
        <v>13</v>
      </c>
      <c r="E1017" t="s">
        <v>14</v>
      </c>
      <c r="F1017" t="s">
        <v>62</v>
      </c>
      <c r="G1017">
        <v>166</v>
      </c>
      <c r="H1017">
        <v>43000</v>
      </c>
      <c r="I1017">
        <v>7138000</v>
      </c>
    </row>
    <row r="1018" spans="1:11" hidden="1" x14ac:dyDescent="0.25">
      <c r="A1018" s="210" t="s">
        <v>1626</v>
      </c>
      <c r="B1018">
        <v>9252</v>
      </c>
      <c r="C1018" s="100">
        <v>46150</v>
      </c>
      <c r="D1018" t="s">
        <v>13</v>
      </c>
      <c r="E1018" t="s">
        <v>50</v>
      </c>
      <c r="F1018" t="s">
        <v>1127</v>
      </c>
      <c r="G1018">
        <v>282</v>
      </c>
      <c r="H1018">
        <v>56500</v>
      </c>
      <c r="I1018">
        <v>15933000</v>
      </c>
    </row>
    <row r="1019" spans="1:11" hidden="1" x14ac:dyDescent="0.25">
      <c r="A1019" s="210" t="s">
        <v>1579</v>
      </c>
      <c r="B1019">
        <v>9250</v>
      </c>
      <c r="C1019" s="100">
        <v>46150</v>
      </c>
      <c r="D1019" t="s">
        <v>13</v>
      </c>
      <c r="E1019" t="s">
        <v>43</v>
      </c>
      <c r="F1019" t="s">
        <v>271</v>
      </c>
      <c r="G1019">
        <v>5960</v>
      </c>
      <c r="H1019">
        <v>61500</v>
      </c>
      <c r="I1019">
        <v>366540000</v>
      </c>
    </row>
    <row r="1020" spans="1:11" hidden="1" x14ac:dyDescent="0.25">
      <c r="A1020" s="210" t="s">
        <v>1646</v>
      </c>
      <c r="B1020">
        <v>9249</v>
      </c>
      <c r="C1020" s="100">
        <v>46150</v>
      </c>
      <c r="D1020" t="s">
        <v>13</v>
      </c>
      <c r="E1020" t="s">
        <v>43</v>
      </c>
      <c r="F1020" t="s">
        <v>1984</v>
      </c>
      <c r="G1020">
        <v>152</v>
      </c>
      <c r="H1020">
        <v>62000</v>
      </c>
      <c r="I1020">
        <v>9424000</v>
      </c>
    </row>
    <row r="1021" spans="1:11" hidden="1" x14ac:dyDescent="0.25">
      <c r="A1021" s="210" t="s">
        <v>1646</v>
      </c>
      <c r="B1021">
        <v>9249</v>
      </c>
      <c r="C1021" s="100">
        <v>46150</v>
      </c>
      <c r="D1021" t="s">
        <v>13</v>
      </c>
      <c r="E1021" t="s">
        <v>43</v>
      </c>
      <c r="F1021" t="s">
        <v>256</v>
      </c>
      <c r="G1021">
        <v>538</v>
      </c>
      <c r="H1021">
        <v>62000</v>
      </c>
      <c r="I1021">
        <v>33356000</v>
      </c>
    </row>
    <row r="1022" spans="1:11" hidden="1" x14ac:dyDescent="0.25">
      <c r="A1022" s="210" t="s">
        <v>1646</v>
      </c>
      <c r="B1022">
        <v>9249</v>
      </c>
      <c r="C1022" s="100">
        <v>46150</v>
      </c>
      <c r="D1022" t="s">
        <v>13</v>
      </c>
      <c r="E1022" t="s">
        <v>32</v>
      </c>
      <c r="F1022" t="s">
        <v>40</v>
      </c>
      <c r="G1022">
        <v>424</v>
      </c>
      <c r="H1022">
        <v>43000</v>
      </c>
      <c r="I1022">
        <v>18232000</v>
      </c>
    </row>
    <row r="1023" spans="1:11" hidden="1" x14ac:dyDescent="0.25">
      <c r="A1023" s="210" t="s">
        <v>1524</v>
      </c>
      <c r="B1023">
        <v>9248</v>
      </c>
      <c r="C1023" s="100">
        <v>46150</v>
      </c>
      <c r="D1023" t="s">
        <v>49</v>
      </c>
      <c r="E1023" t="s">
        <v>43</v>
      </c>
      <c r="F1023" t="s">
        <v>62</v>
      </c>
      <c r="G1023">
        <v>649</v>
      </c>
      <c r="I1023">
        <v>0</v>
      </c>
      <c r="K1023" t="s">
        <v>1740</v>
      </c>
    </row>
    <row r="1024" spans="1:11" hidden="1" x14ac:dyDescent="0.25">
      <c r="A1024" s="210" t="s">
        <v>1524</v>
      </c>
      <c r="B1024">
        <v>9247</v>
      </c>
      <c r="C1024" s="100">
        <v>46150</v>
      </c>
      <c r="D1024" t="s">
        <v>49</v>
      </c>
      <c r="E1024" t="s">
        <v>143</v>
      </c>
      <c r="F1024" t="s">
        <v>78</v>
      </c>
      <c r="G1024">
        <v>338</v>
      </c>
      <c r="I1024">
        <v>0</v>
      </c>
      <c r="K1024" t="s">
        <v>1978</v>
      </c>
    </row>
    <row r="1025" spans="1:11" hidden="1" x14ac:dyDescent="0.25">
      <c r="A1025" s="210" t="s">
        <v>1512</v>
      </c>
      <c r="B1025">
        <v>9246</v>
      </c>
      <c r="C1025" s="100">
        <v>46149</v>
      </c>
      <c r="D1025" t="s">
        <v>13</v>
      </c>
      <c r="E1025" t="s">
        <v>1831</v>
      </c>
      <c r="F1025" t="s">
        <v>148</v>
      </c>
      <c r="G1025">
        <v>2640</v>
      </c>
      <c r="H1025">
        <v>71500</v>
      </c>
      <c r="I1025">
        <v>188760000</v>
      </c>
    </row>
    <row r="1026" spans="1:11" hidden="1" x14ac:dyDescent="0.25">
      <c r="A1026" s="210" t="s">
        <v>1548</v>
      </c>
      <c r="B1026">
        <v>9245</v>
      </c>
      <c r="C1026" s="100">
        <v>46149</v>
      </c>
      <c r="D1026" t="s">
        <v>13</v>
      </c>
      <c r="E1026" t="s">
        <v>43</v>
      </c>
      <c r="F1026" t="s">
        <v>1976</v>
      </c>
      <c r="G1026">
        <v>818</v>
      </c>
      <c r="H1026">
        <v>64000</v>
      </c>
      <c r="I1026">
        <v>52352000</v>
      </c>
    </row>
    <row r="1027" spans="1:11" hidden="1" x14ac:dyDescent="0.25">
      <c r="A1027" s="210" t="s">
        <v>1626</v>
      </c>
      <c r="B1027">
        <v>9244</v>
      </c>
      <c r="C1027" s="100">
        <v>46149</v>
      </c>
      <c r="D1027" t="s">
        <v>13</v>
      </c>
      <c r="E1027" t="s">
        <v>103</v>
      </c>
      <c r="F1027" t="s">
        <v>1975</v>
      </c>
      <c r="G1027">
        <v>3102</v>
      </c>
      <c r="H1027">
        <v>37000</v>
      </c>
      <c r="I1027">
        <v>114774000</v>
      </c>
    </row>
    <row r="1028" spans="1:11" hidden="1" x14ac:dyDescent="0.25">
      <c r="A1028" s="210" t="s">
        <v>1622</v>
      </c>
      <c r="B1028">
        <v>9242</v>
      </c>
      <c r="C1028" s="100">
        <v>46149</v>
      </c>
      <c r="D1028" t="s">
        <v>13</v>
      </c>
      <c r="E1028" t="s">
        <v>26</v>
      </c>
      <c r="F1028" t="s">
        <v>40</v>
      </c>
      <c r="G1028">
        <v>650</v>
      </c>
      <c r="H1028">
        <v>36000</v>
      </c>
      <c r="I1028">
        <v>23400000</v>
      </c>
    </row>
    <row r="1029" spans="1:11" hidden="1" x14ac:dyDescent="0.25">
      <c r="A1029" s="210" t="s">
        <v>1622</v>
      </c>
      <c r="B1029">
        <v>9242</v>
      </c>
      <c r="C1029" s="100">
        <v>46149</v>
      </c>
      <c r="D1029" t="s">
        <v>13</v>
      </c>
      <c r="E1029" t="s">
        <v>265</v>
      </c>
      <c r="F1029" t="s">
        <v>146</v>
      </c>
      <c r="G1029">
        <v>624</v>
      </c>
      <c r="H1029">
        <v>67500</v>
      </c>
      <c r="I1029">
        <v>42120000</v>
      </c>
    </row>
    <row r="1030" spans="1:11" hidden="1" x14ac:dyDescent="0.25">
      <c r="A1030" s="210" t="s">
        <v>1539</v>
      </c>
      <c r="B1030">
        <v>9241</v>
      </c>
      <c r="C1030" s="100">
        <v>46149</v>
      </c>
      <c r="D1030" t="s">
        <v>13</v>
      </c>
      <c r="E1030" t="s">
        <v>43</v>
      </c>
      <c r="F1030" t="s">
        <v>230</v>
      </c>
      <c r="G1030">
        <v>240</v>
      </c>
      <c r="H1030">
        <v>67000</v>
      </c>
      <c r="I1030">
        <v>16080000</v>
      </c>
    </row>
    <row r="1031" spans="1:11" hidden="1" x14ac:dyDescent="0.25">
      <c r="A1031" s="210" t="s">
        <v>1668</v>
      </c>
      <c r="B1031">
        <v>9240</v>
      </c>
      <c r="C1031" s="100">
        <v>46149</v>
      </c>
      <c r="D1031" t="s">
        <v>13</v>
      </c>
      <c r="E1031" t="s">
        <v>17</v>
      </c>
      <c r="F1031" t="s">
        <v>251</v>
      </c>
      <c r="G1031">
        <v>1916</v>
      </c>
      <c r="H1031">
        <v>65000</v>
      </c>
      <c r="I1031">
        <v>124540000</v>
      </c>
    </row>
    <row r="1032" spans="1:11" hidden="1" x14ac:dyDescent="0.25">
      <c r="A1032" s="210" t="s">
        <v>1672</v>
      </c>
      <c r="B1032">
        <v>9240</v>
      </c>
      <c r="C1032" s="100">
        <v>46158</v>
      </c>
      <c r="D1032" t="s">
        <v>692</v>
      </c>
      <c r="E1032" t="s">
        <v>68</v>
      </c>
      <c r="F1032" t="s">
        <v>2198</v>
      </c>
      <c r="G1032">
        <v>2452</v>
      </c>
      <c r="H1032">
        <v>-40500</v>
      </c>
      <c r="I1032">
        <v>-99306000</v>
      </c>
    </row>
    <row r="1033" spans="1:11" hidden="1" x14ac:dyDescent="0.25">
      <c r="A1033" s="210" t="s">
        <v>1623</v>
      </c>
      <c r="B1033">
        <v>9239</v>
      </c>
      <c r="C1033" s="100">
        <v>46149</v>
      </c>
      <c r="D1033" t="s">
        <v>13</v>
      </c>
      <c r="E1033" t="s">
        <v>43</v>
      </c>
      <c r="F1033" t="s">
        <v>41</v>
      </c>
      <c r="G1033">
        <v>5325</v>
      </c>
      <c r="H1033">
        <v>65000</v>
      </c>
      <c r="I1033">
        <v>346125000</v>
      </c>
    </row>
    <row r="1034" spans="1:11" hidden="1" x14ac:dyDescent="0.25">
      <c r="A1034" s="210" t="s">
        <v>1579</v>
      </c>
      <c r="B1034">
        <v>9238</v>
      </c>
      <c r="C1034" s="100">
        <v>46149</v>
      </c>
      <c r="D1034" t="s">
        <v>13</v>
      </c>
      <c r="E1034" t="s">
        <v>43</v>
      </c>
      <c r="F1034" t="s">
        <v>1974</v>
      </c>
      <c r="G1034">
        <v>5840</v>
      </c>
      <c r="H1034">
        <v>61500</v>
      </c>
      <c r="I1034">
        <v>359160000</v>
      </c>
    </row>
    <row r="1035" spans="1:11" hidden="1" x14ac:dyDescent="0.25">
      <c r="A1035" s="210" t="s">
        <v>1672</v>
      </c>
      <c r="B1035">
        <v>9238</v>
      </c>
      <c r="C1035" s="100">
        <v>46158</v>
      </c>
      <c r="D1035" t="s">
        <v>692</v>
      </c>
      <c r="E1035" t="s">
        <v>135</v>
      </c>
      <c r="F1035" t="s">
        <v>2196</v>
      </c>
      <c r="G1035">
        <v>214</v>
      </c>
      <c r="H1035">
        <v>-37000</v>
      </c>
      <c r="I1035">
        <v>-7918000</v>
      </c>
    </row>
    <row r="1036" spans="1:11" hidden="1" x14ac:dyDescent="0.25">
      <c r="A1036" s="210" t="s">
        <v>1592</v>
      </c>
      <c r="B1036">
        <v>9237</v>
      </c>
      <c r="C1036" s="100">
        <v>46149</v>
      </c>
      <c r="D1036" t="s">
        <v>49</v>
      </c>
      <c r="E1036" t="s">
        <v>43</v>
      </c>
      <c r="F1036" t="s">
        <v>134</v>
      </c>
      <c r="G1036">
        <v>1990</v>
      </c>
      <c r="I1036">
        <v>0</v>
      </c>
      <c r="K1036" t="s">
        <v>1740</v>
      </c>
    </row>
    <row r="1037" spans="1:11" hidden="1" x14ac:dyDescent="0.25">
      <c r="A1037" s="210" t="s">
        <v>1592</v>
      </c>
      <c r="B1037">
        <v>9237</v>
      </c>
      <c r="C1037" s="100">
        <v>46149</v>
      </c>
      <c r="D1037" t="s">
        <v>49</v>
      </c>
      <c r="E1037" t="s">
        <v>43</v>
      </c>
      <c r="F1037" t="s">
        <v>136</v>
      </c>
      <c r="G1037">
        <v>3038</v>
      </c>
      <c r="I1037">
        <v>0</v>
      </c>
      <c r="K1037" t="s">
        <v>1977</v>
      </c>
    </row>
    <row r="1038" spans="1:11" hidden="1" x14ac:dyDescent="0.25">
      <c r="A1038" s="210" t="s">
        <v>1592</v>
      </c>
      <c r="B1038">
        <v>9237</v>
      </c>
      <c r="C1038" s="100">
        <v>46149</v>
      </c>
      <c r="D1038" t="s">
        <v>49</v>
      </c>
      <c r="E1038" t="s">
        <v>43</v>
      </c>
      <c r="F1038" t="s">
        <v>146</v>
      </c>
      <c r="G1038">
        <v>2014</v>
      </c>
      <c r="I1038">
        <v>0</v>
      </c>
      <c r="K1038" t="s">
        <v>1740</v>
      </c>
    </row>
    <row r="1039" spans="1:11" hidden="1" x14ac:dyDescent="0.25">
      <c r="A1039" s="210" t="s">
        <v>1592</v>
      </c>
      <c r="B1039">
        <v>9237</v>
      </c>
      <c r="C1039" s="100">
        <v>46149</v>
      </c>
      <c r="D1039" t="s">
        <v>49</v>
      </c>
      <c r="E1039" t="s">
        <v>43</v>
      </c>
      <c r="F1039" t="s">
        <v>134</v>
      </c>
      <c r="G1039">
        <v>1937</v>
      </c>
      <c r="I1039">
        <v>0</v>
      </c>
      <c r="K1039" t="s">
        <v>1740</v>
      </c>
    </row>
    <row r="1040" spans="1:11" hidden="1" x14ac:dyDescent="0.25">
      <c r="A1040" s="210" t="s">
        <v>1672</v>
      </c>
      <c r="B1040">
        <v>9237</v>
      </c>
      <c r="C1040" s="100">
        <v>46158</v>
      </c>
      <c r="D1040" t="s">
        <v>692</v>
      </c>
      <c r="E1040" t="s">
        <v>103</v>
      </c>
      <c r="F1040" t="s">
        <v>2195</v>
      </c>
      <c r="G1040">
        <v>292</v>
      </c>
      <c r="H1040">
        <v>-37000</v>
      </c>
      <c r="I1040">
        <v>-10804000</v>
      </c>
    </row>
    <row r="1041" spans="1:11" hidden="1" x14ac:dyDescent="0.25">
      <c r="A1041" s="210" t="s">
        <v>1490</v>
      </c>
      <c r="B1041">
        <v>9236</v>
      </c>
      <c r="C1041" s="100">
        <v>46149</v>
      </c>
      <c r="D1041" t="s">
        <v>13</v>
      </c>
      <c r="E1041" t="s">
        <v>17</v>
      </c>
      <c r="F1041" t="s">
        <v>25</v>
      </c>
      <c r="G1041">
        <v>534</v>
      </c>
      <c r="H1041">
        <v>63500</v>
      </c>
      <c r="I1041">
        <v>33909000</v>
      </c>
    </row>
    <row r="1042" spans="1:11" hidden="1" x14ac:dyDescent="0.25">
      <c r="A1042" s="210" t="s">
        <v>1490</v>
      </c>
      <c r="B1042">
        <v>9236</v>
      </c>
      <c r="C1042" s="100">
        <v>46149</v>
      </c>
      <c r="D1042" t="s">
        <v>13</v>
      </c>
      <c r="E1042" t="s">
        <v>17</v>
      </c>
      <c r="F1042" t="s">
        <v>33</v>
      </c>
      <c r="G1042">
        <v>108</v>
      </c>
      <c r="H1042">
        <v>63500</v>
      </c>
      <c r="I1042">
        <v>6858000</v>
      </c>
    </row>
    <row r="1043" spans="1:11" hidden="1" x14ac:dyDescent="0.25">
      <c r="A1043" s="210" t="s">
        <v>1672</v>
      </c>
      <c r="B1043">
        <v>9236</v>
      </c>
      <c r="C1043" s="100">
        <v>46158</v>
      </c>
      <c r="D1043" t="s">
        <v>692</v>
      </c>
      <c r="E1043" t="s">
        <v>103</v>
      </c>
      <c r="F1043" t="s">
        <v>2197</v>
      </c>
      <c r="G1043">
        <v>996</v>
      </c>
      <c r="H1043">
        <v>-37000</v>
      </c>
      <c r="I1043">
        <v>-36852000</v>
      </c>
    </row>
    <row r="1044" spans="1:11" hidden="1" x14ac:dyDescent="0.25">
      <c r="A1044" s="210" t="s">
        <v>1689</v>
      </c>
      <c r="B1044">
        <v>9234</v>
      </c>
      <c r="C1044" s="100">
        <v>46149</v>
      </c>
      <c r="D1044" t="s">
        <v>426</v>
      </c>
      <c r="E1044" t="s">
        <v>43</v>
      </c>
      <c r="F1044" t="s">
        <v>140</v>
      </c>
      <c r="G1044">
        <v>5950</v>
      </c>
      <c r="I1044">
        <v>0</v>
      </c>
    </row>
    <row r="1045" spans="1:11" hidden="1" x14ac:dyDescent="0.25">
      <c r="A1045" s="210" t="s">
        <v>1622</v>
      </c>
      <c r="B1045">
        <v>9233</v>
      </c>
      <c r="C1045" s="100">
        <v>46149</v>
      </c>
      <c r="D1045" t="s">
        <v>426</v>
      </c>
      <c r="E1045" t="s">
        <v>26</v>
      </c>
      <c r="F1045" t="s">
        <v>40</v>
      </c>
      <c r="G1045">
        <v>1094</v>
      </c>
      <c r="H1045">
        <v>-36000</v>
      </c>
      <c r="I1045">
        <v>-39384000</v>
      </c>
    </row>
    <row r="1046" spans="1:11" hidden="1" x14ac:dyDescent="0.25">
      <c r="A1046" s="210" t="s">
        <v>1531</v>
      </c>
      <c r="B1046">
        <v>9232</v>
      </c>
      <c r="C1046" s="100">
        <v>46149</v>
      </c>
      <c r="D1046" t="s">
        <v>13</v>
      </c>
      <c r="E1046" t="s">
        <v>17</v>
      </c>
      <c r="F1046" t="s">
        <v>46</v>
      </c>
      <c r="G1046">
        <v>932</v>
      </c>
      <c r="H1046">
        <v>62500</v>
      </c>
      <c r="I1046">
        <v>58250000</v>
      </c>
      <c r="K1046" t="s">
        <v>42</v>
      </c>
    </row>
    <row r="1047" spans="1:11" hidden="1" x14ac:dyDescent="0.25">
      <c r="A1047" s="210" t="s">
        <v>1490</v>
      </c>
      <c r="B1047">
        <v>9231</v>
      </c>
      <c r="C1047" s="100">
        <v>46149</v>
      </c>
      <c r="D1047" t="s">
        <v>13</v>
      </c>
      <c r="E1047" t="s">
        <v>17</v>
      </c>
      <c r="F1047" t="s">
        <v>25</v>
      </c>
      <c r="G1047">
        <v>1244</v>
      </c>
      <c r="H1047">
        <v>63500</v>
      </c>
      <c r="I1047">
        <v>78994000</v>
      </c>
      <c r="K1047" t="s">
        <v>42</v>
      </c>
    </row>
    <row r="1048" spans="1:11" hidden="1" x14ac:dyDescent="0.25">
      <c r="A1048" s="210" t="s">
        <v>1499</v>
      </c>
      <c r="B1048">
        <v>9230</v>
      </c>
      <c r="C1048" s="100">
        <v>46149</v>
      </c>
      <c r="D1048" t="s">
        <v>13</v>
      </c>
      <c r="E1048" t="s">
        <v>43</v>
      </c>
      <c r="F1048" t="s">
        <v>230</v>
      </c>
      <c r="G1048">
        <v>304</v>
      </c>
      <c r="H1048">
        <v>67000</v>
      </c>
      <c r="I1048">
        <v>20368000</v>
      </c>
    </row>
    <row r="1049" spans="1:11" hidden="1" x14ac:dyDescent="0.25">
      <c r="A1049" s="210" t="s">
        <v>1973</v>
      </c>
      <c r="B1049">
        <v>9229</v>
      </c>
      <c r="C1049" s="100">
        <v>46149</v>
      </c>
      <c r="D1049" t="s">
        <v>13</v>
      </c>
      <c r="E1049" t="s">
        <v>14</v>
      </c>
      <c r="F1049" t="s">
        <v>78</v>
      </c>
      <c r="G1049">
        <v>540</v>
      </c>
      <c r="H1049">
        <v>47000</v>
      </c>
      <c r="I1049">
        <v>25380000</v>
      </c>
    </row>
    <row r="1050" spans="1:11" hidden="1" x14ac:dyDescent="0.25">
      <c r="A1050" s="210" t="s">
        <v>1562</v>
      </c>
      <c r="B1050">
        <v>9228</v>
      </c>
      <c r="C1050" s="100">
        <v>46149</v>
      </c>
      <c r="D1050" t="s">
        <v>13</v>
      </c>
      <c r="E1050" t="s">
        <v>169</v>
      </c>
      <c r="F1050" t="s">
        <v>62</v>
      </c>
      <c r="G1050">
        <v>1070</v>
      </c>
      <c r="H1050">
        <v>40500</v>
      </c>
      <c r="I1050">
        <v>43335000</v>
      </c>
    </row>
    <row r="1051" spans="1:11" hidden="1" x14ac:dyDescent="0.25">
      <c r="A1051" s="210" t="s">
        <v>1562</v>
      </c>
      <c r="B1051">
        <v>9228</v>
      </c>
      <c r="C1051" s="100">
        <v>46149</v>
      </c>
      <c r="D1051" t="s">
        <v>13</v>
      </c>
      <c r="E1051" t="s">
        <v>265</v>
      </c>
      <c r="F1051" t="s">
        <v>136</v>
      </c>
      <c r="G1051">
        <v>760</v>
      </c>
      <c r="H1051">
        <v>69000</v>
      </c>
      <c r="I1051">
        <v>52440000</v>
      </c>
    </row>
    <row r="1052" spans="1:11" hidden="1" x14ac:dyDescent="0.25">
      <c r="A1052" s="210" t="s">
        <v>1562</v>
      </c>
      <c r="B1052">
        <v>9228</v>
      </c>
      <c r="C1052" s="100">
        <v>46149</v>
      </c>
      <c r="D1052" t="s">
        <v>13</v>
      </c>
      <c r="E1052" t="s">
        <v>50</v>
      </c>
      <c r="F1052" t="s">
        <v>1127</v>
      </c>
      <c r="G1052">
        <v>432</v>
      </c>
      <c r="H1052">
        <v>65000</v>
      </c>
      <c r="I1052">
        <v>28080000</v>
      </c>
    </row>
    <row r="1053" spans="1:11" hidden="1" x14ac:dyDescent="0.25">
      <c r="A1053" s="210" t="s">
        <v>1506</v>
      </c>
      <c r="B1053">
        <v>9227</v>
      </c>
      <c r="C1053" s="100">
        <v>46149</v>
      </c>
      <c r="D1053" t="s">
        <v>13</v>
      </c>
      <c r="E1053" t="s">
        <v>43</v>
      </c>
      <c r="F1053" t="s">
        <v>203</v>
      </c>
      <c r="G1053">
        <v>854</v>
      </c>
      <c r="H1053">
        <v>64000</v>
      </c>
      <c r="I1053">
        <v>54656000</v>
      </c>
    </row>
    <row r="1054" spans="1:11" hidden="1" x14ac:dyDescent="0.25">
      <c r="A1054" s="210" t="s">
        <v>1531</v>
      </c>
      <c r="B1054">
        <v>9226</v>
      </c>
      <c r="C1054" s="100">
        <v>46149</v>
      </c>
      <c r="D1054" t="s">
        <v>13</v>
      </c>
      <c r="E1054" t="s">
        <v>17</v>
      </c>
      <c r="F1054" t="s">
        <v>446</v>
      </c>
      <c r="G1054">
        <v>687</v>
      </c>
      <c r="I1054">
        <v>0</v>
      </c>
    </row>
    <row r="1055" spans="1:11" hidden="1" x14ac:dyDescent="0.25">
      <c r="A1055" s="210" t="s">
        <v>1524</v>
      </c>
      <c r="B1055">
        <v>9225</v>
      </c>
      <c r="C1055" s="100">
        <v>46149</v>
      </c>
      <c r="D1055" t="s">
        <v>49</v>
      </c>
      <c r="E1055" t="s">
        <v>301</v>
      </c>
      <c r="F1055" t="s">
        <v>81</v>
      </c>
      <c r="G1055">
        <v>2240</v>
      </c>
      <c r="I1055">
        <v>0</v>
      </c>
      <c r="K1055" t="s">
        <v>1971</v>
      </c>
    </row>
    <row r="1056" spans="1:11" hidden="1" x14ac:dyDescent="0.25">
      <c r="A1056" s="210" t="s">
        <v>1593</v>
      </c>
      <c r="B1056">
        <v>9224</v>
      </c>
      <c r="C1056" s="100">
        <v>46149</v>
      </c>
      <c r="D1056" t="s">
        <v>13</v>
      </c>
      <c r="E1056" t="s">
        <v>252</v>
      </c>
      <c r="F1056" t="s">
        <v>62</v>
      </c>
      <c r="G1056">
        <v>1233</v>
      </c>
      <c r="H1056">
        <v>39500</v>
      </c>
      <c r="I1056">
        <v>48703500</v>
      </c>
    </row>
    <row r="1057" spans="1:11" hidden="1" x14ac:dyDescent="0.25">
      <c r="A1057" s="210" t="s">
        <v>1593</v>
      </c>
      <c r="B1057">
        <v>9224</v>
      </c>
      <c r="C1057" s="100">
        <v>46149</v>
      </c>
      <c r="D1057" t="s">
        <v>13</v>
      </c>
      <c r="E1057" t="s">
        <v>265</v>
      </c>
      <c r="F1057" t="s">
        <v>41</v>
      </c>
      <c r="G1057">
        <v>786</v>
      </c>
      <c r="H1057">
        <v>68000</v>
      </c>
      <c r="I1057">
        <v>53448000</v>
      </c>
    </row>
    <row r="1058" spans="1:11" hidden="1" x14ac:dyDescent="0.25">
      <c r="A1058" s="210" t="s">
        <v>1592</v>
      </c>
      <c r="B1058">
        <v>9223</v>
      </c>
      <c r="C1058" s="100">
        <v>46149</v>
      </c>
      <c r="D1058" t="s">
        <v>49</v>
      </c>
      <c r="E1058" t="s">
        <v>45</v>
      </c>
      <c r="F1058" t="s">
        <v>462</v>
      </c>
      <c r="G1058">
        <v>4620</v>
      </c>
      <c r="I1058">
        <v>0</v>
      </c>
      <c r="K1058" t="s">
        <v>1970</v>
      </c>
    </row>
    <row r="1059" spans="1:11" hidden="1" x14ac:dyDescent="0.25">
      <c r="A1059" s="210" t="s">
        <v>1592</v>
      </c>
      <c r="B1059">
        <v>9223</v>
      </c>
      <c r="C1059" s="100">
        <v>46149</v>
      </c>
      <c r="D1059" t="s">
        <v>49</v>
      </c>
      <c r="E1059" t="s">
        <v>17</v>
      </c>
      <c r="F1059" t="s">
        <v>41</v>
      </c>
      <c r="G1059">
        <v>781</v>
      </c>
      <c r="I1059">
        <v>0</v>
      </c>
      <c r="K1059" t="s">
        <v>1740</v>
      </c>
    </row>
    <row r="1060" spans="1:11" hidden="1" x14ac:dyDescent="0.25">
      <c r="A1060" s="210" t="s">
        <v>1964</v>
      </c>
      <c r="B1060">
        <v>9222</v>
      </c>
      <c r="C1060" s="100">
        <v>46149</v>
      </c>
      <c r="D1060" t="s">
        <v>13</v>
      </c>
      <c r="E1060" t="s">
        <v>50</v>
      </c>
      <c r="F1060" t="s">
        <v>688</v>
      </c>
      <c r="G1060">
        <v>1048</v>
      </c>
      <c r="H1060">
        <v>62000</v>
      </c>
      <c r="I1060">
        <v>64976000</v>
      </c>
    </row>
    <row r="1061" spans="1:11" hidden="1" x14ac:dyDescent="0.25">
      <c r="A1061" s="210" t="s">
        <v>1964</v>
      </c>
      <c r="B1061">
        <v>9222</v>
      </c>
      <c r="C1061" s="100">
        <v>46149</v>
      </c>
      <c r="D1061" t="s">
        <v>13</v>
      </c>
      <c r="E1061" t="s">
        <v>1965</v>
      </c>
      <c r="F1061" t="s">
        <v>1966</v>
      </c>
      <c r="G1061">
        <v>205</v>
      </c>
      <c r="H1061">
        <v>70000</v>
      </c>
      <c r="I1061">
        <v>14350000</v>
      </c>
    </row>
    <row r="1062" spans="1:11" hidden="1" x14ac:dyDescent="0.25">
      <c r="A1062" s="210" t="s">
        <v>1964</v>
      </c>
      <c r="B1062">
        <v>9222</v>
      </c>
      <c r="C1062" s="100">
        <v>46149</v>
      </c>
      <c r="D1062" t="s">
        <v>13</v>
      </c>
      <c r="E1062" t="s">
        <v>1965</v>
      </c>
      <c r="F1062" t="s">
        <v>1967</v>
      </c>
      <c r="G1062">
        <v>91</v>
      </c>
      <c r="H1062">
        <v>70000</v>
      </c>
      <c r="I1062">
        <v>6370000</v>
      </c>
    </row>
    <row r="1063" spans="1:11" hidden="1" x14ac:dyDescent="0.25">
      <c r="A1063" s="210" t="s">
        <v>1964</v>
      </c>
      <c r="B1063">
        <v>9222</v>
      </c>
      <c r="C1063" s="100">
        <v>46149</v>
      </c>
      <c r="D1063" t="s">
        <v>13</v>
      </c>
      <c r="E1063" t="s">
        <v>1968</v>
      </c>
      <c r="F1063" t="s">
        <v>1969</v>
      </c>
      <c r="G1063">
        <v>19</v>
      </c>
      <c r="H1063">
        <v>75000</v>
      </c>
      <c r="I1063">
        <v>1425000</v>
      </c>
    </row>
    <row r="1064" spans="1:11" hidden="1" x14ac:dyDescent="0.25">
      <c r="A1064" s="210" t="s">
        <v>1511</v>
      </c>
      <c r="B1064">
        <v>9221</v>
      </c>
      <c r="C1064" s="100">
        <v>46148</v>
      </c>
      <c r="D1064" t="s">
        <v>13</v>
      </c>
      <c r="E1064" t="s">
        <v>17</v>
      </c>
      <c r="F1064" t="s">
        <v>469</v>
      </c>
      <c r="G1064">
        <v>18</v>
      </c>
      <c r="H1064">
        <v>72000</v>
      </c>
      <c r="I1064">
        <v>1296000</v>
      </c>
      <c r="J1064">
        <v>1296000</v>
      </c>
    </row>
    <row r="1065" spans="1:11" hidden="1" x14ac:dyDescent="0.25">
      <c r="A1065" s="210" t="s">
        <v>1822</v>
      </c>
      <c r="B1065">
        <v>9220</v>
      </c>
      <c r="C1065" s="100">
        <v>46148</v>
      </c>
      <c r="D1065" t="s">
        <v>13</v>
      </c>
      <c r="E1065" t="s">
        <v>17</v>
      </c>
      <c r="F1065" t="s">
        <v>41</v>
      </c>
      <c r="G1065">
        <v>504</v>
      </c>
      <c r="H1065">
        <v>62000</v>
      </c>
      <c r="I1065">
        <v>31248000</v>
      </c>
    </row>
    <row r="1066" spans="1:11" hidden="1" x14ac:dyDescent="0.25">
      <c r="A1066" s="210" t="s">
        <v>1822</v>
      </c>
      <c r="B1066">
        <v>9220</v>
      </c>
      <c r="C1066" s="100">
        <v>46148</v>
      </c>
      <c r="D1066" t="s">
        <v>13</v>
      </c>
      <c r="E1066" t="s">
        <v>540</v>
      </c>
      <c r="F1066" t="s">
        <v>1958</v>
      </c>
      <c r="G1066">
        <v>8</v>
      </c>
      <c r="H1066">
        <v>43500</v>
      </c>
      <c r="I1066">
        <v>348000</v>
      </c>
    </row>
    <row r="1067" spans="1:11" hidden="1" x14ac:dyDescent="0.25">
      <c r="A1067" s="210" t="s">
        <v>1536</v>
      </c>
      <c r="B1067">
        <v>9219</v>
      </c>
      <c r="C1067" s="100">
        <v>46150</v>
      </c>
      <c r="D1067" t="s">
        <v>13</v>
      </c>
      <c r="E1067" t="s">
        <v>54</v>
      </c>
      <c r="F1067" t="s">
        <v>116</v>
      </c>
      <c r="G1067">
        <v>116</v>
      </c>
      <c r="H1067">
        <v>35000</v>
      </c>
      <c r="I1067">
        <v>4060000</v>
      </c>
    </row>
    <row r="1068" spans="1:11" hidden="1" x14ac:dyDescent="0.25">
      <c r="A1068" s="210" t="s">
        <v>1536</v>
      </c>
      <c r="B1068">
        <v>9219</v>
      </c>
      <c r="C1068" s="100">
        <v>46150</v>
      </c>
      <c r="D1068" t="s">
        <v>13</v>
      </c>
      <c r="E1068" t="s">
        <v>109</v>
      </c>
      <c r="F1068" t="s">
        <v>1992</v>
      </c>
      <c r="G1068">
        <v>180</v>
      </c>
      <c r="H1068">
        <v>60000</v>
      </c>
      <c r="I1068">
        <v>10800000</v>
      </c>
    </row>
    <row r="1069" spans="1:11" hidden="1" x14ac:dyDescent="0.25">
      <c r="A1069" s="210" t="s">
        <v>1536</v>
      </c>
      <c r="B1069">
        <v>9219</v>
      </c>
      <c r="C1069" s="100">
        <v>46150</v>
      </c>
      <c r="D1069" t="s">
        <v>13</v>
      </c>
      <c r="E1069" t="s">
        <v>14</v>
      </c>
      <c r="F1069" t="s">
        <v>78</v>
      </c>
      <c r="G1069">
        <v>214</v>
      </c>
      <c r="H1069">
        <v>45000</v>
      </c>
      <c r="I1069">
        <v>9630000</v>
      </c>
    </row>
    <row r="1070" spans="1:11" hidden="1" x14ac:dyDescent="0.25">
      <c r="A1070" s="210" t="s">
        <v>1668</v>
      </c>
      <c r="B1070">
        <v>9218</v>
      </c>
      <c r="C1070" s="100">
        <v>46148</v>
      </c>
      <c r="D1070" t="s">
        <v>13</v>
      </c>
      <c r="E1070" t="s">
        <v>17</v>
      </c>
      <c r="F1070" t="s">
        <v>251</v>
      </c>
      <c r="G1070">
        <v>840</v>
      </c>
      <c r="H1070">
        <v>65000</v>
      </c>
      <c r="I1070">
        <v>54600000</v>
      </c>
    </row>
    <row r="1071" spans="1:11" hidden="1" x14ac:dyDescent="0.25">
      <c r="A1071" s="210" t="s">
        <v>1633</v>
      </c>
      <c r="B1071">
        <v>9217</v>
      </c>
      <c r="C1071" s="100">
        <v>46148</v>
      </c>
      <c r="D1071" t="s">
        <v>13</v>
      </c>
      <c r="E1071" t="s">
        <v>252</v>
      </c>
      <c r="F1071" t="s">
        <v>62</v>
      </c>
      <c r="G1071">
        <v>1540</v>
      </c>
      <c r="H1071">
        <v>39500</v>
      </c>
      <c r="I1071">
        <v>60830000</v>
      </c>
    </row>
    <row r="1072" spans="1:11" hidden="1" x14ac:dyDescent="0.25">
      <c r="A1072" s="210" t="s">
        <v>1633</v>
      </c>
      <c r="B1072">
        <v>9217</v>
      </c>
      <c r="C1072" s="100">
        <v>46148</v>
      </c>
      <c r="D1072" t="s">
        <v>13</v>
      </c>
      <c r="E1072" t="s">
        <v>14</v>
      </c>
      <c r="F1072" t="s">
        <v>78</v>
      </c>
      <c r="G1072">
        <v>1106</v>
      </c>
      <c r="H1072">
        <v>45000</v>
      </c>
      <c r="I1072">
        <v>49770000</v>
      </c>
    </row>
    <row r="1073" spans="1:11" hidden="1" x14ac:dyDescent="0.25">
      <c r="A1073" s="210" t="s">
        <v>1512</v>
      </c>
      <c r="B1073">
        <v>9216</v>
      </c>
      <c r="C1073" s="100">
        <v>46148</v>
      </c>
      <c r="D1073" t="s">
        <v>13</v>
      </c>
      <c r="E1073" t="s">
        <v>1831</v>
      </c>
      <c r="F1073" t="s">
        <v>148</v>
      </c>
      <c r="G1073">
        <v>5396</v>
      </c>
      <c r="H1073">
        <v>71500</v>
      </c>
      <c r="I1073">
        <v>385814000</v>
      </c>
    </row>
    <row r="1074" spans="1:11" hidden="1" x14ac:dyDescent="0.25">
      <c r="A1074" s="210" t="s">
        <v>1957</v>
      </c>
      <c r="B1074">
        <v>9215</v>
      </c>
      <c r="C1074" s="100">
        <v>46148</v>
      </c>
      <c r="D1074" t="s">
        <v>13</v>
      </c>
      <c r="E1074" t="s">
        <v>50</v>
      </c>
      <c r="F1074" t="s">
        <v>717</v>
      </c>
      <c r="G1074">
        <v>268</v>
      </c>
      <c r="H1074">
        <v>60000</v>
      </c>
      <c r="I1074">
        <v>16080000</v>
      </c>
      <c r="K1074" t="s">
        <v>42</v>
      </c>
    </row>
    <row r="1075" spans="1:11" hidden="1" x14ac:dyDescent="0.25">
      <c r="A1075" s="210" t="s">
        <v>1580</v>
      </c>
      <c r="B1075">
        <v>9214</v>
      </c>
      <c r="C1075" s="100">
        <v>46148</v>
      </c>
      <c r="D1075" t="s">
        <v>13</v>
      </c>
      <c r="E1075" t="s">
        <v>17</v>
      </c>
      <c r="F1075" t="s">
        <v>134</v>
      </c>
      <c r="G1075">
        <v>1337</v>
      </c>
      <c r="H1075">
        <v>60500</v>
      </c>
      <c r="I1075">
        <v>80888500</v>
      </c>
    </row>
    <row r="1076" spans="1:11" hidden="1" x14ac:dyDescent="0.25">
      <c r="A1076" s="210" t="s">
        <v>1610</v>
      </c>
      <c r="B1076">
        <v>9213</v>
      </c>
      <c r="C1076" s="100">
        <v>46148</v>
      </c>
      <c r="D1076" t="s">
        <v>13</v>
      </c>
      <c r="E1076" t="s">
        <v>26</v>
      </c>
      <c r="F1076" t="s">
        <v>136</v>
      </c>
      <c r="G1076">
        <v>1308</v>
      </c>
      <c r="H1076">
        <v>33000</v>
      </c>
      <c r="I1076">
        <v>43164000</v>
      </c>
      <c r="K1076" t="s">
        <v>42</v>
      </c>
    </row>
    <row r="1077" spans="1:11" hidden="1" x14ac:dyDescent="0.25">
      <c r="A1077" s="210" t="s">
        <v>1960</v>
      </c>
      <c r="B1077">
        <v>9212</v>
      </c>
      <c r="C1077" s="100">
        <v>46148</v>
      </c>
      <c r="D1077" t="s">
        <v>13</v>
      </c>
      <c r="E1077" t="s">
        <v>26</v>
      </c>
      <c r="F1077" t="s">
        <v>1961</v>
      </c>
      <c r="G1077">
        <v>308</v>
      </c>
      <c r="H1077">
        <v>34000</v>
      </c>
      <c r="I1077">
        <v>10472000</v>
      </c>
    </row>
    <row r="1078" spans="1:11" hidden="1" x14ac:dyDescent="0.25">
      <c r="A1078" s="210" t="s">
        <v>1960</v>
      </c>
      <c r="B1078">
        <v>9212</v>
      </c>
      <c r="C1078" s="100">
        <v>46148</v>
      </c>
      <c r="D1078" t="s">
        <v>13</v>
      </c>
      <c r="E1078" t="s">
        <v>26</v>
      </c>
      <c r="F1078" t="s">
        <v>1962</v>
      </c>
      <c r="G1078">
        <v>22</v>
      </c>
      <c r="H1078">
        <v>34000</v>
      </c>
      <c r="I1078">
        <v>748000</v>
      </c>
    </row>
    <row r="1079" spans="1:11" hidden="1" x14ac:dyDescent="0.25">
      <c r="A1079" s="210" t="s">
        <v>1675</v>
      </c>
      <c r="B1079">
        <v>9211</v>
      </c>
      <c r="C1079" s="100">
        <v>46148</v>
      </c>
      <c r="D1079" t="s">
        <v>13</v>
      </c>
      <c r="E1079" t="s">
        <v>135</v>
      </c>
      <c r="F1079" t="s">
        <v>146</v>
      </c>
      <c r="G1079">
        <v>652</v>
      </c>
      <c r="H1079">
        <v>37000</v>
      </c>
      <c r="I1079">
        <v>24124000</v>
      </c>
    </row>
    <row r="1080" spans="1:11" hidden="1" x14ac:dyDescent="0.25">
      <c r="A1080" s="210" t="s">
        <v>1675</v>
      </c>
      <c r="B1080">
        <v>9211</v>
      </c>
      <c r="C1080" s="100">
        <v>46148</v>
      </c>
      <c r="D1080" t="s">
        <v>13</v>
      </c>
      <c r="E1080" t="s">
        <v>135</v>
      </c>
      <c r="F1080" t="s">
        <v>41</v>
      </c>
      <c r="G1080">
        <v>606</v>
      </c>
      <c r="H1080">
        <v>37000</v>
      </c>
      <c r="I1080">
        <v>22422000</v>
      </c>
    </row>
    <row r="1081" spans="1:11" hidden="1" x14ac:dyDescent="0.25">
      <c r="A1081" s="210" t="s">
        <v>1675</v>
      </c>
      <c r="B1081">
        <v>9211</v>
      </c>
      <c r="C1081" s="100">
        <v>46148</v>
      </c>
      <c r="D1081" t="s">
        <v>13</v>
      </c>
      <c r="E1081" t="s">
        <v>17</v>
      </c>
      <c r="F1081" t="s">
        <v>136</v>
      </c>
      <c r="G1081">
        <v>1297</v>
      </c>
      <c r="H1081">
        <v>61500</v>
      </c>
      <c r="I1081">
        <v>79765500</v>
      </c>
    </row>
    <row r="1082" spans="1:11" hidden="1" x14ac:dyDescent="0.25">
      <c r="A1082" s="210" t="s">
        <v>1689</v>
      </c>
      <c r="B1082">
        <v>9210</v>
      </c>
      <c r="C1082" s="100">
        <v>46148</v>
      </c>
      <c r="D1082" t="s">
        <v>13</v>
      </c>
      <c r="E1082" t="s">
        <v>103</v>
      </c>
      <c r="F1082" t="s">
        <v>1955</v>
      </c>
      <c r="G1082">
        <v>656</v>
      </c>
      <c r="H1082">
        <v>37000</v>
      </c>
      <c r="I1082">
        <v>24272000</v>
      </c>
    </row>
    <row r="1083" spans="1:11" hidden="1" x14ac:dyDescent="0.25">
      <c r="A1083" s="210" t="s">
        <v>1689</v>
      </c>
      <c r="B1083">
        <v>9210</v>
      </c>
      <c r="C1083" s="100">
        <v>46148</v>
      </c>
      <c r="D1083" t="s">
        <v>13</v>
      </c>
      <c r="E1083" t="s">
        <v>50</v>
      </c>
      <c r="F1083" t="s">
        <v>1383</v>
      </c>
      <c r="G1083">
        <v>2594</v>
      </c>
      <c r="H1083">
        <v>55000</v>
      </c>
      <c r="I1083">
        <v>142670000</v>
      </c>
    </row>
    <row r="1084" spans="1:11" hidden="1" x14ac:dyDescent="0.25">
      <c r="A1084" s="210" t="s">
        <v>1491</v>
      </c>
      <c r="B1084">
        <v>9209</v>
      </c>
      <c r="C1084" s="100">
        <v>46148</v>
      </c>
      <c r="D1084" t="s">
        <v>13</v>
      </c>
      <c r="E1084" t="s">
        <v>43</v>
      </c>
      <c r="F1084" t="s">
        <v>251</v>
      </c>
      <c r="G1084">
        <v>829</v>
      </c>
      <c r="H1084">
        <v>62000</v>
      </c>
      <c r="I1084">
        <v>51398000</v>
      </c>
    </row>
    <row r="1085" spans="1:11" hidden="1" x14ac:dyDescent="0.25">
      <c r="A1085" s="210" t="s">
        <v>1545</v>
      </c>
      <c r="B1085">
        <v>9208</v>
      </c>
      <c r="C1085" s="100">
        <v>46148</v>
      </c>
      <c r="D1085" t="s">
        <v>13</v>
      </c>
      <c r="E1085" t="s">
        <v>43</v>
      </c>
      <c r="F1085" t="s">
        <v>62</v>
      </c>
      <c r="G1085">
        <v>1499</v>
      </c>
      <c r="H1085">
        <v>62000</v>
      </c>
      <c r="I1085">
        <v>92938000</v>
      </c>
    </row>
    <row r="1086" spans="1:11" hidden="1" x14ac:dyDescent="0.25">
      <c r="A1086" s="210" t="s">
        <v>1577</v>
      </c>
      <c r="B1086">
        <v>9207</v>
      </c>
      <c r="C1086" s="100">
        <v>46148</v>
      </c>
      <c r="D1086" t="s">
        <v>13</v>
      </c>
      <c r="E1086" t="s">
        <v>192</v>
      </c>
      <c r="F1086" t="s">
        <v>1954</v>
      </c>
      <c r="G1086">
        <v>2385.4</v>
      </c>
      <c r="H1086">
        <v>36000</v>
      </c>
      <c r="I1086">
        <v>85874400</v>
      </c>
    </row>
    <row r="1087" spans="1:11" hidden="1" x14ac:dyDescent="0.25">
      <c r="A1087" s="210" t="s">
        <v>1577</v>
      </c>
      <c r="B1087">
        <v>9207</v>
      </c>
      <c r="C1087" s="100">
        <v>46148</v>
      </c>
      <c r="D1087" t="s">
        <v>13</v>
      </c>
      <c r="E1087" t="s">
        <v>43</v>
      </c>
      <c r="F1087" t="s">
        <v>250</v>
      </c>
      <c r="G1087">
        <v>2788</v>
      </c>
      <c r="H1087">
        <v>61000</v>
      </c>
      <c r="I1087">
        <v>170068000</v>
      </c>
    </row>
    <row r="1088" spans="1:11" hidden="1" x14ac:dyDescent="0.25">
      <c r="A1088" s="210" t="s">
        <v>1587</v>
      </c>
      <c r="B1088">
        <v>9206</v>
      </c>
      <c r="C1088" s="100">
        <v>46148</v>
      </c>
      <c r="D1088" t="s">
        <v>13</v>
      </c>
      <c r="E1088" t="s">
        <v>17</v>
      </c>
      <c r="F1088" t="s">
        <v>230</v>
      </c>
      <c r="G1088">
        <v>525</v>
      </c>
      <c r="H1088">
        <v>71000</v>
      </c>
      <c r="I1088">
        <v>37275000</v>
      </c>
    </row>
    <row r="1089" spans="1:9" hidden="1" x14ac:dyDescent="0.25">
      <c r="A1089" s="210" t="s">
        <v>1587</v>
      </c>
      <c r="B1089">
        <v>9206</v>
      </c>
      <c r="C1089" s="100">
        <v>46148</v>
      </c>
      <c r="D1089" t="s">
        <v>13</v>
      </c>
      <c r="E1089" t="s">
        <v>14</v>
      </c>
      <c r="F1089" t="s">
        <v>148</v>
      </c>
      <c r="G1089">
        <v>4616</v>
      </c>
      <c r="H1089">
        <v>41500</v>
      </c>
      <c r="I1089">
        <v>191564000</v>
      </c>
    </row>
    <row r="1090" spans="1:9" hidden="1" x14ac:dyDescent="0.25">
      <c r="A1090" s="210" t="s">
        <v>1551</v>
      </c>
      <c r="B1090">
        <v>9205</v>
      </c>
      <c r="C1090" s="100">
        <v>46148</v>
      </c>
      <c r="D1090" t="s">
        <v>13</v>
      </c>
      <c r="E1090" t="s">
        <v>43</v>
      </c>
      <c r="F1090" t="s">
        <v>251</v>
      </c>
      <c r="G1090">
        <v>402</v>
      </c>
      <c r="H1090">
        <v>61000</v>
      </c>
      <c r="I1090">
        <v>24522000</v>
      </c>
    </row>
    <row r="1091" spans="1:9" hidden="1" x14ac:dyDescent="0.25">
      <c r="A1091" s="210" t="s">
        <v>1475</v>
      </c>
      <c r="B1091">
        <v>9203</v>
      </c>
      <c r="C1091" s="100">
        <v>46148</v>
      </c>
      <c r="D1091" t="s">
        <v>13</v>
      </c>
      <c r="E1091" t="s">
        <v>17</v>
      </c>
      <c r="F1091" t="s">
        <v>25</v>
      </c>
      <c r="G1091">
        <v>1068</v>
      </c>
      <c r="H1091">
        <v>63500</v>
      </c>
      <c r="I1091">
        <v>67818000</v>
      </c>
    </row>
    <row r="1092" spans="1:9" hidden="1" x14ac:dyDescent="0.25">
      <c r="A1092" s="210" t="s">
        <v>1475</v>
      </c>
      <c r="B1092">
        <v>9203</v>
      </c>
      <c r="C1092" s="100">
        <v>46148</v>
      </c>
      <c r="D1092" t="s">
        <v>13</v>
      </c>
      <c r="E1092" t="s">
        <v>17</v>
      </c>
      <c r="F1092" t="s">
        <v>33</v>
      </c>
      <c r="G1092">
        <v>2013</v>
      </c>
      <c r="H1092">
        <v>63500</v>
      </c>
      <c r="I1092">
        <v>127825500</v>
      </c>
    </row>
    <row r="1093" spans="1:9" hidden="1" x14ac:dyDescent="0.25">
      <c r="A1093" s="210" t="s">
        <v>1475</v>
      </c>
      <c r="B1093">
        <v>9203</v>
      </c>
      <c r="C1093" s="100">
        <v>46148</v>
      </c>
      <c r="D1093" t="s">
        <v>13</v>
      </c>
      <c r="E1093" t="s">
        <v>17</v>
      </c>
      <c r="F1093" t="s">
        <v>46</v>
      </c>
      <c r="G1093">
        <v>1362</v>
      </c>
      <c r="H1093">
        <v>63500</v>
      </c>
      <c r="I1093">
        <v>86487000</v>
      </c>
    </row>
    <row r="1094" spans="1:9" hidden="1" x14ac:dyDescent="0.25">
      <c r="A1094" s="210" t="s">
        <v>1475</v>
      </c>
      <c r="B1094">
        <v>9203</v>
      </c>
      <c r="C1094" s="100">
        <v>46148</v>
      </c>
      <c r="D1094" t="s">
        <v>13</v>
      </c>
      <c r="E1094" t="s">
        <v>43</v>
      </c>
      <c r="F1094" t="s">
        <v>38</v>
      </c>
      <c r="G1094">
        <v>1082</v>
      </c>
      <c r="H1094">
        <v>58000</v>
      </c>
      <c r="I1094">
        <v>62756000</v>
      </c>
    </row>
    <row r="1095" spans="1:9" hidden="1" x14ac:dyDescent="0.25">
      <c r="A1095" s="210" t="s">
        <v>1475</v>
      </c>
      <c r="B1095">
        <v>9203</v>
      </c>
      <c r="C1095" s="100">
        <v>46148</v>
      </c>
      <c r="D1095" t="s">
        <v>13</v>
      </c>
      <c r="E1095" t="s">
        <v>45</v>
      </c>
      <c r="F1095" t="s">
        <v>46</v>
      </c>
      <c r="G1095">
        <v>1052</v>
      </c>
      <c r="H1095">
        <v>33000</v>
      </c>
      <c r="I1095">
        <v>34716000</v>
      </c>
    </row>
    <row r="1096" spans="1:9" hidden="1" x14ac:dyDescent="0.25">
      <c r="A1096" s="210" t="s">
        <v>1691</v>
      </c>
      <c r="B1096">
        <v>9202</v>
      </c>
      <c r="C1096" s="100">
        <v>46148</v>
      </c>
      <c r="D1096" t="s">
        <v>13</v>
      </c>
      <c r="E1096" t="s">
        <v>26</v>
      </c>
      <c r="F1096" t="s">
        <v>1953</v>
      </c>
      <c r="G1096">
        <v>404</v>
      </c>
      <c r="H1096">
        <v>35000</v>
      </c>
      <c r="I1096">
        <v>14140000</v>
      </c>
    </row>
    <row r="1097" spans="1:9" hidden="1" x14ac:dyDescent="0.25">
      <c r="A1097" s="210" t="s">
        <v>1691</v>
      </c>
      <c r="B1097">
        <v>9202</v>
      </c>
      <c r="C1097" s="100">
        <v>46148</v>
      </c>
      <c r="D1097" t="s">
        <v>13</v>
      </c>
      <c r="E1097" t="s">
        <v>26</v>
      </c>
      <c r="F1097" t="s">
        <v>33</v>
      </c>
      <c r="G1097">
        <v>410</v>
      </c>
      <c r="H1097">
        <v>34000</v>
      </c>
      <c r="I1097">
        <v>13940000</v>
      </c>
    </row>
    <row r="1098" spans="1:9" hidden="1" x14ac:dyDescent="0.25">
      <c r="A1098" s="210" t="s">
        <v>1691</v>
      </c>
      <c r="B1098">
        <v>9202</v>
      </c>
      <c r="C1098" s="100">
        <v>46148</v>
      </c>
      <c r="D1098" t="s">
        <v>13</v>
      </c>
      <c r="E1098" t="s">
        <v>26</v>
      </c>
      <c r="F1098" t="s">
        <v>62</v>
      </c>
      <c r="G1098">
        <v>474</v>
      </c>
      <c r="H1098">
        <v>34000</v>
      </c>
      <c r="I1098">
        <v>16116000</v>
      </c>
    </row>
    <row r="1099" spans="1:9" hidden="1" x14ac:dyDescent="0.25">
      <c r="A1099" s="210" t="s">
        <v>1527</v>
      </c>
      <c r="B1099">
        <v>9201</v>
      </c>
      <c r="C1099" s="100">
        <v>46148</v>
      </c>
      <c r="D1099" t="s">
        <v>13</v>
      </c>
      <c r="E1099" t="s">
        <v>43</v>
      </c>
      <c r="F1099" t="s">
        <v>154</v>
      </c>
      <c r="G1099">
        <v>819</v>
      </c>
      <c r="H1099">
        <v>61500</v>
      </c>
      <c r="I1099">
        <v>50368500</v>
      </c>
    </row>
    <row r="1100" spans="1:9" hidden="1" x14ac:dyDescent="0.25">
      <c r="A1100" s="210" t="s">
        <v>1527</v>
      </c>
      <c r="B1100">
        <v>9201</v>
      </c>
      <c r="C1100" s="100">
        <v>46148</v>
      </c>
      <c r="D1100" t="s">
        <v>13</v>
      </c>
      <c r="E1100" t="s">
        <v>1951</v>
      </c>
      <c r="F1100" t="s">
        <v>1952</v>
      </c>
      <c r="G1100">
        <v>71</v>
      </c>
      <c r="H1100">
        <v>123000</v>
      </c>
      <c r="I1100">
        <v>8733000</v>
      </c>
    </row>
    <row r="1101" spans="1:9" hidden="1" x14ac:dyDescent="0.25">
      <c r="A1101" s="210" t="s">
        <v>1504</v>
      </c>
      <c r="B1101">
        <v>9197</v>
      </c>
      <c r="C1101" s="100">
        <v>46148</v>
      </c>
      <c r="D1101" t="s">
        <v>13</v>
      </c>
      <c r="E1101" t="s">
        <v>192</v>
      </c>
      <c r="F1101" t="s">
        <v>78</v>
      </c>
      <c r="G1101">
        <v>1944</v>
      </c>
      <c r="H1101">
        <v>39000</v>
      </c>
      <c r="I1101">
        <v>75816000</v>
      </c>
    </row>
    <row r="1102" spans="1:9" hidden="1" x14ac:dyDescent="0.25">
      <c r="A1102" s="210" t="s">
        <v>1624</v>
      </c>
      <c r="B1102">
        <v>9195</v>
      </c>
      <c r="C1102" s="100">
        <v>46148</v>
      </c>
      <c r="D1102" t="s">
        <v>13</v>
      </c>
      <c r="E1102" t="s">
        <v>17</v>
      </c>
      <c r="F1102" t="s">
        <v>230</v>
      </c>
      <c r="G1102">
        <v>138</v>
      </c>
      <c r="H1102">
        <v>71000</v>
      </c>
      <c r="I1102">
        <v>9798000</v>
      </c>
    </row>
    <row r="1103" spans="1:9" hidden="1" x14ac:dyDescent="0.25">
      <c r="A1103" s="210" t="s">
        <v>1624</v>
      </c>
      <c r="B1103">
        <v>9195</v>
      </c>
      <c r="C1103" s="100">
        <v>46148</v>
      </c>
      <c r="D1103" t="s">
        <v>49</v>
      </c>
      <c r="E1103" t="s">
        <v>703</v>
      </c>
      <c r="F1103" t="s">
        <v>1950</v>
      </c>
      <c r="G1103">
        <v>82</v>
      </c>
      <c r="I1103">
        <v>0</v>
      </c>
    </row>
    <row r="1104" spans="1:9" hidden="1" x14ac:dyDescent="0.25">
      <c r="A1104" s="210" t="s">
        <v>1633</v>
      </c>
      <c r="B1104">
        <v>9194</v>
      </c>
      <c r="C1104" s="100">
        <v>46148</v>
      </c>
      <c r="D1104" t="s">
        <v>13</v>
      </c>
      <c r="E1104" t="s">
        <v>17</v>
      </c>
      <c r="F1104" t="s">
        <v>78</v>
      </c>
      <c r="G1104">
        <v>6834</v>
      </c>
      <c r="H1104">
        <v>67000</v>
      </c>
      <c r="I1104">
        <v>457878000</v>
      </c>
    </row>
    <row r="1105" spans="1:11" hidden="1" x14ac:dyDescent="0.25">
      <c r="A1105" s="210" t="s">
        <v>1524</v>
      </c>
      <c r="B1105">
        <v>9193</v>
      </c>
      <c r="C1105" s="100">
        <v>46148</v>
      </c>
      <c r="D1105" t="s">
        <v>49</v>
      </c>
      <c r="E1105" t="s">
        <v>43</v>
      </c>
      <c r="F1105" t="s">
        <v>403</v>
      </c>
      <c r="G1105">
        <v>756</v>
      </c>
      <c r="I1105">
        <v>0</v>
      </c>
      <c r="K1105" t="s">
        <v>1740</v>
      </c>
    </row>
    <row r="1106" spans="1:11" hidden="1" x14ac:dyDescent="0.25">
      <c r="A1106" s="210" t="s">
        <v>1512</v>
      </c>
      <c r="B1106">
        <v>9192</v>
      </c>
      <c r="C1106" s="100">
        <v>46148</v>
      </c>
      <c r="D1106" t="s">
        <v>13</v>
      </c>
      <c r="E1106" t="s">
        <v>32</v>
      </c>
      <c r="F1106" t="s">
        <v>40</v>
      </c>
      <c r="G1106">
        <v>2576</v>
      </c>
      <c r="H1106">
        <v>43000</v>
      </c>
      <c r="I1106">
        <v>110768000</v>
      </c>
    </row>
    <row r="1107" spans="1:11" hidden="1" x14ac:dyDescent="0.25">
      <c r="A1107" s="210" t="s">
        <v>1564</v>
      </c>
      <c r="B1107">
        <v>9191</v>
      </c>
      <c r="C1107" s="100">
        <v>46148</v>
      </c>
      <c r="D1107" t="s">
        <v>13</v>
      </c>
      <c r="E1107" t="s">
        <v>50</v>
      </c>
      <c r="F1107" t="s">
        <v>1949</v>
      </c>
      <c r="G1107">
        <v>946</v>
      </c>
      <c r="H1107">
        <v>61000</v>
      </c>
      <c r="I1107">
        <v>57706000</v>
      </c>
    </row>
    <row r="1108" spans="1:11" hidden="1" x14ac:dyDescent="0.25">
      <c r="A1108" s="210" t="s">
        <v>1564</v>
      </c>
      <c r="B1108">
        <v>9191</v>
      </c>
      <c r="C1108" s="100">
        <v>46148</v>
      </c>
      <c r="D1108" t="s">
        <v>13</v>
      </c>
      <c r="E1108" t="s">
        <v>43</v>
      </c>
      <c r="F1108" t="s">
        <v>148</v>
      </c>
      <c r="G1108">
        <v>192</v>
      </c>
      <c r="H1108">
        <v>61000</v>
      </c>
      <c r="I1108">
        <v>11712000</v>
      </c>
    </row>
    <row r="1109" spans="1:11" hidden="1" x14ac:dyDescent="0.25">
      <c r="A1109" s="210" t="s">
        <v>1476</v>
      </c>
      <c r="B1109">
        <v>9190</v>
      </c>
      <c r="C1109" s="100">
        <v>46148</v>
      </c>
      <c r="D1109" t="s">
        <v>49</v>
      </c>
      <c r="E1109" t="s">
        <v>54</v>
      </c>
      <c r="F1109" t="s">
        <v>1948</v>
      </c>
      <c r="G1109">
        <v>178</v>
      </c>
      <c r="I1109">
        <v>0</v>
      </c>
      <c r="K1109" t="s">
        <v>64</v>
      </c>
    </row>
    <row r="1110" spans="1:11" hidden="1" x14ac:dyDescent="0.25">
      <c r="A1110" s="210" t="s">
        <v>1707</v>
      </c>
      <c r="B1110">
        <v>9189</v>
      </c>
      <c r="C1110" s="100">
        <v>46148</v>
      </c>
      <c r="D1110" t="s">
        <v>13</v>
      </c>
      <c r="E1110" t="s">
        <v>703</v>
      </c>
      <c r="F1110" t="s">
        <v>1947</v>
      </c>
      <c r="G1110">
        <v>1346</v>
      </c>
      <c r="H1110">
        <v>38000</v>
      </c>
      <c r="I1110">
        <v>51148000</v>
      </c>
    </row>
    <row r="1111" spans="1:11" hidden="1" x14ac:dyDescent="0.25">
      <c r="A1111" s="210" t="s">
        <v>1635</v>
      </c>
      <c r="B1111">
        <v>9188</v>
      </c>
      <c r="C1111" s="100">
        <v>46147</v>
      </c>
      <c r="D1111" t="s">
        <v>13</v>
      </c>
      <c r="E1111" t="s">
        <v>43</v>
      </c>
      <c r="F1111" t="s">
        <v>40</v>
      </c>
      <c r="G1111">
        <v>210</v>
      </c>
      <c r="H1111">
        <v>63000</v>
      </c>
      <c r="I1111">
        <v>13230000</v>
      </c>
    </row>
    <row r="1112" spans="1:11" hidden="1" x14ac:dyDescent="0.25">
      <c r="A1112" s="210" t="s">
        <v>1524</v>
      </c>
      <c r="B1112">
        <v>9187</v>
      </c>
      <c r="C1112" s="100">
        <v>46147</v>
      </c>
      <c r="D1112" t="s">
        <v>49</v>
      </c>
      <c r="E1112" t="s">
        <v>192</v>
      </c>
      <c r="F1112" t="s">
        <v>1945</v>
      </c>
      <c r="G1112">
        <v>2538</v>
      </c>
      <c r="I1112">
        <v>0</v>
      </c>
      <c r="K1112" t="s">
        <v>1946</v>
      </c>
    </row>
    <row r="1113" spans="1:11" hidden="1" x14ac:dyDescent="0.25">
      <c r="A1113" s="210" t="s">
        <v>1600</v>
      </c>
      <c r="B1113">
        <v>9185</v>
      </c>
      <c r="C1113" s="100">
        <v>46147</v>
      </c>
      <c r="D1113" t="s">
        <v>13</v>
      </c>
      <c r="E1113" t="s">
        <v>135</v>
      </c>
      <c r="F1113" t="s">
        <v>136</v>
      </c>
      <c r="G1113">
        <v>8844</v>
      </c>
      <c r="H1113">
        <v>36500</v>
      </c>
      <c r="I1113">
        <v>322806000</v>
      </c>
    </row>
    <row r="1114" spans="1:11" hidden="1" x14ac:dyDescent="0.25">
      <c r="A1114" s="210" t="s">
        <v>2016</v>
      </c>
      <c r="B1114">
        <v>9184</v>
      </c>
      <c r="C1114" s="100">
        <v>46156</v>
      </c>
      <c r="D1114" t="s">
        <v>692</v>
      </c>
      <c r="E1114" t="s">
        <v>150</v>
      </c>
      <c r="F1114" t="s">
        <v>2141</v>
      </c>
      <c r="G1114">
        <v>2218</v>
      </c>
      <c r="H1114">
        <v>-36000</v>
      </c>
      <c r="I1114">
        <v>-79848000</v>
      </c>
    </row>
    <row r="1115" spans="1:11" hidden="1" x14ac:dyDescent="0.25">
      <c r="A1115" s="210" t="s">
        <v>2016</v>
      </c>
      <c r="B1115">
        <v>9184</v>
      </c>
      <c r="C1115" s="100">
        <v>46156</v>
      </c>
      <c r="D1115" t="s">
        <v>692</v>
      </c>
      <c r="E1115" t="s">
        <v>2142</v>
      </c>
      <c r="F1115" t="s">
        <v>2143</v>
      </c>
      <c r="G1115">
        <v>29.7</v>
      </c>
      <c r="H1115">
        <v>-47000</v>
      </c>
      <c r="I1115">
        <v>-1395900</v>
      </c>
    </row>
    <row r="1116" spans="1:11" hidden="1" x14ac:dyDescent="0.25">
      <c r="A1116" s="210" t="s">
        <v>1834</v>
      </c>
      <c r="B1116">
        <v>9184</v>
      </c>
      <c r="C1116" s="100">
        <v>46147</v>
      </c>
      <c r="D1116" t="s">
        <v>13</v>
      </c>
      <c r="E1116" t="s">
        <v>50</v>
      </c>
      <c r="F1116" t="s">
        <v>1944</v>
      </c>
      <c r="G1116">
        <v>6228</v>
      </c>
      <c r="H1116">
        <v>61500</v>
      </c>
      <c r="I1116">
        <v>383022000</v>
      </c>
    </row>
    <row r="1117" spans="1:11" hidden="1" x14ac:dyDescent="0.25">
      <c r="A1117" s="210" t="s">
        <v>1511</v>
      </c>
      <c r="B1117">
        <v>9183</v>
      </c>
      <c r="C1117" s="100">
        <v>46147</v>
      </c>
      <c r="D1117" t="s">
        <v>13</v>
      </c>
      <c r="E1117" t="s">
        <v>27</v>
      </c>
      <c r="G1117">
        <v>4</v>
      </c>
      <c r="H1117">
        <v>60000</v>
      </c>
      <c r="I1117">
        <v>240000</v>
      </c>
      <c r="J1117">
        <v>240000</v>
      </c>
    </row>
    <row r="1118" spans="1:11" hidden="1" x14ac:dyDescent="0.25">
      <c r="A1118" s="210" t="s">
        <v>1511</v>
      </c>
      <c r="B1118">
        <v>9183</v>
      </c>
      <c r="C1118" s="100">
        <v>46147</v>
      </c>
      <c r="D1118" t="s">
        <v>13</v>
      </c>
      <c r="E1118" t="s">
        <v>411</v>
      </c>
      <c r="G1118">
        <v>8</v>
      </c>
      <c r="H1118">
        <v>45000</v>
      </c>
      <c r="I1118">
        <v>360000</v>
      </c>
      <c r="J1118">
        <v>360000</v>
      </c>
    </row>
    <row r="1119" spans="1:11" hidden="1" x14ac:dyDescent="0.25">
      <c r="A1119" s="210" t="s">
        <v>1672</v>
      </c>
      <c r="B1119">
        <v>9183</v>
      </c>
      <c r="C1119" s="100">
        <v>46155</v>
      </c>
      <c r="D1119" t="s">
        <v>692</v>
      </c>
      <c r="E1119" t="s">
        <v>1325</v>
      </c>
      <c r="F1119" t="s">
        <v>2135</v>
      </c>
      <c r="G1119">
        <v>536</v>
      </c>
      <c r="H1119">
        <v>-37000</v>
      </c>
      <c r="I1119">
        <v>-19832000</v>
      </c>
    </row>
    <row r="1120" spans="1:11" hidden="1" x14ac:dyDescent="0.25">
      <c r="A1120" s="210" t="s">
        <v>1593</v>
      </c>
      <c r="B1120">
        <v>9182</v>
      </c>
      <c r="C1120" s="100">
        <v>46147</v>
      </c>
      <c r="D1120" t="s">
        <v>13</v>
      </c>
      <c r="E1120" t="s">
        <v>265</v>
      </c>
      <c r="F1120" t="s">
        <v>41</v>
      </c>
      <c r="G1120">
        <v>410</v>
      </c>
      <c r="H1120">
        <v>68000</v>
      </c>
      <c r="I1120">
        <v>27880000</v>
      </c>
    </row>
    <row r="1121" spans="1:9" hidden="1" x14ac:dyDescent="0.25">
      <c r="A1121" s="210" t="s">
        <v>1593</v>
      </c>
      <c r="B1121">
        <v>9182</v>
      </c>
      <c r="C1121" s="100">
        <v>46147</v>
      </c>
      <c r="D1121" t="s">
        <v>13</v>
      </c>
      <c r="E1121" t="s">
        <v>265</v>
      </c>
      <c r="F1121" t="s">
        <v>136</v>
      </c>
      <c r="G1121">
        <v>1364</v>
      </c>
      <c r="H1121">
        <v>67000</v>
      </c>
      <c r="I1121">
        <v>91388000</v>
      </c>
    </row>
    <row r="1122" spans="1:9" hidden="1" x14ac:dyDescent="0.25">
      <c r="A1122" s="210" t="s">
        <v>1606</v>
      </c>
      <c r="B1122">
        <v>9181</v>
      </c>
      <c r="C1122" s="100">
        <v>46147</v>
      </c>
      <c r="D1122" t="s">
        <v>13</v>
      </c>
      <c r="E1122" t="s">
        <v>32</v>
      </c>
      <c r="F1122" t="s">
        <v>40</v>
      </c>
      <c r="G1122">
        <v>602</v>
      </c>
      <c r="H1122">
        <v>42500</v>
      </c>
      <c r="I1122">
        <v>25585000</v>
      </c>
    </row>
    <row r="1123" spans="1:9" hidden="1" x14ac:dyDescent="0.25">
      <c r="A1123" s="210" t="s">
        <v>1541</v>
      </c>
      <c r="B1123">
        <v>9180</v>
      </c>
      <c r="C1123" s="100">
        <v>46147</v>
      </c>
      <c r="D1123" t="s">
        <v>13</v>
      </c>
      <c r="E1123" t="s">
        <v>103</v>
      </c>
      <c r="F1123" t="s">
        <v>1943</v>
      </c>
      <c r="G1123">
        <v>140</v>
      </c>
      <c r="H1123">
        <v>39000</v>
      </c>
      <c r="I1123">
        <v>5460000</v>
      </c>
    </row>
    <row r="1124" spans="1:9" hidden="1" x14ac:dyDescent="0.25">
      <c r="A1124" s="210" t="s">
        <v>1541</v>
      </c>
      <c r="B1124">
        <v>9180</v>
      </c>
      <c r="C1124" s="100">
        <v>46147</v>
      </c>
      <c r="D1124" t="s">
        <v>13</v>
      </c>
      <c r="E1124" t="s">
        <v>103</v>
      </c>
      <c r="F1124" t="s">
        <v>1179</v>
      </c>
      <c r="G1124">
        <v>178</v>
      </c>
      <c r="H1124">
        <v>38000</v>
      </c>
      <c r="I1124">
        <v>6764000</v>
      </c>
    </row>
    <row r="1125" spans="1:9" hidden="1" x14ac:dyDescent="0.25">
      <c r="A1125" s="210" t="s">
        <v>1689</v>
      </c>
      <c r="B1125">
        <v>9179</v>
      </c>
      <c r="C1125" s="100">
        <v>46147</v>
      </c>
      <c r="D1125" t="s">
        <v>13</v>
      </c>
      <c r="E1125" t="s">
        <v>50</v>
      </c>
      <c r="F1125" t="s">
        <v>1094</v>
      </c>
      <c r="G1125">
        <v>992</v>
      </c>
      <c r="H1125">
        <v>58500</v>
      </c>
      <c r="I1125">
        <v>58032000</v>
      </c>
    </row>
    <row r="1126" spans="1:9" hidden="1" x14ac:dyDescent="0.25">
      <c r="A1126" s="210" t="s">
        <v>1573</v>
      </c>
      <c r="B1126">
        <v>9178</v>
      </c>
      <c r="C1126" s="100">
        <v>46147</v>
      </c>
      <c r="D1126" t="s">
        <v>13</v>
      </c>
      <c r="E1126" t="s">
        <v>26</v>
      </c>
      <c r="F1126" t="s">
        <v>446</v>
      </c>
      <c r="G1126">
        <v>178</v>
      </c>
      <c r="H1126">
        <v>35000</v>
      </c>
      <c r="I1126">
        <v>6230000</v>
      </c>
    </row>
    <row r="1127" spans="1:9" hidden="1" x14ac:dyDescent="0.25">
      <c r="A1127" s="210" t="s">
        <v>1573</v>
      </c>
      <c r="B1127">
        <v>9178</v>
      </c>
      <c r="C1127" s="100">
        <v>46151</v>
      </c>
      <c r="D1127" t="s">
        <v>13</v>
      </c>
      <c r="E1127" t="s">
        <v>26</v>
      </c>
      <c r="F1127" t="s">
        <v>621</v>
      </c>
      <c r="G1127">
        <v>184</v>
      </c>
      <c r="H1127">
        <v>34000</v>
      </c>
      <c r="I1127">
        <v>6256000</v>
      </c>
    </row>
    <row r="1128" spans="1:9" hidden="1" x14ac:dyDescent="0.25">
      <c r="A1128" s="210" t="s">
        <v>1573</v>
      </c>
      <c r="B1128">
        <v>9178</v>
      </c>
      <c r="C1128" s="100">
        <v>46151</v>
      </c>
      <c r="D1128" t="s">
        <v>13</v>
      </c>
      <c r="E1128" t="s">
        <v>26</v>
      </c>
      <c r="F1128" t="s">
        <v>40</v>
      </c>
      <c r="G1128">
        <v>124</v>
      </c>
      <c r="H1128">
        <v>36000</v>
      </c>
      <c r="I1128">
        <v>4464000</v>
      </c>
    </row>
    <row r="1129" spans="1:9" hidden="1" x14ac:dyDescent="0.25">
      <c r="A1129" s="210" t="s">
        <v>1573</v>
      </c>
      <c r="B1129">
        <v>9178</v>
      </c>
      <c r="C1129" s="100">
        <v>46151</v>
      </c>
      <c r="D1129" t="s">
        <v>13</v>
      </c>
      <c r="E1129" t="s">
        <v>26</v>
      </c>
      <c r="F1129" t="s">
        <v>78</v>
      </c>
      <c r="G1129">
        <v>268</v>
      </c>
      <c r="H1129">
        <v>36000</v>
      </c>
      <c r="I1129">
        <v>9648000</v>
      </c>
    </row>
    <row r="1130" spans="1:9" hidden="1" x14ac:dyDescent="0.25">
      <c r="A1130" s="210" t="s">
        <v>1573</v>
      </c>
      <c r="B1130">
        <v>9178</v>
      </c>
      <c r="C1130" s="100">
        <v>46151</v>
      </c>
      <c r="D1130" t="s">
        <v>13</v>
      </c>
      <c r="E1130" t="s">
        <v>43</v>
      </c>
      <c r="F1130" t="s">
        <v>446</v>
      </c>
      <c r="G1130">
        <v>274</v>
      </c>
      <c r="H1130">
        <v>66000</v>
      </c>
      <c r="I1130">
        <v>18084000</v>
      </c>
    </row>
    <row r="1131" spans="1:9" hidden="1" x14ac:dyDescent="0.25">
      <c r="A1131" s="210" t="s">
        <v>1573</v>
      </c>
      <c r="B1131">
        <v>9178</v>
      </c>
      <c r="C1131" s="100">
        <v>46151</v>
      </c>
      <c r="D1131" t="s">
        <v>13</v>
      </c>
      <c r="E1131" t="s">
        <v>17</v>
      </c>
      <c r="F1131" t="s">
        <v>469</v>
      </c>
      <c r="G1131">
        <v>276</v>
      </c>
      <c r="H1131">
        <v>67000</v>
      </c>
      <c r="I1131">
        <v>18492000</v>
      </c>
    </row>
    <row r="1132" spans="1:9" hidden="1" x14ac:dyDescent="0.25">
      <c r="A1132" s="210" t="s">
        <v>1573</v>
      </c>
      <c r="B1132">
        <v>9178</v>
      </c>
      <c r="C1132" s="100">
        <v>46151</v>
      </c>
      <c r="D1132" t="s">
        <v>13</v>
      </c>
      <c r="E1132" t="s">
        <v>75</v>
      </c>
      <c r="F1132" t="s">
        <v>288</v>
      </c>
      <c r="G1132">
        <v>72</v>
      </c>
      <c r="H1132">
        <v>40000</v>
      </c>
      <c r="I1132">
        <v>2880000</v>
      </c>
    </row>
    <row r="1133" spans="1:9" hidden="1" x14ac:dyDescent="0.25">
      <c r="A1133" s="210" t="s">
        <v>1573</v>
      </c>
      <c r="B1133">
        <v>9177</v>
      </c>
      <c r="C1133" s="100">
        <v>46147</v>
      </c>
      <c r="D1133" t="s">
        <v>13</v>
      </c>
      <c r="E1133" t="s">
        <v>43</v>
      </c>
      <c r="F1133" t="s">
        <v>1942</v>
      </c>
      <c r="G1133">
        <v>300</v>
      </c>
      <c r="H1133">
        <v>65000</v>
      </c>
      <c r="I1133">
        <v>19500000</v>
      </c>
    </row>
    <row r="1134" spans="1:9" hidden="1" x14ac:dyDescent="0.25">
      <c r="A1134" s="210" t="s">
        <v>1573</v>
      </c>
      <c r="B1134">
        <v>9177</v>
      </c>
      <c r="C1134" s="100">
        <v>46147</v>
      </c>
      <c r="D1134" t="s">
        <v>13</v>
      </c>
      <c r="E1134" t="s">
        <v>43</v>
      </c>
      <c r="F1134" t="s">
        <v>1889</v>
      </c>
      <c r="G1134">
        <v>488</v>
      </c>
      <c r="H1134">
        <v>65000</v>
      </c>
      <c r="I1134">
        <v>31720000</v>
      </c>
    </row>
    <row r="1135" spans="1:9" hidden="1" x14ac:dyDescent="0.25">
      <c r="A1135" s="210" t="s">
        <v>1573</v>
      </c>
      <c r="B1135">
        <v>9177</v>
      </c>
      <c r="C1135" s="100">
        <v>46147</v>
      </c>
      <c r="D1135" t="s">
        <v>13</v>
      </c>
      <c r="E1135" t="s">
        <v>26</v>
      </c>
      <c r="F1135" t="s">
        <v>25</v>
      </c>
      <c r="G1135">
        <v>302</v>
      </c>
      <c r="H1135">
        <v>34000</v>
      </c>
      <c r="I1135">
        <v>10268000</v>
      </c>
    </row>
    <row r="1136" spans="1:9" hidden="1" x14ac:dyDescent="0.25">
      <c r="A1136" s="210" t="s">
        <v>1626</v>
      </c>
      <c r="B1136">
        <v>9176</v>
      </c>
      <c r="C1136" s="100">
        <v>46147</v>
      </c>
      <c r="D1136" t="s">
        <v>13</v>
      </c>
      <c r="E1136" t="s">
        <v>50</v>
      </c>
      <c r="F1136" t="s">
        <v>1753</v>
      </c>
      <c r="G1136">
        <v>1767</v>
      </c>
      <c r="H1136">
        <v>61000</v>
      </c>
      <c r="I1136">
        <v>107787000</v>
      </c>
    </row>
    <row r="1137" spans="1:11" hidden="1" x14ac:dyDescent="0.25">
      <c r="A1137" s="210" t="s">
        <v>1679</v>
      </c>
      <c r="B1137">
        <v>9175</v>
      </c>
      <c r="C1137" s="100">
        <v>46147</v>
      </c>
      <c r="D1137" t="s">
        <v>13</v>
      </c>
      <c r="E1137" t="s">
        <v>169</v>
      </c>
      <c r="F1137" t="s">
        <v>146</v>
      </c>
      <c r="G1137">
        <v>5352</v>
      </c>
      <c r="H1137">
        <v>36700</v>
      </c>
      <c r="I1137">
        <v>196418400</v>
      </c>
    </row>
    <row r="1138" spans="1:11" hidden="1" x14ac:dyDescent="0.25">
      <c r="A1138" s="210" t="s">
        <v>1679</v>
      </c>
      <c r="B1138">
        <v>9175</v>
      </c>
      <c r="C1138" s="100">
        <v>46147</v>
      </c>
      <c r="D1138" t="s">
        <v>13</v>
      </c>
      <c r="E1138" t="s">
        <v>150</v>
      </c>
      <c r="F1138" t="s">
        <v>1046</v>
      </c>
      <c r="G1138">
        <v>1402</v>
      </c>
      <c r="H1138">
        <v>38000</v>
      </c>
      <c r="I1138">
        <v>53276000</v>
      </c>
    </row>
    <row r="1139" spans="1:11" hidden="1" x14ac:dyDescent="0.25">
      <c r="A1139" s="210" t="s">
        <v>1535</v>
      </c>
      <c r="B1139">
        <v>9174</v>
      </c>
      <c r="C1139" s="100">
        <v>46147</v>
      </c>
      <c r="D1139" t="s">
        <v>13</v>
      </c>
      <c r="E1139" t="s">
        <v>68</v>
      </c>
      <c r="F1139" t="s">
        <v>1941</v>
      </c>
      <c r="G1139">
        <v>186</v>
      </c>
      <c r="H1139">
        <v>44000</v>
      </c>
      <c r="I1139">
        <v>8184000</v>
      </c>
    </row>
    <row r="1140" spans="1:11" hidden="1" x14ac:dyDescent="0.25">
      <c r="A1140" s="210" t="s">
        <v>1530</v>
      </c>
      <c r="B1140">
        <v>9173</v>
      </c>
      <c r="C1140" s="100">
        <v>46147</v>
      </c>
      <c r="D1140" t="s">
        <v>13</v>
      </c>
      <c r="E1140" t="s">
        <v>32</v>
      </c>
      <c r="F1140" t="s">
        <v>230</v>
      </c>
      <c r="G1140">
        <v>800</v>
      </c>
      <c r="H1140">
        <v>45200</v>
      </c>
      <c r="I1140">
        <v>36160000</v>
      </c>
      <c r="K1140" t="s">
        <v>1805</v>
      </c>
    </row>
    <row r="1141" spans="1:11" hidden="1" x14ac:dyDescent="0.25">
      <c r="A1141" s="210" t="s">
        <v>1600</v>
      </c>
      <c r="B1141">
        <v>9172</v>
      </c>
      <c r="C1141" s="100">
        <v>46147</v>
      </c>
      <c r="D1141" t="s">
        <v>13</v>
      </c>
      <c r="E1141" t="s">
        <v>135</v>
      </c>
      <c r="F1141" t="s">
        <v>136</v>
      </c>
      <c r="G1141">
        <v>5466</v>
      </c>
      <c r="H1141">
        <v>36500</v>
      </c>
      <c r="I1141">
        <v>199509000</v>
      </c>
    </row>
    <row r="1142" spans="1:11" hidden="1" x14ac:dyDescent="0.25">
      <c r="A1142" s="210" t="s">
        <v>1940</v>
      </c>
      <c r="B1142">
        <v>9171</v>
      </c>
      <c r="C1142" s="100">
        <v>46147</v>
      </c>
      <c r="D1142" t="s">
        <v>13</v>
      </c>
      <c r="E1142" t="s">
        <v>169</v>
      </c>
      <c r="F1142" t="s">
        <v>41</v>
      </c>
      <c r="G1142">
        <v>5097</v>
      </c>
      <c r="H1142">
        <v>37500</v>
      </c>
      <c r="I1142">
        <v>191137500</v>
      </c>
      <c r="J1142">
        <v>180</v>
      </c>
    </row>
    <row r="1143" spans="1:11" hidden="1" x14ac:dyDescent="0.25">
      <c r="A1143" s="210" t="s">
        <v>1489</v>
      </c>
      <c r="B1143">
        <v>9169</v>
      </c>
      <c r="C1143" s="100">
        <v>46147</v>
      </c>
      <c r="D1143" t="s">
        <v>13</v>
      </c>
      <c r="E1143" t="s">
        <v>32</v>
      </c>
      <c r="F1143" t="s">
        <v>40</v>
      </c>
      <c r="G1143">
        <v>627</v>
      </c>
      <c r="H1143">
        <v>41000</v>
      </c>
      <c r="I1143">
        <v>25707000</v>
      </c>
      <c r="K1143" t="s">
        <v>42</v>
      </c>
    </row>
    <row r="1144" spans="1:11" hidden="1" x14ac:dyDescent="0.25">
      <c r="A1144" s="210" t="s">
        <v>1489</v>
      </c>
      <c r="B1144">
        <v>9169</v>
      </c>
      <c r="C1144" s="100">
        <v>46147</v>
      </c>
      <c r="D1144" t="s">
        <v>13</v>
      </c>
      <c r="E1144" t="s">
        <v>14</v>
      </c>
      <c r="F1144" t="s">
        <v>1938</v>
      </c>
      <c r="G1144">
        <v>178</v>
      </c>
      <c r="H1144">
        <v>42000</v>
      </c>
      <c r="I1144">
        <v>7476000</v>
      </c>
      <c r="K1144" t="s">
        <v>42</v>
      </c>
    </row>
    <row r="1145" spans="1:11" hidden="1" x14ac:dyDescent="0.25">
      <c r="A1145" s="210" t="s">
        <v>1677</v>
      </c>
      <c r="B1145">
        <v>9167</v>
      </c>
      <c r="C1145" s="100">
        <v>46147</v>
      </c>
      <c r="D1145" t="s">
        <v>13</v>
      </c>
      <c r="E1145" t="s">
        <v>50</v>
      </c>
      <c r="F1145" t="s">
        <v>1851</v>
      </c>
      <c r="G1145">
        <v>242</v>
      </c>
      <c r="H1145">
        <v>62000</v>
      </c>
      <c r="I1145">
        <v>15004000</v>
      </c>
    </row>
    <row r="1146" spans="1:11" hidden="1" x14ac:dyDescent="0.25">
      <c r="A1146" s="210" t="s">
        <v>2360</v>
      </c>
      <c r="B1146">
        <v>9166</v>
      </c>
      <c r="C1146" s="100">
        <v>46147</v>
      </c>
      <c r="D1146" t="s">
        <v>13</v>
      </c>
      <c r="E1146" t="s">
        <v>26</v>
      </c>
      <c r="F1146" t="s">
        <v>942</v>
      </c>
      <c r="G1146">
        <v>2457</v>
      </c>
      <c r="H1146">
        <v>26000</v>
      </c>
      <c r="I1146">
        <v>63882000</v>
      </c>
    </row>
    <row r="1147" spans="1:11" hidden="1" x14ac:dyDescent="0.25">
      <c r="A1147" s="210" t="s">
        <v>1592</v>
      </c>
      <c r="B1147">
        <v>9164</v>
      </c>
      <c r="C1147" s="100">
        <v>46147</v>
      </c>
      <c r="D1147" t="s">
        <v>49</v>
      </c>
      <c r="E1147" t="s">
        <v>26</v>
      </c>
      <c r="F1147" t="s">
        <v>78</v>
      </c>
      <c r="G1147">
        <v>3771</v>
      </c>
      <c r="I1147">
        <v>0</v>
      </c>
      <c r="K1147" t="s">
        <v>1937</v>
      </c>
    </row>
    <row r="1148" spans="1:11" hidden="1" x14ac:dyDescent="0.25">
      <c r="A1148" s="210" t="s">
        <v>1552</v>
      </c>
      <c r="B1148">
        <v>9163</v>
      </c>
      <c r="C1148" s="100">
        <v>46147</v>
      </c>
      <c r="D1148" t="s">
        <v>13</v>
      </c>
      <c r="E1148" t="s">
        <v>109</v>
      </c>
      <c r="F1148" t="s">
        <v>1936</v>
      </c>
      <c r="G1148">
        <v>578</v>
      </c>
      <c r="H1148">
        <v>75000</v>
      </c>
      <c r="I1148">
        <v>43350000</v>
      </c>
    </row>
    <row r="1149" spans="1:11" hidden="1" x14ac:dyDescent="0.25">
      <c r="A1149" s="210" t="s">
        <v>1725</v>
      </c>
      <c r="B1149">
        <v>9162</v>
      </c>
      <c r="C1149" s="100">
        <v>46148</v>
      </c>
      <c r="D1149" t="s">
        <v>49</v>
      </c>
      <c r="E1149" t="s">
        <v>43</v>
      </c>
      <c r="F1149" t="s">
        <v>154</v>
      </c>
      <c r="G1149">
        <v>6900</v>
      </c>
      <c r="I1149">
        <v>0</v>
      </c>
      <c r="K1149" t="s">
        <v>1935</v>
      </c>
    </row>
    <row r="1150" spans="1:11" hidden="1" x14ac:dyDescent="0.25">
      <c r="A1150" s="210" t="s">
        <v>1932</v>
      </c>
      <c r="B1150">
        <v>9161</v>
      </c>
      <c r="C1150" s="100">
        <v>46148</v>
      </c>
      <c r="D1150" t="s">
        <v>13</v>
      </c>
      <c r="E1150" t="s">
        <v>195</v>
      </c>
      <c r="F1150" t="s">
        <v>1933</v>
      </c>
      <c r="G1150">
        <v>9972</v>
      </c>
      <c r="H1150">
        <v>28500</v>
      </c>
      <c r="I1150">
        <v>284202000</v>
      </c>
    </row>
    <row r="1151" spans="1:11" hidden="1" x14ac:dyDescent="0.25">
      <c r="A1151" s="210" t="s">
        <v>1932</v>
      </c>
      <c r="B1151">
        <v>9161</v>
      </c>
      <c r="C1151" s="100">
        <v>46148</v>
      </c>
      <c r="D1151" t="s">
        <v>13</v>
      </c>
      <c r="E1151" t="s">
        <v>54</v>
      </c>
      <c r="F1151" t="s">
        <v>1934</v>
      </c>
      <c r="G1151">
        <v>116</v>
      </c>
      <c r="H1151">
        <v>35000</v>
      </c>
      <c r="I1151">
        <v>4060000</v>
      </c>
    </row>
    <row r="1152" spans="1:11" hidden="1" x14ac:dyDescent="0.25">
      <c r="A1152" s="210" t="s">
        <v>1524</v>
      </c>
      <c r="B1152">
        <v>9160</v>
      </c>
      <c r="C1152" s="100">
        <v>46147</v>
      </c>
      <c r="D1152" t="s">
        <v>49</v>
      </c>
      <c r="E1152" t="s">
        <v>17</v>
      </c>
      <c r="F1152" t="s">
        <v>40</v>
      </c>
      <c r="G1152">
        <v>5133</v>
      </c>
      <c r="I1152">
        <v>0</v>
      </c>
      <c r="K1152" t="s">
        <v>1927</v>
      </c>
    </row>
    <row r="1153" spans="1:11" hidden="1" x14ac:dyDescent="0.25">
      <c r="A1153" s="210" t="s">
        <v>1524</v>
      </c>
      <c r="B1153">
        <v>9160</v>
      </c>
      <c r="C1153" s="100">
        <v>46147</v>
      </c>
      <c r="D1153" t="s">
        <v>49</v>
      </c>
      <c r="E1153" t="s">
        <v>45</v>
      </c>
      <c r="F1153" t="s">
        <v>891</v>
      </c>
      <c r="G1153">
        <v>7219</v>
      </c>
      <c r="I1153">
        <v>0</v>
      </c>
      <c r="K1153" t="s">
        <v>1928</v>
      </c>
    </row>
    <row r="1154" spans="1:11" hidden="1" x14ac:dyDescent="0.25">
      <c r="A1154" s="210" t="s">
        <v>1524</v>
      </c>
      <c r="B1154">
        <v>9160</v>
      </c>
      <c r="C1154" s="100">
        <v>46147</v>
      </c>
      <c r="D1154" t="s">
        <v>49</v>
      </c>
      <c r="E1154" t="s">
        <v>43</v>
      </c>
      <c r="F1154" t="s">
        <v>1929</v>
      </c>
      <c r="G1154">
        <v>760</v>
      </c>
      <c r="I1154">
        <v>0</v>
      </c>
      <c r="K1154" t="s">
        <v>1930</v>
      </c>
    </row>
    <row r="1155" spans="1:11" hidden="1" x14ac:dyDescent="0.25">
      <c r="A1155" s="210" t="s">
        <v>1524</v>
      </c>
      <c r="B1155">
        <v>9158</v>
      </c>
      <c r="C1155" s="100">
        <v>46146</v>
      </c>
      <c r="D1155" t="s">
        <v>49</v>
      </c>
      <c r="E1155" t="s">
        <v>143</v>
      </c>
      <c r="F1155" t="s">
        <v>136</v>
      </c>
      <c r="G1155">
        <v>1355</v>
      </c>
      <c r="I1155">
        <v>0</v>
      </c>
      <c r="K1155" t="s">
        <v>1740</v>
      </c>
    </row>
    <row r="1156" spans="1:11" hidden="1" x14ac:dyDescent="0.25">
      <c r="A1156" s="210" t="s">
        <v>1509</v>
      </c>
      <c r="B1156">
        <v>9157</v>
      </c>
      <c r="C1156" s="100">
        <v>46146</v>
      </c>
      <c r="D1156" t="s">
        <v>13</v>
      </c>
      <c r="E1156" t="s">
        <v>143</v>
      </c>
      <c r="F1156" t="s">
        <v>251</v>
      </c>
      <c r="G1156">
        <v>384</v>
      </c>
      <c r="H1156">
        <v>62000</v>
      </c>
      <c r="I1156">
        <v>23808000</v>
      </c>
    </row>
    <row r="1157" spans="1:11" hidden="1" x14ac:dyDescent="0.25">
      <c r="A1157" s="210" t="s">
        <v>1672</v>
      </c>
      <c r="B1157">
        <v>9157</v>
      </c>
      <c r="C1157" s="100">
        <v>46153</v>
      </c>
      <c r="D1157" t="s">
        <v>692</v>
      </c>
      <c r="E1157" t="s">
        <v>135</v>
      </c>
      <c r="F1157" t="s">
        <v>915</v>
      </c>
      <c r="G1157">
        <v>1052</v>
      </c>
      <c r="H1157">
        <v>-37000</v>
      </c>
      <c r="I1157">
        <v>-38924000</v>
      </c>
    </row>
    <row r="1158" spans="1:11" hidden="1" x14ac:dyDescent="0.25">
      <c r="A1158" s="210" t="s">
        <v>1672</v>
      </c>
      <c r="B1158">
        <v>9157</v>
      </c>
      <c r="C1158" s="100">
        <v>46153</v>
      </c>
      <c r="D1158" t="s">
        <v>692</v>
      </c>
      <c r="E1158" t="s">
        <v>103</v>
      </c>
      <c r="F1158" t="s">
        <v>2021</v>
      </c>
      <c r="G1158">
        <v>1107</v>
      </c>
      <c r="H1158">
        <v>-37000</v>
      </c>
      <c r="I1158">
        <v>-40959000</v>
      </c>
    </row>
    <row r="1159" spans="1:11" hidden="1" x14ac:dyDescent="0.25">
      <c r="A1159" s="210" t="s">
        <v>1672</v>
      </c>
      <c r="B1159">
        <v>9157</v>
      </c>
      <c r="C1159" s="100">
        <v>46153</v>
      </c>
      <c r="D1159" t="s">
        <v>692</v>
      </c>
      <c r="E1159" t="s">
        <v>68</v>
      </c>
      <c r="F1159" t="s">
        <v>1321</v>
      </c>
      <c r="G1159">
        <v>258</v>
      </c>
      <c r="H1159">
        <v>-42000</v>
      </c>
      <c r="I1159">
        <v>-10836000</v>
      </c>
    </row>
    <row r="1160" spans="1:11" hidden="1" x14ac:dyDescent="0.25">
      <c r="A1160" s="210" t="s">
        <v>1556</v>
      </c>
      <c r="B1160">
        <v>9156</v>
      </c>
      <c r="C1160" s="100">
        <v>46146</v>
      </c>
      <c r="D1160" t="s">
        <v>13</v>
      </c>
      <c r="E1160" t="s">
        <v>26</v>
      </c>
      <c r="F1160" t="s">
        <v>797</v>
      </c>
      <c r="G1160">
        <v>936</v>
      </c>
      <c r="I1160">
        <v>0</v>
      </c>
    </row>
    <row r="1161" spans="1:11" hidden="1" x14ac:dyDescent="0.25">
      <c r="A1161" s="210" t="s">
        <v>1556</v>
      </c>
      <c r="B1161">
        <v>9156</v>
      </c>
      <c r="C1161" s="100">
        <v>46146</v>
      </c>
      <c r="D1161" t="s">
        <v>13</v>
      </c>
      <c r="E1161" t="s">
        <v>26</v>
      </c>
      <c r="F1161" t="s">
        <v>1926</v>
      </c>
      <c r="G1161">
        <v>1172</v>
      </c>
      <c r="I1161">
        <v>0</v>
      </c>
    </row>
    <row r="1162" spans="1:11" hidden="1" x14ac:dyDescent="0.25">
      <c r="A1162" s="210" t="s">
        <v>1582</v>
      </c>
      <c r="B1162">
        <v>9155</v>
      </c>
      <c r="C1162" s="100">
        <v>46146</v>
      </c>
      <c r="D1162" t="s">
        <v>13</v>
      </c>
      <c r="E1162" t="s">
        <v>14</v>
      </c>
      <c r="F1162" t="s">
        <v>1925</v>
      </c>
      <c r="G1162">
        <v>352</v>
      </c>
      <c r="H1162">
        <v>42000</v>
      </c>
      <c r="I1162">
        <v>14784000</v>
      </c>
    </row>
    <row r="1163" spans="1:11" hidden="1" x14ac:dyDescent="0.25">
      <c r="A1163" s="210" t="s">
        <v>1582</v>
      </c>
      <c r="B1163">
        <v>9155</v>
      </c>
      <c r="C1163" s="100">
        <v>46146</v>
      </c>
      <c r="D1163" t="s">
        <v>13</v>
      </c>
      <c r="E1163" t="s">
        <v>75</v>
      </c>
      <c r="F1163" t="s">
        <v>1127</v>
      </c>
      <c r="G1163">
        <v>176</v>
      </c>
      <c r="H1163">
        <v>40000</v>
      </c>
      <c r="I1163">
        <v>7040000</v>
      </c>
    </row>
    <row r="1164" spans="1:11" hidden="1" x14ac:dyDescent="0.25">
      <c r="A1164" s="210" t="s">
        <v>1582</v>
      </c>
      <c r="B1164">
        <v>9155</v>
      </c>
      <c r="C1164" s="100">
        <v>46146</v>
      </c>
      <c r="D1164" t="s">
        <v>13</v>
      </c>
      <c r="E1164" t="s">
        <v>26</v>
      </c>
      <c r="F1164" t="s">
        <v>78</v>
      </c>
      <c r="G1164">
        <v>511</v>
      </c>
      <c r="H1164">
        <v>35000</v>
      </c>
      <c r="I1164">
        <v>17885000</v>
      </c>
    </row>
    <row r="1165" spans="1:11" hidden="1" x14ac:dyDescent="0.25">
      <c r="A1165" s="210" t="s">
        <v>1582</v>
      </c>
      <c r="B1165">
        <v>9155</v>
      </c>
      <c r="C1165" s="100">
        <v>46146</v>
      </c>
      <c r="D1165" t="s">
        <v>13</v>
      </c>
      <c r="E1165" t="s">
        <v>17</v>
      </c>
      <c r="F1165" t="s">
        <v>40</v>
      </c>
      <c r="G1165">
        <v>358</v>
      </c>
      <c r="H1165">
        <v>68000</v>
      </c>
      <c r="I1165">
        <v>24344000</v>
      </c>
    </row>
    <row r="1166" spans="1:11" hidden="1" x14ac:dyDescent="0.25">
      <c r="A1166" s="210" t="s">
        <v>1719</v>
      </c>
      <c r="B1166">
        <v>9154</v>
      </c>
      <c r="C1166" s="100">
        <v>46146</v>
      </c>
      <c r="D1166" t="s">
        <v>13</v>
      </c>
      <c r="E1166" t="s">
        <v>50</v>
      </c>
      <c r="F1166" t="s">
        <v>1763</v>
      </c>
      <c r="G1166">
        <v>152</v>
      </c>
      <c r="H1166">
        <v>65000</v>
      </c>
      <c r="I1166">
        <v>9880000</v>
      </c>
    </row>
    <row r="1167" spans="1:11" x14ac:dyDescent="0.25">
      <c r="A1167" s="210" t="s">
        <v>1512</v>
      </c>
      <c r="B1167">
        <v>9153</v>
      </c>
      <c r="C1167" s="100">
        <v>46146</v>
      </c>
      <c r="D1167" t="s">
        <v>13</v>
      </c>
      <c r="E1167" t="s">
        <v>26</v>
      </c>
      <c r="F1167" t="s">
        <v>146</v>
      </c>
      <c r="G1167">
        <v>1048</v>
      </c>
      <c r="H1167">
        <v>35000</v>
      </c>
      <c r="I1167">
        <v>36680000</v>
      </c>
    </row>
    <row r="1168" spans="1:11" x14ac:dyDescent="0.25">
      <c r="A1168" s="210" t="s">
        <v>1512</v>
      </c>
      <c r="B1168">
        <v>9153</v>
      </c>
      <c r="C1168" s="100">
        <v>46146</v>
      </c>
      <c r="D1168" t="s">
        <v>13</v>
      </c>
      <c r="E1168" t="s">
        <v>17</v>
      </c>
      <c r="F1168" t="s">
        <v>469</v>
      </c>
      <c r="G1168">
        <v>146</v>
      </c>
      <c r="H1168">
        <v>65000</v>
      </c>
      <c r="I1168">
        <v>9490000</v>
      </c>
    </row>
    <row r="1169" spans="1:11" hidden="1" x14ac:dyDescent="0.25">
      <c r="A1169" s="210" t="s">
        <v>1515</v>
      </c>
      <c r="B1169">
        <v>9152</v>
      </c>
      <c r="C1169" s="100">
        <v>46146</v>
      </c>
      <c r="D1169" t="s">
        <v>13</v>
      </c>
      <c r="E1169" t="s">
        <v>32</v>
      </c>
      <c r="F1169" t="s">
        <v>230</v>
      </c>
      <c r="G1169">
        <v>1048</v>
      </c>
      <c r="H1169">
        <v>45000</v>
      </c>
      <c r="I1169">
        <v>47160000</v>
      </c>
    </row>
    <row r="1170" spans="1:11" hidden="1" x14ac:dyDescent="0.25">
      <c r="A1170" s="210" t="s">
        <v>1591</v>
      </c>
      <c r="B1170">
        <v>9151</v>
      </c>
      <c r="C1170" s="100">
        <v>46146</v>
      </c>
      <c r="D1170" t="s">
        <v>13</v>
      </c>
      <c r="E1170" t="s">
        <v>265</v>
      </c>
      <c r="F1170" t="s">
        <v>136</v>
      </c>
      <c r="G1170">
        <v>1326</v>
      </c>
      <c r="H1170">
        <v>66000</v>
      </c>
      <c r="I1170">
        <v>87516000</v>
      </c>
    </row>
    <row r="1171" spans="1:11" hidden="1" x14ac:dyDescent="0.25">
      <c r="A1171" s="210" t="s">
        <v>1591</v>
      </c>
      <c r="B1171">
        <v>9151</v>
      </c>
      <c r="C1171" s="100">
        <v>46146</v>
      </c>
      <c r="D1171" t="s">
        <v>13</v>
      </c>
      <c r="E1171" t="s">
        <v>50</v>
      </c>
      <c r="F1171" t="s">
        <v>717</v>
      </c>
      <c r="G1171">
        <v>506</v>
      </c>
      <c r="H1171">
        <v>62000</v>
      </c>
      <c r="I1171">
        <v>31372000</v>
      </c>
    </row>
    <row r="1172" spans="1:11" hidden="1" x14ac:dyDescent="0.25">
      <c r="A1172" s="210" t="s">
        <v>1610</v>
      </c>
      <c r="B1172">
        <v>9150</v>
      </c>
      <c r="C1172" s="100">
        <v>46146</v>
      </c>
      <c r="D1172" t="s">
        <v>13</v>
      </c>
      <c r="E1172" t="s">
        <v>26</v>
      </c>
      <c r="F1172" t="s">
        <v>283</v>
      </c>
      <c r="G1172">
        <v>2274</v>
      </c>
      <c r="H1172">
        <v>33000</v>
      </c>
      <c r="I1172">
        <v>75042000</v>
      </c>
      <c r="K1172" t="s">
        <v>42</v>
      </c>
    </row>
    <row r="1173" spans="1:11" hidden="1" x14ac:dyDescent="0.25">
      <c r="A1173" s="210" t="s">
        <v>2547</v>
      </c>
      <c r="B1173">
        <v>9149</v>
      </c>
      <c r="C1173" s="100">
        <v>46146</v>
      </c>
      <c r="D1173" t="s">
        <v>13</v>
      </c>
      <c r="E1173" t="s">
        <v>195</v>
      </c>
      <c r="F1173" t="s">
        <v>1923</v>
      </c>
      <c r="G1173">
        <v>2496</v>
      </c>
      <c r="H1173">
        <v>25000</v>
      </c>
      <c r="I1173">
        <v>62400000</v>
      </c>
    </row>
    <row r="1174" spans="1:11" hidden="1" x14ac:dyDescent="0.25">
      <c r="A1174" s="210" t="s">
        <v>2547</v>
      </c>
      <c r="B1174">
        <v>9149</v>
      </c>
      <c r="C1174" s="100">
        <v>46146</v>
      </c>
      <c r="D1174" t="s">
        <v>13</v>
      </c>
      <c r="E1174" t="s">
        <v>195</v>
      </c>
      <c r="F1174" t="s">
        <v>1924</v>
      </c>
      <c r="G1174">
        <v>2152</v>
      </c>
      <c r="H1174">
        <v>25000</v>
      </c>
      <c r="I1174">
        <v>53800000</v>
      </c>
    </row>
    <row r="1175" spans="1:11" hidden="1" x14ac:dyDescent="0.25">
      <c r="A1175" s="210" t="s">
        <v>1479</v>
      </c>
      <c r="B1175">
        <v>9148</v>
      </c>
      <c r="C1175" s="100">
        <v>46146</v>
      </c>
      <c r="D1175" t="s">
        <v>13</v>
      </c>
      <c r="E1175" t="s">
        <v>50</v>
      </c>
      <c r="F1175" t="s">
        <v>1818</v>
      </c>
      <c r="G1175">
        <v>1290</v>
      </c>
      <c r="H1175">
        <v>62000</v>
      </c>
      <c r="I1175">
        <v>79980000</v>
      </c>
    </row>
    <row r="1176" spans="1:11" hidden="1" x14ac:dyDescent="0.25">
      <c r="A1176" s="210" t="s">
        <v>1491</v>
      </c>
      <c r="B1176">
        <v>9147</v>
      </c>
      <c r="C1176" s="100">
        <v>46146</v>
      </c>
      <c r="D1176" t="s">
        <v>13</v>
      </c>
      <c r="E1176" t="s">
        <v>43</v>
      </c>
      <c r="F1176" t="s">
        <v>148</v>
      </c>
      <c r="G1176">
        <v>1317</v>
      </c>
      <c r="H1176">
        <v>58500</v>
      </c>
      <c r="I1176">
        <v>77044500</v>
      </c>
    </row>
    <row r="1177" spans="1:11" hidden="1" x14ac:dyDescent="0.25">
      <c r="A1177" s="210" t="s">
        <v>1491</v>
      </c>
      <c r="B1177">
        <v>9147</v>
      </c>
      <c r="C1177" s="100">
        <v>46146</v>
      </c>
      <c r="D1177" t="s">
        <v>13</v>
      </c>
      <c r="E1177" t="s">
        <v>17</v>
      </c>
      <c r="F1177" t="s">
        <v>78</v>
      </c>
      <c r="G1177">
        <v>826</v>
      </c>
      <c r="H1177">
        <v>65000</v>
      </c>
      <c r="I1177">
        <v>53690000</v>
      </c>
    </row>
    <row r="1178" spans="1:11" hidden="1" x14ac:dyDescent="0.25">
      <c r="A1178" s="210" t="s">
        <v>1491</v>
      </c>
      <c r="B1178">
        <v>9147</v>
      </c>
      <c r="C1178" s="100">
        <v>46146</v>
      </c>
      <c r="D1178" t="s">
        <v>13</v>
      </c>
      <c r="E1178" t="s">
        <v>17</v>
      </c>
      <c r="F1178" t="s">
        <v>446</v>
      </c>
      <c r="G1178">
        <v>518</v>
      </c>
      <c r="H1178">
        <v>65000</v>
      </c>
      <c r="I1178">
        <v>33670000</v>
      </c>
    </row>
    <row r="1179" spans="1:11" hidden="1" x14ac:dyDescent="0.25">
      <c r="A1179" s="210" t="s">
        <v>1491</v>
      </c>
      <c r="B1179">
        <v>9147</v>
      </c>
      <c r="C1179" s="100">
        <v>46146</v>
      </c>
      <c r="D1179" t="s">
        <v>13</v>
      </c>
      <c r="E1179" t="s">
        <v>50</v>
      </c>
      <c r="F1179" t="s">
        <v>1255</v>
      </c>
      <c r="G1179">
        <v>30</v>
      </c>
      <c r="H1179">
        <v>59500</v>
      </c>
      <c r="I1179">
        <v>1785000</v>
      </c>
    </row>
    <row r="1180" spans="1:11" hidden="1" x14ac:dyDescent="0.25">
      <c r="A1180" s="210" t="s">
        <v>1822</v>
      </c>
      <c r="B1180">
        <v>9146</v>
      </c>
      <c r="C1180" s="100">
        <v>46146</v>
      </c>
      <c r="D1180" t="s">
        <v>13</v>
      </c>
      <c r="E1180" t="s">
        <v>43</v>
      </c>
      <c r="F1180" t="s">
        <v>1922</v>
      </c>
      <c r="G1180">
        <v>726</v>
      </c>
      <c r="H1180">
        <v>62500</v>
      </c>
      <c r="I1180">
        <v>45375000</v>
      </c>
    </row>
    <row r="1181" spans="1:11" hidden="1" x14ac:dyDescent="0.25">
      <c r="A1181" s="210" t="s">
        <v>1822</v>
      </c>
      <c r="B1181">
        <v>9146</v>
      </c>
      <c r="C1181" s="100">
        <v>46146</v>
      </c>
      <c r="D1181" t="s">
        <v>13</v>
      </c>
      <c r="E1181" t="s">
        <v>14</v>
      </c>
      <c r="F1181" t="s">
        <v>1823</v>
      </c>
      <c r="G1181">
        <v>1970</v>
      </c>
      <c r="H1181">
        <v>43500</v>
      </c>
      <c r="I1181">
        <v>85695000</v>
      </c>
    </row>
    <row r="1182" spans="1:11" hidden="1" x14ac:dyDescent="0.25">
      <c r="A1182" s="210" t="s">
        <v>1547</v>
      </c>
      <c r="B1182">
        <v>9145</v>
      </c>
      <c r="C1182" s="100">
        <v>46146</v>
      </c>
      <c r="D1182" t="s">
        <v>13</v>
      </c>
      <c r="E1182" t="s">
        <v>43</v>
      </c>
      <c r="F1182" t="s">
        <v>283</v>
      </c>
      <c r="G1182">
        <v>1450</v>
      </c>
      <c r="H1182">
        <v>59500</v>
      </c>
      <c r="I1182">
        <v>86275000</v>
      </c>
    </row>
    <row r="1183" spans="1:11" hidden="1" x14ac:dyDescent="0.25">
      <c r="A1183" s="210" t="s">
        <v>1600</v>
      </c>
      <c r="B1183">
        <v>9144</v>
      </c>
      <c r="C1183" s="100">
        <v>46146</v>
      </c>
      <c r="D1183" t="s">
        <v>13</v>
      </c>
      <c r="E1183" t="s">
        <v>252</v>
      </c>
      <c r="F1183" t="s">
        <v>41</v>
      </c>
      <c r="G1183">
        <v>2166</v>
      </c>
      <c r="H1183">
        <v>38000</v>
      </c>
      <c r="I1183">
        <v>82308000</v>
      </c>
    </row>
    <row r="1184" spans="1:11" hidden="1" x14ac:dyDescent="0.25">
      <c r="A1184" s="210" t="s">
        <v>1600</v>
      </c>
      <c r="B1184">
        <v>9144</v>
      </c>
      <c r="C1184" s="100">
        <v>46146</v>
      </c>
      <c r="D1184" t="s">
        <v>13</v>
      </c>
      <c r="E1184" t="s">
        <v>252</v>
      </c>
      <c r="F1184" t="s">
        <v>136</v>
      </c>
      <c r="G1184">
        <v>1141</v>
      </c>
      <c r="H1184">
        <v>37700</v>
      </c>
      <c r="I1184">
        <v>43015700</v>
      </c>
    </row>
    <row r="1185" spans="1:11" hidden="1" x14ac:dyDescent="0.25">
      <c r="A1185" s="210" t="s">
        <v>1600</v>
      </c>
      <c r="B1185">
        <v>9144</v>
      </c>
      <c r="C1185" s="100">
        <v>46146</v>
      </c>
      <c r="D1185" t="s">
        <v>13</v>
      </c>
      <c r="E1185" t="s">
        <v>252</v>
      </c>
      <c r="F1185" t="s">
        <v>62</v>
      </c>
      <c r="G1185">
        <v>1014</v>
      </c>
      <c r="H1185">
        <v>39000</v>
      </c>
      <c r="I1185">
        <v>39546000</v>
      </c>
    </row>
    <row r="1186" spans="1:11" hidden="1" x14ac:dyDescent="0.25">
      <c r="A1186" s="210" t="s">
        <v>1524</v>
      </c>
      <c r="B1186">
        <v>9143</v>
      </c>
      <c r="C1186" s="100">
        <v>46146</v>
      </c>
      <c r="D1186" t="s">
        <v>49</v>
      </c>
      <c r="E1186" t="s">
        <v>32</v>
      </c>
      <c r="F1186" t="s">
        <v>230</v>
      </c>
      <c r="G1186">
        <v>2814</v>
      </c>
      <c r="I1186">
        <v>0</v>
      </c>
      <c r="K1186" t="s">
        <v>1921</v>
      </c>
    </row>
    <row r="1187" spans="1:11" hidden="1" x14ac:dyDescent="0.25">
      <c r="A1187" s="210" t="s">
        <v>1524</v>
      </c>
      <c r="B1187">
        <v>9142</v>
      </c>
      <c r="C1187" s="100">
        <v>46146</v>
      </c>
      <c r="D1187" t="s">
        <v>13</v>
      </c>
      <c r="E1187" t="s">
        <v>43</v>
      </c>
      <c r="F1187" t="s">
        <v>416</v>
      </c>
      <c r="G1187">
        <v>832</v>
      </c>
      <c r="H1187">
        <v>60000</v>
      </c>
      <c r="I1187">
        <v>49920000</v>
      </c>
    </row>
    <row r="1188" spans="1:11" hidden="1" x14ac:dyDescent="0.25">
      <c r="A1188" s="210" t="s">
        <v>1548</v>
      </c>
      <c r="B1188">
        <v>9140</v>
      </c>
      <c r="C1188" s="100">
        <v>46146</v>
      </c>
      <c r="D1188" t="s">
        <v>13</v>
      </c>
      <c r="E1188" t="s">
        <v>17</v>
      </c>
      <c r="F1188" t="s">
        <v>40</v>
      </c>
      <c r="G1188">
        <v>592</v>
      </c>
      <c r="H1188">
        <v>66000</v>
      </c>
      <c r="I1188">
        <v>39072000</v>
      </c>
    </row>
    <row r="1189" spans="1:11" hidden="1" x14ac:dyDescent="0.25">
      <c r="A1189" s="210" t="s">
        <v>1548</v>
      </c>
      <c r="B1189">
        <v>9140</v>
      </c>
      <c r="C1189" s="100">
        <v>46146</v>
      </c>
      <c r="D1189" t="s">
        <v>13</v>
      </c>
      <c r="E1189" t="s">
        <v>43</v>
      </c>
      <c r="F1189" t="s">
        <v>148</v>
      </c>
      <c r="G1189">
        <v>550</v>
      </c>
      <c r="H1189">
        <v>55000</v>
      </c>
      <c r="I1189">
        <v>30250000</v>
      </c>
    </row>
    <row r="1190" spans="1:11" hidden="1" x14ac:dyDescent="0.25">
      <c r="A1190" s="210" t="s">
        <v>1532</v>
      </c>
      <c r="B1190">
        <v>9139</v>
      </c>
      <c r="C1190" s="100">
        <v>46146</v>
      </c>
      <c r="D1190" t="s">
        <v>49</v>
      </c>
      <c r="E1190" t="s">
        <v>301</v>
      </c>
      <c r="F1190" t="s">
        <v>78</v>
      </c>
      <c r="G1190">
        <v>3520</v>
      </c>
      <c r="I1190">
        <v>0</v>
      </c>
      <c r="K1190" t="s">
        <v>1918</v>
      </c>
    </row>
    <row r="1191" spans="1:11" hidden="1" x14ac:dyDescent="0.25">
      <c r="A1191" s="210" t="s">
        <v>1532</v>
      </c>
      <c r="B1191">
        <v>9139</v>
      </c>
      <c r="C1191" s="100">
        <v>46146</v>
      </c>
      <c r="D1191" t="s">
        <v>49</v>
      </c>
      <c r="E1191" t="s">
        <v>45</v>
      </c>
      <c r="F1191" t="s">
        <v>1919</v>
      </c>
      <c r="G1191">
        <v>1301</v>
      </c>
      <c r="I1191">
        <v>0</v>
      </c>
    </row>
    <row r="1192" spans="1:11" hidden="1" x14ac:dyDescent="0.25">
      <c r="A1192" s="210" t="s">
        <v>1532</v>
      </c>
      <c r="B1192">
        <v>9139</v>
      </c>
      <c r="C1192" s="100">
        <v>46146</v>
      </c>
      <c r="D1192" t="s">
        <v>49</v>
      </c>
      <c r="E1192" t="s">
        <v>192</v>
      </c>
      <c r="F1192" t="s">
        <v>793</v>
      </c>
      <c r="G1192">
        <v>2859</v>
      </c>
      <c r="I1192">
        <v>0</v>
      </c>
    </row>
    <row r="1193" spans="1:11" hidden="1" x14ac:dyDescent="0.25">
      <c r="A1193" s="210" t="s">
        <v>1532</v>
      </c>
      <c r="B1193">
        <v>9139</v>
      </c>
      <c r="C1193" s="100">
        <v>46146</v>
      </c>
      <c r="D1193" t="s">
        <v>49</v>
      </c>
      <c r="E1193" t="s">
        <v>26</v>
      </c>
      <c r="F1193" t="s">
        <v>1920</v>
      </c>
      <c r="G1193">
        <v>628</v>
      </c>
      <c r="I1193">
        <v>0</v>
      </c>
    </row>
    <row r="1194" spans="1:11" hidden="1" x14ac:dyDescent="0.25">
      <c r="A1194" s="210" t="s">
        <v>1504</v>
      </c>
      <c r="B1194">
        <v>9138</v>
      </c>
      <c r="C1194" s="100">
        <v>46146</v>
      </c>
      <c r="D1194" t="s">
        <v>13</v>
      </c>
      <c r="E1194" t="s">
        <v>54</v>
      </c>
      <c r="F1194" t="s">
        <v>1917</v>
      </c>
      <c r="G1194">
        <v>868</v>
      </c>
      <c r="H1194">
        <v>37000</v>
      </c>
      <c r="I1194">
        <v>32116000</v>
      </c>
    </row>
    <row r="1195" spans="1:11" hidden="1" x14ac:dyDescent="0.25">
      <c r="A1195" s="210" t="s">
        <v>1504</v>
      </c>
      <c r="B1195">
        <v>9138</v>
      </c>
      <c r="C1195" s="100">
        <v>46146</v>
      </c>
      <c r="D1195" t="s">
        <v>13</v>
      </c>
      <c r="E1195" t="s">
        <v>219</v>
      </c>
      <c r="F1195" t="s">
        <v>1860</v>
      </c>
      <c r="G1195">
        <v>686</v>
      </c>
      <c r="H1195">
        <v>43000</v>
      </c>
      <c r="I1195">
        <v>29498000</v>
      </c>
    </row>
    <row r="1196" spans="1:11" hidden="1" x14ac:dyDescent="0.25">
      <c r="A1196" s="210" t="s">
        <v>1476</v>
      </c>
      <c r="B1196">
        <v>9137</v>
      </c>
      <c r="C1196" s="100">
        <v>46146</v>
      </c>
      <c r="D1196" t="s">
        <v>49</v>
      </c>
      <c r="E1196" t="s">
        <v>50</v>
      </c>
      <c r="F1196" t="s">
        <v>1915</v>
      </c>
      <c r="G1196">
        <v>720</v>
      </c>
      <c r="I1196">
        <v>0</v>
      </c>
      <c r="K1196" t="s">
        <v>66</v>
      </c>
    </row>
    <row r="1197" spans="1:11" hidden="1" x14ac:dyDescent="0.25">
      <c r="A1197" s="210" t="s">
        <v>1476</v>
      </c>
      <c r="B1197">
        <v>9137</v>
      </c>
      <c r="C1197" s="100">
        <v>46146</v>
      </c>
      <c r="D1197" t="s">
        <v>49</v>
      </c>
      <c r="E1197" t="s">
        <v>50</v>
      </c>
      <c r="F1197" t="s">
        <v>1916</v>
      </c>
      <c r="G1197">
        <v>40</v>
      </c>
      <c r="I1197">
        <v>0</v>
      </c>
      <c r="K1197" t="s">
        <v>66</v>
      </c>
    </row>
    <row r="1198" spans="1:11" hidden="1" x14ac:dyDescent="0.25">
      <c r="A1198" s="210" t="s">
        <v>1499</v>
      </c>
      <c r="B1198">
        <v>9136</v>
      </c>
      <c r="C1198" s="100">
        <v>46146</v>
      </c>
      <c r="D1198" t="s">
        <v>13</v>
      </c>
      <c r="E1198" t="s">
        <v>26</v>
      </c>
      <c r="F1198" t="s">
        <v>41</v>
      </c>
      <c r="G1198">
        <v>2062</v>
      </c>
      <c r="H1198">
        <v>35000</v>
      </c>
      <c r="I1198">
        <v>72170000</v>
      </c>
      <c r="K1198" t="s">
        <v>2022</v>
      </c>
    </row>
    <row r="1199" spans="1:11" hidden="1" x14ac:dyDescent="0.25">
      <c r="A1199" s="210" t="s">
        <v>1499</v>
      </c>
      <c r="B1199">
        <v>9136</v>
      </c>
      <c r="C1199" s="100">
        <v>46146</v>
      </c>
      <c r="D1199" t="s">
        <v>13</v>
      </c>
      <c r="E1199" t="s">
        <v>43</v>
      </c>
      <c r="F1199" t="s">
        <v>136</v>
      </c>
      <c r="G1199">
        <v>1288</v>
      </c>
      <c r="H1199">
        <v>63000</v>
      </c>
      <c r="I1199">
        <v>81144000</v>
      </c>
    </row>
    <row r="1200" spans="1:11" hidden="1" x14ac:dyDescent="0.25">
      <c r="A1200" s="210" t="s">
        <v>2016</v>
      </c>
      <c r="B1200">
        <v>9135</v>
      </c>
      <c r="C1200" s="100">
        <v>46146</v>
      </c>
      <c r="D1200" t="s">
        <v>13</v>
      </c>
      <c r="E1200" t="s">
        <v>32</v>
      </c>
      <c r="F1200" t="s">
        <v>40</v>
      </c>
      <c r="G1200">
        <v>100</v>
      </c>
      <c r="H1200">
        <v>42500</v>
      </c>
      <c r="I1200">
        <v>4250000</v>
      </c>
    </row>
    <row r="1201" spans="1:11" hidden="1" x14ac:dyDescent="0.25">
      <c r="A1201" s="210" t="s">
        <v>1834</v>
      </c>
      <c r="B1201">
        <v>9134</v>
      </c>
      <c r="C1201" s="100">
        <v>46146</v>
      </c>
      <c r="D1201" t="s">
        <v>13</v>
      </c>
      <c r="E1201" t="s">
        <v>50</v>
      </c>
      <c r="F1201" t="s">
        <v>1763</v>
      </c>
      <c r="G1201">
        <v>248</v>
      </c>
      <c r="H1201">
        <v>64000</v>
      </c>
      <c r="I1201">
        <v>15872000</v>
      </c>
    </row>
    <row r="1202" spans="1:11" hidden="1" x14ac:dyDescent="0.25">
      <c r="A1202" s="210" t="s">
        <v>1679</v>
      </c>
      <c r="B1202">
        <v>9132</v>
      </c>
      <c r="C1202" s="100">
        <v>46146</v>
      </c>
      <c r="D1202" t="s">
        <v>13</v>
      </c>
      <c r="E1202" t="s">
        <v>169</v>
      </c>
      <c r="F1202" t="s">
        <v>41</v>
      </c>
      <c r="G1202">
        <v>5078</v>
      </c>
      <c r="H1202">
        <v>36700</v>
      </c>
      <c r="I1202">
        <v>186362600</v>
      </c>
    </row>
    <row r="1203" spans="1:11" hidden="1" x14ac:dyDescent="0.25">
      <c r="A1203" s="210" t="s">
        <v>1573</v>
      </c>
      <c r="B1203">
        <v>9131</v>
      </c>
      <c r="C1203" s="100">
        <v>46146</v>
      </c>
      <c r="D1203" t="s">
        <v>13</v>
      </c>
      <c r="E1203" t="s">
        <v>43</v>
      </c>
      <c r="F1203" t="s">
        <v>255</v>
      </c>
      <c r="G1203">
        <v>82</v>
      </c>
      <c r="H1203">
        <v>62000</v>
      </c>
      <c r="I1203">
        <v>5084000</v>
      </c>
    </row>
    <row r="1204" spans="1:11" hidden="1" x14ac:dyDescent="0.25">
      <c r="A1204" s="210" t="s">
        <v>1573</v>
      </c>
      <c r="B1204">
        <v>9131</v>
      </c>
      <c r="C1204" s="100">
        <v>46146</v>
      </c>
      <c r="D1204" t="s">
        <v>13</v>
      </c>
      <c r="E1204" t="s">
        <v>43</v>
      </c>
      <c r="F1204" t="s">
        <v>255</v>
      </c>
      <c r="G1204">
        <v>247</v>
      </c>
      <c r="H1204">
        <v>62000</v>
      </c>
      <c r="I1204">
        <v>15314000</v>
      </c>
      <c r="K1204" t="s">
        <v>783</v>
      </c>
    </row>
    <row r="1205" spans="1:11" hidden="1" x14ac:dyDescent="0.25">
      <c r="A1205" s="210" t="s">
        <v>1524</v>
      </c>
      <c r="B1205">
        <v>9130</v>
      </c>
      <c r="C1205" s="100">
        <v>46141</v>
      </c>
      <c r="D1205" t="s">
        <v>49</v>
      </c>
      <c r="E1205" t="s">
        <v>14</v>
      </c>
      <c r="F1205" t="s">
        <v>62</v>
      </c>
      <c r="G1205">
        <v>5331</v>
      </c>
      <c r="I1205">
        <v>0</v>
      </c>
      <c r="K1205" t="s">
        <v>1902</v>
      </c>
    </row>
    <row r="1206" spans="1:11" hidden="1" x14ac:dyDescent="0.25">
      <c r="A1206" s="210" t="s">
        <v>1582</v>
      </c>
      <c r="B1206">
        <v>9129</v>
      </c>
      <c r="C1206" s="100">
        <v>46141</v>
      </c>
      <c r="D1206" t="s">
        <v>13</v>
      </c>
      <c r="E1206" t="s">
        <v>26</v>
      </c>
      <c r="F1206" t="s">
        <v>145</v>
      </c>
      <c r="G1206">
        <v>1381</v>
      </c>
      <c r="H1206">
        <v>35500</v>
      </c>
      <c r="I1206">
        <v>49025500</v>
      </c>
    </row>
    <row r="1207" spans="1:11" hidden="1" x14ac:dyDescent="0.25">
      <c r="A1207" s="210" t="s">
        <v>1511</v>
      </c>
      <c r="B1207">
        <v>9128</v>
      </c>
      <c r="C1207" s="100">
        <v>46141</v>
      </c>
      <c r="D1207" t="s">
        <v>13</v>
      </c>
      <c r="E1207" t="s">
        <v>14</v>
      </c>
      <c r="F1207" t="s">
        <v>134</v>
      </c>
      <c r="G1207">
        <v>102</v>
      </c>
      <c r="H1207">
        <v>45000</v>
      </c>
      <c r="I1207">
        <v>4590000</v>
      </c>
      <c r="J1207">
        <v>4590000</v>
      </c>
    </row>
    <row r="1208" spans="1:11" hidden="1" x14ac:dyDescent="0.25">
      <c r="A1208" s="210" t="s">
        <v>1653</v>
      </c>
      <c r="B1208">
        <v>9127</v>
      </c>
      <c r="C1208" s="100">
        <v>46141</v>
      </c>
      <c r="D1208" t="s">
        <v>13</v>
      </c>
      <c r="E1208" t="s">
        <v>68</v>
      </c>
      <c r="F1208" t="s">
        <v>1267</v>
      </c>
      <c r="G1208">
        <v>1056</v>
      </c>
      <c r="H1208">
        <v>41500</v>
      </c>
      <c r="I1208">
        <v>43824000</v>
      </c>
    </row>
    <row r="1209" spans="1:11" hidden="1" x14ac:dyDescent="0.25">
      <c r="A1209" s="210" t="s">
        <v>1562</v>
      </c>
      <c r="B1209">
        <v>9126</v>
      </c>
      <c r="C1209" s="100">
        <v>46141</v>
      </c>
      <c r="D1209" t="s">
        <v>13</v>
      </c>
      <c r="E1209" t="s">
        <v>265</v>
      </c>
      <c r="F1209" t="s">
        <v>62</v>
      </c>
      <c r="G1209">
        <v>524</v>
      </c>
      <c r="H1209">
        <v>69500</v>
      </c>
      <c r="I1209">
        <v>36418000</v>
      </c>
    </row>
    <row r="1210" spans="1:11" hidden="1" x14ac:dyDescent="0.25">
      <c r="A1210" s="210" t="s">
        <v>1562</v>
      </c>
      <c r="B1210">
        <v>9126</v>
      </c>
      <c r="C1210" s="100">
        <v>46141</v>
      </c>
      <c r="D1210" t="s">
        <v>13</v>
      </c>
      <c r="E1210" t="s">
        <v>278</v>
      </c>
      <c r="F1210" t="s">
        <v>62</v>
      </c>
      <c r="G1210">
        <v>666</v>
      </c>
      <c r="H1210">
        <v>71000</v>
      </c>
      <c r="I1210">
        <v>47286000</v>
      </c>
    </row>
    <row r="1211" spans="1:11" hidden="1" x14ac:dyDescent="0.25">
      <c r="A1211" s="210" t="s">
        <v>1536</v>
      </c>
      <c r="B1211">
        <v>9125</v>
      </c>
      <c r="C1211" s="100">
        <v>46141</v>
      </c>
      <c r="D1211" t="s">
        <v>13</v>
      </c>
      <c r="E1211" t="s">
        <v>50</v>
      </c>
      <c r="F1211" t="s">
        <v>248</v>
      </c>
      <c r="G1211">
        <v>542</v>
      </c>
      <c r="H1211">
        <v>59500</v>
      </c>
      <c r="I1211">
        <v>32249000</v>
      </c>
    </row>
    <row r="1212" spans="1:11" hidden="1" x14ac:dyDescent="0.25">
      <c r="A1212" s="210" t="s">
        <v>1536</v>
      </c>
      <c r="B1212">
        <v>9125</v>
      </c>
      <c r="C1212" s="100">
        <v>46141</v>
      </c>
      <c r="D1212" t="s">
        <v>13</v>
      </c>
      <c r="E1212" t="s">
        <v>355</v>
      </c>
      <c r="F1212" t="s">
        <v>116</v>
      </c>
      <c r="G1212">
        <v>164</v>
      </c>
      <c r="H1212">
        <v>66000</v>
      </c>
      <c r="I1212">
        <v>10824000</v>
      </c>
    </row>
    <row r="1213" spans="1:11" hidden="1" x14ac:dyDescent="0.25">
      <c r="A1213" s="210" t="s">
        <v>1536</v>
      </c>
      <c r="B1213">
        <v>9124</v>
      </c>
      <c r="C1213" s="100">
        <v>46141</v>
      </c>
      <c r="D1213" t="s">
        <v>13</v>
      </c>
      <c r="E1213" t="s">
        <v>109</v>
      </c>
      <c r="F1213" t="s">
        <v>1046</v>
      </c>
      <c r="G1213">
        <v>716</v>
      </c>
      <c r="H1213">
        <v>61000</v>
      </c>
      <c r="I1213">
        <v>43676000</v>
      </c>
    </row>
    <row r="1214" spans="1:11" hidden="1" x14ac:dyDescent="0.25">
      <c r="A1214" s="210" t="s">
        <v>1536</v>
      </c>
      <c r="B1214">
        <v>9124</v>
      </c>
      <c r="C1214" s="100">
        <v>46141</v>
      </c>
      <c r="D1214" t="s">
        <v>13</v>
      </c>
      <c r="E1214" t="s">
        <v>109</v>
      </c>
      <c r="F1214" t="s">
        <v>946</v>
      </c>
      <c r="G1214">
        <v>290</v>
      </c>
      <c r="H1214">
        <v>61000</v>
      </c>
      <c r="I1214">
        <v>17690000</v>
      </c>
    </row>
    <row r="1215" spans="1:11" hidden="1" x14ac:dyDescent="0.25">
      <c r="A1215" s="210" t="s">
        <v>1536</v>
      </c>
      <c r="B1215">
        <v>9124</v>
      </c>
      <c r="C1215" s="100">
        <v>46141</v>
      </c>
      <c r="D1215" t="s">
        <v>13</v>
      </c>
      <c r="E1215" t="s">
        <v>68</v>
      </c>
      <c r="F1215" t="s">
        <v>117</v>
      </c>
      <c r="G1215">
        <v>242</v>
      </c>
      <c r="H1215">
        <v>41500</v>
      </c>
      <c r="I1215">
        <v>10043000</v>
      </c>
    </row>
    <row r="1216" spans="1:11" hidden="1" x14ac:dyDescent="0.25">
      <c r="A1216" s="210" t="s">
        <v>1536</v>
      </c>
      <c r="B1216">
        <v>9124</v>
      </c>
      <c r="C1216" s="100">
        <v>46141</v>
      </c>
      <c r="D1216" t="s">
        <v>13</v>
      </c>
      <c r="E1216" t="s">
        <v>103</v>
      </c>
      <c r="F1216" t="s">
        <v>116</v>
      </c>
      <c r="G1216">
        <v>110</v>
      </c>
      <c r="H1216">
        <v>38000</v>
      </c>
      <c r="I1216">
        <v>4180000</v>
      </c>
    </row>
    <row r="1217" spans="1:11" hidden="1" x14ac:dyDescent="0.25">
      <c r="A1217" s="210" t="s">
        <v>1536</v>
      </c>
      <c r="B1217">
        <v>9124</v>
      </c>
      <c r="C1217" s="100">
        <v>46141</v>
      </c>
      <c r="D1217" t="s">
        <v>13</v>
      </c>
      <c r="E1217" t="s">
        <v>150</v>
      </c>
      <c r="F1217" t="s">
        <v>886</v>
      </c>
      <c r="G1217">
        <v>140</v>
      </c>
      <c r="H1217">
        <v>0</v>
      </c>
      <c r="I1217">
        <v>0</v>
      </c>
    </row>
    <row r="1218" spans="1:11" hidden="1" x14ac:dyDescent="0.25">
      <c r="A1218" s="210" t="s">
        <v>1536</v>
      </c>
      <c r="B1218">
        <v>9124</v>
      </c>
      <c r="C1218" s="100">
        <v>46141</v>
      </c>
      <c r="D1218" t="s">
        <v>13</v>
      </c>
      <c r="E1218" t="s">
        <v>45</v>
      </c>
      <c r="F1218" t="s">
        <v>1832</v>
      </c>
      <c r="G1218">
        <v>750</v>
      </c>
      <c r="H1218">
        <v>34000</v>
      </c>
      <c r="I1218">
        <v>25500000</v>
      </c>
    </row>
    <row r="1219" spans="1:11" hidden="1" x14ac:dyDescent="0.25">
      <c r="A1219" s="210" t="s">
        <v>1899</v>
      </c>
      <c r="B1219">
        <v>9123</v>
      </c>
      <c r="C1219" s="100">
        <v>46141</v>
      </c>
      <c r="D1219" t="s">
        <v>13</v>
      </c>
      <c r="E1219" t="s">
        <v>26</v>
      </c>
      <c r="F1219" t="s">
        <v>40</v>
      </c>
      <c r="G1219">
        <v>560</v>
      </c>
      <c r="H1219">
        <v>36000</v>
      </c>
      <c r="I1219">
        <v>20160000</v>
      </c>
      <c r="J1219">
        <v>357</v>
      </c>
    </row>
    <row r="1220" spans="1:11" hidden="1" x14ac:dyDescent="0.25">
      <c r="A1220" s="210" t="s">
        <v>1899</v>
      </c>
      <c r="B1220">
        <v>9123</v>
      </c>
      <c r="C1220" s="100">
        <v>46141</v>
      </c>
      <c r="D1220" t="s">
        <v>13</v>
      </c>
      <c r="E1220" t="s">
        <v>26</v>
      </c>
      <c r="F1220" t="s">
        <v>416</v>
      </c>
      <c r="G1220">
        <v>240</v>
      </c>
      <c r="H1220">
        <v>35000</v>
      </c>
      <c r="I1220">
        <v>8400000</v>
      </c>
    </row>
    <row r="1221" spans="1:11" hidden="1" x14ac:dyDescent="0.25">
      <c r="A1221" s="210" t="s">
        <v>1899</v>
      </c>
      <c r="B1221">
        <v>9123</v>
      </c>
      <c r="C1221" s="100">
        <v>46141</v>
      </c>
      <c r="D1221" t="s">
        <v>13</v>
      </c>
      <c r="E1221" t="s">
        <v>17</v>
      </c>
      <c r="F1221" t="s">
        <v>230</v>
      </c>
      <c r="G1221">
        <v>240</v>
      </c>
      <c r="H1221">
        <v>69000</v>
      </c>
      <c r="I1221">
        <v>16560000</v>
      </c>
    </row>
    <row r="1222" spans="1:11" hidden="1" x14ac:dyDescent="0.25">
      <c r="A1222" s="210" t="s">
        <v>1899</v>
      </c>
      <c r="B1222">
        <v>9123</v>
      </c>
      <c r="C1222" s="100">
        <v>46141</v>
      </c>
      <c r="D1222" t="s">
        <v>13</v>
      </c>
      <c r="E1222" t="s">
        <v>32</v>
      </c>
      <c r="F1222" t="s">
        <v>230</v>
      </c>
      <c r="G1222">
        <v>228</v>
      </c>
      <c r="H1222">
        <v>45000</v>
      </c>
      <c r="I1222">
        <v>10260000</v>
      </c>
    </row>
    <row r="1223" spans="1:11" hidden="1" x14ac:dyDescent="0.25">
      <c r="A1223" s="210" t="s">
        <v>1896</v>
      </c>
      <c r="B1223">
        <v>9122</v>
      </c>
      <c r="C1223" s="100">
        <v>46141</v>
      </c>
      <c r="D1223" t="s">
        <v>13</v>
      </c>
      <c r="E1223" t="s">
        <v>43</v>
      </c>
      <c r="F1223" t="s">
        <v>40</v>
      </c>
      <c r="G1223">
        <v>1164</v>
      </c>
      <c r="H1223">
        <v>64000</v>
      </c>
      <c r="I1223">
        <v>74496000</v>
      </c>
    </row>
    <row r="1224" spans="1:11" hidden="1" x14ac:dyDescent="0.25">
      <c r="A1224" s="210" t="s">
        <v>1538</v>
      </c>
      <c r="B1224">
        <v>9121</v>
      </c>
      <c r="C1224" s="100">
        <v>46141</v>
      </c>
      <c r="D1224" t="s">
        <v>13</v>
      </c>
      <c r="E1224" t="s">
        <v>26</v>
      </c>
      <c r="F1224" t="s">
        <v>38</v>
      </c>
      <c r="G1224">
        <v>1082</v>
      </c>
      <c r="H1224">
        <v>34000</v>
      </c>
      <c r="I1224">
        <v>36788000</v>
      </c>
    </row>
    <row r="1225" spans="1:11" hidden="1" x14ac:dyDescent="0.25">
      <c r="A1225" s="210" t="s">
        <v>1567</v>
      </c>
      <c r="B1225">
        <v>9120</v>
      </c>
      <c r="C1225" s="100">
        <v>46141</v>
      </c>
      <c r="D1225" t="s">
        <v>13</v>
      </c>
      <c r="E1225" t="s">
        <v>17</v>
      </c>
      <c r="F1225" t="s">
        <v>78</v>
      </c>
      <c r="G1225">
        <v>668</v>
      </c>
      <c r="H1225">
        <v>59000</v>
      </c>
      <c r="I1225">
        <v>39412000</v>
      </c>
    </row>
    <row r="1226" spans="1:11" hidden="1" x14ac:dyDescent="0.25">
      <c r="A1226" s="210" t="s">
        <v>1541</v>
      </c>
      <c r="B1226">
        <v>9119</v>
      </c>
      <c r="C1226" s="100">
        <v>46141</v>
      </c>
      <c r="D1226" t="s">
        <v>13</v>
      </c>
      <c r="E1226" t="s">
        <v>50</v>
      </c>
      <c r="F1226" t="s">
        <v>288</v>
      </c>
      <c r="G1226">
        <v>317</v>
      </c>
      <c r="H1226">
        <v>61500</v>
      </c>
      <c r="I1226">
        <v>19495500</v>
      </c>
      <c r="K1226" t="s">
        <v>1894</v>
      </c>
    </row>
    <row r="1227" spans="1:11" hidden="1" x14ac:dyDescent="0.25">
      <c r="A1227" s="210" t="s">
        <v>1597</v>
      </c>
      <c r="B1227">
        <v>9118</v>
      </c>
      <c r="C1227" s="100">
        <v>46141</v>
      </c>
      <c r="D1227" t="s">
        <v>13</v>
      </c>
      <c r="E1227" t="s">
        <v>50</v>
      </c>
      <c r="F1227" t="s">
        <v>1891</v>
      </c>
      <c r="G1227">
        <v>539</v>
      </c>
      <c r="H1227">
        <v>60000</v>
      </c>
      <c r="I1227">
        <v>32340000</v>
      </c>
    </row>
    <row r="1228" spans="1:11" hidden="1" x14ac:dyDescent="0.25">
      <c r="A1228" s="210" t="s">
        <v>1597</v>
      </c>
      <c r="B1228">
        <v>9118</v>
      </c>
      <c r="C1228" s="100">
        <v>46141</v>
      </c>
      <c r="D1228" t="s">
        <v>13</v>
      </c>
      <c r="E1228" t="s">
        <v>1893</v>
      </c>
      <c r="F1228" t="s">
        <v>1892</v>
      </c>
      <c r="G1228">
        <v>269</v>
      </c>
      <c r="H1228">
        <v>62000</v>
      </c>
      <c r="I1228">
        <v>16678000</v>
      </c>
    </row>
    <row r="1229" spans="1:11" hidden="1" x14ac:dyDescent="0.25">
      <c r="A1229" s="210" t="s">
        <v>1597</v>
      </c>
      <c r="B1229">
        <v>9118</v>
      </c>
      <c r="C1229" s="100">
        <v>46141</v>
      </c>
      <c r="D1229" t="s">
        <v>13</v>
      </c>
      <c r="E1229" t="s">
        <v>50</v>
      </c>
      <c r="F1229" t="s">
        <v>146</v>
      </c>
      <c r="G1229">
        <v>694</v>
      </c>
      <c r="H1229">
        <v>60000</v>
      </c>
      <c r="I1229">
        <v>41640000</v>
      </c>
    </row>
    <row r="1230" spans="1:11" hidden="1" x14ac:dyDescent="0.25">
      <c r="A1230" s="210" t="s">
        <v>1597</v>
      </c>
      <c r="B1230">
        <v>9118</v>
      </c>
      <c r="C1230" s="100">
        <v>46141</v>
      </c>
      <c r="D1230" t="s">
        <v>13</v>
      </c>
      <c r="E1230" t="s">
        <v>50</v>
      </c>
      <c r="F1230" t="s">
        <v>256</v>
      </c>
      <c r="G1230">
        <v>548</v>
      </c>
      <c r="H1230">
        <v>60000</v>
      </c>
      <c r="I1230">
        <v>32880000</v>
      </c>
    </row>
    <row r="1231" spans="1:11" hidden="1" x14ac:dyDescent="0.25">
      <c r="A1231" s="210" t="s">
        <v>1478</v>
      </c>
      <c r="B1231">
        <v>9117</v>
      </c>
      <c r="C1231" s="100">
        <v>46141</v>
      </c>
      <c r="D1231" t="s">
        <v>13</v>
      </c>
      <c r="E1231" t="s">
        <v>14</v>
      </c>
      <c r="F1231" t="s">
        <v>41</v>
      </c>
      <c r="G1231">
        <v>1204</v>
      </c>
      <c r="H1231">
        <v>40500</v>
      </c>
      <c r="I1231">
        <v>48762000</v>
      </c>
    </row>
    <row r="1232" spans="1:11" hidden="1" x14ac:dyDescent="0.25">
      <c r="A1232" s="210" t="s">
        <v>1566</v>
      </c>
      <c r="B1232">
        <v>9116</v>
      </c>
      <c r="C1232" s="100">
        <v>46141</v>
      </c>
      <c r="D1232" t="s">
        <v>13</v>
      </c>
      <c r="E1232" t="s">
        <v>68</v>
      </c>
      <c r="F1232" t="s">
        <v>185</v>
      </c>
      <c r="G1232">
        <v>146</v>
      </c>
      <c r="H1232">
        <v>42000</v>
      </c>
      <c r="I1232">
        <v>6132000</v>
      </c>
    </row>
    <row r="1233" spans="1:11" hidden="1" x14ac:dyDescent="0.25">
      <c r="A1233" s="210" t="s">
        <v>1566</v>
      </c>
      <c r="B1233">
        <v>9116</v>
      </c>
      <c r="C1233" s="100">
        <v>46141</v>
      </c>
      <c r="D1233" t="s">
        <v>13</v>
      </c>
      <c r="E1233" t="s">
        <v>43</v>
      </c>
      <c r="F1233" t="s">
        <v>1890</v>
      </c>
      <c r="G1233">
        <v>1665</v>
      </c>
      <c r="H1233">
        <v>62000</v>
      </c>
      <c r="I1233">
        <v>103230000</v>
      </c>
    </row>
    <row r="1234" spans="1:11" hidden="1" x14ac:dyDescent="0.25">
      <c r="A1234" s="210" t="s">
        <v>1545</v>
      </c>
      <c r="B1234">
        <v>9115</v>
      </c>
      <c r="C1234" s="100">
        <v>46141</v>
      </c>
      <c r="D1234" t="s">
        <v>13</v>
      </c>
      <c r="E1234" t="s">
        <v>43</v>
      </c>
      <c r="F1234" t="s">
        <v>41</v>
      </c>
      <c r="G1234">
        <v>913</v>
      </c>
      <c r="H1234">
        <v>60000</v>
      </c>
      <c r="I1234">
        <v>54780000</v>
      </c>
    </row>
    <row r="1235" spans="1:11" hidden="1" x14ac:dyDescent="0.25">
      <c r="A1235" s="210" t="s">
        <v>1545</v>
      </c>
      <c r="B1235">
        <v>9115</v>
      </c>
      <c r="C1235" s="100">
        <v>46141</v>
      </c>
      <c r="D1235" t="s">
        <v>13</v>
      </c>
      <c r="E1235" t="s">
        <v>43</v>
      </c>
      <c r="F1235" t="s">
        <v>136</v>
      </c>
      <c r="G1235">
        <v>1470</v>
      </c>
      <c r="H1235">
        <v>60000</v>
      </c>
      <c r="I1235">
        <v>88200000</v>
      </c>
    </row>
    <row r="1236" spans="1:11" hidden="1" x14ac:dyDescent="0.25">
      <c r="A1236" s="210" t="s">
        <v>1545</v>
      </c>
      <c r="B1236">
        <v>9115</v>
      </c>
      <c r="C1236" s="100">
        <v>46141</v>
      </c>
      <c r="D1236" t="s">
        <v>13</v>
      </c>
      <c r="E1236" t="s">
        <v>43</v>
      </c>
      <c r="F1236" t="s">
        <v>256</v>
      </c>
      <c r="G1236">
        <v>716</v>
      </c>
      <c r="H1236">
        <v>59000</v>
      </c>
      <c r="I1236">
        <v>42244000</v>
      </c>
    </row>
    <row r="1237" spans="1:11" hidden="1" x14ac:dyDescent="0.25">
      <c r="A1237" s="210" t="s">
        <v>1545</v>
      </c>
      <c r="B1237">
        <v>9115</v>
      </c>
      <c r="C1237" s="100">
        <v>46141</v>
      </c>
      <c r="D1237" t="s">
        <v>13</v>
      </c>
      <c r="E1237" t="s">
        <v>43</v>
      </c>
      <c r="F1237" t="s">
        <v>148</v>
      </c>
      <c r="G1237">
        <v>1312</v>
      </c>
      <c r="H1237">
        <v>59000</v>
      </c>
      <c r="I1237">
        <v>77408000</v>
      </c>
    </row>
    <row r="1238" spans="1:11" hidden="1" x14ac:dyDescent="0.25">
      <c r="A1238" s="210" t="s">
        <v>1579</v>
      </c>
      <c r="B1238">
        <v>9114</v>
      </c>
      <c r="C1238" s="100">
        <v>46141</v>
      </c>
      <c r="D1238" t="s">
        <v>13</v>
      </c>
      <c r="E1238" t="s">
        <v>103</v>
      </c>
      <c r="F1238" t="s">
        <v>1372</v>
      </c>
      <c r="G1238">
        <v>868</v>
      </c>
      <c r="H1238">
        <v>38000</v>
      </c>
      <c r="I1238">
        <v>32984000</v>
      </c>
    </row>
    <row r="1239" spans="1:11" hidden="1" x14ac:dyDescent="0.25">
      <c r="A1239" s="210" t="s">
        <v>1479</v>
      </c>
      <c r="B1239">
        <v>9113</v>
      </c>
      <c r="C1239" s="100">
        <v>46141</v>
      </c>
      <c r="D1239" t="s">
        <v>13</v>
      </c>
      <c r="E1239" t="s">
        <v>43</v>
      </c>
      <c r="F1239" t="s">
        <v>188</v>
      </c>
      <c r="G1239">
        <v>693</v>
      </c>
      <c r="H1239">
        <v>59000</v>
      </c>
      <c r="I1239">
        <v>40887000</v>
      </c>
    </row>
    <row r="1240" spans="1:11" hidden="1" x14ac:dyDescent="0.25">
      <c r="A1240" s="210" t="s">
        <v>1641</v>
      </c>
      <c r="B1240">
        <v>9112</v>
      </c>
      <c r="C1240" s="100">
        <v>46141</v>
      </c>
      <c r="D1240" t="s">
        <v>13</v>
      </c>
      <c r="E1240" t="s">
        <v>32</v>
      </c>
      <c r="F1240" t="s">
        <v>230</v>
      </c>
      <c r="G1240">
        <v>1120</v>
      </c>
      <c r="H1240">
        <v>45500</v>
      </c>
      <c r="I1240">
        <v>50960000</v>
      </c>
    </row>
    <row r="1241" spans="1:11" hidden="1" x14ac:dyDescent="0.25">
      <c r="A1241" s="210" t="s">
        <v>1641</v>
      </c>
      <c r="B1241">
        <v>9112</v>
      </c>
      <c r="C1241" s="100">
        <v>46141</v>
      </c>
      <c r="D1241" t="s">
        <v>13</v>
      </c>
      <c r="E1241" t="s">
        <v>135</v>
      </c>
      <c r="F1241" t="s">
        <v>146</v>
      </c>
      <c r="G1241">
        <v>1176</v>
      </c>
      <c r="H1241">
        <v>37500</v>
      </c>
      <c r="I1241">
        <v>44100000</v>
      </c>
    </row>
    <row r="1242" spans="1:11" hidden="1" x14ac:dyDescent="0.25">
      <c r="A1242" s="210" t="s">
        <v>1493</v>
      </c>
      <c r="B1242">
        <v>9111</v>
      </c>
      <c r="C1242" s="100">
        <v>46141</v>
      </c>
      <c r="D1242" t="s">
        <v>13</v>
      </c>
      <c r="E1242" t="s">
        <v>43</v>
      </c>
      <c r="F1242" t="s">
        <v>40</v>
      </c>
      <c r="G1242">
        <v>546</v>
      </c>
      <c r="H1242">
        <v>64000</v>
      </c>
      <c r="I1242">
        <v>34944000</v>
      </c>
    </row>
    <row r="1243" spans="1:11" hidden="1" x14ac:dyDescent="0.25">
      <c r="A1243" s="210" t="s">
        <v>1582</v>
      </c>
      <c r="B1243">
        <v>9110</v>
      </c>
      <c r="C1243" s="100">
        <v>46141</v>
      </c>
      <c r="D1243" t="s">
        <v>13</v>
      </c>
      <c r="E1243" t="s">
        <v>32</v>
      </c>
      <c r="F1243" t="s">
        <v>33</v>
      </c>
      <c r="G1243">
        <v>1182</v>
      </c>
      <c r="H1243">
        <v>42500</v>
      </c>
      <c r="I1243">
        <v>50235000</v>
      </c>
      <c r="K1243" t="s">
        <v>1815</v>
      </c>
    </row>
    <row r="1244" spans="1:11" hidden="1" x14ac:dyDescent="0.25">
      <c r="A1244" s="210" t="s">
        <v>1582</v>
      </c>
      <c r="B1244">
        <v>9110</v>
      </c>
      <c r="C1244" s="100">
        <v>46141</v>
      </c>
      <c r="D1244" t="s">
        <v>13</v>
      </c>
      <c r="E1244" t="s">
        <v>32</v>
      </c>
      <c r="F1244" t="s">
        <v>39</v>
      </c>
      <c r="G1244">
        <v>1206</v>
      </c>
      <c r="H1244">
        <v>42500</v>
      </c>
      <c r="I1244">
        <v>51255000</v>
      </c>
      <c r="K1244" t="s">
        <v>1815</v>
      </c>
    </row>
    <row r="1245" spans="1:11" hidden="1" x14ac:dyDescent="0.25">
      <c r="A1245" s="210" t="s">
        <v>1573</v>
      </c>
      <c r="B1245">
        <v>9109</v>
      </c>
      <c r="C1245" s="100">
        <v>46141</v>
      </c>
      <c r="D1245" t="s">
        <v>13</v>
      </c>
      <c r="E1245" t="s">
        <v>17</v>
      </c>
      <c r="F1245" t="s">
        <v>62</v>
      </c>
      <c r="G1245">
        <v>306</v>
      </c>
      <c r="H1245">
        <v>64000</v>
      </c>
      <c r="I1245">
        <v>19584000</v>
      </c>
    </row>
    <row r="1246" spans="1:11" hidden="1" x14ac:dyDescent="0.25">
      <c r="A1246" s="210" t="s">
        <v>1573</v>
      </c>
      <c r="B1246">
        <v>9109</v>
      </c>
      <c r="C1246" s="100">
        <v>46141</v>
      </c>
      <c r="D1246" t="s">
        <v>13</v>
      </c>
      <c r="E1246" t="s">
        <v>26</v>
      </c>
      <c r="F1246" t="s">
        <v>1888</v>
      </c>
      <c r="G1246">
        <v>102</v>
      </c>
      <c r="H1246">
        <v>35700</v>
      </c>
      <c r="I1246">
        <v>3641400</v>
      </c>
      <c r="K1246" t="s">
        <v>1805</v>
      </c>
    </row>
    <row r="1247" spans="1:11" hidden="1" x14ac:dyDescent="0.25">
      <c r="A1247" s="210" t="s">
        <v>1573</v>
      </c>
      <c r="B1247">
        <v>9109</v>
      </c>
      <c r="C1247" s="100">
        <v>46141</v>
      </c>
      <c r="D1247" t="s">
        <v>13</v>
      </c>
      <c r="E1247" t="s">
        <v>26</v>
      </c>
      <c r="F1247" t="s">
        <v>1889</v>
      </c>
      <c r="G1247">
        <v>970</v>
      </c>
      <c r="H1247">
        <v>35700</v>
      </c>
      <c r="I1247">
        <v>34629000</v>
      </c>
      <c r="K1247" t="s">
        <v>1805</v>
      </c>
    </row>
    <row r="1248" spans="1:11" hidden="1" x14ac:dyDescent="0.25">
      <c r="A1248" s="210" t="s">
        <v>1573</v>
      </c>
      <c r="B1248">
        <v>9109</v>
      </c>
      <c r="C1248" s="100">
        <v>46141</v>
      </c>
      <c r="D1248" t="s">
        <v>13</v>
      </c>
      <c r="E1248" t="s">
        <v>77</v>
      </c>
      <c r="F1248" t="s">
        <v>78</v>
      </c>
      <c r="G1248">
        <v>136</v>
      </c>
      <c r="H1248">
        <v>36000</v>
      </c>
      <c r="I1248">
        <v>4896000</v>
      </c>
    </row>
    <row r="1249" spans="1:11" hidden="1" x14ac:dyDescent="0.25">
      <c r="A1249" s="210" t="s">
        <v>1573</v>
      </c>
      <c r="B1249">
        <v>9109</v>
      </c>
      <c r="C1249" s="100">
        <v>46141</v>
      </c>
      <c r="D1249" t="s">
        <v>13</v>
      </c>
      <c r="E1249" t="s">
        <v>77</v>
      </c>
      <c r="F1249" t="s">
        <v>40</v>
      </c>
      <c r="G1249">
        <v>172</v>
      </c>
      <c r="H1249">
        <v>37000</v>
      </c>
      <c r="I1249">
        <v>6364000</v>
      </c>
    </row>
    <row r="1250" spans="1:11" hidden="1" x14ac:dyDescent="0.25">
      <c r="A1250" s="210" t="s">
        <v>1573</v>
      </c>
      <c r="B1250">
        <v>9109</v>
      </c>
      <c r="C1250" s="100">
        <v>46141</v>
      </c>
      <c r="D1250" t="s">
        <v>13</v>
      </c>
      <c r="E1250" t="s">
        <v>43</v>
      </c>
      <c r="F1250" t="s">
        <v>621</v>
      </c>
      <c r="G1250">
        <v>248</v>
      </c>
      <c r="H1250">
        <v>64000</v>
      </c>
      <c r="I1250">
        <v>15872000</v>
      </c>
    </row>
    <row r="1251" spans="1:11" hidden="1" x14ac:dyDescent="0.25">
      <c r="A1251" s="210" t="s">
        <v>1573</v>
      </c>
      <c r="B1251">
        <v>9109</v>
      </c>
      <c r="C1251" s="100">
        <v>46141</v>
      </c>
      <c r="D1251" t="s">
        <v>13</v>
      </c>
      <c r="E1251" t="s">
        <v>17</v>
      </c>
      <c r="F1251" t="s">
        <v>25</v>
      </c>
      <c r="G1251">
        <v>740</v>
      </c>
      <c r="H1251">
        <v>67500</v>
      </c>
      <c r="I1251">
        <v>49950000</v>
      </c>
    </row>
    <row r="1252" spans="1:11" hidden="1" x14ac:dyDescent="0.25">
      <c r="A1252" s="210" t="s">
        <v>1627</v>
      </c>
      <c r="B1252">
        <v>9108</v>
      </c>
      <c r="C1252" s="100">
        <v>46141</v>
      </c>
      <c r="D1252" t="s">
        <v>13</v>
      </c>
      <c r="E1252" t="s">
        <v>32</v>
      </c>
      <c r="F1252" t="s">
        <v>230</v>
      </c>
      <c r="G1252">
        <v>784</v>
      </c>
      <c r="H1252">
        <v>44000</v>
      </c>
      <c r="I1252">
        <v>34496000</v>
      </c>
    </row>
    <row r="1253" spans="1:11" hidden="1" x14ac:dyDescent="0.25">
      <c r="A1253" s="210" t="s">
        <v>1489</v>
      </c>
      <c r="B1253">
        <v>9107</v>
      </c>
      <c r="C1253" s="100">
        <v>46141</v>
      </c>
      <c r="D1253" t="s">
        <v>13</v>
      </c>
      <c r="E1253" t="s">
        <v>317</v>
      </c>
      <c r="F1253" t="s">
        <v>288</v>
      </c>
      <c r="G1253">
        <v>100</v>
      </c>
      <c r="H1253">
        <v>63000</v>
      </c>
      <c r="I1253">
        <v>6300000</v>
      </c>
      <c r="K1253" t="s">
        <v>42</v>
      </c>
    </row>
    <row r="1254" spans="1:11" hidden="1" x14ac:dyDescent="0.25">
      <c r="A1254" s="210" t="s">
        <v>1489</v>
      </c>
      <c r="B1254">
        <v>9107</v>
      </c>
      <c r="C1254" s="100">
        <v>46141</v>
      </c>
      <c r="D1254" t="s">
        <v>13</v>
      </c>
      <c r="E1254" t="s">
        <v>226</v>
      </c>
      <c r="F1254" t="s">
        <v>117</v>
      </c>
      <c r="G1254">
        <v>44</v>
      </c>
      <c r="H1254">
        <v>45000</v>
      </c>
      <c r="I1254">
        <v>1980000</v>
      </c>
      <c r="K1254" t="s">
        <v>42</v>
      </c>
    </row>
    <row r="1255" spans="1:11" hidden="1" x14ac:dyDescent="0.25">
      <c r="A1255" s="210" t="s">
        <v>1504</v>
      </c>
      <c r="B1255">
        <v>9106</v>
      </c>
      <c r="C1255" s="100">
        <v>46141</v>
      </c>
      <c r="D1255" t="s">
        <v>13</v>
      </c>
      <c r="E1255" t="s">
        <v>173</v>
      </c>
      <c r="F1255" t="s">
        <v>1886</v>
      </c>
      <c r="G1255">
        <v>914</v>
      </c>
      <c r="H1255">
        <v>72000</v>
      </c>
      <c r="I1255">
        <v>65808000</v>
      </c>
    </row>
    <row r="1256" spans="1:11" hidden="1" x14ac:dyDescent="0.25">
      <c r="A1256" s="210" t="s">
        <v>1504</v>
      </c>
      <c r="B1256">
        <v>9106</v>
      </c>
      <c r="C1256" s="100">
        <v>46141</v>
      </c>
      <c r="D1256" t="s">
        <v>13</v>
      </c>
      <c r="E1256" t="s">
        <v>173</v>
      </c>
      <c r="F1256" t="s">
        <v>1887</v>
      </c>
      <c r="G1256">
        <v>1252</v>
      </c>
      <c r="H1256">
        <v>72000</v>
      </c>
      <c r="I1256">
        <v>90144000</v>
      </c>
    </row>
    <row r="1257" spans="1:11" hidden="1" x14ac:dyDescent="0.25">
      <c r="A1257" s="210" t="s">
        <v>1504</v>
      </c>
      <c r="B1257">
        <v>9106</v>
      </c>
      <c r="C1257" s="100">
        <v>46141</v>
      </c>
      <c r="D1257" t="s">
        <v>13</v>
      </c>
      <c r="E1257" t="s">
        <v>43</v>
      </c>
      <c r="F1257" t="s">
        <v>78</v>
      </c>
      <c r="G1257">
        <v>401</v>
      </c>
      <c r="H1257">
        <v>65000</v>
      </c>
      <c r="I1257">
        <v>26065000</v>
      </c>
    </row>
    <row r="1258" spans="1:11" hidden="1" x14ac:dyDescent="0.25">
      <c r="A1258" s="210" t="s">
        <v>1679</v>
      </c>
      <c r="B1258">
        <v>9105</v>
      </c>
      <c r="C1258" s="100">
        <v>46141</v>
      </c>
      <c r="D1258" t="s">
        <v>1354</v>
      </c>
      <c r="E1258" t="s">
        <v>169</v>
      </c>
      <c r="F1258" t="s">
        <v>136</v>
      </c>
      <c r="G1258">
        <v>5367</v>
      </c>
      <c r="H1258">
        <v>36700</v>
      </c>
      <c r="I1258">
        <v>196968900</v>
      </c>
    </row>
    <row r="1259" spans="1:11" hidden="1" x14ac:dyDescent="0.25">
      <c r="A1259" s="210" t="s">
        <v>1593</v>
      </c>
      <c r="B1259">
        <v>9104</v>
      </c>
      <c r="C1259" s="100">
        <v>46141</v>
      </c>
      <c r="D1259" t="s">
        <v>13</v>
      </c>
      <c r="E1259" t="s">
        <v>252</v>
      </c>
      <c r="F1259" t="s">
        <v>136</v>
      </c>
      <c r="G1259">
        <v>1086</v>
      </c>
      <c r="H1259">
        <v>38000</v>
      </c>
      <c r="I1259">
        <v>41268000</v>
      </c>
    </row>
    <row r="1260" spans="1:11" hidden="1" x14ac:dyDescent="0.25">
      <c r="A1260" s="210" t="s">
        <v>1593</v>
      </c>
      <c r="B1260">
        <v>9104</v>
      </c>
      <c r="C1260" s="100">
        <v>46141</v>
      </c>
      <c r="D1260" t="s">
        <v>13</v>
      </c>
      <c r="E1260" t="s">
        <v>265</v>
      </c>
      <c r="F1260" t="s">
        <v>146</v>
      </c>
      <c r="G1260">
        <v>1360</v>
      </c>
      <c r="H1260">
        <v>66000</v>
      </c>
      <c r="I1260">
        <v>89760000</v>
      </c>
    </row>
    <row r="1261" spans="1:11" hidden="1" x14ac:dyDescent="0.25">
      <c r="A1261" s="210" t="s">
        <v>1562</v>
      </c>
      <c r="B1261">
        <v>9103</v>
      </c>
      <c r="C1261" s="100">
        <v>46141</v>
      </c>
      <c r="D1261" t="s">
        <v>13</v>
      </c>
      <c r="E1261" t="s">
        <v>50</v>
      </c>
      <c r="F1261" t="s">
        <v>116</v>
      </c>
      <c r="G1261">
        <v>296</v>
      </c>
      <c r="H1261">
        <v>65000</v>
      </c>
      <c r="I1261">
        <v>19240000</v>
      </c>
    </row>
    <row r="1262" spans="1:11" hidden="1" x14ac:dyDescent="0.25">
      <c r="A1262" s="210" t="s">
        <v>1524</v>
      </c>
      <c r="B1262">
        <v>9102</v>
      </c>
      <c r="C1262" s="100">
        <v>46141</v>
      </c>
      <c r="D1262" t="s">
        <v>49</v>
      </c>
      <c r="E1262" t="s">
        <v>17</v>
      </c>
      <c r="F1262" t="s">
        <v>62</v>
      </c>
      <c r="G1262">
        <v>658</v>
      </c>
      <c r="I1262">
        <v>0</v>
      </c>
      <c r="K1262" t="s">
        <v>1885</v>
      </c>
    </row>
    <row r="1263" spans="1:11" hidden="1" x14ac:dyDescent="0.25">
      <c r="A1263" s="210" t="s">
        <v>1524</v>
      </c>
      <c r="B1263">
        <v>9102</v>
      </c>
      <c r="C1263" s="100">
        <v>46141</v>
      </c>
      <c r="D1263" t="s">
        <v>49</v>
      </c>
      <c r="E1263" t="s">
        <v>43</v>
      </c>
      <c r="F1263" t="s">
        <v>62</v>
      </c>
      <c r="G1263">
        <v>520</v>
      </c>
      <c r="I1263">
        <v>0</v>
      </c>
      <c r="K1263" t="s">
        <v>1740</v>
      </c>
    </row>
    <row r="1264" spans="1:11" hidden="1" x14ac:dyDescent="0.25">
      <c r="A1264" s="210" t="s">
        <v>1524</v>
      </c>
      <c r="B1264">
        <v>9101</v>
      </c>
      <c r="C1264" s="100">
        <v>46141</v>
      </c>
      <c r="D1264" t="s">
        <v>49</v>
      </c>
      <c r="E1264" t="s">
        <v>301</v>
      </c>
      <c r="F1264" t="s">
        <v>81</v>
      </c>
      <c r="G1264">
        <v>5965</v>
      </c>
      <c r="I1264">
        <v>0</v>
      </c>
      <c r="K1264" t="s">
        <v>1882</v>
      </c>
    </row>
    <row r="1265" spans="1:11" hidden="1" x14ac:dyDescent="0.25">
      <c r="A1265" s="210" t="s">
        <v>1524</v>
      </c>
      <c r="B1265">
        <v>9101</v>
      </c>
      <c r="C1265" s="100">
        <v>46141</v>
      </c>
      <c r="D1265" t="s">
        <v>49</v>
      </c>
      <c r="E1265" t="s">
        <v>17</v>
      </c>
      <c r="F1265" t="s">
        <v>446</v>
      </c>
      <c r="G1265">
        <v>1425</v>
      </c>
      <c r="I1265">
        <v>0</v>
      </c>
      <c r="K1265" t="s">
        <v>1883</v>
      </c>
    </row>
    <row r="1266" spans="1:11" hidden="1" x14ac:dyDescent="0.25">
      <c r="A1266" s="210" t="s">
        <v>1524</v>
      </c>
      <c r="B1266">
        <v>9101</v>
      </c>
      <c r="C1266" s="100">
        <v>46141</v>
      </c>
      <c r="D1266" t="s">
        <v>49</v>
      </c>
      <c r="E1266" t="s">
        <v>26</v>
      </c>
      <c r="F1266" t="s">
        <v>230</v>
      </c>
      <c r="G1266">
        <v>418</v>
      </c>
      <c r="I1266">
        <v>0</v>
      </c>
      <c r="K1266" t="s">
        <v>1884</v>
      </c>
    </row>
    <row r="1267" spans="1:11" hidden="1" x14ac:dyDescent="0.25">
      <c r="A1267" s="210" t="s">
        <v>1637</v>
      </c>
      <c r="B1267">
        <v>9100</v>
      </c>
      <c r="C1267" s="100">
        <v>46141</v>
      </c>
      <c r="D1267" t="s">
        <v>13</v>
      </c>
      <c r="E1267" t="s">
        <v>68</v>
      </c>
      <c r="F1267" t="s">
        <v>1881</v>
      </c>
      <c r="G1267">
        <v>444</v>
      </c>
      <c r="H1267">
        <v>45000</v>
      </c>
      <c r="I1267">
        <v>19980000</v>
      </c>
    </row>
    <row r="1268" spans="1:11" hidden="1" x14ac:dyDescent="0.25">
      <c r="A1268" s="210" t="s">
        <v>1834</v>
      </c>
      <c r="B1268">
        <v>9099</v>
      </c>
      <c r="C1268" s="100">
        <v>46141</v>
      </c>
      <c r="D1268" t="s">
        <v>13</v>
      </c>
      <c r="E1268" t="s">
        <v>173</v>
      </c>
      <c r="F1268" t="s">
        <v>111</v>
      </c>
      <c r="G1268">
        <v>292</v>
      </c>
      <c r="H1268">
        <v>74000</v>
      </c>
      <c r="I1268">
        <v>21608000</v>
      </c>
    </row>
    <row r="1269" spans="1:11" hidden="1" x14ac:dyDescent="0.25">
      <c r="A1269" s="210" t="s">
        <v>1531</v>
      </c>
      <c r="B1269">
        <v>9097</v>
      </c>
      <c r="C1269" s="100">
        <v>46140</v>
      </c>
      <c r="D1269" t="s">
        <v>13</v>
      </c>
      <c r="E1269" t="s">
        <v>17</v>
      </c>
      <c r="F1269" t="s">
        <v>25</v>
      </c>
      <c r="G1269">
        <v>742</v>
      </c>
      <c r="H1269">
        <v>61000</v>
      </c>
      <c r="I1269">
        <v>45262000</v>
      </c>
      <c r="K1269" t="s">
        <v>42</v>
      </c>
    </row>
    <row r="1270" spans="1:11" hidden="1" x14ac:dyDescent="0.25">
      <c r="A1270" s="210" t="s">
        <v>1531</v>
      </c>
      <c r="B1270">
        <v>9097</v>
      </c>
      <c r="C1270" s="100">
        <v>46140</v>
      </c>
      <c r="D1270" t="s">
        <v>13</v>
      </c>
      <c r="E1270" t="s">
        <v>17</v>
      </c>
      <c r="F1270" t="s">
        <v>25</v>
      </c>
      <c r="G1270">
        <v>936</v>
      </c>
      <c r="H1270">
        <v>56000</v>
      </c>
      <c r="I1270">
        <v>52416000</v>
      </c>
      <c r="K1270" t="s">
        <v>42</v>
      </c>
    </row>
    <row r="1271" spans="1:11" hidden="1" x14ac:dyDescent="0.25">
      <c r="A1271" s="210" t="s">
        <v>1615</v>
      </c>
      <c r="B1271">
        <v>9096</v>
      </c>
      <c r="C1271" s="100">
        <v>46140</v>
      </c>
      <c r="D1271" t="s">
        <v>13</v>
      </c>
      <c r="E1271" t="s">
        <v>26</v>
      </c>
      <c r="F1271" t="s">
        <v>1874</v>
      </c>
      <c r="G1271">
        <v>556</v>
      </c>
      <c r="H1271">
        <v>39000</v>
      </c>
      <c r="I1271">
        <v>21684000</v>
      </c>
    </row>
    <row r="1272" spans="1:11" hidden="1" x14ac:dyDescent="0.25">
      <c r="A1272" s="210" t="s">
        <v>1615</v>
      </c>
      <c r="B1272">
        <v>9096</v>
      </c>
      <c r="C1272" s="100">
        <v>46140</v>
      </c>
      <c r="D1272" t="s">
        <v>13</v>
      </c>
      <c r="E1272" t="s">
        <v>103</v>
      </c>
      <c r="F1272" t="s">
        <v>1875</v>
      </c>
      <c r="G1272">
        <v>626</v>
      </c>
      <c r="H1272">
        <v>42000</v>
      </c>
      <c r="I1272">
        <v>26292000</v>
      </c>
      <c r="J1272">
        <v>-2825</v>
      </c>
    </row>
    <row r="1273" spans="1:11" hidden="1" x14ac:dyDescent="0.25">
      <c r="A1273" s="210" t="s">
        <v>1554</v>
      </c>
      <c r="B1273">
        <v>9095</v>
      </c>
      <c r="C1273" s="100">
        <v>46140</v>
      </c>
      <c r="D1273" t="s">
        <v>13</v>
      </c>
      <c r="E1273" t="s">
        <v>68</v>
      </c>
      <c r="F1273" t="s">
        <v>1873</v>
      </c>
      <c r="G1273">
        <v>242</v>
      </c>
      <c r="H1273">
        <v>40500</v>
      </c>
      <c r="I1273">
        <v>9801000</v>
      </c>
      <c r="K1273" t="s">
        <v>42</v>
      </c>
    </row>
    <row r="1274" spans="1:11" hidden="1" x14ac:dyDescent="0.25">
      <c r="A1274" s="210" t="s">
        <v>1554</v>
      </c>
      <c r="B1274">
        <v>9095</v>
      </c>
      <c r="C1274" s="100">
        <v>46140</v>
      </c>
      <c r="D1274" t="s">
        <v>13</v>
      </c>
      <c r="E1274" t="s">
        <v>68</v>
      </c>
      <c r="F1274" t="s">
        <v>227</v>
      </c>
      <c r="G1274">
        <v>292</v>
      </c>
      <c r="H1274">
        <v>40500</v>
      </c>
      <c r="I1274">
        <v>11826000</v>
      </c>
      <c r="K1274" t="s">
        <v>42</v>
      </c>
    </row>
    <row r="1275" spans="1:11" hidden="1" x14ac:dyDescent="0.25">
      <c r="A1275" s="210" t="s">
        <v>1554</v>
      </c>
      <c r="B1275">
        <v>9095</v>
      </c>
      <c r="C1275" s="100">
        <v>46140</v>
      </c>
      <c r="D1275" t="s">
        <v>13</v>
      </c>
      <c r="E1275" t="s">
        <v>68</v>
      </c>
      <c r="F1275" t="s">
        <v>228</v>
      </c>
      <c r="G1275">
        <v>364</v>
      </c>
      <c r="H1275">
        <v>40500</v>
      </c>
      <c r="I1275">
        <v>14742000</v>
      </c>
      <c r="K1275" t="s">
        <v>42</v>
      </c>
    </row>
    <row r="1276" spans="1:11" hidden="1" x14ac:dyDescent="0.25">
      <c r="A1276" s="210" t="s">
        <v>1593</v>
      </c>
      <c r="B1276">
        <v>9094</v>
      </c>
      <c r="C1276" s="100">
        <v>46140</v>
      </c>
      <c r="D1276" t="s">
        <v>13</v>
      </c>
      <c r="E1276" t="s">
        <v>1842</v>
      </c>
      <c r="F1276" t="s">
        <v>1872</v>
      </c>
      <c r="G1276">
        <v>296</v>
      </c>
      <c r="H1276">
        <v>72000</v>
      </c>
      <c r="I1276">
        <v>21312000</v>
      </c>
    </row>
    <row r="1277" spans="1:11" hidden="1" x14ac:dyDescent="0.25">
      <c r="A1277" s="210" t="s">
        <v>1638</v>
      </c>
      <c r="B1277">
        <v>9093</v>
      </c>
      <c r="C1277" s="100">
        <v>46140</v>
      </c>
      <c r="D1277" t="s">
        <v>13</v>
      </c>
      <c r="E1277" t="s">
        <v>50</v>
      </c>
      <c r="F1277" t="s">
        <v>73</v>
      </c>
      <c r="G1277">
        <v>538</v>
      </c>
      <c r="H1277">
        <v>59000</v>
      </c>
      <c r="I1277">
        <v>31742000</v>
      </c>
    </row>
    <row r="1278" spans="1:11" hidden="1" x14ac:dyDescent="0.25">
      <c r="A1278" s="210" t="s">
        <v>1638</v>
      </c>
      <c r="B1278">
        <v>9093</v>
      </c>
      <c r="C1278" s="100">
        <v>46140</v>
      </c>
      <c r="D1278" t="s">
        <v>13</v>
      </c>
      <c r="E1278" t="s">
        <v>50</v>
      </c>
      <c r="F1278" t="s">
        <v>1106</v>
      </c>
      <c r="G1278">
        <v>116</v>
      </c>
      <c r="H1278">
        <v>61000</v>
      </c>
      <c r="I1278">
        <v>7076000</v>
      </c>
    </row>
    <row r="1279" spans="1:11" hidden="1" x14ac:dyDescent="0.25">
      <c r="A1279" s="210" t="s">
        <v>1689</v>
      </c>
      <c r="B1279">
        <v>9092</v>
      </c>
      <c r="C1279" s="100">
        <v>46140</v>
      </c>
      <c r="D1279" t="s">
        <v>13</v>
      </c>
      <c r="E1279" t="s">
        <v>43</v>
      </c>
      <c r="F1279" t="s">
        <v>41</v>
      </c>
      <c r="G1279">
        <v>391</v>
      </c>
      <c r="H1279">
        <v>60000</v>
      </c>
      <c r="I1279">
        <v>23460000</v>
      </c>
    </row>
    <row r="1280" spans="1:11" hidden="1" x14ac:dyDescent="0.25">
      <c r="A1280" s="210" t="s">
        <v>1532</v>
      </c>
      <c r="B1280">
        <v>9091</v>
      </c>
      <c r="C1280" s="100">
        <v>46140</v>
      </c>
      <c r="D1280" t="s">
        <v>49</v>
      </c>
      <c r="E1280" t="s">
        <v>26</v>
      </c>
      <c r="F1280" t="s">
        <v>1870</v>
      </c>
      <c r="G1280">
        <v>3840</v>
      </c>
      <c r="I1280">
        <v>0</v>
      </c>
      <c r="K1280" t="s">
        <v>1871</v>
      </c>
    </row>
    <row r="1281" spans="1:11" hidden="1" x14ac:dyDescent="0.25">
      <c r="A1281" s="210" t="s">
        <v>1532</v>
      </c>
      <c r="B1281">
        <v>9091</v>
      </c>
      <c r="C1281" s="100">
        <v>46140</v>
      </c>
      <c r="D1281" t="s">
        <v>49</v>
      </c>
      <c r="E1281" t="s">
        <v>26</v>
      </c>
      <c r="F1281" t="s">
        <v>40</v>
      </c>
      <c r="G1281">
        <v>1406</v>
      </c>
      <c r="I1281">
        <v>0</v>
      </c>
      <c r="K1281" t="s">
        <v>475</v>
      </c>
    </row>
    <row r="1282" spans="1:11" hidden="1" x14ac:dyDescent="0.25">
      <c r="A1282" s="210" t="s">
        <v>1572</v>
      </c>
      <c r="B1282">
        <v>9089</v>
      </c>
      <c r="C1282" s="100">
        <v>46140</v>
      </c>
      <c r="D1282" t="s">
        <v>13</v>
      </c>
      <c r="E1282" t="s">
        <v>50</v>
      </c>
      <c r="F1282" t="s">
        <v>848</v>
      </c>
      <c r="G1282">
        <v>1693</v>
      </c>
      <c r="H1282">
        <v>55000</v>
      </c>
      <c r="I1282">
        <v>93115000</v>
      </c>
    </row>
    <row r="1283" spans="1:11" hidden="1" x14ac:dyDescent="0.25">
      <c r="A1283" s="210" t="s">
        <v>1572</v>
      </c>
      <c r="B1283">
        <v>9089</v>
      </c>
      <c r="C1283" s="100">
        <v>46140</v>
      </c>
      <c r="D1283" t="s">
        <v>13</v>
      </c>
      <c r="E1283" t="s">
        <v>50</v>
      </c>
      <c r="F1283" t="s">
        <v>1869</v>
      </c>
      <c r="G1283">
        <v>308</v>
      </c>
      <c r="H1283">
        <v>55000</v>
      </c>
      <c r="I1283">
        <v>16940000</v>
      </c>
    </row>
    <row r="1284" spans="1:11" hidden="1" x14ac:dyDescent="0.25">
      <c r="A1284" s="210" t="s">
        <v>1572</v>
      </c>
      <c r="B1284">
        <v>9089</v>
      </c>
      <c r="C1284" s="100">
        <v>46140</v>
      </c>
      <c r="D1284" t="s">
        <v>13</v>
      </c>
      <c r="E1284" t="s">
        <v>50</v>
      </c>
      <c r="F1284" t="s">
        <v>148</v>
      </c>
      <c r="G1284">
        <v>866</v>
      </c>
      <c r="H1284">
        <v>55000</v>
      </c>
      <c r="I1284">
        <v>47630000</v>
      </c>
    </row>
    <row r="1285" spans="1:11" hidden="1" x14ac:dyDescent="0.25">
      <c r="A1285" s="210" t="s">
        <v>1478</v>
      </c>
      <c r="B1285">
        <v>9088</v>
      </c>
      <c r="C1285" s="100">
        <v>46140</v>
      </c>
      <c r="D1285" t="s">
        <v>13</v>
      </c>
      <c r="E1285" t="s">
        <v>14</v>
      </c>
      <c r="F1285" t="s">
        <v>146</v>
      </c>
      <c r="G1285">
        <v>1488</v>
      </c>
      <c r="H1285">
        <v>40500</v>
      </c>
      <c r="I1285">
        <v>60264000</v>
      </c>
      <c r="K1285" t="s">
        <v>42</v>
      </c>
    </row>
    <row r="1286" spans="1:11" hidden="1" x14ac:dyDescent="0.25">
      <c r="A1286" s="210" t="s">
        <v>1478</v>
      </c>
      <c r="B1286">
        <v>9088</v>
      </c>
      <c r="C1286" s="100">
        <v>46140</v>
      </c>
      <c r="D1286" t="s">
        <v>13</v>
      </c>
      <c r="E1286" t="s">
        <v>14</v>
      </c>
      <c r="F1286" t="s">
        <v>134</v>
      </c>
      <c r="G1286">
        <v>1254</v>
      </c>
      <c r="H1286">
        <v>40500</v>
      </c>
      <c r="I1286">
        <v>50787000</v>
      </c>
      <c r="K1286" t="s">
        <v>42</v>
      </c>
    </row>
    <row r="1287" spans="1:11" hidden="1" x14ac:dyDescent="0.25">
      <c r="A1287" s="210" t="s">
        <v>1548</v>
      </c>
      <c r="B1287">
        <v>9087</v>
      </c>
      <c r="C1287" s="100">
        <v>46140</v>
      </c>
      <c r="D1287" t="s">
        <v>13</v>
      </c>
      <c r="E1287" t="s">
        <v>17</v>
      </c>
      <c r="F1287" t="s">
        <v>1366</v>
      </c>
      <c r="G1287">
        <v>58</v>
      </c>
      <c r="H1287">
        <v>66000</v>
      </c>
      <c r="I1287">
        <v>3828000</v>
      </c>
    </row>
    <row r="1288" spans="1:11" hidden="1" x14ac:dyDescent="0.25">
      <c r="A1288" s="210" t="s">
        <v>1548</v>
      </c>
      <c r="B1288">
        <v>9087</v>
      </c>
      <c r="C1288" s="100">
        <v>46140</v>
      </c>
      <c r="D1288" t="s">
        <v>13</v>
      </c>
      <c r="E1288" t="s">
        <v>32</v>
      </c>
      <c r="F1288" t="s">
        <v>230</v>
      </c>
      <c r="G1288">
        <v>230</v>
      </c>
      <c r="H1288">
        <v>45000</v>
      </c>
      <c r="I1288">
        <v>10350000</v>
      </c>
    </row>
    <row r="1289" spans="1:11" hidden="1" x14ac:dyDescent="0.25">
      <c r="A1289" s="210" t="s">
        <v>2548</v>
      </c>
      <c r="B1289">
        <v>9086</v>
      </c>
      <c r="C1289" s="100">
        <v>46140</v>
      </c>
      <c r="D1289" t="s">
        <v>13</v>
      </c>
      <c r="E1289" t="s">
        <v>1029</v>
      </c>
      <c r="F1289" t="s">
        <v>1868</v>
      </c>
      <c r="G1289">
        <v>6072</v>
      </c>
      <c r="H1289">
        <v>30000</v>
      </c>
      <c r="I1289">
        <v>182160000</v>
      </c>
    </row>
    <row r="1290" spans="1:11" hidden="1" x14ac:dyDescent="0.25">
      <c r="A1290" s="210" t="s">
        <v>1524</v>
      </c>
      <c r="B1290">
        <v>9085</v>
      </c>
      <c r="C1290" s="100">
        <v>46140</v>
      </c>
      <c r="D1290" t="s">
        <v>49</v>
      </c>
      <c r="E1290" t="s">
        <v>301</v>
      </c>
      <c r="F1290" t="s">
        <v>1866</v>
      </c>
      <c r="G1290">
        <v>3354</v>
      </c>
      <c r="I1290">
        <v>0</v>
      </c>
      <c r="K1290" t="s">
        <v>1867</v>
      </c>
    </row>
    <row r="1291" spans="1:11" hidden="1" x14ac:dyDescent="0.25">
      <c r="A1291" s="210" t="s">
        <v>1621</v>
      </c>
      <c r="B1291">
        <v>9084</v>
      </c>
      <c r="C1291" s="100">
        <v>46140</v>
      </c>
      <c r="D1291" t="s">
        <v>13</v>
      </c>
      <c r="E1291" t="s">
        <v>32</v>
      </c>
      <c r="F1291" t="s">
        <v>230</v>
      </c>
      <c r="G1291">
        <v>622</v>
      </c>
      <c r="H1291">
        <v>45000</v>
      </c>
      <c r="I1291">
        <v>27990000</v>
      </c>
    </row>
    <row r="1292" spans="1:11" hidden="1" x14ac:dyDescent="0.25">
      <c r="A1292" s="210" t="s">
        <v>1504</v>
      </c>
      <c r="B1292">
        <v>9083</v>
      </c>
      <c r="C1292" s="100">
        <v>46140</v>
      </c>
      <c r="D1292" t="s">
        <v>13</v>
      </c>
      <c r="E1292" t="s">
        <v>68</v>
      </c>
      <c r="F1292" t="s">
        <v>1864</v>
      </c>
      <c r="G1292">
        <v>58</v>
      </c>
      <c r="H1292">
        <v>45000</v>
      </c>
      <c r="I1292">
        <v>2610000</v>
      </c>
    </row>
    <row r="1293" spans="1:11" hidden="1" x14ac:dyDescent="0.25">
      <c r="A1293" s="210" t="s">
        <v>1583</v>
      </c>
      <c r="B1293">
        <v>9082</v>
      </c>
      <c r="C1293" s="100">
        <v>46140</v>
      </c>
      <c r="D1293" t="s">
        <v>13</v>
      </c>
      <c r="E1293" t="s">
        <v>75</v>
      </c>
      <c r="F1293" t="s">
        <v>1861</v>
      </c>
      <c r="G1293">
        <v>586</v>
      </c>
      <c r="H1293">
        <v>39000</v>
      </c>
      <c r="I1293">
        <v>22854000</v>
      </c>
    </row>
    <row r="1294" spans="1:11" hidden="1" x14ac:dyDescent="0.25">
      <c r="A1294" s="210" t="s">
        <v>1583</v>
      </c>
      <c r="B1294">
        <v>9082</v>
      </c>
      <c r="C1294" s="100">
        <v>46140</v>
      </c>
      <c r="D1294" t="s">
        <v>13</v>
      </c>
      <c r="E1294" t="s">
        <v>68</v>
      </c>
      <c r="F1294" t="s">
        <v>116</v>
      </c>
      <c r="G1294">
        <v>800</v>
      </c>
      <c r="H1294">
        <v>41500</v>
      </c>
      <c r="I1294">
        <v>33200000</v>
      </c>
    </row>
    <row r="1295" spans="1:11" hidden="1" x14ac:dyDescent="0.25">
      <c r="A1295" s="210" t="s">
        <v>1583</v>
      </c>
      <c r="B1295">
        <v>9082</v>
      </c>
      <c r="C1295" s="100">
        <v>46140</v>
      </c>
      <c r="D1295" t="s">
        <v>13</v>
      </c>
      <c r="E1295" t="s">
        <v>68</v>
      </c>
      <c r="F1295" t="s">
        <v>1862</v>
      </c>
      <c r="G1295">
        <v>225</v>
      </c>
      <c r="H1295">
        <v>41500</v>
      </c>
      <c r="I1295">
        <v>9337500</v>
      </c>
    </row>
    <row r="1296" spans="1:11" hidden="1" x14ac:dyDescent="0.25">
      <c r="A1296" s="210" t="s">
        <v>1583</v>
      </c>
      <c r="B1296">
        <v>9082</v>
      </c>
      <c r="C1296" s="100">
        <v>46140</v>
      </c>
      <c r="D1296" t="s">
        <v>13</v>
      </c>
      <c r="E1296" t="s">
        <v>1863</v>
      </c>
      <c r="F1296" t="s">
        <v>78</v>
      </c>
      <c r="G1296">
        <v>356</v>
      </c>
      <c r="H1296">
        <v>41500</v>
      </c>
      <c r="I1296">
        <v>14774000</v>
      </c>
    </row>
    <row r="1297" spans="1:11" hidden="1" x14ac:dyDescent="0.25">
      <c r="A1297" s="210" t="s">
        <v>1606</v>
      </c>
      <c r="B1297">
        <v>9081</v>
      </c>
      <c r="C1297" s="100">
        <v>46140</v>
      </c>
      <c r="D1297" t="s">
        <v>13</v>
      </c>
      <c r="E1297" t="s">
        <v>173</v>
      </c>
      <c r="F1297" t="s">
        <v>1458</v>
      </c>
      <c r="G1297">
        <v>294</v>
      </c>
      <c r="H1297">
        <v>71000</v>
      </c>
      <c r="I1297">
        <v>20874000</v>
      </c>
    </row>
    <row r="1298" spans="1:11" hidden="1" x14ac:dyDescent="0.25">
      <c r="A1298" s="210" t="s">
        <v>2016</v>
      </c>
      <c r="B1298">
        <v>9080</v>
      </c>
      <c r="C1298" s="100">
        <v>46140</v>
      </c>
      <c r="D1298" t="s">
        <v>13</v>
      </c>
      <c r="E1298" t="s">
        <v>32</v>
      </c>
      <c r="F1298" t="s">
        <v>40</v>
      </c>
      <c r="G1298">
        <v>302</v>
      </c>
      <c r="H1298">
        <v>42500</v>
      </c>
      <c r="I1298">
        <v>12835000</v>
      </c>
    </row>
    <row r="1299" spans="1:11" hidden="1" x14ac:dyDescent="0.25">
      <c r="A1299" s="210" t="s">
        <v>1499</v>
      </c>
      <c r="B1299">
        <v>9079</v>
      </c>
      <c r="C1299" s="100">
        <v>46140</v>
      </c>
      <c r="D1299" t="s">
        <v>13</v>
      </c>
      <c r="E1299" t="s">
        <v>17</v>
      </c>
      <c r="F1299" t="s">
        <v>230</v>
      </c>
      <c r="G1299">
        <v>3387</v>
      </c>
      <c r="H1299">
        <v>69500</v>
      </c>
      <c r="I1299">
        <v>235396500</v>
      </c>
    </row>
    <row r="1300" spans="1:11" hidden="1" x14ac:dyDescent="0.25">
      <c r="A1300" s="210" t="s">
        <v>1499</v>
      </c>
      <c r="B1300">
        <v>9079</v>
      </c>
      <c r="C1300" s="100">
        <v>46140</v>
      </c>
      <c r="D1300" t="s">
        <v>13</v>
      </c>
      <c r="E1300" t="s">
        <v>17</v>
      </c>
      <c r="F1300" t="s">
        <v>40</v>
      </c>
      <c r="G1300">
        <v>1341</v>
      </c>
      <c r="H1300">
        <v>67000</v>
      </c>
      <c r="I1300">
        <v>89847000</v>
      </c>
    </row>
    <row r="1301" spans="1:11" hidden="1" x14ac:dyDescent="0.25">
      <c r="A1301" s="210" t="s">
        <v>1624</v>
      </c>
      <c r="B1301">
        <v>9078</v>
      </c>
      <c r="C1301" s="100">
        <v>46140</v>
      </c>
      <c r="D1301" t="s">
        <v>13</v>
      </c>
      <c r="E1301" t="s">
        <v>109</v>
      </c>
      <c r="F1301" t="s">
        <v>1046</v>
      </c>
      <c r="G1301">
        <v>1432</v>
      </c>
      <c r="H1301">
        <v>60500</v>
      </c>
      <c r="I1301">
        <v>86636000</v>
      </c>
    </row>
    <row r="1302" spans="1:11" hidden="1" x14ac:dyDescent="0.25">
      <c r="A1302" s="210" t="s">
        <v>1624</v>
      </c>
      <c r="B1302">
        <v>9078</v>
      </c>
      <c r="C1302" s="100">
        <v>46140</v>
      </c>
      <c r="D1302" t="s">
        <v>13</v>
      </c>
      <c r="E1302" t="s">
        <v>14</v>
      </c>
      <c r="F1302" t="s">
        <v>41</v>
      </c>
      <c r="G1302">
        <v>1028</v>
      </c>
      <c r="H1302">
        <v>42000</v>
      </c>
      <c r="I1302">
        <v>43176000</v>
      </c>
    </row>
    <row r="1303" spans="1:11" hidden="1" x14ac:dyDescent="0.25">
      <c r="A1303" s="210" t="s">
        <v>1476</v>
      </c>
      <c r="B1303">
        <v>9077</v>
      </c>
      <c r="C1303" s="100">
        <v>46140</v>
      </c>
      <c r="D1303" t="s">
        <v>49</v>
      </c>
      <c r="E1303" t="s">
        <v>68</v>
      </c>
      <c r="F1303" t="s">
        <v>1859</v>
      </c>
      <c r="G1303">
        <v>44</v>
      </c>
      <c r="I1303">
        <v>0</v>
      </c>
      <c r="K1303" t="s">
        <v>64</v>
      </c>
    </row>
    <row r="1304" spans="1:11" hidden="1" x14ac:dyDescent="0.25">
      <c r="A1304" s="210" t="s">
        <v>1476</v>
      </c>
      <c r="B1304">
        <v>9077</v>
      </c>
      <c r="C1304" s="100">
        <v>46140</v>
      </c>
      <c r="D1304" t="s">
        <v>49</v>
      </c>
      <c r="E1304" t="s">
        <v>103</v>
      </c>
      <c r="F1304" t="s">
        <v>1860</v>
      </c>
      <c r="G1304">
        <v>686</v>
      </c>
      <c r="I1304">
        <v>0</v>
      </c>
      <c r="K1304" t="s">
        <v>64</v>
      </c>
    </row>
    <row r="1305" spans="1:11" hidden="1" x14ac:dyDescent="0.25">
      <c r="A1305" s="210" t="s">
        <v>1623</v>
      </c>
      <c r="B1305">
        <v>9076</v>
      </c>
      <c r="C1305" s="100">
        <v>46140</v>
      </c>
      <c r="D1305" t="s">
        <v>13</v>
      </c>
      <c r="E1305" t="s">
        <v>32</v>
      </c>
      <c r="F1305" t="s">
        <v>40</v>
      </c>
      <c r="G1305">
        <v>548</v>
      </c>
      <c r="H1305">
        <v>43500</v>
      </c>
      <c r="I1305">
        <v>23838000</v>
      </c>
    </row>
    <row r="1306" spans="1:11" hidden="1" x14ac:dyDescent="0.25">
      <c r="A1306" s="210" t="s">
        <v>1541</v>
      </c>
      <c r="B1306">
        <v>9075</v>
      </c>
      <c r="C1306" s="100">
        <v>46140</v>
      </c>
      <c r="D1306" t="s">
        <v>13</v>
      </c>
      <c r="E1306" t="s">
        <v>1842</v>
      </c>
      <c r="F1306" t="s">
        <v>1851</v>
      </c>
      <c r="G1306">
        <v>3104</v>
      </c>
      <c r="H1306">
        <v>67000</v>
      </c>
      <c r="I1306">
        <v>207968000</v>
      </c>
      <c r="K1306" t="s">
        <v>42</v>
      </c>
    </row>
    <row r="1307" spans="1:11" hidden="1" x14ac:dyDescent="0.25">
      <c r="A1307" s="210" t="s">
        <v>1541</v>
      </c>
      <c r="B1307">
        <v>9075</v>
      </c>
      <c r="C1307" s="100">
        <v>46140</v>
      </c>
      <c r="D1307" t="s">
        <v>13</v>
      </c>
      <c r="E1307" t="s">
        <v>1842</v>
      </c>
      <c r="F1307" t="s">
        <v>1458</v>
      </c>
      <c r="G1307">
        <v>1182</v>
      </c>
      <c r="H1307">
        <v>67000</v>
      </c>
      <c r="I1307">
        <v>79194000</v>
      </c>
      <c r="K1307" t="s">
        <v>42</v>
      </c>
    </row>
    <row r="1308" spans="1:11" hidden="1" x14ac:dyDescent="0.25">
      <c r="A1308" s="210" t="s">
        <v>1541</v>
      </c>
      <c r="B1308">
        <v>9075</v>
      </c>
      <c r="C1308" s="100">
        <v>46140</v>
      </c>
      <c r="D1308" t="s">
        <v>13</v>
      </c>
      <c r="E1308" t="s">
        <v>1842</v>
      </c>
      <c r="F1308" t="s">
        <v>1858</v>
      </c>
      <c r="G1308">
        <v>1216</v>
      </c>
      <c r="H1308">
        <v>61000</v>
      </c>
      <c r="I1308">
        <v>74176000</v>
      </c>
      <c r="K1308" t="s">
        <v>42</v>
      </c>
    </row>
    <row r="1309" spans="1:11" hidden="1" x14ac:dyDescent="0.25">
      <c r="A1309" s="210" t="s">
        <v>1541</v>
      </c>
      <c r="B1309">
        <v>9075</v>
      </c>
      <c r="C1309" s="100">
        <v>46140</v>
      </c>
      <c r="D1309" t="s">
        <v>13</v>
      </c>
      <c r="E1309" t="s">
        <v>317</v>
      </c>
      <c r="F1309" t="s">
        <v>40</v>
      </c>
      <c r="G1309">
        <v>679</v>
      </c>
      <c r="H1309">
        <v>63000</v>
      </c>
      <c r="I1309">
        <v>42777000</v>
      </c>
    </row>
    <row r="1310" spans="1:11" hidden="1" x14ac:dyDescent="0.25">
      <c r="A1310" s="210" t="s">
        <v>1595</v>
      </c>
      <c r="B1310">
        <v>9074</v>
      </c>
      <c r="C1310" s="100">
        <v>46140</v>
      </c>
      <c r="D1310" t="s">
        <v>13</v>
      </c>
      <c r="E1310" t="s">
        <v>173</v>
      </c>
      <c r="F1310" t="s">
        <v>185</v>
      </c>
      <c r="G1310">
        <v>498</v>
      </c>
      <c r="H1310">
        <v>66500</v>
      </c>
      <c r="I1310">
        <v>33117000</v>
      </c>
      <c r="K1310" t="s">
        <v>42</v>
      </c>
    </row>
    <row r="1311" spans="1:11" hidden="1" x14ac:dyDescent="0.25">
      <c r="A1311" s="210" t="s">
        <v>1595</v>
      </c>
      <c r="B1311">
        <v>9074</v>
      </c>
      <c r="C1311" s="100">
        <v>46140</v>
      </c>
      <c r="D1311" t="s">
        <v>13</v>
      </c>
      <c r="E1311" t="s">
        <v>173</v>
      </c>
      <c r="F1311" t="s">
        <v>1458</v>
      </c>
      <c r="G1311">
        <v>516</v>
      </c>
      <c r="H1311">
        <v>66500</v>
      </c>
      <c r="I1311">
        <v>34314000</v>
      </c>
      <c r="K1311" t="s">
        <v>42</v>
      </c>
    </row>
    <row r="1312" spans="1:11" hidden="1" x14ac:dyDescent="0.25">
      <c r="A1312" s="210" t="s">
        <v>1656</v>
      </c>
      <c r="B1312">
        <v>9073</v>
      </c>
      <c r="C1312" s="100">
        <v>46140</v>
      </c>
      <c r="D1312" t="s">
        <v>13</v>
      </c>
      <c r="E1312" t="s">
        <v>17</v>
      </c>
      <c r="F1312" t="s">
        <v>78</v>
      </c>
      <c r="G1312">
        <v>828</v>
      </c>
      <c r="H1312">
        <v>66000</v>
      </c>
      <c r="I1312">
        <v>54648000</v>
      </c>
    </row>
    <row r="1313" spans="1:11" hidden="1" x14ac:dyDescent="0.25">
      <c r="A1313" s="210" t="s">
        <v>1727</v>
      </c>
      <c r="B1313">
        <v>9072</v>
      </c>
      <c r="C1313" s="100">
        <v>46140</v>
      </c>
      <c r="D1313" t="s">
        <v>13</v>
      </c>
      <c r="E1313" t="s">
        <v>17</v>
      </c>
      <c r="F1313" t="s">
        <v>40</v>
      </c>
      <c r="G1313">
        <v>466</v>
      </c>
      <c r="H1313">
        <v>67000</v>
      </c>
      <c r="I1313">
        <v>31222000</v>
      </c>
    </row>
    <row r="1314" spans="1:11" hidden="1" x14ac:dyDescent="0.25">
      <c r="A1314" s="210" t="s">
        <v>1701</v>
      </c>
      <c r="B1314">
        <v>9071</v>
      </c>
      <c r="C1314" s="100">
        <v>46140</v>
      </c>
      <c r="D1314" t="s">
        <v>13</v>
      </c>
      <c r="E1314" t="s">
        <v>26</v>
      </c>
      <c r="F1314" t="s">
        <v>1857</v>
      </c>
      <c r="G1314">
        <v>580</v>
      </c>
      <c r="H1314">
        <v>35000</v>
      </c>
      <c r="I1314">
        <v>20300000</v>
      </c>
    </row>
    <row r="1315" spans="1:11" hidden="1" x14ac:dyDescent="0.25">
      <c r="A1315" s="210" t="s">
        <v>1564</v>
      </c>
      <c r="B1315">
        <v>9070</v>
      </c>
      <c r="C1315" s="100">
        <v>46140</v>
      </c>
      <c r="D1315" t="s">
        <v>13</v>
      </c>
      <c r="E1315" t="s">
        <v>77</v>
      </c>
      <c r="F1315" t="s">
        <v>796</v>
      </c>
      <c r="G1315">
        <v>1922</v>
      </c>
      <c r="H1315">
        <v>30000</v>
      </c>
      <c r="I1315">
        <v>57660000</v>
      </c>
    </row>
    <row r="1316" spans="1:11" hidden="1" x14ac:dyDescent="0.25">
      <c r="A1316" s="210" t="s">
        <v>1487</v>
      </c>
      <c r="B1316">
        <v>9069</v>
      </c>
      <c r="C1316" s="100">
        <v>46140</v>
      </c>
      <c r="D1316" t="s">
        <v>13</v>
      </c>
      <c r="E1316" t="s">
        <v>32</v>
      </c>
      <c r="F1316" t="s">
        <v>230</v>
      </c>
      <c r="G1316">
        <v>2652</v>
      </c>
      <c r="H1316">
        <v>44500</v>
      </c>
      <c r="I1316">
        <v>118014000</v>
      </c>
    </row>
    <row r="1317" spans="1:11" hidden="1" x14ac:dyDescent="0.25">
      <c r="A1317" s="210" t="s">
        <v>1487</v>
      </c>
      <c r="B1317">
        <v>9069</v>
      </c>
      <c r="C1317" s="100">
        <v>46140</v>
      </c>
      <c r="D1317" t="s">
        <v>13</v>
      </c>
      <c r="E1317" t="s">
        <v>43</v>
      </c>
      <c r="F1317" t="s">
        <v>204</v>
      </c>
      <c r="G1317">
        <v>2096</v>
      </c>
      <c r="H1317">
        <v>58000</v>
      </c>
      <c r="I1317">
        <v>121568000</v>
      </c>
    </row>
    <row r="1318" spans="1:11" hidden="1" x14ac:dyDescent="0.25">
      <c r="A1318" s="210" t="s">
        <v>1646</v>
      </c>
      <c r="B1318">
        <v>9068</v>
      </c>
      <c r="C1318" s="100">
        <v>46140</v>
      </c>
      <c r="D1318" t="s">
        <v>13</v>
      </c>
      <c r="E1318" t="s">
        <v>1842</v>
      </c>
      <c r="F1318" t="s">
        <v>122</v>
      </c>
      <c r="G1318">
        <v>302</v>
      </c>
      <c r="H1318">
        <v>73000</v>
      </c>
      <c r="I1318">
        <v>22046000</v>
      </c>
    </row>
    <row r="1319" spans="1:11" hidden="1" x14ac:dyDescent="0.25">
      <c r="A1319" s="210" t="s">
        <v>1646</v>
      </c>
      <c r="B1319">
        <v>9068</v>
      </c>
      <c r="C1319" s="100">
        <v>46140</v>
      </c>
      <c r="D1319" t="s">
        <v>13</v>
      </c>
      <c r="E1319" t="s">
        <v>1842</v>
      </c>
      <c r="F1319" t="s">
        <v>283</v>
      </c>
      <c r="G1319">
        <v>532</v>
      </c>
      <c r="H1319">
        <v>73000</v>
      </c>
      <c r="I1319">
        <v>38836000</v>
      </c>
    </row>
    <row r="1320" spans="1:11" hidden="1" x14ac:dyDescent="0.25">
      <c r="A1320" s="210" t="s">
        <v>1697</v>
      </c>
      <c r="B1320">
        <v>9066</v>
      </c>
      <c r="C1320" s="100">
        <v>46140</v>
      </c>
      <c r="D1320" t="s">
        <v>49</v>
      </c>
      <c r="E1320" t="s">
        <v>26</v>
      </c>
      <c r="F1320" t="s">
        <v>283</v>
      </c>
      <c r="G1320">
        <v>7342</v>
      </c>
      <c r="I1320">
        <v>0</v>
      </c>
      <c r="K1320" t="s">
        <v>1856</v>
      </c>
    </row>
    <row r="1321" spans="1:11" hidden="1" x14ac:dyDescent="0.25">
      <c r="A1321" s="210" t="s">
        <v>1582</v>
      </c>
      <c r="B1321">
        <v>9065</v>
      </c>
      <c r="C1321" s="100">
        <v>46139</v>
      </c>
      <c r="D1321" t="s">
        <v>13</v>
      </c>
      <c r="E1321" t="s">
        <v>75</v>
      </c>
      <c r="F1321" t="s">
        <v>117</v>
      </c>
      <c r="G1321">
        <v>168</v>
      </c>
      <c r="H1321">
        <v>40000</v>
      </c>
      <c r="I1321">
        <v>6720000</v>
      </c>
    </row>
    <row r="1322" spans="1:11" hidden="1" x14ac:dyDescent="0.25">
      <c r="A1322" s="210" t="s">
        <v>1582</v>
      </c>
      <c r="B1322">
        <v>9065</v>
      </c>
      <c r="C1322" s="100">
        <v>46139</v>
      </c>
      <c r="D1322" t="s">
        <v>13</v>
      </c>
      <c r="E1322" t="s">
        <v>26</v>
      </c>
      <c r="F1322" t="s">
        <v>62</v>
      </c>
      <c r="G1322">
        <v>42</v>
      </c>
      <c r="H1322">
        <v>37000</v>
      </c>
      <c r="I1322">
        <v>1554000</v>
      </c>
    </row>
    <row r="1323" spans="1:11" hidden="1" x14ac:dyDescent="0.25">
      <c r="A1323" s="210" t="s">
        <v>1582</v>
      </c>
      <c r="B1323">
        <v>9065</v>
      </c>
      <c r="C1323" s="100">
        <v>46139</v>
      </c>
      <c r="D1323" t="s">
        <v>13</v>
      </c>
      <c r="E1323" t="s">
        <v>32</v>
      </c>
      <c r="F1323" t="s">
        <v>46</v>
      </c>
      <c r="G1323">
        <v>1296</v>
      </c>
      <c r="H1323">
        <v>42500</v>
      </c>
      <c r="I1323">
        <v>55080000</v>
      </c>
      <c r="K1323" t="s">
        <v>1815</v>
      </c>
    </row>
    <row r="1324" spans="1:11" hidden="1" x14ac:dyDescent="0.25">
      <c r="A1324" s="210" t="s">
        <v>1582</v>
      </c>
      <c r="B1324">
        <v>9065</v>
      </c>
      <c r="C1324" s="100">
        <v>46139</v>
      </c>
      <c r="D1324" t="s">
        <v>13</v>
      </c>
      <c r="E1324" t="s">
        <v>32</v>
      </c>
      <c r="F1324" t="s">
        <v>25</v>
      </c>
      <c r="G1324">
        <v>1548</v>
      </c>
      <c r="H1324">
        <v>42500</v>
      </c>
      <c r="I1324">
        <v>65790000</v>
      </c>
      <c r="K1324" t="s">
        <v>1815</v>
      </c>
    </row>
    <row r="1325" spans="1:11" hidden="1" x14ac:dyDescent="0.25">
      <c r="A1325" s="210" t="s">
        <v>1573</v>
      </c>
      <c r="B1325">
        <v>9064</v>
      </c>
      <c r="C1325" s="100">
        <v>46139</v>
      </c>
      <c r="D1325" t="s">
        <v>13</v>
      </c>
      <c r="E1325" t="s">
        <v>26</v>
      </c>
      <c r="F1325" t="s">
        <v>40</v>
      </c>
      <c r="G1325">
        <v>30</v>
      </c>
      <c r="H1325">
        <v>37000</v>
      </c>
      <c r="I1325">
        <v>1110000</v>
      </c>
    </row>
    <row r="1326" spans="1:11" hidden="1" x14ac:dyDescent="0.25">
      <c r="A1326" s="210" t="s">
        <v>1573</v>
      </c>
      <c r="B1326">
        <v>9063</v>
      </c>
      <c r="C1326" s="100">
        <v>46139</v>
      </c>
      <c r="D1326" t="s">
        <v>13</v>
      </c>
      <c r="E1326" t="s">
        <v>169</v>
      </c>
      <c r="F1326" t="s">
        <v>62</v>
      </c>
      <c r="G1326">
        <v>206</v>
      </c>
      <c r="H1326">
        <v>40500</v>
      </c>
      <c r="I1326">
        <v>8343000</v>
      </c>
    </row>
    <row r="1327" spans="1:11" hidden="1" x14ac:dyDescent="0.25">
      <c r="A1327" s="210" t="s">
        <v>1573</v>
      </c>
      <c r="B1327">
        <v>9063</v>
      </c>
      <c r="C1327" s="100">
        <v>46139</v>
      </c>
      <c r="D1327" t="s">
        <v>13</v>
      </c>
      <c r="E1327" t="s">
        <v>169</v>
      </c>
      <c r="F1327" t="s">
        <v>146</v>
      </c>
      <c r="G1327">
        <v>162</v>
      </c>
      <c r="H1327">
        <v>39000</v>
      </c>
      <c r="I1327">
        <v>6318000</v>
      </c>
    </row>
    <row r="1328" spans="1:11" hidden="1" x14ac:dyDescent="0.25">
      <c r="A1328" s="210" t="s">
        <v>1504</v>
      </c>
      <c r="B1328">
        <v>9062</v>
      </c>
      <c r="C1328" s="100">
        <v>46139</v>
      </c>
      <c r="D1328" t="s">
        <v>13</v>
      </c>
      <c r="E1328" t="s">
        <v>68</v>
      </c>
      <c r="F1328" t="s">
        <v>53</v>
      </c>
      <c r="G1328">
        <v>116</v>
      </c>
      <c r="H1328">
        <v>45000</v>
      </c>
      <c r="I1328">
        <v>5220000</v>
      </c>
    </row>
    <row r="1329" spans="1:11" hidden="1" x14ac:dyDescent="0.25">
      <c r="A1329" s="210" t="s">
        <v>1504</v>
      </c>
      <c r="B1329">
        <v>9062</v>
      </c>
      <c r="C1329" s="100">
        <v>46139</v>
      </c>
      <c r="D1329" t="s">
        <v>13</v>
      </c>
      <c r="E1329" t="s">
        <v>68</v>
      </c>
      <c r="F1329" t="s">
        <v>1853</v>
      </c>
      <c r="G1329">
        <v>30</v>
      </c>
      <c r="H1329">
        <v>45000</v>
      </c>
      <c r="I1329">
        <v>1350000</v>
      </c>
    </row>
    <row r="1330" spans="1:11" hidden="1" x14ac:dyDescent="0.25">
      <c r="A1330" s="210" t="s">
        <v>1504</v>
      </c>
      <c r="B1330">
        <v>9062</v>
      </c>
      <c r="C1330" s="100">
        <v>46139</v>
      </c>
      <c r="D1330" t="s">
        <v>13</v>
      </c>
      <c r="E1330" t="s">
        <v>68</v>
      </c>
      <c r="F1330" t="s">
        <v>1854</v>
      </c>
      <c r="G1330">
        <v>88</v>
      </c>
      <c r="H1330">
        <v>45000</v>
      </c>
      <c r="I1330">
        <v>3960000</v>
      </c>
    </row>
    <row r="1331" spans="1:11" hidden="1" x14ac:dyDescent="0.25">
      <c r="A1331" s="210" t="s">
        <v>1504</v>
      </c>
      <c r="B1331">
        <v>9062</v>
      </c>
      <c r="C1331" s="100">
        <v>46139</v>
      </c>
      <c r="D1331" t="s">
        <v>13</v>
      </c>
      <c r="E1331" t="s">
        <v>68</v>
      </c>
      <c r="F1331" t="s">
        <v>1855</v>
      </c>
      <c r="G1331">
        <v>94</v>
      </c>
      <c r="H1331">
        <v>45000</v>
      </c>
      <c r="I1331">
        <v>4230000</v>
      </c>
    </row>
    <row r="1332" spans="1:11" hidden="1" x14ac:dyDescent="0.25">
      <c r="A1332" s="210" t="s">
        <v>1531</v>
      </c>
      <c r="B1332">
        <v>9061</v>
      </c>
      <c r="C1332" s="100">
        <v>46139</v>
      </c>
      <c r="D1332" t="s">
        <v>13</v>
      </c>
      <c r="E1332" t="s">
        <v>17</v>
      </c>
      <c r="F1332" t="s">
        <v>25</v>
      </c>
      <c r="G1332">
        <v>440</v>
      </c>
      <c r="H1332">
        <v>61000</v>
      </c>
      <c r="I1332">
        <v>26840000</v>
      </c>
      <c r="K1332" t="s">
        <v>42</v>
      </c>
    </row>
    <row r="1333" spans="1:11" hidden="1" x14ac:dyDescent="0.25">
      <c r="A1333" s="210" t="s">
        <v>1531</v>
      </c>
      <c r="B1333">
        <v>9061</v>
      </c>
      <c r="C1333" s="100">
        <v>46139</v>
      </c>
      <c r="D1333" t="s">
        <v>13</v>
      </c>
      <c r="E1333" t="s">
        <v>26</v>
      </c>
      <c r="F1333" t="s">
        <v>230</v>
      </c>
      <c r="G1333">
        <v>556</v>
      </c>
      <c r="H1333">
        <v>33000</v>
      </c>
      <c r="I1333">
        <v>18348000</v>
      </c>
      <c r="K1333" t="s">
        <v>42</v>
      </c>
    </row>
    <row r="1334" spans="1:11" hidden="1" x14ac:dyDescent="0.25">
      <c r="A1334" s="210" t="s">
        <v>1635</v>
      </c>
      <c r="B1334">
        <v>9060</v>
      </c>
      <c r="C1334" s="100">
        <v>46139</v>
      </c>
      <c r="D1334" t="s">
        <v>13</v>
      </c>
      <c r="E1334" t="s">
        <v>17</v>
      </c>
      <c r="F1334" t="s">
        <v>40</v>
      </c>
      <c r="G1334">
        <v>684</v>
      </c>
      <c r="H1334">
        <v>65000</v>
      </c>
      <c r="I1334">
        <v>44460000</v>
      </c>
    </row>
    <row r="1335" spans="1:11" hidden="1" x14ac:dyDescent="0.25">
      <c r="A1335" s="210" t="s">
        <v>1635</v>
      </c>
      <c r="B1335">
        <v>9060</v>
      </c>
      <c r="C1335" s="100">
        <v>46139</v>
      </c>
      <c r="D1335" t="s">
        <v>13</v>
      </c>
      <c r="E1335" t="s">
        <v>32</v>
      </c>
      <c r="F1335" t="s">
        <v>78</v>
      </c>
      <c r="G1335">
        <v>489</v>
      </c>
      <c r="H1335">
        <v>41000</v>
      </c>
      <c r="I1335">
        <v>20049000</v>
      </c>
    </row>
    <row r="1336" spans="1:11" hidden="1" x14ac:dyDescent="0.25">
      <c r="A1336" s="210" t="s">
        <v>1538</v>
      </c>
      <c r="B1336">
        <v>9059</v>
      </c>
      <c r="C1336" s="100">
        <v>46139</v>
      </c>
      <c r="D1336" t="s">
        <v>13</v>
      </c>
      <c r="E1336" t="s">
        <v>1842</v>
      </c>
      <c r="F1336" t="s">
        <v>1851</v>
      </c>
      <c r="G1336">
        <v>924</v>
      </c>
      <c r="H1336">
        <v>71500</v>
      </c>
      <c r="I1336">
        <v>66066000</v>
      </c>
    </row>
    <row r="1337" spans="1:11" hidden="1" x14ac:dyDescent="0.25">
      <c r="A1337" s="210" t="s">
        <v>1538</v>
      </c>
      <c r="B1337">
        <v>9059</v>
      </c>
      <c r="C1337" s="100">
        <v>46139</v>
      </c>
      <c r="D1337" t="s">
        <v>13</v>
      </c>
      <c r="E1337" t="s">
        <v>32</v>
      </c>
      <c r="F1337" t="s">
        <v>1852</v>
      </c>
      <c r="G1337">
        <v>96</v>
      </c>
      <c r="H1337">
        <v>43500</v>
      </c>
      <c r="I1337">
        <v>4176000</v>
      </c>
    </row>
    <row r="1338" spans="1:11" hidden="1" x14ac:dyDescent="0.25">
      <c r="A1338" s="210" t="s">
        <v>1646</v>
      </c>
      <c r="B1338">
        <v>9058</v>
      </c>
      <c r="C1338" s="100">
        <v>46139</v>
      </c>
      <c r="D1338" t="s">
        <v>13</v>
      </c>
      <c r="E1338" t="s">
        <v>50</v>
      </c>
      <c r="F1338" t="s">
        <v>148</v>
      </c>
      <c r="G1338">
        <v>549</v>
      </c>
      <c r="H1338">
        <v>59000</v>
      </c>
      <c r="I1338">
        <v>32391000</v>
      </c>
    </row>
    <row r="1339" spans="1:11" hidden="1" x14ac:dyDescent="0.25">
      <c r="A1339" s="210" t="s">
        <v>1817</v>
      </c>
      <c r="B1339">
        <v>9057</v>
      </c>
      <c r="C1339" s="100">
        <v>46139</v>
      </c>
      <c r="D1339" t="s">
        <v>13</v>
      </c>
      <c r="E1339" t="s">
        <v>17</v>
      </c>
      <c r="F1339" t="s">
        <v>1848</v>
      </c>
      <c r="G1339">
        <v>9344</v>
      </c>
      <c r="H1339">
        <v>56000</v>
      </c>
      <c r="I1339">
        <v>523264000</v>
      </c>
    </row>
    <row r="1340" spans="1:11" hidden="1" x14ac:dyDescent="0.25">
      <c r="A1340" s="210" t="s">
        <v>1817</v>
      </c>
      <c r="B1340">
        <v>9057</v>
      </c>
      <c r="C1340" s="100">
        <v>46139</v>
      </c>
      <c r="D1340" t="s">
        <v>897</v>
      </c>
      <c r="G1340">
        <v>1</v>
      </c>
      <c r="H1340">
        <v>6000000</v>
      </c>
      <c r="I1340">
        <v>6000000</v>
      </c>
    </row>
    <row r="1341" spans="1:11" hidden="1" x14ac:dyDescent="0.25">
      <c r="A1341" s="210" t="s">
        <v>1676</v>
      </c>
      <c r="B1341">
        <v>9056</v>
      </c>
      <c r="C1341" s="100">
        <v>46139</v>
      </c>
      <c r="D1341" t="s">
        <v>13</v>
      </c>
      <c r="E1341" t="s">
        <v>26</v>
      </c>
      <c r="F1341" t="s">
        <v>40</v>
      </c>
      <c r="G1341">
        <v>467</v>
      </c>
      <c r="H1341">
        <v>38000</v>
      </c>
      <c r="I1341">
        <v>17746000</v>
      </c>
    </row>
    <row r="1342" spans="1:11" hidden="1" x14ac:dyDescent="0.25">
      <c r="A1342" s="210" t="s">
        <v>1676</v>
      </c>
      <c r="B1342">
        <v>9056</v>
      </c>
      <c r="C1342" s="100">
        <v>46139</v>
      </c>
      <c r="D1342" t="s">
        <v>13</v>
      </c>
      <c r="E1342" t="s">
        <v>17</v>
      </c>
      <c r="F1342" t="s">
        <v>40</v>
      </c>
      <c r="G1342">
        <v>632</v>
      </c>
      <c r="H1342">
        <v>68000</v>
      </c>
      <c r="I1342">
        <v>42976000</v>
      </c>
    </row>
    <row r="1343" spans="1:11" hidden="1" x14ac:dyDescent="0.25">
      <c r="A1343" s="210" t="s">
        <v>1676</v>
      </c>
      <c r="B1343">
        <v>9056</v>
      </c>
      <c r="C1343" s="100">
        <v>46139</v>
      </c>
      <c r="D1343" t="s">
        <v>13</v>
      </c>
      <c r="E1343" t="s">
        <v>17</v>
      </c>
      <c r="F1343" t="s">
        <v>33</v>
      </c>
      <c r="G1343">
        <v>572</v>
      </c>
      <c r="H1343">
        <v>67500</v>
      </c>
      <c r="I1343">
        <v>38610000</v>
      </c>
    </row>
    <row r="1344" spans="1:11" hidden="1" x14ac:dyDescent="0.25">
      <c r="A1344" s="210" t="s">
        <v>1676</v>
      </c>
      <c r="B1344">
        <v>9056</v>
      </c>
      <c r="C1344" s="100">
        <v>46139</v>
      </c>
      <c r="D1344" t="s">
        <v>13</v>
      </c>
      <c r="E1344" t="s">
        <v>17</v>
      </c>
      <c r="F1344" t="s">
        <v>251</v>
      </c>
      <c r="G1344">
        <v>642</v>
      </c>
      <c r="H1344">
        <v>65000</v>
      </c>
      <c r="I1344">
        <v>41730000</v>
      </c>
    </row>
    <row r="1345" spans="1:11" hidden="1" x14ac:dyDescent="0.25">
      <c r="A1345" s="210" t="s">
        <v>1676</v>
      </c>
      <c r="B1345">
        <v>9056</v>
      </c>
      <c r="C1345" s="100">
        <v>46139</v>
      </c>
      <c r="D1345" t="s">
        <v>13</v>
      </c>
      <c r="E1345" t="s">
        <v>43</v>
      </c>
      <c r="F1345" t="s">
        <v>154</v>
      </c>
      <c r="G1345">
        <v>1030</v>
      </c>
      <c r="H1345">
        <v>60000</v>
      </c>
      <c r="I1345">
        <v>61800000</v>
      </c>
    </row>
    <row r="1346" spans="1:11" hidden="1" x14ac:dyDescent="0.25">
      <c r="A1346" s="210" t="s">
        <v>1541</v>
      </c>
      <c r="B1346">
        <v>9055</v>
      </c>
      <c r="C1346" s="100">
        <v>46139</v>
      </c>
      <c r="D1346" t="s">
        <v>13</v>
      </c>
      <c r="E1346" t="s">
        <v>1842</v>
      </c>
      <c r="F1346" t="s">
        <v>1851</v>
      </c>
      <c r="G1346">
        <v>1542</v>
      </c>
      <c r="H1346">
        <v>67000</v>
      </c>
      <c r="I1346">
        <v>103314000</v>
      </c>
      <c r="K1346" t="s">
        <v>42</v>
      </c>
    </row>
    <row r="1347" spans="1:11" hidden="1" x14ac:dyDescent="0.25">
      <c r="A1347" s="210" t="s">
        <v>1541</v>
      </c>
      <c r="B1347">
        <v>9055</v>
      </c>
      <c r="C1347" s="100">
        <v>46139</v>
      </c>
      <c r="D1347" t="s">
        <v>13</v>
      </c>
      <c r="E1347" t="s">
        <v>1842</v>
      </c>
      <c r="F1347" t="s">
        <v>1458</v>
      </c>
      <c r="G1347">
        <v>1548</v>
      </c>
      <c r="H1347">
        <v>67000</v>
      </c>
      <c r="I1347">
        <v>103716000</v>
      </c>
      <c r="K1347" t="s">
        <v>42</v>
      </c>
    </row>
    <row r="1348" spans="1:11" hidden="1" x14ac:dyDescent="0.25">
      <c r="A1348" s="210" t="s">
        <v>1525</v>
      </c>
      <c r="B1348">
        <v>9054</v>
      </c>
      <c r="C1348" s="100">
        <v>46139</v>
      </c>
      <c r="D1348" t="s">
        <v>13</v>
      </c>
      <c r="E1348" t="s">
        <v>143</v>
      </c>
      <c r="F1348" t="s">
        <v>469</v>
      </c>
      <c r="G1348">
        <v>6025</v>
      </c>
      <c r="H1348">
        <v>62500</v>
      </c>
      <c r="I1348">
        <v>376562500</v>
      </c>
      <c r="K1348" t="s">
        <v>2216</v>
      </c>
    </row>
    <row r="1349" spans="1:11" hidden="1" x14ac:dyDescent="0.25">
      <c r="A1349" s="210" t="s">
        <v>1600</v>
      </c>
      <c r="B1349">
        <v>9053</v>
      </c>
      <c r="C1349" s="100">
        <v>46139</v>
      </c>
      <c r="D1349" t="s">
        <v>13</v>
      </c>
      <c r="E1349" t="s">
        <v>173</v>
      </c>
      <c r="F1349" t="s">
        <v>117</v>
      </c>
      <c r="G1349">
        <v>1318</v>
      </c>
      <c r="H1349">
        <v>71500</v>
      </c>
      <c r="I1349">
        <v>94237000</v>
      </c>
    </row>
    <row r="1350" spans="1:11" hidden="1" x14ac:dyDescent="0.25">
      <c r="A1350" s="210" t="s">
        <v>1600</v>
      </c>
      <c r="B1350">
        <v>9053</v>
      </c>
      <c r="C1350" s="100">
        <v>46139</v>
      </c>
      <c r="D1350" t="s">
        <v>13</v>
      </c>
      <c r="E1350" t="s">
        <v>173</v>
      </c>
      <c r="F1350" t="s">
        <v>191</v>
      </c>
      <c r="G1350">
        <v>442</v>
      </c>
      <c r="H1350">
        <v>71500</v>
      </c>
      <c r="I1350">
        <v>31603000</v>
      </c>
    </row>
    <row r="1351" spans="1:11" hidden="1" x14ac:dyDescent="0.25">
      <c r="A1351" s="210" t="s">
        <v>1610</v>
      </c>
      <c r="B1351">
        <v>9052</v>
      </c>
      <c r="C1351" s="100">
        <v>46139</v>
      </c>
      <c r="D1351" t="s">
        <v>13</v>
      </c>
      <c r="E1351" t="s">
        <v>43</v>
      </c>
      <c r="F1351" t="s">
        <v>283</v>
      </c>
      <c r="G1351">
        <v>1510</v>
      </c>
      <c r="H1351">
        <v>61000</v>
      </c>
      <c r="I1351">
        <v>92110000</v>
      </c>
    </row>
    <row r="1352" spans="1:11" hidden="1" x14ac:dyDescent="0.25">
      <c r="A1352" s="210" t="s">
        <v>1817</v>
      </c>
      <c r="B1352">
        <v>9051</v>
      </c>
      <c r="C1352" s="100">
        <v>46139</v>
      </c>
      <c r="D1352" t="s">
        <v>13</v>
      </c>
      <c r="E1352" t="s">
        <v>143</v>
      </c>
      <c r="F1352" t="s">
        <v>1848</v>
      </c>
      <c r="G1352">
        <v>7063</v>
      </c>
      <c r="H1352">
        <v>56000</v>
      </c>
      <c r="I1352">
        <v>395528000</v>
      </c>
    </row>
    <row r="1353" spans="1:11" hidden="1" x14ac:dyDescent="0.25">
      <c r="A1353" s="210" t="s">
        <v>1703</v>
      </c>
      <c r="B1353">
        <v>9050</v>
      </c>
      <c r="C1353" s="100">
        <v>46139</v>
      </c>
      <c r="D1353" t="s">
        <v>13</v>
      </c>
      <c r="E1353" t="s">
        <v>1842</v>
      </c>
      <c r="F1353" t="s">
        <v>117</v>
      </c>
      <c r="G1353">
        <v>366</v>
      </c>
      <c r="H1353">
        <v>70000</v>
      </c>
      <c r="I1353">
        <v>25620000</v>
      </c>
      <c r="K1353" t="s">
        <v>42</v>
      </c>
    </row>
    <row r="1354" spans="1:11" hidden="1" x14ac:dyDescent="0.25">
      <c r="A1354" s="210" t="s">
        <v>1564</v>
      </c>
      <c r="B1354">
        <v>9049</v>
      </c>
      <c r="C1354" s="100">
        <v>46139</v>
      </c>
      <c r="D1354" t="s">
        <v>13</v>
      </c>
      <c r="E1354" t="s">
        <v>27</v>
      </c>
      <c r="F1354" t="s">
        <v>1818</v>
      </c>
      <c r="G1354">
        <v>856</v>
      </c>
      <c r="H1354">
        <v>61000</v>
      </c>
      <c r="I1354">
        <v>52216000</v>
      </c>
    </row>
    <row r="1355" spans="1:11" hidden="1" x14ac:dyDescent="0.25">
      <c r="A1355" s="210" t="s">
        <v>1564</v>
      </c>
      <c r="B1355">
        <v>9049</v>
      </c>
      <c r="C1355" s="100">
        <v>46139</v>
      </c>
      <c r="D1355" t="s">
        <v>13</v>
      </c>
      <c r="E1355" t="s">
        <v>27</v>
      </c>
      <c r="F1355" t="s">
        <v>990</v>
      </c>
      <c r="G1355">
        <v>718</v>
      </c>
      <c r="H1355">
        <v>61000</v>
      </c>
      <c r="I1355">
        <v>43798000</v>
      </c>
    </row>
    <row r="1356" spans="1:11" hidden="1" x14ac:dyDescent="0.25">
      <c r="A1356" s="210" t="s">
        <v>1562</v>
      </c>
      <c r="B1356">
        <v>9048</v>
      </c>
      <c r="C1356" s="100">
        <v>46139</v>
      </c>
      <c r="D1356" t="s">
        <v>13</v>
      </c>
      <c r="E1356" t="s">
        <v>173</v>
      </c>
      <c r="F1356" t="s">
        <v>117</v>
      </c>
      <c r="G1356">
        <v>314</v>
      </c>
      <c r="H1356">
        <v>76000</v>
      </c>
      <c r="I1356">
        <v>23864000</v>
      </c>
    </row>
    <row r="1357" spans="1:11" hidden="1" x14ac:dyDescent="0.25">
      <c r="A1357" s="210" t="s">
        <v>1712</v>
      </c>
      <c r="B1357">
        <v>9047</v>
      </c>
      <c r="C1357" s="100">
        <v>46139</v>
      </c>
      <c r="D1357" t="s">
        <v>13</v>
      </c>
      <c r="E1357" t="s">
        <v>26</v>
      </c>
      <c r="F1357" t="s">
        <v>148</v>
      </c>
      <c r="G1357">
        <v>5090</v>
      </c>
      <c r="H1357">
        <v>33793.7131630648</v>
      </c>
      <c r="I1357">
        <v>172009999.99999982</v>
      </c>
    </row>
    <row r="1358" spans="1:11" hidden="1" x14ac:dyDescent="0.25">
      <c r="A1358" s="210" t="s">
        <v>1512</v>
      </c>
      <c r="B1358">
        <v>9046</v>
      </c>
      <c r="C1358" s="100">
        <v>46139</v>
      </c>
      <c r="D1358" t="s">
        <v>13</v>
      </c>
      <c r="E1358" t="s">
        <v>1842</v>
      </c>
      <c r="F1358" t="s">
        <v>1458</v>
      </c>
      <c r="G1358">
        <v>1108</v>
      </c>
      <c r="H1358">
        <v>71500</v>
      </c>
      <c r="I1358">
        <v>79222000</v>
      </c>
    </row>
    <row r="1359" spans="1:11" hidden="1" x14ac:dyDescent="0.25">
      <c r="A1359" s="210" t="s">
        <v>1512</v>
      </c>
      <c r="B1359">
        <v>9046</v>
      </c>
      <c r="C1359" s="100">
        <v>46139</v>
      </c>
      <c r="D1359" t="s">
        <v>13</v>
      </c>
      <c r="E1359" t="s">
        <v>32</v>
      </c>
      <c r="F1359" t="s">
        <v>40</v>
      </c>
      <c r="G1359">
        <v>5083</v>
      </c>
      <c r="H1359">
        <v>42500</v>
      </c>
      <c r="I1359">
        <v>216027500</v>
      </c>
    </row>
    <row r="1360" spans="1:11" hidden="1" x14ac:dyDescent="0.25">
      <c r="A1360" s="210" t="s">
        <v>1850</v>
      </c>
      <c r="B1360">
        <v>9045</v>
      </c>
      <c r="C1360" s="100">
        <v>46139</v>
      </c>
      <c r="D1360" t="s">
        <v>13</v>
      </c>
      <c r="E1360" t="s">
        <v>17</v>
      </c>
      <c r="F1360" t="s">
        <v>25</v>
      </c>
      <c r="G1360">
        <v>872</v>
      </c>
      <c r="H1360">
        <v>60500</v>
      </c>
      <c r="I1360">
        <v>52756000</v>
      </c>
    </row>
    <row r="1361" spans="1:9" hidden="1" x14ac:dyDescent="0.25">
      <c r="A1361" s="210" t="s">
        <v>1850</v>
      </c>
      <c r="B1361">
        <v>9045</v>
      </c>
      <c r="C1361" s="100">
        <v>46139</v>
      </c>
      <c r="D1361" t="s">
        <v>13</v>
      </c>
      <c r="E1361" t="s">
        <v>17</v>
      </c>
      <c r="F1361" t="s">
        <v>46</v>
      </c>
      <c r="G1361">
        <v>500</v>
      </c>
      <c r="H1361">
        <v>60500</v>
      </c>
      <c r="I1361">
        <v>30250000</v>
      </c>
    </row>
    <row r="1362" spans="1:9" hidden="1" x14ac:dyDescent="0.25">
      <c r="A1362" s="210" t="s">
        <v>1623</v>
      </c>
      <c r="B1362">
        <v>9044</v>
      </c>
      <c r="C1362" s="100">
        <v>46139</v>
      </c>
      <c r="D1362" t="s">
        <v>13</v>
      </c>
      <c r="E1362" t="s">
        <v>26</v>
      </c>
      <c r="F1362" t="s">
        <v>146</v>
      </c>
      <c r="G1362">
        <v>1154</v>
      </c>
      <c r="H1362">
        <v>35000</v>
      </c>
      <c r="I1362">
        <v>40390000</v>
      </c>
    </row>
    <row r="1363" spans="1:9" hidden="1" x14ac:dyDescent="0.25">
      <c r="A1363" s="210" t="s">
        <v>1817</v>
      </c>
      <c r="B1363">
        <v>9043</v>
      </c>
      <c r="C1363" s="100">
        <v>46139</v>
      </c>
      <c r="D1363" t="s">
        <v>13</v>
      </c>
      <c r="E1363" t="s">
        <v>143</v>
      </c>
      <c r="F1363" t="s">
        <v>1848</v>
      </c>
      <c r="G1363">
        <v>9049</v>
      </c>
      <c r="H1363">
        <v>56000</v>
      </c>
      <c r="I1363">
        <v>506744000</v>
      </c>
    </row>
    <row r="1364" spans="1:9" hidden="1" x14ac:dyDescent="0.25">
      <c r="A1364" s="210" t="s">
        <v>1504</v>
      </c>
      <c r="B1364">
        <v>9042</v>
      </c>
      <c r="C1364" s="100">
        <v>46139</v>
      </c>
      <c r="D1364" t="s">
        <v>13</v>
      </c>
      <c r="E1364" t="s">
        <v>54</v>
      </c>
      <c r="F1364" t="s">
        <v>1847</v>
      </c>
      <c r="G1364">
        <v>2256</v>
      </c>
      <c r="H1364">
        <v>37000</v>
      </c>
      <c r="I1364">
        <v>83472000</v>
      </c>
    </row>
    <row r="1365" spans="1:9" hidden="1" x14ac:dyDescent="0.25">
      <c r="A1365" s="210" t="s">
        <v>1496</v>
      </c>
      <c r="B1365">
        <v>9041</v>
      </c>
      <c r="C1365" s="100">
        <v>46139</v>
      </c>
      <c r="D1365" t="s">
        <v>13</v>
      </c>
      <c r="E1365" t="s">
        <v>45</v>
      </c>
      <c r="F1365" t="s">
        <v>1846</v>
      </c>
      <c r="G1365">
        <v>6406</v>
      </c>
      <c r="H1365">
        <v>34000</v>
      </c>
      <c r="I1365">
        <v>217804000</v>
      </c>
    </row>
    <row r="1366" spans="1:9" hidden="1" x14ac:dyDescent="0.25">
      <c r="A1366" s="210" t="s">
        <v>1579</v>
      </c>
      <c r="B1366">
        <v>9040</v>
      </c>
      <c r="C1366" s="100">
        <v>46139</v>
      </c>
      <c r="D1366" t="s">
        <v>13</v>
      </c>
      <c r="E1366" t="s">
        <v>17</v>
      </c>
      <c r="F1366" t="s">
        <v>62</v>
      </c>
      <c r="G1366">
        <v>3096</v>
      </c>
      <c r="H1366">
        <v>65000</v>
      </c>
      <c r="I1366">
        <v>201240000</v>
      </c>
    </row>
    <row r="1367" spans="1:9" hidden="1" x14ac:dyDescent="0.25">
      <c r="A1367" s="210" t="s">
        <v>1587</v>
      </c>
      <c r="B1367">
        <v>9039</v>
      </c>
      <c r="C1367" s="100">
        <v>46139</v>
      </c>
      <c r="D1367" t="s">
        <v>13</v>
      </c>
      <c r="E1367" t="s">
        <v>1831</v>
      </c>
      <c r="F1367" t="s">
        <v>148</v>
      </c>
      <c r="G1367">
        <v>5532</v>
      </c>
      <c r="H1367">
        <v>70000</v>
      </c>
      <c r="I1367">
        <v>387240000</v>
      </c>
    </row>
    <row r="1368" spans="1:9" hidden="1" x14ac:dyDescent="0.25">
      <c r="A1368" s="210" t="s">
        <v>1475</v>
      </c>
      <c r="B1368">
        <v>9038</v>
      </c>
      <c r="C1368" s="100">
        <v>46138</v>
      </c>
      <c r="D1368" t="s">
        <v>13</v>
      </c>
      <c r="E1368" t="s">
        <v>290</v>
      </c>
      <c r="F1368" t="s">
        <v>38</v>
      </c>
      <c r="G1368">
        <v>2824</v>
      </c>
      <c r="H1368">
        <v>61500</v>
      </c>
      <c r="I1368">
        <v>173676000</v>
      </c>
    </row>
    <row r="1369" spans="1:9" hidden="1" x14ac:dyDescent="0.25">
      <c r="A1369" s="210" t="s">
        <v>1475</v>
      </c>
      <c r="B1369">
        <v>9038</v>
      </c>
      <c r="C1369" s="100">
        <v>46138</v>
      </c>
      <c r="D1369" t="s">
        <v>13</v>
      </c>
      <c r="E1369" t="s">
        <v>17</v>
      </c>
      <c r="F1369" t="s">
        <v>41</v>
      </c>
      <c r="G1369">
        <v>631</v>
      </c>
      <c r="H1369">
        <v>60000</v>
      </c>
      <c r="I1369">
        <v>37860000</v>
      </c>
    </row>
    <row r="1370" spans="1:9" hidden="1" x14ac:dyDescent="0.25">
      <c r="A1370" s="210" t="s">
        <v>1475</v>
      </c>
      <c r="B1370">
        <v>9038</v>
      </c>
      <c r="C1370" s="100">
        <v>46138</v>
      </c>
      <c r="D1370" t="s">
        <v>13</v>
      </c>
      <c r="E1370" t="s">
        <v>17</v>
      </c>
      <c r="F1370" t="s">
        <v>136</v>
      </c>
      <c r="G1370">
        <v>552</v>
      </c>
      <c r="H1370">
        <v>60000</v>
      </c>
      <c r="I1370">
        <v>33120000</v>
      </c>
    </row>
    <row r="1371" spans="1:9" hidden="1" x14ac:dyDescent="0.25">
      <c r="A1371" s="210" t="s">
        <v>1475</v>
      </c>
      <c r="B1371">
        <v>9038</v>
      </c>
      <c r="C1371" s="100">
        <v>46138</v>
      </c>
      <c r="D1371" t="s">
        <v>13</v>
      </c>
      <c r="E1371" t="s">
        <v>32</v>
      </c>
      <c r="F1371" t="s">
        <v>33</v>
      </c>
      <c r="G1371">
        <v>490</v>
      </c>
      <c r="H1371">
        <v>41000</v>
      </c>
      <c r="I1371">
        <v>20090000</v>
      </c>
    </row>
    <row r="1372" spans="1:9" hidden="1" x14ac:dyDescent="0.25">
      <c r="A1372" s="210" t="s">
        <v>1475</v>
      </c>
      <c r="B1372">
        <v>9038</v>
      </c>
      <c r="C1372" s="100">
        <v>46138</v>
      </c>
      <c r="D1372" t="s">
        <v>13</v>
      </c>
      <c r="E1372" t="s">
        <v>26</v>
      </c>
      <c r="F1372" t="s">
        <v>25</v>
      </c>
      <c r="G1372">
        <v>944</v>
      </c>
      <c r="H1372">
        <v>33000</v>
      </c>
      <c r="I1372">
        <v>31152000</v>
      </c>
    </row>
    <row r="1373" spans="1:9" hidden="1" x14ac:dyDescent="0.25">
      <c r="A1373" s="210" t="s">
        <v>1475</v>
      </c>
      <c r="B1373">
        <v>9038</v>
      </c>
      <c r="C1373" s="100">
        <v>46138</v>
      </c>
      <c r="D1373" t="s">
        <v>13</v>
      </c>
      <c r="E1373" t="s">
        <v>26</v>
      </c>
      <c r="F1373" t="s">
        <v>33</v>
      </c>
      <c r="G1373">
        <v>616</v>
      </c>
      <c r="H1373">
        <v>33000</v>
      </c>
      <c r="I1373">
        <v>20328000</v>
      </c>
    </row>
    <row r="1374" spans="1:9" hidden="1" x14ac:dyDescent="0.25">
      <c r="A1374" s="210" t="s">
        <v>1475</v>
      </c>
      <c r="B1374">
        <v>9038</v>
      </c>
      <c r="C1374" s="100">
        <v>46138</v>
      </c>
      <c r="D1374" t="s">
        <v>13</v>
      </c>
      <c r="E1374" t="s">
        <v>26</v>
      </c>
      <c r="F1374" t="s">
        <v>46</v>
      </c>
      <c r="G1374">
        <v>542</v>
      </c>
      <c r="H1374">
        <v>33000</v>
      </c>
      <c r="I1374">
        <v>17886000</v>
      </c>
    </row>
    <row r="1375" spans="1:9" hidden="1" x14ac:dyDescent="0.25">
      <c r="A1375" s="210" t="s">
        <v>1475</v>
      </c>
      <c r="B1375">
        <v>9038</v>
      </c>
      <c r="C1375" s="100">
        <v>46138</v>
      </c>
      <c r="D1375" t="s">
        <v>13</v>
      </c>
      <c r="E1375" t="s">
        <v>17</v>
      </c>
      <c r="F1375" t="s">
        <v>1845</v>
      </c>
      <c r="G1375">
        <v>1148</v>
      </c>
      <c r="H1375">
        <v>61500</v>
      </c>
      <c r="I1375">
        <v>70602000</v>
      </c>
    </row>
    <row r="1376" spans="1:9" hidden="1" x14ac:dyDescent="0.25">
      <c r="A1376" s="210" t="s">
        <v>2016</v>
      </c>
      <c r="B1376">
        <v>9037</v>
      </c>
      <c r="C1376" s="100">
        <v>46129</v>
      </c>
      <c r="D1376" t="s">
        <v>692</v>
      </c>
      <c r="E1376" t="s">
        <v>1289</v>
      </c>
      <c r="F1376" t="s">
        <v>1290</v>
      </c>
      <c r="G1376">
        <v>1010</v>
      </c>
      <c r="H1376">
        <v>-30000</v>
      </c>
      <c r="I1376">
        <v>-30300000</v>
      </c>
    </row>
    <row r="1377" spans="1:11" hidden="1" x14ac:dyDescent="0.25">
      <c r="A1377" s="210" t="s">
        <v>1727</v>
      </c>
      <c r="B1377">
        <v>9037</v>
      </c>
      <c r="C1377" s="100">
        <v>46137</v>
      </c>
      <c r="D1377" t="s">
        <v>13</v>
      </c>
      <c r="E1377" t="s">
        <v>170</v>
      </c>
      <c r="F1377" t="s">
        <v>1844</v>
      </c>
      <c r="G1377">
        <v>828</v>
      </c>
      <c r="H1377">
        <v>66000</v>
      </c>
      <c r="I1377">
        <v>54648000</v>
      </c>
    </row>
    <row r="1378" spans="1:11" hidden="1" x14ac:dyDescent="0.25">
      <c r="A1378" s="210" t="s">
        <v>1627</v>
      </c>
      <c r="B1378">
        <v>9036</v>
      </c>
      <c r="C1378" s="100">
        <v>46137</v>
      </c>
      <c r="D1378" t="s">
        <v>13</v>
      </c>
      <c r="E1378" t="s">
        <v>32</v>
      </c>
      <c r="F1378" t="s">
        <v>230</v>
      </c>
      <c r="G1378">
        <v>704</v>
      </c>
      <c r="H1378">
        <v>44000</v>
      </c>
      <c r="I1378">
        <v>30976000</v>
      </c>
    </row>
    <row r="1379" spans="1:11" hidden="1" x14ac:dyDescent="0.25">
      <c r="A1379" s="210" t="s">
        <v>1512</v>
      </c>
      <c r="B1379">
        <v>9035</v>
      </c>
      <c r="C1379" s="100">
        <v>46137</v>
      </c>
      <c r="D1379" t="s">
        <v>13</v>
      </c>
      <c r="E1379" t="s">
        <v>1831</v>
      </c>
      <c r="F1379" t="s">
        <v>148</v>
      </c>
      <c r="G1379">
        <v>5450</v>
      </c>
      <c r="H1379">
        <v>71500</v>
      </c>
      <c r="I1379">
        <v>389675000</v>
      </c>
    </row>
    <row r="1380" spans="1:11" hidden="1" x14ac:dyDescent="0.25">
      <c r="A1380" s="210" t="s">
        <v>1624</v>
      </c>
      <c r="B1380">
        <v>9034</v>
      </c>
      <c r="C1380" s="100">
        <v>46137</v>
      </c>
      <c r="D1380" t="s">
        <v>13</v>
      </c>
      <c r="E1380" t="s">
        <v>17</v>
      </c>
      <c r="F1380" t="s">
        <v>230</v>
      </c>
      <c r="G1380">
        <v>355</v>
      </c>
      <c r="H1380">
        <v>69500</v>
      </c>
      <c r="I1380">
        <v>24672500</v>
      </c>
    </row>
    <row r="1381" spans="1:11" hidden="1" x14ac:dyDescent="0.25">
      <c r="A1381" s="210" t="s">
        <v>1624</v>
      </c>
      <c r="B1381">
        <v>9034</v>
      </c>
      <c r="C1381" s="100">
        <v>46137</v>
      </c>
      <c r="D1381" t="s">
        <v>13</v>
      </c>
      <c r="E1381" t="s">
        <v>14</v>
      </c>
      <c r="F1381" t="s">
        <v>78</v>
      </c>
      <c r="G1381">
        <v>606</v>
      </c>
      <c r="H1381">
        <v>45000</v>
      </c>
      <c r="I1381">
        <v>27270000</v>
      </c>
    </row>
    <row r="1382" spans="1:11" hidden="1" x14ac:dyDescent="0.25">
      <c r="A1382" s="210" t="s">
        <v>1624</v>
      </c>
      <c r="B1382">
        <v>9034</v>
      </c>
      <c r="C1382" s="100">
        <v>46137</v>
      </c>
      <c r="D1382" t="s">
        <v>13</v>
      </c>
      <c r="E1382" t="s">
        <v>26</v>
      </c>
      <c r="F1382" t="s">
        <v>148</v>
      </c>
      <c r="G1382">
        <v>1498</v>
      </c>
      <c r="H1382">
        <v>35000</v>
      </c>
      <c r="I1382">
        <v>52430000</v>
      </c>
    </row>
    <row r="1383" spans="1:11" hidden="1" x14ac:dyDescent="0.25">
      <c r="A1383" s="210" t="s">
        <v>1606</v>
      </c>
      <c r="B1383">
        <v>9033</v>
      </c>
      <c r="C1383" s="100">
        <v>46137</v>
      </c>
      <c r="D1383" t="s">
        <v>13</v>
      </c>
      <c r="E1383" t="s">
        <v>1842</v>
      </c>
      <c r="F1383" t="s">
        <v>1843</v>
      </c>
      <c r="G1383">
        <v>252</v>
      </c>
      <c r="H1383">
        <v>71000</v>
      </c>
      <c r="I1383">
        <v>17892000</v>
      </c>
    </row>
    <row r="1384" spans="1:11" hidden="1" x14ac:dyDescent="0.25">
      <c r="A1384" s="210" t="s">
        <v>1606</v>
      </c>
      <c r="B1384">
        <v>9033</v>
      </c>
      <c r="C1384" s="100">
        <v>46137</v>
      </c>
      <c r="D1384" t="s">
        <v>13</v>
      </c>
      <c r="E1384" t="s">
        <v>1842</v>
      </c>
      <c r="F1384" t="s">
        <v>148</v>
      </c>
      <c r="G1384">
        <v>1652</v>
      </c>
      <c r="H1384">
        <v>71000</v>
      </c>
      <c r="I1384">
        <v>117292000</v>
      </c>
    </row>
    <row r="1385" spans="1:11" hidden="1" x14ac:dyDescent="0.25">
      <c r="A1385" s="210" t="s">
        <v>1541</v>
      </c>
      <c r="B1385">
        <v>9032</v>
      </c>
      <c r="C1385" s="100">
        <v>46137</v>
      </c>
      <c r="D1385" t="s">
        <v>13</v>
      </c>
      <c r="E1385" t="s">
        <v>32</v>
      </c>
      <c r="F1385" t="s">
        <v>40</v>
      </c>
      <c r="G1385">
        <v>299</v>
      </c>
      <c r="H1385">
        <v>43500</v>
      </c>
      <c r="I1385">
        <v>13006500</v>
      </c>
    </row>
    <row r="1386" spans="1:11" hidden="1" x14ac:dyDescent="0.25">
      <c r="A1386" s="210" t="s">
        <v>1541</v>
      </c>
      <c r="B1386">
        <v>9032</v>
      </c>
      <c r="C1386" s="100">
        <v>46137</v>
      </c>
      <c r="D1386" t="s">
        <v>13</v>
      </c>
      <c r="E1386" t="s">
        <v>293</v>
      </c>
      <c r="F1386" t="s">
        <v>1841</v>
      </c>
      <c r="G1386">
        <v>2208</v>
      </c>
      <c r="H1386">
        <v>63000</v>
      </c>
      <c r="I1386">
        <v>139104000</v>
      </c>
    </row>
    <row r="1387" spans="1:11" hidden="1" x14ac:dyDescent="0.25">
      <c r="A1387" s="210" t="s">
        <v>1478</v>
      </c>
      <c r="B1387">
        <v>9031</v>
      </c>
      <c r="C1387" s="100">
        <v>46137</v>
      </c>
      <c r="D1387" t="s">
        <v>13</v>
      </c>
      <c r="E1387" t="s">
        <v>17</v>
      </c>
      <c r="F1387" t="s">
        <v>25</v>
      </c>
      <c r="G1387">
        <v>436</v>
      </c>
      <c r="H1387">
        <v>60500</v>
      </c>
      <c r="I1387">
        <v>26378000</v>
      </c>
      <c r="K1387" t="s">
        <v>42</v>
      </c>
    </row>
    <row r="1388" spans="1:11" hidden="1" x14ac:dyDescent="0.25">
      <c r="A1388" s="210" t="s">
        <v>1478</v>
      </c>
      <c r="B1388">
        <v>9031</v>
      </c>
      <c r="C1388" s="100">
        <v>46137</v>
      </c>
      <c r="D1388" t="s">
        <v>13</v>
      </c>
      <c r="E1388" t="s">
        <v>17</v>
      </c>
      <c r="F1388" t="s">
        <v>33</v>
      </c>
      <c r="G1388">
        <v>898</v>
      </c>
      <c r="H1388">
        <v>60500</v>
      </c>
      <c r="I1388">
        <v>54329000</v>
      </c>
      <c r="K1388" t="s">
        <v>42</v>
      </c>
    </row>
    <row r="1389" spans="1:11" hidden="1" x14ac:dyDescent="0.25">
      <c r="A1389" s="210" t="s">
        <v>1478</v>
      </c>
      <c r="B1389">
        <v>9031</v>
      </c>
      <c r="C1389" s="100">
        <v>46137</v>
      </c>
      <c r="D1389" t="s">
        <v>13</v>
      </c>
      <c r="E1389" t="s">
        <v>17</v>
      </c>
      <c r="F1389" t="s">
        <v>46</v>
      </c>
      <c r="G1389">
        <v>524</v>
      </c>
      <c r="H1389">
        <v>60500</v>
      </c>
      <c r="I1389">
        <v>31702000</v>
      </c>
      <c r="K1389" t="s">
        <v>42</v>
      </c>
    </row>
    <row r="1390" spans="1:11" hidden="1" x14ac:dyDescent="0.25">
      <c r="A1390" s="210" t="s">
        <v>1567</v>
      </c>
      <c r="B1390">
        <v>9030</v>
      </c>
      <c r="C1390" s="100">
        <v>46137</v>
      </c>
      <c r="D1390" t="s">
        <v>13</v>
      </c>
      <c r="E1390" t="s">
        <v>17</v>
      </c>
      <c r="F1390" t="s">
        <v>33</v>
      </c>
      <c r="G1390">
        <v>1148</v>
      </c>
      <c r="H1390">
        <v>61000</v>
      </c>
      <c r="I1390">
        <v>70028000</v>
      </c>
      <c r="K1390" t="s">
        <v>42</v>
      </c>
    </row>
    <row r="1391" spans="1:11" hidden="1" x14ac:dyDescent="0.25">
      <c r="A1391" s="210" t="s">
        <v>1566</v>
      </c>
      <c r="B1391">
        <v>9029</v>
      </c>
      <c r="C1391" s="100">
        <v>46137</v>
      </c>
      <c r="D1391" t="s">
        <v>13</v>
      </c>
      <c r="E1391" t="s">
        <v>103</v>
      </c>
      <c r="F1391" t="s">
        <v>1447</v>
      </c>
      <c r="G1391">
        <v>366</v>
      </c>
      <c r="H1391">
        <v>38000</v>
      </c>
      <c r="I1391">
        <v>13908000</v>
      </c>
    </row>
    <row r="1392" spans="1:11" hidden="1" x14ac:dyDescent="0.25">
      <c r="A1392" s="210" t="s">
        <v>1566</v>
      </c>
      <c r="B1392">
        <v>9029</v>
      </c>
      <c r="C1392" s="100">
        <v>46137</v>
      </c>
      <c r="D1392" t="s">
        <v>13</v>
      </c>
      <c r="E1392" t="s">
        <v>68</v>
      </c>
      <c r="F1392" t="s">
        <v>1840</v>
      </c>
      <c r="G1392">
        <v>106</v>
      </c>
      <c r="H1392">
        <v>42000</v>
      </c>
      <c r="I1392">
        <v>4452000</v>
      </c>
    </row>
    <row r="1393" spans="1:11" hidden="1" x14ac:dyDescent="0.25">
      <c r="A1393" s="210" t="s">
        <v>1531</v>
      </c>
      <c r="B1393">
        <v>9027</v>
      </c>
      <c r="C1393" s="100">
        <v>46137</v>
      </c>
      <c r="D1393" t="s">
        <v>13</v>
      </c>
      <c r="E1393" t="s">
        <v>17</v>
      </c>
      <c r="F1393" t="s">
        <v>46</v>
      </c>
      <c r="G1393">
        <v>464</v>
      </c>
      <c r="H1393">
        <v>61000</v>
      </c>
      <c r="I1393">
        <v>28304000</v>
      </c>
    </row>
    <row r="1394" spans="1:11" hidden="1" x14ac:dyDescent="0.25">
      <c r="A1394" s="210" t="s">
        <v>1621</v>
      </c>
      <c r="B1394">
        <v>9026</v>
      </c>
      <c r="C1394" s="100">
        <v>46137</v>
      </c>
      <c r="D1394" t="s">
        <v>13</v>
      </c>
      <c r="E1394" t="s">
        <v>43</v>
      </c>
      <c r="F1394" t="s">
        <v>621</v>
      </c>
      <c r="G1394">
        <v>680</v>
      </c>
      <c r="H1394">
        <v>65000</v>
      </c>
      <c r="I1394">
        <v>44200000</v>
      </c>
    </row>
    <row r="1395" spans="1:11" hidden="1" x14ac:dyDescent="0.25">
      <c r="A1395" s="210" t="s">
        <v>1577</v>
      </c>
      <c r="B1395">
        <v>9025</v>
      </c>
      <c r="C1395" s="100">
        <v>46137</v>
      </c>
      <c r="D1395" t="s">
        <v>13</v>
      </c>
      <c r="E1395" t="s">
        <v>43</v>
      </c>
      <c r="F1395" t="s">
        <v>148</v>
      </c>
      <c r="G1395">
        <v>1414</v>
      </c>
      <c r="H1395">
        <v>60000</v>
      </c>
      <c r="I1395">
        <v>84840000</v>
      </c>
    </row>
    <row r="1396" spans="1:11" hidden="1" x14ac:dyDescent="0.25">
      <c r="A1396" s="210" t="s">
        <v>1577</v>
      </c>
      <c r="B1396">
        <v>9025</v>
      </c>
      <c r="C1396" s="100">
        <v>46137</v>
      </c>
      <c r="D1396" t="s">
        <v>13</v>
      </c>
      <c r="E1396" t="s">
        <v>43</v>
      </c>
      <c r="F1396" t="s">
        <v>154</v>
      </c>
      <c r="G1396">
        <v>1860</v>
      </c>
      <c r="H1396">
        <v>60000</v>
      </c>
      <c r="I1396">
        <v>111600000</v>
      </c>
    </row>
    <row r="1397" spans="1:11" hidden="1" x14ac:dyDescent="0.25">
      <c r="A1397" s="210" t="s">
        <v>1577</v>
      </c>
      <c r="B1397">
        <v>9025</v>
      </c>
      <c r="C1397" s="100">
        <v>46137</v>
      </c>
      <c r="D1397" t="s">
        <v>13</v>
      </c>
      <c r="E1397" t="s">
        <v>43</v>
      </c>
      <c r="F1397" t="s">
        <v>41</v>
      </c>
      <c r="G1397">
        <v>1013</v>
      </c>
      <c r="H1397">
        <v>62000</v>
      </c>
      <c r="I1397">
        <v>62806000</v>
      </c>
    </row>
    <row r="1398" spans="1:11" hidden="1" x14ac:dyDescent="0.25">
      <c r="A1398" s="210" t="s">
        <v>1577</v>
      </c>
      <c r="B1398">
        <v>9025</v>
      </c>
      <c r="C1398" s="100">
        <v>46137</v>
      </c>
      <c r="D1398" t="s">
        <v>13</v>
      </c>
      <c r="E1398" t="s">
        <v>109</v>
      </c>
      <c r="F1398" t="s">
        <v>1839</v>
      </c>
      <c r="G1398">
        <v>1718</v>
      </c>
      <c r="H1398">
        <v>60500</v>
      </c>
      <c r="I1398">
        <v>103939000</v>
      </c>
    </row>
    <row r="1399" spans="1:11" hidden="1" x14ac:dyDescent="0.25">
      <c r="A1399" s="210" t="s">
        <v>1577</v>
      </c>
      <c r="B1399">
        <v>9025</v>
      </c>
      <c r="C1399" s="100">
        <v>46137</v>
      </c>
      <c r="D1399" t="s">
        <v>13</v>
      </c>
      <c r="E1399" t="s">
        <v>109</v>
      </c>
      <c r="F1399" t="s">
        <v>990</v>
      </c>
      <c r="G1399">
        <v>2148</v>
      </c>
      <c r="H1399">
        <v>60500</v>
      </c>
      <c r="I1399">
        <v>129954000</v>
      </c>
    </row>
    <row r="1400" spans="1:11" hidden="1" x14ac:dyDescent="0.25">
      <c r="A1400" s="210" t="s">
        <v>1548</v>
      </c>
      <c r="B1400">
        <v>9024</v>
      </c>
      <c r="C1400" s="100">
        <v>46137</v>
      </c>
      <c r="D1400" t="s">
        <v>13</v>
      </c>
      <c r="E1400" t="s">
        <v>109</v>
      </c>
      <c r="F1400" t="s">
        <v>1838</v>
      </c>
      <c r="G1400">
        <v>186</v>
      </c>
      <c r="H1400">
        <v>60000</v>
      </c>
      <c r="I1400">
        <v>11160000</v>
      </c>
    </row>
    <row r="1401" spans="1:11" hidden="1" x14ac:dyDescent="0.25">
      <c r="A1401" s="210" t="s">
        <v>1606</v>
      </c>
      <c r="B1401">
        <v>9021</v>
      </c>
      <c r="C1401" s="100">
        <v>46137</v>
      </c>
      <c r="D1401" t="s">
        <v>13</v>
      </c>
      <c r="E1401" t="s">
        <v>32</v>
      </c>
      <c r="F1401" t="s">
        <v>40</v>
      </c>
      <c r="G1401">
        <v>500</v>
      </c>
      <c r="H1401">
        <v>42000</v>
      </c>
      <c r="I1401">
        <v>21000000</v>
      </c>
    </row>
    <row r="1402" spans="1:11" hidden="1" x14ac:dyDescent="0.25">
      <c r="A1402" s="210" t="s">
        <v>1672</v>
      </c>
      <c r="B1402">
        <v>9020</v>
      </c>
      <c r="C1402" s="100">
        <v>46140</v>
      </c>
      <c r="D1402" t="s">
        <v>692</v>
      </c>
      <c r="E1402" t="s">
        <v>68</v>
      </c>
      <c r="F1402" t="s">
        <v>1331</v>
      </c>
      <c r="G1402">
        <v>225</v>
      </c>
      <c r="H1402">
        <v>-41000</v>
      </c>
      <c r="I1402">
        <v>-9225000</v>
      </c>
    </row>
    <row r="1403" spans="1:11" hidden="1" x14ac:dyDescent="0.25">
      <c r="A1403" s="210" t="s">
        <v>1822</v>
      </c>
      <c r="B1403">
        <v>9020</v>
      </c>
      <c r="C1403" s="100">
        <v>46136</v>
      </c>
      <c r="D1403" t="s">
        <v>13</v>
      </c>
      <c r="E1403" t="s">
        <v>1835</v>
      </c>
      <c r="F1403" t="s">
        <v>1836</v>
      </c>
      <c r="G1403">
        <v>1088</v>
      </c>
      <c r="H1403">
        <v>62600</v>
      </c>
      <c r="I1403">
        <v>68108800</v>
      </c>
      <c r="K1403" t="s">
        <v>1837</v>
      </c>
    </row>
    <row r="1404" spans="1:11" hidden="1" x14ac:dyDescent="0.25">
      <c r="A1404" s="210" t="s">
        <v>1547</v>
      </c>
      <c r="B1404">
        <v>9019</v>
      </c>
      <c r="C1404" s="100">
        <v>46137</v>
      </c>
      <c r="D1404" t="s">
        <v>13</v>
      </c>
      <c r="E1404" t="s">
        <v>43</v>
      </c>
      <c r="F1404" t="s">
        <v>203</v>
      </c>
      <c r="G1404">
        <v>2934</v>
      </c>
      <c r="H1404">
        <v>61000</v>
      </c>
      <c r="I1404">
        <v>178974000</v>
      </c>
    </row>
    <row r="1405" spans="1:11" hidden="1" x14ac:dyDescent="0.25">
      <c r="A1405" s="210" t="s">
        <v>1834</v>
      </c>
      <c r="B1405">
        <v>9018</v>
      </c>
      <c r="C1405" s="100">
        <v>46137</v>
      </c>
      <c r="D1405" t="s">
        <v>13</v>
      </c>
      <c r="E1405" t="s">
        <v>109</v>
      </c>
      <c r="F1405" t="s">
        <v>946</v>
      </c>
      <c r="G1405">
        <v>290</v>
      </c>
      <c r="H1405">
        <v>61000</v>
      </c>
      <c r="I1405">
        <v>17690000</v>
      </c>
    </row>
    <row r="1406" spans="1:11" hidden="1" x14ac:dyDescent="0.25">
      <c r="A1406" s="210" t="s">
        <v>1834</v>
      </c>
      <c r="B1406">
        <v>9018</v>
      </c>
      <c r="C1406" s="100">
        <v>46137</v>
      </c>
      <c r="D1406" t="s">
        <v>13</v>
      </c>
      <c r="E1406" t="s">
        <v>109</v>
      </c>
      <c r="F1406" t="s">
        <v>1046</v>
      </c>
      <c r="G1406">
        <v>358</v>
      </c>
      <c r="H1406">
        <v>61000</v>
      </c>
      <c r="I1406">
        <v>21838000</v>
      </c>
    </row>
    <row r="1407" spans="1:11" hidden="1" x14ac:dyDescent="0.25">
      <c r="A1407" s="210" t="s">
        <v>1672</v>
      </c>
      <c r="B1407">
        <v>9017</v>
      </c>
      <c r="C1407" s="100">
        <v>46137</v>
      </c>
      <c r="D1407" t="s">
        <v>13</v>
      </c>
      <c r="E1407" t="s">
        <v>45</v>
      </c>
      <c r="F1407" t="s">
        <v>1832</v>
      </c>
      <c r="G1407">
        <v>416</v>
      </c>
      <c r="H1407">
        <v>34500</v>
      </c>
      <c r="I1407">
        <v>14352000</v>
      </c>
    </row>
    <row r="1408" spans="1:11" hidden="1" x14ac:dyDescent="0.25">
      <c r="A1408" s="210" t="s">
        <v>1530</v>
      </c>
      <c r="B1408">
        <v>9016</v>
      </c>
      <c r="C1408" s="100">
        <v>46137</v>
      </c>
      <c r="D1408" t="s">
        <v>13</v>
      </c>
      <c r="E1408" t="s">
        <v>1831</v>
      </c>
      <c r="F1408" t="s">
        <v>141</v>
      </c>
      <c r="G1408">
        <v>5340</v>
      </c>
      <c r="H1408">
        <v>70000</v>
      </c>
      <c r="I1408">
        <v>373800000</v>
      </c>
    </row>
    <row r="1409" spans="1:11" hidden="1" x14ac:dyDescent="0.25">
      <c r="A1409" s="210" t="s">
        <v>1587</v>
      </c>
      <c r="B1409">
        <v>9015</v>
      </c>
      <c r="C1409" s="100">
        <v>46137</v>
      </c>
      <c r="D1409" t="s">
        <v>13</v>
      </c>
      <c r="E1409" t="s">
        <v>1831</v>
      </c>
      <c r="F1409" t="s">
        <v>283</v>
      </c>
      <c r="G1409">
        <v>5522</v>
      </c>
      <c r="H1409">
        <v>70000</v>
      </c>
      <c r="I1409">
        <v>386540000</v>
      </c>
    </row>
    <row r="1410" spans="1:11" hidden="1" x14ac:dyDescent="0.25">
      <c r="A1410" s="210" t="s">
        <v>1527</v>
      </c>
      <c r="B1410">
        <v>9014</v>
      </c>
      <c r="C1410" s="100">
        <v>46137</v>
      </c>
      <c r="D1410" t="s">
        <v>13</v>
      </c>
      <c r="E1410" t="s">
        <v>43</v>
      </c>
      <c r="F1410" t="s">
        <v>44</v>
      </c>
      <c r="G1410">
        <v>1308</v>
      </c>
      <c r="H1410">
        <v>60000</v>
      </c>
      <c r="I1410">
        <v>78480000</v>
      </c>
    </row>
    <row r="1411" spans="1:11" hidden="1" x14ac:dyDescent="0.25">
      <c r="A1411" s="210" t="s">
        <v>1527</v>
      </c>
      <c r="B1411">
        <v>9014</v>
      </c>
      <c r="C1411" s="100">
        <v>46137</v>
      </c>
      <c r="D1411" t="s">
        <v>13</v>
      </c>
      <c r="E1411" t="s">
        <v>32</v>
      </c>
      <c r="F1411" t="s">
        <v>40</v>
      </c>
      <c r="G1411">
        <v>412</v>
      </c>
      <c r="H1411">
        <v>43500</v>
      </c>
      <c r="I1411">
        <v>17922000</v>
      </c>
    </row>
    <row r="1412" spans="1:11" hidden="1" x14ac:dyDescent="0.25">
      <c r="A1412" s="210" t="s">
        <v>1527</v>
      </c>
      <c r="B1412">
        <v>9014</v>
      </c>
      <c r="C1412" s="100">
        <v>46137</v>
      </c>
      <c r="D1412" t="s">
        <v>13</v>
      </c>
      <c r="E1412" t="s">
        <v>32</v>
      </c>
      <c r="F1412" t="s">
        <v>62</v>
      </c>
      <c r="G1412">
        <v>494</v>
      </c>
      <c r="H1412">
        <v>43000</v>
      </c>
      <c r="I1412">
        <v>21242000</v>
      </c>
    </row>
    <row r="1413" spans="1:11" hidden="1" x14ac:dyDescent="0.25">
      <c r="A1413" s="210" t="s">
        <v>1527</v>
      </c>
      <c r="B1413">
        <v>9014</v>
      </c>
      <c r="C1413" s="100">
        <v>46137</v>
      </c>
      <c r="D1413" t="s">
        <v>13</v>
      </c>
      <c r="E1413" t="s">
        <v>43</v>
      </c>
      <c r="F1413" t="s">
        <v>134</v>
      </c>
      <c r="G1413">
        <v>859</v>
      </c>
      <c r="H1413">
        <v>59500</v>
      </c>
      <c r="I1413">
        <v>51110500</v>
      </c>
    </row>
    <row r="1414" spans="1:11" hidden="1" x14ac:dyDescent="0.25">
      <c r="A1414" s="210" t="s">
        <v>1527</v>
      </c>
      <c r="B1414">
        <v>9013</v>
      </c>
      <c r="C1414" s="100">
        <v>46137</v>
      </c>
      <c r="D1414" t="s">
        <v>13</v>
      </c>
      <c r="E1414" t="s">
        <v>43</v>
      </c>
      <c r="F1414" t="s">
        <v>41</v>
      </c>
      <c r="G1414">
        <v>711</v>
      </c>
      <c r="H1414">
        <v>61500</v>
      </c>
      <c r="I1414">
        <v>43726500</v>
      </c>
    </row>
    <row r="1415" spans="1:11" hidden="1" x14ac:dyDescent="0.25">
      <c r="A1415" s="210" t="s">
        <v>1527</v>
      </c>
      <c r="B1415">
        <v>9013</v>
      </c>
      <c r="C1415" s="100">
        <v>46137</v>
      </c>
      <c r="D1415" t="s">
        <v>13</v>
      </c>
      <c r="E1415" t="s">
        <v>43</v>
      </c>
      <c r="F1415" t="s">
        <v>1225</v>
      </c>
      <c r="G1415">
        <v>980</v>
      </c>
      <c r="H1415">
        <v>61000</v>
      </c>
      <c r="I1415">
        <v>59780000</v>
      </c>
    </row>
    <row r="1416" spans="1:11" hidden="1" x14ac:dyDescent="0.25">
      <c r="A1416" s="210" t="s">
        <v>1527</v>
      </c>
      <c r="B1416">
        <v>9013</v>
      </c>
      <c r="C1416" s="100">
        <v>46137</v>
      </c>
      <c r="D1416" t="s">
        <v>13</v>
      </c>
      <c r="E1416" t="s">
        <v>43</v>
      </c>
      <c r="F1416" t="s">
        <v>154</v>
      </c>
      <c r="G1416">
        <v>2575</v>
      </c>
      <c r="H1416">
        <v>60000</v>
      </c>
      <c r="I1416">
        <v>154500000</v>
      </c>
    </row>
    <row r="1417" spans="1:11" hidden="1" x14ac:dyDescent="0.25">
      <c r="A1417" s="210" t="s">
        <v>1527</v>
      </c>
      <c r="B1417">
        <v>9013</v>
      </c>
      <c r="C1417" s="100">
        <v>46137</v>
      </c>
      <c r="D1417" t="s">
        <v>13</v>
      </c>
      <c r="E1417" t="s">
        <v>43</v>
      </c>
      <c r="F1417" t="s">
        <v>248</v>
      </c>
      <c r="G1417">
        <v>621</v>
      </c>
      <c r="H1417">
        <v>60000</v>
      </c>
      <c r="I1417">
        <v>37260000</v>
      </c>
    </row>
    <row r="1418" spans="1:11" hidden="1" x14ac:dyDescent="0.25">
      <c r="A1418" s="210" t="s">
        <v>1527</v>
      </c>
      <c r="B1418">
        <v>9013</v>
      </c>
      <c r="C1418" s="100">
        <v>46137</v>
      </c>
      <c r="D1418" t="s">
        <v>13</v>
      </c>
      <c r="E1418" t="s">
        <v>17</v>
      </c>
      <c r="F1418" t="s">
        <v>146</v>
      </c>
      <c r="G1418">
        <v>1564</v>
      </c>
      <c r="H1418">
        <v>60000</v>
      </c>
      <c r="I1418">
        <v>93840000</v>
      </c>
    </row>
    <row r="1419" spans="1:11" hidden="1" x14ac:dyDescent="0.25">
      <c r="A1419" s="210" t="s">
        <v>1524</v>
      </c>
      <c r="B1419">
        <v>9012</v>
      </c>
      <c r="C1419" s="100">
        <v>46137</v>
      </c>
      <c r="D1419" t="s">
        <v>49</v>
      </c>
      <c r="E1419" t="s">
        <v>17</v>
      </c>
      <c r="F1419" t="s">
        <v>469</v>
      </c>
      <c r="G1419">
        <v>916</v>
      </c>
      <c r="I1419">
        <v>0</v>
      </c>
      <c r="K1419" t="s">
        <v>1829</v>
      </c>
    </row>
    <row r="1420" spans="1:11" hidden="1" x14ac:dyDescent="0.25">
      <c r="A1420" s="210" t="s">
        <v>1524</v>
      </c>
      <c r="B1420">
        <v>9012</v>
      </c>
      <c r="C1420" s="100">
        <v>46137</v>
      </c>
      <c r="D1420" t="s">
        <v>49</v>
      </c>
      <c r="E1420" t="s">
        <v>17</v>
      </c>
      <c r="F1420" t="s">
        <v>469</v>
      </c>
      <c r="G1420">
        <v>413</v>
      </c>
      <c r="I1420">
        <v>0</v>
      </c>
      <c r="K1420" t="s">
        <v>1830</v>
      </c>
    </row>
    <row r="1421" spans="1:11" hidden="1" x14ac:dyDescent="0.25">
      <c r="A1421" s="210" t="s">
        <v>1672</v>
      </c>
      <c r="B1421">
        <v>9012</v>
      </c>
      <c r="C1421" s="100">
        <v>46139</v>
      </c>
      <c r="D1421" t="s">
        <v>692</v>
      </c>
      <c r="E1421" t="s">
        <v>68</v>
      </c>
      <c r="F1421" t="s">
        <v>1329</v>
      </c>
      <c r="G1421">
        <v>242</v>
      </c>
      <c r="H1421">
        <v>-41000</v>
      </c>
      <c r="I1421">
        <v>-9922000</v>
      </c>
    </row>
    <row r="1422" spans="1:11" hidden="1" x14ac:dyDescent="0.25">
      <c r="A1422" s="210" t="s">
        <v>1672</v>
      </c>
      <c r="B1422">
        <v>9012</v>
      </c>
      <c r="C1422" s="100">
        <v>46139</v>
      </c>
      <c r="D1422" t="s">
        <v>692</v>
      </c>
      <c r="E1422" t="s">
        <v>68</v>
      </c>
      <c r="F1422" t="s">
        <v>1330</v>
      </c>
      <c r="G1422">
        <v>686</v>
      </c>
      <c r="H1422">
        <v>-36500</v>
      </c>
      <c r="I1422">
        <v>-25039000</v>
      </c>
    </row>
    <row r="1423" spans="1:11" hidden="1" x14ac:dyDescent="0.25">
      <c r="A1423" s="210" t="s">
        <v>1524</v>
      </c>
      <c r="B1423">
        <v>9011</v>
      </c>
      <c r="C1423" s="100">
        <v>46137</v>
      </c>
      <c r="D1423" t="s">
        <v>49</v>
      </c>
      <c r="E1423" t="s">
        <v>26</v>
      </c>
      <c r="F1423" t="s">
        <v>148</v>
      </c>
      <c r="G1423">
        <v>5361</v>
      </c>
      <c r="I1423">
        <v>0</v>
      </c>
      <c r="K1423" t="s">
        <v>1828</v>
      </c>
    </row>
    <row r="1424" spans="1:11" hidden="1" x14ac:dyDescent="0.25">
      <c r="A1424" s="210" t="s">
        <v>1827</v>
      </c>
      <c r="B1424">
        <v>9010</v>
      </c>
      <c r="C1424" s="100">
        <v>46137</v>
      </c>
      <c r="D1424" t="s">
        <v>13</v>
      </c>
      <c r="E1424" t="s">
        <v>32</v>
      </c>
      <c r="F1424" t="s">
        <v>78</v>
      </c>
      <c r="G1424">
        <v>1154</v>
      </c>
      <c r="H1424">
        <v>41000</v>
      </c>
      <c r="I1424">
        <v>47314000</v>
      </c>
      <c r="J1424">
        <v>-346</v>
      </c>
    </row>
    <row r="1425" spans="1:11" hidden="1" x14ac:dyDescent="0.25">
      <c r="A1425" s="210" t="s">
        <v>1722</v>
      </c>
      <c r="B1425">
        <v>9009</v>
      </c>
      <c r="C1425" s="100">
        <v>46137</v>
      </c>
      <c r="D1425" t="s">
        <v>13</v>
      </c>
      <c r="E1425" t="s">
        <v>1029</v>
      </c>
      <c r="F1425" t="s">
        <v>1825</v>
      </c>
      <c r="G1425">
        <v>20200</v>
      </c>
      <c r="H1425">
        <v>25000</v>
      </c>
      <c r="I1425">
        <v>505000000</v>
      </c>
    </row>
    <row r="1426" spans="1:11" hidden="1" x14ac:dyDescent="0.25">
      <c r="A1426" s="210" t="s">
        <v>1524</v>
      </c>
      <c r="B1426">
        <v>9008</v>
      </c>
      <c r="C1426" s="100">
        <v>46136</v>
      </c>
      <c r="D1426" t="s">
        <v>49</v>
      </c>
      <c r="E1426" t="s">
        <v>45</v>
      </c>
      <c r="F1426" t="s">
        <v>487</v>
      </c>
      <c r="G1426">
        <v>6472</v>
      </c>
      <c r="I1426">
        <v>0</v>
      </c>
      <c r="K1426" t="s">
        <v>1824</v>
      </c>
    </row>
    <row r="1427" spans="1:11" hidden="1" x14ac:dyDescent="0.25">
      <c r="A1427" s="210" t="s">
        <v>1506</v>
      </c>
      <c r="B1427">
        <v>9007</v>
      </c>
      <c r="C1427" s="100">
        <v>46136</v>
      </c>
      <c r="D1427" t="s">
        <v>13</v>
      </c>
      <c r="E1427" t="s">
        <v>43</v>
      </c>
      <c r="F1427" t="s">
        <v>255</v>
      </c>
      <c r="G1427">
        <v>779</v>
      </c>
      <c r="H1427">
        <v>61000</v>
      </c>
      <c r="I1427">
        <v>47519000</v>
      </c>
    </row>
    <row r="1428" spans="1:11" hidden="1" x14ac:dyDescent="0.25">
      <c r="A1428" s="210" t="s">
        <v>1506</v>
      </c>
      <c r="B1428">
        <v>9007</v>
      </c>
      <c r="C1428" s="100">
        <v>46136</v>
      </c>
      <c r="D1428" t="s">
        <v>13</v>
      </c>
      <c r="E1428" t="s">
        <v>265</v>
      </c>
      <c r="F1428" t="s">
        <v>41</v>
      </c>
      <c r="G1428">
        <v>434</v>
      </c>
      <c r="H1428">
        <v>65500</v>
      </c>
      <c r="I1428">
        <v>28427000</v>
      </c>
    </row>
    <row r="1429" spans="1:11" hidden="1" x14ac:dyDescent="0.25">
      <c r="A1429" s="210" t="s">
        <v>1506</v>
      </c>
      <c r="B1429">
        <v>9007</v>
      </c>
      <c r="C1429" s="100">
        <v>46136</v>
      </c>
      <c r="D1429" t="s">
        <v>13</v>
      </c>
      <c r="E1429" t="s">
        <v>265</v>
      </c>
      <c r="F1429" t="s">
        <v>251</v>
      </c>
      <c r="G1429">
        <v>622</v>
      </c>
      <c r="H1429">
        <v>65500</v>
      </c>
      <c r="I1429">
        <v>40741000</v>
      </c>
    </row>
    <row r="1430" spans="1:11" hidden="1" x14ac:dyDescent="0.25">
      <c r="A1430" s="210" t="s">
        <v>1511</v>
      </c>
      <c r="B1430">
        <v>9006</v>
      </c>
      <c r="C1430" s="100">
        <v>46136</v>
      </c>
      <c r="D1430" t="s">
        <v>13</v>
      </c>
      <c r="E1430" t="s">
        <v>54</v>
      </c>
      <c r="F1430" t="s">
        <v>116</v>
      </c>
      <c r="G1430">
        <v>106</v>
      </c>
      <c r="H1430">
        <v>38000</v>
      </c>
      <c r="I1430">
        <v>4028000</v>
      </c>
      <c r="J1430">
        <v>4028000</v>
      </c>
    </row>
    <row r="1431" spans="1:11" hidden="1" x14ac:dyDescent="0.25">
      <c r="A1431" s="210" t="s">
        <v>1606</v>
      </c>
      <c r="B1431">
        <v>9005</v>
      </c>
      <c r="C1431" s="100">
        <v>46136</v>
      </c>
      <c r="D1431" t="s">
        <v>13</v>
      </c>
      <c r="E1431" t="s">
        <v>32</v>
      </c>
      <c r="F1431" t="s">
        <v>40</v>
      </c>
      <c r="G1431">
        <v>2952</v>
      </c>
      <c r="H1431">
        <v>42000</v>
      </c>
      <c r="I1431">
        <v>123984000</v>
      </c>
    </row>
    <row r="1432" spans="1:11" hidden="1" x14ac:dyDescent="0.25">
      <c r="A1432" s="210" t="s">
        <v>1822</v>
      </c>
      <c r="B1432">
        <v>9004</v>
      </c>
      <c r="C1432" s="100">
        <v>46136</v>
      </c>
      <c r="D1432" t="s">
        <v>13</v>
      </c>
      <c r="E1432" t="s">
        <v>14</v>
      </c>
      <c r="F1432" t="s">
        <v>1823</v>
      </c>
      <c r="G1432">
        <v>2964</v>
      </c>
      <c r="H1432">
        <v>43500</v>
      </c>
      <c r="I1432">
        <v>128934000</v>
      </c>
    </row>
    <row r="1433" spans="1:11" hidden="1" x14ac:dyDescent="0.25">
      <c r="A1433" s="210" t="s">
        <v>1490</v>
      </c>
      <c r="B1433">
        <v>9003</v>
      </c>
      <c r="C1433" s="100">
        <v>46136</v>
      </c>
      <c r="D1433" t="s">
        <v>13</v>
      </c>
      <c r="E1433" t="s">
        <v>17</v>
      </c>
      <c r="F1433" t="s">
        <v>1820</v>
      </c>
      <c r="G1433">
        <v>356</v>
      </c>
      <c r="H1433">
        <v>63000</v>
      </c>
      <c r="I1433">
        <v>22428000</v>
      </c>
    </row>
    <row r="1434" spans="1:11" hidden="1" x14ac:dyDescent="0.25">
      <c r="A1434" s="210" t="s">
        <v>1490</v>
      </c>
      <c r="B1434">
        <v>9003</v>
      </c>
      <c r="C1434" s="100">
        <v>46136</v>
      </c>
      <c r="D1434" t="s">
        <v>13</v>
      </c>
      <c r="E1434" t="s">
        <v>17</v>
      </c>
      <c r="F1434" t="s">
        <v>46</v>
      </c>
      <c r="G1434">
        <v>416</v>
      </c>
      <c r="H1434">
        <v>60000</v>
      </c>
      <c r="I1434">
        <v>24960000</v>
      </c>
    </row>
    <row r="1435" spans="1:11" hidden="1" x14ac:dyDescent="0.25">
      <c r="A1435" s="210" t="s">
        <v>1593</v>
      </c>
      <c r="B1435">
        <v>9002</v>
      </c>
      <c r="C1435" s="100">
        <v>46136</v>
      </c>
      <c r="D1435" t="s">
        <v>13</v>
      </c>
      <c r="E1435" t="s">
        <v>265</v>
      </c>
      <c r="F1435" t="s">
        <v>134</v>
      </c>
      <c r="G1435">
        <v>1264</v>
      </c>
      <c r="H1435">
        <v>65000</v>
      </c>
      <c r="I1435">
        <v>82160000</v>
      </c>
    </row>
    <row r="1436" spans="1:11" hidden="1" x14ac:dyDescent="0.25">
      <c r="A1436" s="210" t="s">
        <v>1615</v>
      </c>
      <c r="B1436">
        <v>9001</v>
      </c>
      <c r="C1436" s="100">
        <v>46136</v>
      </c>
      <c r="D1436" t="s">
        <v>13</v>
      </c>
      <c r="E1436" t="s">
        <v>317</v>
      </c>
      <c r="F1436" t="s">
        <v>1172</v>
      </c>
      <c r="G1436">
        <v>290</v>
      </c>
      <c r="H1436">
        <v>65500</v>
      </c>
      <c r="I1436">
        <v>18995000</v>
      </c>
    </row>
    <row r="1437" spans="1:11" hidden="1" x14ac:dyDescent="0.25">
      <c r="A1437" s="210" t="s">
        <v>1552</v>
      </c>
      <c r="B1437">
        <v>9000</v>
      </c>
      <c r="C1437" s="100">
        <v>46136</v>
      </c>
      <c r="D1437" t="s">
        <v>13</v>
      </c>
      <c r="E1437" t="s">
        <v>17</v>
      </c>
      <c r="F1437" t="s">
        <v>62</v>
      </c>
      <c r="G1437">
        <v>1689</v>
      </c>
      <c r="H1437">
        <v>66000</v>
      </c>
      <c r="I1437">
        <v>111474000</v>
      </c>
    </row>
    <row r="1438" spans="1:11" hidden="1" x14ac:dyDescent="0.25">
      <c r="A1438" s="210" t="s">
        <v>1524</v>
      </c>
      <c r="B1438">
        <v>8999</v>
      </c>
      <c r="C1438" s="100">
        <v>46136</v>
      </c>
      <c r="D1438" t="s">
        <v>49</v>
      </c>
      <c r="E1438" t="s">
        <v>26</v>
      </c>
      <c r="F1438" t="s">
        <v>148</v>
      </c>
      <c r="G1438">
        <v>5570</v>
      </c>
      <c r="I1438">
        <v>0</v>
      </c>
      <c r="K1438" t="s">
        <v>1819</v>
      </c>
    </row>
    <row r="1439" spans="1:11" hidden="1" x14ac:dyDescent="0.25">
      <c r="A1439" s="210" t="s">
        <v>1490</v>
      </c>
      <c r="B1439">
        <v>8998</v>
      </c>
      <c r="C1439" s="100">
        <v>46136</v>
      </c>
      <c r="D1439" t="s">
        <v>13</v>
      </c>
      <c r="E1439" t="s">
        <v>17</v>
      </c>
      <c r="F1439" t="s">
        <v>78</v>
      </c>
      <c r="G1439">
        <v>684</v>
      </c>
      <c r="H1439">
        <v>65000</v>
      </c>
      <c r="I1439">
        <v>44460000</v>
      </c>
    </row>
    <row r="1440" spans="1:11" hidden="1" x14ac:dyDescent="0.25">
      <c r="A1440" s="210" t="s">
        <v>1666</v>
      </c>
      <c r="B1440">
        <v>8997</v>
      </c>
      <c r="C1440" s="100">
        <v>46136</v>
      </c>
      <c r="D1440" t="s">
        <v>13</v>
      </c>
      <c r="E1440" t="s">
        <v>26</v>
      </c>
      <c r="F1440" t="s">
        <v>25</v>
      </c>
      <c r="G1440">
        <v>472</v>
      </c>
      <c r="H1440">
        <v>36000</v>
      </c>
      <c r="I1440">
        <v>16992000</v>
      </c>
    </row>
    <row r="1441" spans="1:11" hidden="1" x14ac:dyDescent="0.25">
      <c r="A1441" s="210" t="s">
        <v>1666</v>
      </c>
      <c r="B1441">
        <v>8997</v>
      </c>
      <c r="C1441" s="100">
        <v>46136</v>
      </c>
      <c r="D1441" t="s">
        <v>13</v>
      </c>
      <c r="E1441" t="s">
        <v>26</v>
      </c>
      <c r="F1441" t="s">
        <v>40</v>
      </c>
      <c r="G1441">
        <v>527</v>
      </c>
      <c r="H1441">
        <v>36000</v>
      </c>
      <c r="I1441">
        <v>18972000</v>
      </c>
    </row>
    <row r="1442" spans="1:11" hidden="1" x14ac:dyDescent="0.25">
      <c r="A1442" s="210" t="s">
        <v>1666</v>
      </c>
      <c r="B1442">
        <v>8997</v>
      </c>
      <c r="C1442" s="100">
        <v>46136</v>
      </c>
      <c r="D1442" t="s">
        <v>13</v>
      </c>
      <c r="E1442" t="s">
        <v>32</v>
      </c>
      <c r="F1442" t="s">
        <v>40</v>
      </c>
      <c r="G1442">
        <v>256</v>
      </c>
      <c r="H1442">
        <v>43000</v>
      </c>
      <c r="I1442">
        <v>11008000</v>
      </c>
    </row>
    <row r="1443" spans="1:11" hidden="1" x14ac:dyDescent="0.25">
      <c r="A1443" s="210" t="s">
        <v>1538</v>
      </c>
      <c r="B1443">
        <v>8996</v>
      </c>
      <c r="C1443" s="100">
        <v>46136</v>
      </c>
      <c r="D1443" t="s">
        <v>13</v>
      </c>
      <c r="E1443" t="s">
        <v>109</v>
      </c>
      <c r="F1443" t="s">
        <v>990</v>
      </c>
      <c r="G1443">
        <v>3590</v>
      </c>
      <c r="H1443">
        <v>60000</v>
      </c>
      <c r="I1443">
        <v>215400000</v>
      </c>
    </row>
    <row r="1444" spans="1:11" hidden="1" x14ac:dyDescent="0.25">
      <c r="A1444" s="210" t="s">
        <v>1538</v>
      </c>
      <c r="B1444">
        <v>8996</v>
      </c>
      <c r="C1444" s="100">
        <v>46136</v>
      </c>
      <c r="D1444" t="s">
        <v>13</v>
      </c>
      <c r="E1444" t="s">
        <v>109</v>
      </c>
      <c r="F1444" t="s">
        <v>1818</v>
      </c>
      <c r="G1444">
        <v>428</v>
      </c>
      <c r="H1444">
        <v>60000</v>
      </c>
      <c r="I1444">
        <v>25680000</v>
      </c>
    </row>
    <row r="1445" spans="1:11" hidden="1" x14ac:dyDescent="0.25">
      <c r="A1445" s="210" t="s">
        <v>1538</v>
      </c>
      <c r="B1445">
        <v>8996</v>
      </c>
      <c r="C1445" s="100">
        <v>46136</v>
      </c>
      <c r="D1445" t="s">
        <v>13</v>
      </c>
      <c r="E1445" t="s">
        <v>32</v>
      </c>
      <c r="F1445" t="s">
        <v>25</v>
      </c>
      <c r="G1445">
        <v>498</v>
      </c>
      <c r="H1445">
        <v>43500</v>
      </c>
      <c r="I1445">
        <v>21663000</v>
      </c>
    </row>
    <row r="1446" spans="1:11" hidden="1" x14ac:dyDescent="0.25">
      <c r="A1446" s="210" t="s">
        <v>1538</v>
      </c>
      <c r="B1446">
        <v>8996</v>
      </c>
      <c r="C1446" s="100">
        <v>46136</v>
      </c>
      <c r="D1446" t="s">
        <v>13</v>
      </c>
      <c r="E1446" t="s">
        <v>32</v>
      </c>
      <c r="F1446" t="s">
        <v>33</v>
      </c>
      <c r="G1446">
        <v>992</v>
      </c>
      <c r="H1446">
        <v>43500</v>
      </c>
      <c r="I1446">
        <v>43152000</v>
      </c>
    </row>
    <row r="1447" spans="1:11" hidden="1" x14ac:dyDescent="0.25">
      <c r="A1447" s="210" t="s">
        <v>1538</v>
      </c>
      <c r="B1447">
        <v>8996</v>
      </c>
      <c r="C1447" s="100">
        <v>46136</v>
      </c>
      <c r="D1447" t="s">
        <v>13</v>
      </c>
      <c r="E1447" t="s">
        <v>32</v>
      </c>
      <c r="F1447" t="s">
        <v>40</v>
      </c>
      <c r="G1447">
        <v>196</v>
      </c>
      <c r="H1447">
        <v>43500</v>
      </c>
      <c r="I1447">
        <v>8526000</v>
      </c>
    </row>
    <row r="1448" spans="1:11" hidden="1" x14ac:dyDescent="0.25">
      <c r="A1448" s="210" t="s">
        <v>1530</v>
      </c>
      <c r="B1448">
        <v>8995</v>
      </c>
      <c r="C1448" s="100">
        <v>46136</v>
      </c>
      <c r="D1448" t="s">
        <v>13</v>
      </c>
      <c r="E1448" t="s">
        <v>50</v>
      </c>
      <c r="F1448" t="s">
        <v>288</v>
      </c>
      <c r="G1448">
        <v>80</v>
      </c>
      <c r="H1448">
        <v>62000</v>
      </c>
      <c r="I1448">
        <v>4960000</v>
      </c>
    </row>
    <row r="1449" spans="1:11" hidden="1" x14ac:dyDescent="0.25">
      <c r="A1449" s="210" t="s">
        <v>1579</v>
      </c>
      <c r="B1449">
        <v>8994</v>
      </c>
      <c r="C1449" s="100">
        <v>46136</v>
      </c>
      <c r="D1449" t="s">
        <v>13</v>
      </c>
      <c r="E1449" t="s">
        <v>54</v>
      </c>
      <c r="F1449" t="s">
        <v>1106</v>
      </c>
      <c r="G1449">
        <v>288</v>
      </c>
      <c r="H1449">
        <v>35000</v>
      </c>
      <c r="I1449">
        <v>10080000</v>
      </c>
    </row>
    <row r="1450" spans="1:11" hidden="1" x14ac:dyDescent="0.25">
      <c r="A1450" s="210" t="s">
        <v>1817</v>
      </c>
      <c r="B1450">
        <v>8993</v>
      </c>
      <c r="C1450" s="100">
        <v>46136</v>
      </c>
      <c r="D1450" t="s">
        <v>13</v>
      </c>
      <c r="E1450" t="s">
        <v>17</v>
      </c>
      <c r="F1450" t="s">
        <v>136</v>
      </c>
      <c r="G1450">
        <v>1041</v>
      </c>
      <c r="H1450">
        <v>61000</v>
      </c>
      <c r="I1450">
        <v>63501000</v>
      </c>
    </row>
    <row r="1451" spans="1:11" hidden="1" x14ac:dyDescent="0.25">
      <c r="A1451" s="210" t="s">
        <v>1817</v>
      </c>
      <c r="B1451">
        <v>8993</v>
      </c>
      <c r="C1451" s="100">
        <v>46136</v>
      </c>
      <c r="D1451" t="s">
        <v>13</v>
      </c>
      <c r="E1451" t="s">
        <v>17</v>
      </c>
      <c r="F1451" t="s">
        <v>255</v>
      </c>
      <c r="G1451">
        <v>508</v>
      </c>
      <c r="H1451">
        <v>62000</v>
      </c>
      <c r="I1451">
        <v>31496000</v>
      </c>
    </row>
    <row r="1452" spans="1:11" hidden="1" x14ac:dyDescent="0.25">
      <c r="A1452" s="210" t="s">
        <v>1493</v>
      </c>
      <c r="B1452">
        <v>8992</v>
      </c>
      <c r="C1452" s="100">
        <v>46136</v>
      </c>
      <c r="D1452" t="s">
        <v>13</v>
      </c>
      <c r="E1452" t="s">
        <v>43</v>
      </c>
      <c r="F1452" t="s">
        <v>62</v>
      </c>
      <c r="G1452">
        <v>392</v>
      </c>
      <c r="H1452">
        <v>61000</v>
      </c>
      <c r="I1452">
        <v>23912000</v>
      </c>
    </row>
    <row r="1453" spans="1:11" hidden="1" x14ac:dyDescent="0.25">
      <c r="A1453" s="210" t="s">
        <v>1493</v>
      </c>
      <c r="B1453">
        <v>8992</v>
      </c>
      <c r="C1453" s="100">
        <v>46136</v>
      </c>
      <c r="D1453" t="s">
        <v>13</v>
      </c>
      <c r="E1453" t="s">
        <v>43</v>
      </c>
      <c r="F1453" t="s">
        <v>1814</v>
      </c>
      <c r="G1453">
        <v>660</v>
      </c>
      <c r="H1453">
        <v>63500</v>
      </c>
      <c r="I1453">
        <v>41910000</v>
      </c>
      <c r="K1453" t="s">
        <v>1815</v>
      </c>
    </row>
    <row r="1454" spans="1:11" hidden="1" x14ac:dyDescent="0.25">
      <c r="A1454" s="210" t="s">
        <v>1491</v>
      </c>
      <c r="B1454">
        <v>8991</v>
      </c>
      <c r="C1454" s="100">
        <v>46136</v>
      </c>
      <c r="D1454" t="s">
        <v>13</v>
      </c>
      <c r="E1454" t="s">
        <v>43</v>
      </c>
      <c r="F1454" t="s">
        <v>154</v>
      </c>
      <c r="G1454">
        <v>573</v>
      </c>
      <c r="H1454">
        <v>59500</v>
      </c>
      <c r="I1454">
        <v>34093500</v>
      </c>
    </row>
    <row r="1455" spans="1:11" hidden="1" x14ac:dyDescent="0.25">
      <c r="A1455" s="210" t="s">
        <v>1491</v>
      </c>
      <c r="B1455">
        <v>8991</v>
      </c>
      <c r="C1455" s="100">
        <v>46136</v>
      </c>
      <c r="D1455" t="s">
        <v>13</v>
      </c>
      <c r="E1455" t="s">
        <v>43</v>
      </c>
      <c r="F1455" t="s">
        <v>62</v>
      </c>
      <c r="G1455">
        <v>773</v>
      </c>
      <c r="H1455">
        <v>61000</v>
      </c>
      <c r="I1455">
        <v>47153000</v>
      </c>
    </row>
    <row r="1456" spans="1:11" hidden="1" x14ac:dyDescent="0.25">
      <c r="A1456" s="210" t="s">
        <v>1545</v>
      </c>
      <c r="B1456">
        <v>8990</v>
      </c>
      <c r="C1456" s="100">
        <v>46136</v>
      </c>
      <c r="D1456" t="s">
        <v>13</v>
      </c>
      <c r="E1456" t="s">
        <v>43</v>
      </c>
      <c r="F1456" t="s">
        <v>40</v>
      </c>
      <c r="G1456">
        <v>746</v>
      </c>
      <c r="H1456">
        <v>62000</v>
      </c>
      <c r="I1456">
        <v>46252000</v>
      </c>
    </row>
    <row r="1457" spans="1:11" hidden="1" x14ac:dyDescent="0.25">
      <c r="A1457" s="210" t="s">
        <v>1580</v>
      </c>
      <c r="B1457">
        <v>8989</v>
      </c>
      <c r="C1457" s="100">
        <v>46136</v>
      </c>
      <c r="D1457" t="s">
        <v>13</v>
      </c>
      <c r="E1457" t="s">
        <v>135</v>
      </c>
      <c r="F1457" t="s">
        <v>148</v>
      </c>
      <c r="G1457">
        <v>824</v>
      </c>
      <c r="H1457">
        <v>37000</v>
      </c>
      <c r="I1457">
        <v>30488000</v>
      </c>
      <c r="K1457" t="s">
        <v>42</v>
      </c>
    </row>
    <row r="1458" spans="1:11" hidden="1" x14ac:dyDescent="0.25">
      <c r="A1458" s="210" t="s">
        <v>1580</v>
      </c>
      <c r="B1458">
        <v>8989</v>
      </c>
      <c r="C1458" s="100">
        <v>46136</v>
      </c>
      <c r="D1458" t="s">
        <v>13</v>
      </c>
      <c r="E1458" t="s">
        <v>43</v>
      </c>
      <c r="F1458" t="s">
        <v>44</v>
      </c>
      <c r="G1458">
        <v>834</v>
      </c>
      <c r="H1458">
        <v>58500</v>
      </c>
      <c r="I1458">
        <v>48789000</v>
      </c>
      <c r="K1458" t="s">
        <v>42</v>
      </c>
    </row>
    <row r="1459" spans="1:11" hidden="1" x14ac:dyDescent="0.25">
      <c r="A1459" s="210" t="s">
        <v>1524</v>
      </c>
      <c r="B1459">
        <v>8988</v>
      </c>
      <c r="C1459" s="100">
        <v>46136</v>
      </c>
      <c r="D1459" t="s">
        <v>49</v>
      </c>
      <c r="E1459" t="s">
        <v>43</v>
      </c>
      <c r="F1459" t="s">
        <v>136</v>
      </c>
      <c r="G1459">
        <v>3106</v>
      </c>
      <c r="I1459">
        <v>0</v>
      </c>
      <c r="K1459" t="s">
        <v>1813</v>
      </c>
    </row>
    <row r="1460" spans="1:11" hidden="1" x14ac:dyDescent="0.25">
      <c r="A1460" s="210" t="s">
        <v>1531</v>
      </c>
      <c r="B1460">
        <v>8987</v>
      </c>
      <c r="C1460" s="100">
        <v>46136</v>
      </c>
      <c r="D1460" t="s">
        <v>13</v>
      </c>
      <c r="E1460" t="s">
        <v>17</v>
      </c>
      <c r="F1460" t="s">
        <v>78</v>
      </c>
      <c r="G1460">
        <v>576</v>
      </c>
      <c r="H1460">
        <v>57000</v>
      </c>
      <c r="I1460">
        <v>32832000</v>
      </c>
      <c r="K1460" t="s">
        <v>42</v>
      </c>
    </row>
    <row r="1461" spans="1:11" hidden="1" x14ac:dyDescent="0.25">
      <c r="A1461" s="210" t="s">
        <v>1535</v>
      </c>
      <c r="B1461">
        <v>8986</v>
      </c>
      <c r="C1461" s="100">
        <v>46136</v>
      </c>
      <c r="D1461" t="s">
        <v>13</v>
      </c>
      <c r="E1461" t="s">
        <v>43</v>
      </c>
      <c r="F1461" t="s">
        <v>431</v>
      </c>
      <c r="G1461">
        <v>754</v>
      </c>
      <c r="H1461">
        <v>61500</v>
      </c>
      <c r="I1461">
        <v>46371000</v>
      </c>
    </row>
    <row r="1462" spans="1:11" hidden="1" x14ac:dyDescent="0.25">
      <c r="A1462" s="210" t="s">
        <v>1539</v>
      </c>
      <c r="B1462">
        <v>8985</v>
      </c>
      <c r="C1462" s="100">
        <v>46136</v>
      </c>
      <c r="D1462" t="s">
        <v>13</v>
      </c>
      <c r="E1462" t="s">
        <v>32</v>
      </c>
      <c r="F1462" t="s">
        <v>40</v>
      </c>
      <c r="G1462">
        <v>748</v>
      </c>
      <c r="H1462">
        <v>43000</v>
      </c>
      <c r="I1462">
        <v>32164000</v>
      </c>
    </row>
    <row r="1463" spans="1:11" hidden="1" x14ac:dyDescent="0.25">
      <c r="A1463" s="210" t="s">
        <v>1539</v>
      </c>
      <c r="B1463">
        <v>8985</v>
      </c>
      <c r="C1463" s="100">
        <v>46136</v>
      </c>
      <c r="D1463" t="s">
        <v>13</v>
      </c>
      <c r="E1463" t="s">
        <v>32</v>
      </c>
      <c r="F1463" t="s">
        <v>78</v>
      </c>
      <c r="G1463">
        <v>708</v>
      </c>
      <c r="H1463">
        <v>40000</v>
      </c>
      <c r="I1463">
        <v>28320000</v>
      </c>
    </row>
    <row r="1464" spans="1:11" hidden="1" x14ac:dyDescent="0.25">
      <c r="A1464" s="210" t="s">
        <v>1573</v>
      </c>
      <c r="B1464">
        <v>8984</v>
      </c>
      <c r="C1464" s="100">
        <v>46136</v>
      </c>
      <c r="D1464" t="s">
        <v>13</v>
      </c>
      <c r="E1464" t="s">
        <v>252</v>
      </c>
      <c r="F1464" t="s">
        <v>146</v>
      </c>
      <c r="G1464">
        <v>156</v>
      </c>
      <c r="H1464">
        <v>39000</v>
      </c>
      <c r="I1464">
        <v>6084000</v>
      </c>
    </row>
    <row r="1465" spans="1:11" hidden="1" x14ac:dyDescent="0.25">
      <c r="A1465" s="210" t="s">
        <v>1487</v>
      </c>
      <c r="B1465">
        <v>8983</v>
      </c>
      <c r="C1465" s="100">
        <v>46136</v>
      </c>
      <c r="D1465" t="s">
        <v>13</v>
      </c>
      <c r="E1465" t="s">
        <v>43</v>
      </c>
      <c r="F1465" t="s">
        <v>256</v>
      </c>
      <c r="G1465">
        <v>552</v>
      </c>
      <c r="H1465">
        <v>58000</v>
      </c>
      <c r="I1465">
        <v>32016000</v>
      </c>
    </row>
    <row r="1466" spans="1:11" hidden="1" x14ac:dyDescent="0.25">
      <c r="A1466" s="210" t="s">
        <v>1487</v>
      </c>
      <c r="B1466">
        <v>8983</v>
      </c>
      <c r="C1466" s="100">
        <v>46136</v>
      </c>
      <c r="D1466" t="s">
        <v>13</v>
      </c>
      <c r="E1466" t="s">
        <v>43</v>
      </c>
      <c r="F1466" t="s">
        <v>1812</v>
      </c>
      <c r="G1466">
        <v>507</v>
      </c>
      <c r="H1466">
        <v>58000</v>
      </c>
      <c r="I1466">
        <v>29406000</v>
      </c>
    </row>
    <row r="1467" spans="1:11" hidden="1" x14ac:dyDescent="0.25">
      <c r="A1467" s="210" t="s">
        <v>1487</v>
      </c>
      <c r="B1467">
        <v>8983</v>
      </c>
      <c r="C1467" s="100">
        <v>46136</v>
      </c>
      <c r="D1467" t="s">
        <v>13</v>
      </c>
      <c r="E1467" t="s">
        <v>43</v>
      </c>
      <c r="F1467" t="s">
        <v>188</v>
      </c>
      <c r="G1467">
        <v>2081</v>
      </c>
      <c r="H1467">
        <v>58000</v>
      </c>
      <c r="I1467">
        <v>120698000</v>
      </c>
    </row>
    <row r="1468" spans="1:11" hidden="1" x14ac:dyDescent="0.25">
      <c r="A1468" s="210" t="s">
        <v>1502</v>
      </c>
      <c r="B1468">
        <v>8982</v>
      </c>
      <c r="C1468" s="100">
        <v>46136</v>
      </c>
      <c r="D1468" t="s">
        <v>13</v>
      </c>
      <c r="E1468" t="s">
        <v>103</v>
      </c>
      <c r="F1468" t="s">
        <v>1809</v>
      </c>
      <c r="G1468">
        <v>2094</v>
      </c>
      <c r="H1468">
        <v>37000</v>
      </c>
      <c r="I1468">
        <v>77478000</v>
      </c>
    </row>
    <row r="1469" spans="1:11" hidden="1" x14ac:dyDescent="0.25">
      <c r="A1469" s="210" t="s">
        <v>1502</v>
      </c>
      <c r="B1469">
        <v>8982</v>
      </c>
      <c r="C1469" s="100">
        <v>46136</v>
      </c>
      <c r="D1469" t="s">
        <v>13</v>
      </c>
      <c r="E1469" t="s">
        <v>103</v>
      </c>
      <c r="F1469" t="s">
        <v>1810</v>
      </c>
      <c r="G1469">
        <v>2006</v>
      </c>
      <c r="H1469">
        <v>37000</v>
      </c>
      <c r="I1469">
        <v>74222000</v>
      </c>
    </row>
    <row r="1470" spans="1:11" hidden="1" x14ac:dyDescent="0.25">
      <c r="A1470" s="210" t="s">
        <v>1502</v>
      </c>
      <c r="B1470">
        <v>8982</v>
      </c>
      <c r="C1470" s="100">
        <v>46136</v>
      </c>
      <c r="D1470" t="s">
        <v>13</v>
      </c>
      <c r="E1470" t="s">
        <v>103</v>
      </c>
      <c r="F1470" t="s">
        <v>1811</v>
      </c>
      <c r="G1470">
        <v>2024</v>
      </c>
      <c r="H1470">
        <v>37000</v>
      </c>
      <c r="I1470">
        <v>74888000</v>
      </c>
    </row>
    <row r="1471" spans="1:11" hidden="1" x14ac:dyDescent="0.25">
      <c r="A1471" s="210" t="s">
        <v>1504</v>
      </c>
      <c r="B1471">
        <v>8981</v>
      </c>
      <c r="C1471" s="100">
        <v>46136</v>
      </c>
      <c r="D1471" t="s">
        <v>13</v>
      </c>
      <c r="E1471" t="s">
        <v>192</v>
      </c>
      <c r="F1471" t="s">
        <v>661</v>
      </c>
      <c r="G1471">
        <v>1921</v>
      </c>
      <c r="H1471">
        <v>40000</v>
      </c>
      <c r="I1471">
        <v>76840000</v>
      </c>
    </row>
    <row r="1472" spans="1:11" hidden="1" x14ac:dyDescent="0.25">
      <c r="A1472" s="210" t="s">
        <v>1547</v>
      </c>
      <c r="B1472">
        <v>8980</v>
      </c>
      <c r="C1472" s="100">
        <v>46136</v>
      </c>
      <c r="D1472" t="s">
        <v>13</v>
      </c>
      <c r="E1472" t="s">
        <v>43</v>
      </c>
      <c r="F1472" t="s">
        <v>148</v>
      </c>
      <c r="G1472">
        <v>5242</v>
      </c>
      <c r="H1472">
        <v>60500</v>
      </c>
      <c r="I1472">
        <v>317141000</v>
      </c>
    </row>
    <row r="1473" spans="1:11" hidden="1" x14ac:dyDescent="0.25">
      <c r="A1473" s="210" t="s">
        <v>1489</v>
      </c>
      <c r="B1473">
        <v>8979</v>
      </c>
      <c r="C1473" s="100">
        <v>46136</v>
      </c>
      <c r="D1473" t="s">
        <v>13</v>
      </c>
      <c r="E1473" t="s">
        <v>32</v>
      </c>
      <c r="F1473" t="s">
        <v>40</v>
      </c>
      <c r="G1473">
        <v>1173</v>
      </c>
      <c r="H1473">
        <v>41000</v>
      </c>
      <c r="I1473">
        <v>48093000</v>
      </c>
      <c r="K1473" t="s">
        <v>42</v>
      </c>
    </row>
    <row r="1474" spans="1:11" hidden="1" x14ac:dyDescent="0.25">
      <c r="A1474" s="210" t="s">
        <v>1547</v>
      </c>
      <c r="B1474">
        <v>8978</v>
      </c>
      <c r="C1474" s="100">
        <v>46136</v>
      </c>
      <c r="D1474" t="s">
        <v>13</v>
      </c>
      <c r="E1474" t="s">
        <v>43</v>
      </c>
      <c r="F1474" t="s">
        <v>148</v>
      </c>
      <c r="G1474">
        <v>6878</v>
      </c>
      <c r="H1474">
        <v>60500</v>
      </c>
      <c r="I1474">
        <v>416119000</v>
      </c>
    </row>
    <row r="1475" spans="1:11" hidden="1" x14ac:dyDescent="0.25">
      <c r="A1475" s="210" t="s">
        <v>1547</v>
      </c>
      <c r="B1475">
        <v>8978</v>
      </c>
      <c r="C1475" s="100">
        <v>46136</v>
      </c>
      <c r="D1475" t="s">
        <v>13</v>
      </c>
      <c r="E1475" t="s">
        <v>43</v>
      </c>
      <c r="F1475" t="s">
        <v>148</v>
      </c>
      <c r="G1475">
        <v>5257</v>
      </c>
      <c r="H1475">
        <v>60500</v>
      </c>
      <c r="I1475">
        <v>318048500</v>
      </c>
    </row>
    <row r="1476" spans="1:11" hidden="1" x14ac:dyDescent="0.25">
      <c r="A1476" s="210" t="s">
        <v>1724</v>
      </c>
      <c r="B1476">
        <v>8978</v>
      </c>
      <c r="C1476" s="100">
        <v>46136</v>
      </c>
      <c r="D1476" t="s">
        <v>692</v>
      </c>
      <c r="E1476" t="s">
        <v>27</v>
      </c>
      <c r="F1476" t="s">
        <v>1471</v>
      </c>
      <c r="G1476">
        <v>1942</v>
      </c>
      <c r="H1476">
        <v>-52500</v>
      </c>
      <c r="I1476">
        <v>-101955000</v>
      </c>
      <c r="J1476">
        <v>-1691</v>
      </c>
    </row>
    <row r="1477" spans="1:11" hidden="1" x14ac:dyDescent="0.25">
      <c r="A1477" s="210" t="s">
        <v>1672</v>
      </c>
      <c r="B1477">
        <v>8977</v>
      </c>
      <c r="C1477" s="100">
        <v>46136</v>
      </c>
      <c r="D1477" t="s">
        <v>692</v>
      </c>
      <c r="E1477" t="s">
        <v>1328</v>
      </c>
      <c r="F1477" t="s">
        <v>915</v>
      </c>
      <c r="G1477">
        <v>824</v>
      </c>
      <c r="H1477">
        <v>-36500</v>
      </c>
      <c r="I1477">
        <v>-30076000</v>
      </c>
    </row>
    <row r="1478" spans="1:11" hidden="1" x14ac:dyDescent="0.25">
      <c r="A1478" s="210" t="s">
        <v>1725</v>
      </c>
      <c r="B1478">
        <v>8977</v>
      </c>
      <c r="C1478" s="100">
        <v>46136</v>
      </c>
      <c r="D1478" t="s">
        <v>49</v>
      </c>
      <c r="E1478" t="s">
        <v>43</v>
      </c>
      <c r="F1478" t="s">
        <v>154</v>
      </c>
      <c r="G1478">
        <v>4430</v>
      </c>
      <c r="I1478">
        <v>0</v>
      </c>
      <c r="K1478" t="s">
        <v>1808</v>
      </c>
    </row>
    <row r="1479" spans="1:11" hidden="1" x14ac:dyDescent="0.25">
      <c r="A1479" s="210" t="s">
        <v>1524</v>
      </c>
      <c r="B1479">
        <v>8976</v>
      </c>
      <c r="C1479" s="100">
        <v>46136</v>
      </c>
      <c r="D1479" t="s">
        <v>49</v>
      </c>
      <c r="E1479" t="s">
        <v>17</v>
      </c>
      <c r="F1479" t="s">
        <v>469</v>
      </c>
      <c r="G1479">
        <v>5916</v>
      </c>
      <c r="I1479">
        <v>0</v>
      </c>
      <c r="K1479" t="s">
        <v>1806</v>
      </c>
    </row>
    <row r="1480" spans="1:11" hidden="1" x14ac:dyDescent="0.25">
      <c r="A1480" s="210" t="s">
        <v>1524</v>
      </c>
      <c r="B1480">
        <v>8976</v>
      </c>
      <c r="C1480" s="100">
        <v>46136</v>
      </c>
      <c r="D1480" t="s">
        <v>49</v>
      </c>
      <c r="E1480" t="s">
        <v>26</v>
      </c>
      <c r="F1480" t="s">
        <v>249</v>
      </c>
      <c r="G1480">
        <v>406</v>
      </c>
      <c r="I1480">
        <v>0</v>
      </c>
      <c r="K1480" t="s">
        <v>1807</v>
      </c>
    </row>
    <row r="1481" spans="1:11" hidden="1" x14ac:dyDescent="0.25">
      <c r="A1481" s="210" t="s">
        <v>1641</v>
      </c>
      <c r="B1481">
        <v>8975</v>
      </c>
      <c r="C1481" s="100">
        <v>46136</v>
      </c>
      <c r="D1481" t="s">
        <v>13</v>
      </c>
      <c r="E1481" t="s">
        <v>32</v>
      </c>
      <c r="F1481" t="s">
        <v>40</v>
      </c>
      <c r="G1481">
        <v>966</v>
      </c>
      <c r="H1481">
        <v>43500</v>
      </c>
      <c r="I1481">
        <v>42021000</v>
      </c>
    </row>
    <row r="1482" spans="1:11" hidden="1" x14ac:dyDescent="0.25">
      <c r="A1482" s="210" t="s">
        <v>1641</v>
      </c>
      <c r="B1482">
        <v>8975</v>
      </c>
      <c r="C1482" s="100">
        <v>46136</v>
      </c>
      <c r="D1482" t="s">
        <v>13</v>
      </c>
      <c r="E1482" t="s">
        <v>192</v>
      </c>
      <c r="F1482" t="s">
        <v>1804</v>
      </c>
      <c r="G1482">
        <v>8004</v>
      </c>
      <c r="H1482">
        <v>35200</v>
      </c>
      <c r="I1482">
        <v>281740800</v>
      </c>
      <c r="K1482" t="s">
        <v>1805</v>
      </c>
    </row>
    <row r="1483" spans="1:11" hidden="1" x14ac:dyDescent="0.25">
      <c r="A1483" s="210" t="s">
        <v>1524</v>
      </c>
      <c r="B1483">
        <v>8974</v>
      </c>
      <c r="C1483" s="100">
        <v>46135</v>
      </c>
      <c r="D1483" t="s">
        <v>49</v>
      </c>
      <c r="E1483" t="s">
        <v>14</v>
      </c>
      <c r="F1483" t="s">
        <v>62</v>
      </c>
      <c r="G1483">
        <v>2994</v>
      </c>
      <c r="I1483">
        <v>0</v>
      </c>
      <c r="K1483" t="s">
        <v>1803</v>
      </c>
    </row>
    <row r="1484" spans="1:11" hidden="1" x14ac:dyDescent="0.25">
      <c r="A1484" s="210" t="s">
        <v>1626</v>
      </c>
      <c r="B1484">
        <v>8973</v>
      </c>
      <c r="C1484" s="100">
        <v>46135</v>
      </c>
      <c r="D1484" t="s">
        <v>13</v>
      </c>
      <c r="E1484" t="s">
        <v>50</v>
      </c>
      <c r="F1484" t="s">
        <v>1802</v>
      </c>
      <c r="G1484">
        <v>468</v>
      </c>
      <c r="H1484">
        <v>62500</v>
      </c>
      <c r="I1484">
        <v>29250000</v>
      </c>
    </row>
    <row r="1485" spans="1:11" hidden="1" x14ac:dyDescent="0.25">
      <c r="A1485" s="210" t="s">
        <v>1626</v>
      </c>
      <c r="B1485">
        <v>8973</v>
      </c>
      <c r="C1485" s="100">
        <v>46135</v>
      </c>
      <c r="D1485" t="s">
        <v>13</v>
      </c>
      <c r="E1485" t="s">
        <v>103</v>
      </c>
      <c r="F1485" t="s">
        <v>221</v>
      </c>
      <c r="G1485">
        <v>246</v>
      </c>
      <c r="H1485">
        <v>38000</v>
      </c>
      <c r="I1485">
        <v>9348000</v>
      </c>
    </row>
    <row r="1486" spans="1:11" hidden="1" x14ac:dyDescent="0.25">
      <c r="A1486" s="210" t="s">
        <v>1524</v>
      </c>
      <c r="B1486">
        <v>8971</v>
      </c>
      <c r="C1486" s="100">
        <v>46135</v>
      </c>
      <c r="D1486" t="s">
        <v>49</v>
      </c>
      <c r="E1486" t="s">
        <v>32</v>
      </c>
      <c r="F1486" t="s">
        <v>40</v>
      </c>
      <c r="G1486">
        <v>4990</v>
      </c>
      <c r="I1486">
        <v>0</v>
      </c>
      <c r="K1486" t="s">
        <v>1801</v>
      </c>
    </row>
    <row r="1487" spans="1:11" hidden="1" x14ac:dyDescent="0.25">
      <c r="A1487" s="210" t="s">
        <v>1511</v>
      </c>
      <c r="B1487">
        <v>8970</v>
      </c>
      <c r="C1487" s="100">
        <v>46135</v>
      </c>
      <c r="D1487" t="s">
        <v>13</v>
      </c>
      <c r="E1487" t="s">
        <v>854</v>
      </c>
      <c r="F1487" t="s">
        <v>288</v>
      </c>
      <c r="G1487">
        <v>216</v>
      </c>
      <c r="H1487">
        <v>40000</v>
      </c>
      <c r="I1487">
        <v>8640000</v>
      </c>
      <c r="J1487">
        <v>8640000</v>
      </c>
    </row>
    <row r="1488" spans="1:11" hidden="1" x14ac:dyDescent="0.25">
      <c r="A1488" s="210" t="s">
        <v>1622</v>
      </c>
      <c r="B1488">
        <v>8969</v>
      </c>
      <c r="C1488" s="100">
        <v>46135</v>
      </c>
      <c r="D1488" t="s">
        <v>13</v>
      </c>
      <c r="E1488" t="s">
        <v>26</v>
      </c>
      <c r="F1488" t="s">
        <v>40</v>
      </c>
      <c r="G1488">
        <v>1094</v>
      </c>
      <c r="H1488">
        <v>36000</v>
      </c>
      <c r="I1488">
        <v>39384000</v>
      </c>
    </row>
    <row r="1489" spans="1:11" hidden="1" x14ac:dyDescent="0.25">
      <c r="A1489" s="210" t="s">
        <v>1622</v>
      </c>
      <c r="B1489">
        <v>8969</v>
      </c>
      <c r="C1489" s="100">
        <v>46135</v>
      </c>
      <c r="D1489" t="s">
        <v>13</v>
      </c>
      <c r="E1489" t="s">
        <v>265</v>
      </c>
      <c r="F1489" t="s">
        <v>41</v>
      </c>
      <c r="G1489">
        <v>480</v>
      </c>
      <c r="H1489">
        <v>66000</v>
      </c>
      <c r="I1489">
        <v>31680000</v>
      </c>
    </row>
    <row r="1490" spans="1:11" hidden="1" x14ac:dyDescent="0.25">
      <c r="A1490" s="210" t="s">
        <v>1622</v>
      </c>
      <c r="B1490">
        <v>8969</v>
      </c>
      <c r="C1490" s="100">
        <v>46135</v>
      </c>
      <c r="D1490" t="s">
        <v>13</v>
      </c>
      <c r="E1490" t="s">
        <v>50</v>
      </c>
      <c r="F1490" t="s">
        <v>1800</v>
      </c>
      <c r="G1490">
        <v>290</v>
      </c>
      <c r="H1490">
        <v>61000</v>
      </c>
      <c r="I1490">
        <v>17690000</v>
      </c>
    </row>
    <row r="1491" spans="1:11" hidden="1" x14ac:dyDescent="0.25">
      <c r="A1491" s="210" t="s">
        <v>1635</v>
      </c>
      <c r="B1491">
        <v>8968</v>
      </c>
      <c r="C1491" s="100">
        <v>46135</v>
      </c>
      <c r="D1491" t="s">
        <v>13</v>
      </c>
      <c r="E1491" t="s">
        <v>77</v>
      </c>
      <c r="F1491" t="s">
        <v>807</v>
      </c>
      <c r="G1491">
        <v>3312</v>
      </c>
      <c r="H1491">
        <v>30000</v>
      </c>
      <c r="I1491">
        <v>99360000</v>
      </c>
    </row>
    <row r="1492" spans="1:11" hidden="1" x14ac:dyDescent="0.25">
      <c r="A1492" s="210" t="s">
        <v>1635</v>
      </c>
      <c r="B1492">
        <v>8968</v>
      </c>
      <c r="C1492" s="100">
        <v>46135</v>
      </c>
      <c r="D1492" t="s">
        <v>13</v>
      </c>
      <c r="E1492" t="s">
        <v>77</v>
      </c>
      <c r="F1492" t="s">
        <v>803</v>
      </c>
      <c r="G1492">
        <v>162</v>
      </c>
      <c r="H1492">
        <v>32000</v>
      </c>
      <c r="I1492">
        <v>5184000</v>
      </c>
    </row>
    <row r="1493" spans="1:11" hidden="1" x14ac:dyDescent="0.25">
      <c r="A1493" s="210" t="s">
        <v>1635</v>
      </c>
      <c r="B1493">
        <v>8968</v>
      </c>
      <c r="C1493" s="100">
        <v>46135</v>
      </c>
      <c r="D1493" t="s">
        <v>13</v>
      </c>
      <c r="E1493" t="s">
        <v>77</v>
      </c>
      <c r="F1493" t="s">
        <v>1799</v>
      </c>
      <c r="G1493">
        <v>112</v>
      </c>
      <c r="H1493">
        <v>32000</v>
      </c>
      <c r="I1493">
        <v>3584000</v>
      </c>
    </row>
    <row r="1494" spans="1:11" hidden="1" x14ac:dyDescent="0.25">
      <c r="A1494" s="210" t="s">
        <v>1593</v>
      </c>
      <c r="B1494">
        <v>8966</v>
      </c>
      <c r="C1494" s="100">
        <v>46135</v>
      </c>
      <c r="D1494" t="s">
        <v>13</v>
      </c>
      <c r="E1494" t="s">
        <v>109</v>
      </c>
      <c r="F1494" t="s">
        <v>1046</v>
      </c>
      <c r="G1494">
        <v>1076</v>
      </c>
      <c r="H1494">
        <v>61000</v>
      </c>
      <c r="I1494">
        <v>65636000</v>
      </c>
    </row>
    <row r="1495" spans="1:11" hidden="1" x14ac:dyDescent="0.25">
      <c r="A1495" s="210" t="s">
        <v>1593</v>
      </c>
      <c r="B1495">
        <v>8966</v>
      </c>
      <c r="C1495" s="100">
        <v>46135</v>
      </c>
      <c r="D1495" t="s">
        <v>13</v>
      </c>
      <c r="E1495" t="s">
        <v>252</v>
      </c>
      <c r="F1495" t="s">
        <v>449</v>
      </c>
      <c r="G1495">
        <v>1042</v>
      </c>
      <c r="H1495">
        <v>40000</v>
      </c>
      <c r="I1495">
        <v>41680000</v>
      </c>
    </row>
    <row r="1496" spans="1:11" hidden="1" x14ac:dyDescent="0.25">
      <c r="A1496" s="210" t="s">
        <v>1646</v>
      </c>
      <c r="B1496">
        <v>8965</v>
      </c>
      <c r="C1496" s="100">
        <v>46135</v>
      </c>
      <c r="D1496" t="s">
        <v>49</v>
      </c>
      <c r="E1496" t="s">
        <v>103</v>
      </c>
      <c r="F1496" t="s">
        <v>1797</v>
      </c>
      <c r="G1496">
        <v>624</v>
      </c>
      <c r="I1496">
        <v>0</v>
      </c>
      <c r="K1496" t="s">
        <v>1798</v>
      </c>
    </row>
    <row r="1497" spans="1:11" hidden="1" x14ac:dyDescent="0.25">
      <c r="A1497" s="210" t="s">
        <v>1531</v>
      </c>
      <c r="B1497">
        <v>8964</v>
      </c>
      <c r="C1497" s="100">
        <v>46135</v>
      </c>
      <c r="D1497" t="s">
        <v>13</v>
      </c>
      <c r="E1497" t="s">
        <v>17</v>
      </c>
      <c r="F1497" t="s">
        <v>46</v>
      </c>
      <c r="G1497">
        <v>1095</v>
      </c>
      <c r="H1497">
        <v>60500</v>
      </c>
      <c r="I1497">
        <v>66247500</v>
      </c>
    </row>
    <row r="1498" spans="1:11" hidden="1" x14ac:dyDescent="0.25">
      <c r="A1498" s="210" t="s">
        <v>1672</v>
      </c>
      <c r="B1498">
        <v>8964</v>
      </c>
      <c r="C1498" s="100">
        <v>46135</v>
      </c>
      <c r="D1498" t="s">
        <v>692</v>
      </c>
      <c r="E1498" t="s">
        <v>1325</v>
      </c>
      <c r="F1498" t="s">
        <v>1327</v>
      </c>
      <c r="G1498">
        <v>2006</v>
      </c>
      <c r="H1498">
        <v>-36500</v>
      </c>
      <c r="I1498">
        <v>-73219000</v>
      </c>
    </row>
    <row r="1499" spans="1:11" hidden="1" x14ac:dyDescent="0.25">
      <c r="A1499" s="210" t="s">
        <v>1504</v>
      </c>
      <c r="B1499">
        <v>8963</v>
      </c>
      <c r="C1499" s="100">
        <v>46135</v>
      </c>
      <c r="D1499" t="s">
        <v>13</v>
      </c>
      <c r="E1499" t="s">
        <v>50</v>
      </c>
      <c r="F1499" t="s">
        <v>1795</v>
      </c>
      <c r="G1499">
        <v>122</v>
      </c>
      <c r="H1499">
        <v>65000</v>
      </c>
      <c r="I1499">
        <v>7930000</v>
      </c>
    </row>
    <row r="1500" spans="1:11" hidden="1" x14ac:dyDescent="0.25">
      <c r="A1500" s="210" t="s">
        <v>1504</v>
      </c>
      <c r="B1500">
        <v>8963</v>
      </c>
      <c r="C1500" s="100">
        <v>46135</v>
      </c>
      <c r="D1500" t="s">
        <v>13</v>
      </c>
      <c r="E1500" t="s">
        <v>54</v>
      </c>
      <c r="F1500" t="s">
        <v>1796</v>
      </c>
      <c r="G1500">
        <v>174</v>
      </c>
      <c r="H1500">
        <v>37000</v>
      </c>
      <c r="I1500">
        <v>6438000</v>
      </c>
    </row>
    <row r="1501" spans="1:11" hidden="1" x14ac:dyDescent="0.25">
      <c r="A1501" s="210" t="s">
        <v>1504</v>
      </c>
      <c r="B1501">
        <v>8963</v>
      </c>
      <c r="C1501" s="100">
        <v>46135</v>
      </c>
      <c r="D1501" t="s">
        <v>13</v>
      </c>
      <c r="E1501" t="s">
        <v>192</v>
      </c>
      <c r="F1501" t="s">
        <v>661</v>
      </c>
      <c r="G1501">
        <v>558</v>
      </c>
      <c r="H1501">
        <v>40000</v>
      </c>
      <c r="I1501">
        <v>22320000</v>
      </c>
    </row>
    <row r="1502" spans="1:11" hidden="1" x14ac:dyDescent="0.25">
      <c r="A1502" s="210" t="s">
        <v>1646</v>
      </c>
      <c r="B1502">
        <v>8962</v>
      </c>
      <c r="C1502" s="100">
        <v>46135</v>
      </c>
      <c r="D1502" t="s">
        <v>13</v>
      </c>
      <c r="E1502" t="s">
        <v>50</v>
      </c>
      <c r="F1502" t="s">
        <v>1794</v>
      </c>
      <c r="G1502">
        <v>453</v>
      </c>
      <c r="H1502">
        <v>60000</v>
      </c>
      <c r="I1502">
        <v>27180000</v>
      </c>
    </row>
    <row r="1503" spans="1:11" hidden="1" x14ac:dyDescent="0.25">
      <c r="A1503" s="210" t="s">
        <v>1648</v>
      </c>
      <c r="B1503">
        <v>8961</v>
      </c>
      <c r="C1503" s="100">
        <v>46135</v>
      </c>
      <c r="D1503" t="s">
        <v>13</v>
      </c>
      <c r="E1503" t="s">
        <v>103</v>
      </c>
      <c r="F1503" t="s">
        <v>1793</v>
      </c>
      <c r="G1503">
        <v>608</v>
      </c>
      <c r="H1503">
        <v>38000</v>
      </c>
      <c r="I1503">
        <v>23104000</v>
      </c>
    </row>
    <row r="1504" spans="1:11" hidden="1" x14ac:dyDescent="0.25">
      <c r="A1504" s="210" t="s">
        <v>1524</v>
      </c>
      <c r="B1504">
        <v>8960</v>
      </c>
      <c r="C1504" s="100">
        <v>46135</v>
      </c>
      <c r="D1504" t="s">
        <v>49</v>
      </c>
      <c r="E1504" t="s">
        <v>17</v>
      </c>
      <c r="F1504" t="s">
        <v>146</v>
      </c>
      <c r="G1504">
        <v>1354</v>
      </c>
      <c r="I1504">
        <v>0</v>
      </c>
      <c r="K1504" t="s">
        <v>1740</v>
      </c>
    </row>
    <row r="1505" spans="1:11" hidden="1" x14ac:dyDescent="0.25">
      <c r="A1505" s="210" t="s">
        <v>1491</v>
      </c>
      <c r="B1505">
        <v>8959</v>
      </c>
      <c r="C1505" s="100">
        <v>46135</v>
      </c>
      <c r="D1505" t="s">
        <v>13</v>
      </c>
      <c r="E1505" t="s">
        <v>43</v>
      </c>
      <c r="F1505" t="s">
        <v>148</v>
      </c>
      <c r="G1505">
        <v>1399</v>
      </c>
      <c r="H1505">
        <v>58000</v>
      </c>
      <c r="I1505">
        <v>81142000</v>
      </c>
    </row>
    <row r="1506" spans="1:11" hidden="1" x14ac:dyDescent="0.25">
      <c r="A1506" s="210" t="s">
        <v>1491</v>
      </c>
      <c r="B1506">
        <v>8959</v>
      </c>
      <c r="C1506" s="100">
        <v>46135</v>
      </c>
      <c r="D1506" t="s">
        <v>13</v>
      </c>
      <c r="E1506" t="s">
        <v>43</v>
      </c>
      <c r="F1506" t="s">
        <v>246</v>
      </c>
      <c r="G1506">
        <v>1070</v>
      </c>
      <c r="H1506">
        <v>61500</v>
      </c>
      <c r="I1506">
        <v>65805000</v>
      </c>
    </row>
    <row r="1507" spans="1:11" hidden="1" x14ac:dyDescent="0.25">
      <c r="A1507" s="210" t="s">
        <v>1493</v>
      </c>
      <c r="B1507">
        <v>8958</v>
      </c>
      <c r="C1507" s="100">
        <v>46135</v>
      </c>
      <c r="D1507" t="s">
        <v>13</v>
      </c>
      <c r="E1507" t="s">
        <v>17</v>
      </c>
      <c r="F1507" t="s">
        <v>146</v>
      </c>
      <c r="G1507">
        <v>738</v>
      </c>
      <c r="H1507">
        <v>61000</v>
      </c>
      <c r="I1507">
        <v>45018000</v>
      </c>
    </row>
    <row r="1508" spans="1:11" hidden="1" x14ac:dyDescent="0.25">
      <c r="A1508" s="210" t="s">
        <v>1493</v>
      </c>
      <c r="B1508">
        <v>8958</v>
      </c>
      <c r="C1508" s="100">
        <v>46135</v>
      </c>
      <c r="D1508" t="s">
        <v>13</v>
      </c>
      <c r="E1508" t="s">
        <v>17</v>
      </c>
      <c r="F1508" t="s">
        <v>446</v>
      </c>
      <c r="G1508">
        <v>1393</v>
      </c>
      <c r="H1508">
        <v>63000</v>
      </c>
      <c r="I1508">
        <v>87759000</v>
      </c>
    </row>
    <row r="1509" spans="1:11" hidden="1" x14ac:dyDescent="0.25">
      <c r="A1509" s="210" t="s">
        <v>1672</v>
      </c>
      <c r="B1509">
        <v>8958</v>
      </c>
      <c r="C1509" s="100">
        <v>46135</v>
      </c>
      <c r="D1509" t="s">
        <v>692</v>
      </c>
      <c r="E1509" t="s">
        <v>1325</v>
      </c>
      <c r="F1509" t="s">
        <v>1326</v>
      </c>
      <c r="G1509">
        <v>608</v>
      </c>
      <c r="H1509">
        <v>-37000</v>
      </c>
      <c r="I1509">
        <v>-22496000</v>
      </c>
    </row>
    <row r="1510" spans="1:11" hidden="1" x14ac:dyDescent="0.25">
      <c r="A1510" s="210" t="s">
        <v>1575</v>
      </c>
      <c r="B1510">
        <v>8957</v>
      </c>
      <c r="C1510" s="100">
        <v>46135</v>
      </c>
      <c r="D1510" t="s">
        <v>13</v>
      </c>
      <c r="E1510" t="s">
        <v>17</v>
      </c>
      <c r="F1510" t="s">
        <v>136</v>
      </c>
      <c r="G1510">
        <v>843</v>
      </c>
      <c r="H1510">
        <v>62000</v>
      </c>
      <c r="I1510">
        <v>52266000</v>
      </c>
    </row>
    <row r="1511" spans="1:11" hidden="1" x14ac:dyDescent="0.25">
      <c r="A1511" s="210" t="s">
        <v>1575</v>
      </c>
      <c r="B1511">
        <v>8957</v>
      </c>
      <c r="C1511" s="100">
        <v>46135</v>
      </c>
      <c r="D1511" t="s">
        <v>13</v>
      </c>
      <c r="E1511" t="s">
        <v>43</v>
      </c>
      <c r="F1511" t="s">
        <v>1225</v>
      </c>
      <c r="G1511">
        <v>599</v>
      </c>
      <c r="H1511">
        <v>61000</v>
      </c>
      <c r="I1511">
        <v>36539000</v>
      </c>
    </row>
    <row r="1512" spans="1:11" hidden="1" x14ac:dyDescent="0.25">
      <c r="A1512" s="210" t="s">
        <v>1485</v>
      </c>
      <c r="B1512">
        <v>8956</v>
      </c>
      <c r="C1512" s="100">
        <v>46135</v>
      </c>
      <c r="D1512" t="s">
        <v>13</v>
      </c>
      <c r="E1512" t="s">
        <v>192</v>
      </c>
      <c r="F1512" t="s">
        <v>807</v>
      </c>
      <c r="G1512">
        <v>228</v>
      </c>
      <c r="H1512">
        <v>31000</v>
      </c>
      <c r="I1512">
        <v>7068000</v>
      </c>
    </row>
    <row r="1513" spans="1:11" hidden="1" x14ac:dyDescent="0.25">
      <c r="A1513" s="210" t="s">
        <v>1479</v>
      </c>
      <c r="B1513">
        <v>8955</v>
      </c>
      <c r="C1513" s="100">
        <v>46135</v>
      </c>
      <c r="D1513" t="s">
        <v>13</v>
      </c>
      <c r="E1513" t="s">
        <v>150</v>
      </c>
      <c r="F1513" t="s">
        <v>990</v>
      </c>
      <c r="G1513">
        <v>700</v>
      </c>
      <c r="H1513">
        <v>37000</v>
      </c>
      <c r="I1513">
        <v>25900000</v>
      </c>
    </row>
    <row r="1514" spans="1:11" hidden="1" x14ac:dyDescent="0.25">
      <c r="A1514" s="210" t="s">
        <v>1479</v>
      </c>
      <c r="B1514">
        <v>8955</v>
      </c>
      <c r="C1514" s="100">
        <v>46135</v>
      </c>
      <c r="D1514" t="s">
        <v>13</v>
      </c>
      <c r="E1514" t="s">
        <v>50</v>
      </c>
      <c r="F1514" t="s">
        <v>717</v>
      </c>
      <c r="G1514">
        <v>2238</v>
      </c>
      <c r="H1514">
        <v>61000</v>
      </c>
      <c r="I1514">
        <v>136518000</v>
      </c>
    </row>
    <row r="1515" spans="1:11" hidden="1" x14ac:dyDescent="0.25">
      <c r="A1515" s="210" t="s">
        <v>1499</v>
      </c>
      <c r="B1515">
        <v>8954</v>
      </c>
      <c r="C1515" s="100">
        <v>46135</v>
      </c>
      <c r="D1515" t="s">
        <v>13</v>
      </c>
      <c r="E1515" t="s">
        <v>43</v>
      </c>
      <c r="F1515" t="s">
        <v>230</v>
      </c>
      <c r="G1515">
        <v>304</v>
      </c>
      <c r="H1515">
        <v>66000</v>
      </c>
      <c r="I1515">
        <v>20064000</v>
      </c>
    </row>
    <row r="1516" spans="1:11" hidden="1" x14ac:dyDescent="0.25">
      <c r="A1516" s="210" t="s">
        <v>1524</v>
      </c>
      <c r="B1516">
        <v>8953</v>
      </c>
      <c r="C1516" s="100">
        <v>46135</v>
      </c>
      <c r="D1516" t="s">
        <v>49</v>
      </c>
      <c r="E1516" t="s">
        <v>17</v>
      </c>
      <c r="F1516" t="s">
        <v>46</v>
      </c>
      <c r="G1516">
        <v>5005</v>
      </c>
      <c r="I1516">
        <v>0</v>
      </c>
      <c r="K1516" t="s">
        <v>1789</v>
      </c>
    </row>
    <row r="1517" spans="1:11" hidden="1" x14ac:dyDescent="0.25">
      <c r="A1517" s="210" t="s">
        <v>1524</v>
      </c>
      <c r="B1517">
        <v>8953</v>
      </c>
      <c r="C1517" s="100">
        <v>46135</v>
      </c>
      <c r="D1517" t="s">
        <v>49</v>
      </c>
      <c r="E1517" t="s">
        <v>17</v>
      </c>
      <c r="F1517" t="s">
        <v>154</v>
      </c>
      <c r="G1517">
        <v>4430</v>
      </c>
      <c r="I1517">
        <v>0</v>
      </c>
      <c r="K1517" t="s">
        <v>1790</v>
      </c>
    </row>
    <row r="1518" spans="1:11" hidden="1" x14ac:dyDescent="0.25">
      <c r="A1518" s="210" t="s">
        <v>1524</v>
      </c>
      <c r="B1518">
        <v>8953</v>
      </c>
      <c r="C1518" s="100">
        <v>46135</v>
      </c>
      <c r="D1518" t="s">
        <v>49</v>
      </c>
      <c r="E1518" t="s">
        <v>17</v>
      </c>
      <c r="F1518" t="s">
        <v>40</v>
      </c>
      <c r="G1518">
        <v>2982</v>
      </c>
      <c r="I1518">
        <v>0</v>
      </c>
      <c r="K1518" t="s">
        <v>476</v>
      </c>
    </row>
    <row r="1519" spans="1:11" hidden="1" x14ac:dyDescent="0.25">
      <c r="A1519" s="210" t="s">
        <v>1524</v>
      </c>
      <c r="B1519">
        <v>8953</v>
      </c>
      <c r="C1519" s="100">
        <v>46135</v>
      </c>
      <c r="D1519" t="s">
        <v>49</v>
      </c>
      <c r="E1519" t="s">
        <v>17</v>
      </c>
      <c r="F1519" t="s">
        <v>40</v>
      </c>
      <c r="G1519">
        <v>1366</v>
      </c>
      <c r="I1519">
        <v>0</v>
      </c>
      <c r="K1519" t="s">
        <v>475</v>
      </c>
    </row>
    <row r="1520" spans="1:11" hidden="1" x14ac:dyDescent="0.25">
      <c r="A1520" s="210" t="s">
        <v>1524</v>
      </c>
      <c r="B1520">
        <v>8953</v>
      </c>
      <c r="C1520" s="100">
        <v>46135</v>
      </c>
      <c r="D1520" t="s">
        <v>49</v>
      </c>
      <c r="E1520" t="s">
        <v>77</v>
      </c>
      <c r="F1520" t="s">
        <v>1791</v>
      </c>
      <c r="G1520">
        <v>576</v>
      </c>
      <c r="I1520">
        <v>0</v>
      </c>
      <c r="K1520" t="s">
        <v>1792</v>
      </c>
    </row>
    <row r="1521" spans="1:11" hidden="1" x14ac:dyDescent="0.25">
      <c r="A1521" s="210" t="s">
        <v>1524</v>
      </c>
      <c r="B1521">
        <v>8953</v>
      </c>
      <c r="C1521" s="100">
        <v>46135</v>
      </c>
      <c r="D1521" t="s">
        <v>49</v>
      </c>
      <c r="E1521" t="s">
        <v>77</v>
      </c>
      <c r="F1521" t="s">
        <v>249</v>
      </c>
      <c r="G1521">
        <v>406</v>
      </c>
      <c r="I1521">
        <v>0</v>
      </c>
    </row>
    <row r="1522" spans="1:11" hidden="1" x14ac:dyDescent="0.25">
      <c r="A1522" s="210" t="s">
        <v>1638</v>
      </c>
      <c r="B1522">
        <v>8952</v>
      </c>
      <c r="C1522" s="100">
        <v>46135</v>
      </c>
      <c r="D1522" t="s">
        <v>13</v>
      </c>
      <c r="E1522" t="s">
        <v>328</v>
      </c>
      <c r="F1522" t="s">
        <v>1788</v>
      </c>
      <c r="G1522">
        <v>258</v>
      </c>
      <c r="H1522">
        <v>39000</v>
      </c>
      <c r="I1522">
        <v>10062000</v>
      </c>
    </row>
    <row r="1523" spans="1:11" hidden="1" x14ac:dyDescent="0.25">
      <c r="A1523" s="210" t="s">
        <v>1532</v>
      </c>
      <c r="B1523">
        <v>8951</v>
      </c>
      <c r="C1523" s="100">
        <v>46135</v>
      </c>
      <c r="D1523" t="s">
        <v>49</v>
      </c>
      <c r="E1523" t="s">
        <v>753</v>
      </c>
      <c r="F1523" t="s">
        <v>1780</v>
      </c>
      <c r="G1523">
        <v>403</v>
      </c>
      <c r="I1523">
        <v>0</v>
      </c>
      <c r="K1523" t="s">
        <v>1781</v>
      </c>
    </row>
    <row r="1524" spans="1:11" hidden="1" x14ac:dyDescent="0.25">
      <c r="A1524" s="210" t="s">
        <v>1532</v>
      </c>
      <c r="B1524">
        <v>8951</v>
      </c>
      <c r="C1524" s="100">
        <v>46135</v>
      </c>
      <c r="D1524" t="s">
        <v>49</v>
      </c>
      <c r="E1524" t="s">
        <v>753</v>
      </c>
      <c r="F1524" t="s">
        <v>1782</v>
      </c>
      <c r="G1524">
        <v>1269</v>
      </c>
      <c r="I1524">
        <v>0</v>
      </c>
      <c r="K1524" t="s">
        <v>1783</v>
      </c>
    </row>
    <row r="1525" spans="1:11" hidden="1" x14ac:dyDescent="0.25">
      <c r="A1525" s="210" t="s">
        <v>1532</v>
      </c>
      <c r="B1525">
        <v>8951</v>
      </c>
      <c r="C1525" s="100">
        <v>46135</v>
      </c>
      <c r="D1525" t="s">
        <v>49</v>
      </c>
      <c r="E1525" t="s">
        <v>753</v>
      </c>
      <c r="F1525" t="s">
        <v>1784</v>
      </c>
      <c r="G1525">
        <v>452</v>
      </c>
      <c r="I1525">
        <v>0</v>
      </c>
      <c r="K1525" t="s">
        <v>1785</v>
      </c>
    </row>
    <row r="1526" spans="1:11" hidden="1" x14ac:dyDescent="0.25">
      <c r="A1526" s="210" t="s">
        <v>1532</v>
      </c>
      <c r="B1526">
        <v>8951</v>
      </c>
      <c r="C1526" s="100">
        <v>46135</v>
      </c>
      <c r="D1526" t="s">
        <v>49</v>
      </c>
      <c r="E1526" t="s">
        <v>753</v>
      </c>
      <c r="F1526" t="s">
        <v>1786</v>
      </c>
      <c r="G1526">
        <v>696</v>
      </c>
      <c r="I1526">
        <v>0</v>
      </c>
      <c r="K1526" t="s">
        <v>1787</v>
      </c>
    </row>
    <row r="1527" spans="1:11" hidden="1" x14ac:dyDescent="0.25">
      <c r="A1527" s="210" t="s">
        <v>1532</v>
      </c>
      <c r="B1527">
        <v>8950</v>
      </c>
      <c r="C1527" s="100">
        <v>46135</v>
      </c>
      <c r="D1527" t="s">
        <v>49</v>
      </c>
      <c r="E1527" t="s">
        <v>729</v>
      </c>
      <c r="F1527" t="s">
        <v>1773</v>
      </c>
      <c r="G1527">
        <v>1057</v>
      </c>
      <c r="I1527">
        <v>0</v>
      </c>
      <c r="K1527" t="s">
        <v>1774</v>
      </c>
    </row>
    <row r="1528" spans="1:11" hidden="1" x14ac:dyDescent="0.25">
      <c r="A1528" s="210" t="s">
        <v>1532</v>
      </c>
      <c r="B1528">
        <v>8950</v>
      </c>
      <c r="C1528" s="100">
        <v>46135</v>
      </c>
      <c r="D1528" t="s">
        <v>49</v>
      </c>
      <c r="E1528" t="s">
        <v>729</v>
      </c>
      <c r="F1528" t="s">
        <v>1775</v>
      </c>
      <c r="G1528">
        <v>1235</v>
      </c>
      <c r="I1528">
        <v>0</v>
      </c>
      <c r="K1528" t="s">
        <v>1776</v>
      </c>
    </row>
    <row r="1529" spans="1:11" hidden="1" x14ac:dyDescent="0.25">
      <c r="A1529" s="210" t="s">
        <v>1532</v>
      </c>
      <c r="B1529">
        <v>8950</v>
      </c>
      <c r="C1529" s="100">
        <v>46135</v>
      </c>
      <c r="D1529" t="s">
        <v>49</v>
      </c>
      <c r="E1529" t="s">
        <v>729</v>
      </c>
      <c r="F1529" t="s">
        <v>1777</v>
      </c>
      <c r="G1529">
        <v>1045</v>
      </c>
      <c r="I1529">
        <v>0</v>
      </c>
      <c r="K1529" t="s">
        <v>597</v>
      </c>
    </row>
    <row r="1530" spans="1:11" hidden="1" x14ac:dyDescent="0.25">
      <c r="A1530" s="210" t="s">
        <v>1532</v>
      </c>
      <c r="B1530">
        <v>8950</v>
      </c>
      <c r="C1530" s="100">
        <v>46135</v>
      </c>
      <c r="D1530" t="s">
        <v>49</v>
      </c>
      <c r="E1530" t="s">
        <v>729</v>
      </c>
      <c r="F1530" t="s">
        <v>1778</v>
      </c>
      <c r="G1530">
        <v>706</v>
      </c>
      <c r="I1530">
        <v>0</v>
      </c>
      <c r="K1530" t="s">
        <v>1779</v>
      </c>
    </row>
    <row r="1531" spans="1:11" hidden="1" x14ac:dyDescent="0.25">
      <c r="A1531" s="210" t="s">
        <v>1532</v>
      </c>
      <c r="B1531">
        <v>8950</v>
      </c>
      <c r="C1531" s="100">
        <v>46135</v>
      </c>
      <c r="D1531" t="s">
        <v>49</v>
      </c>
      <c r="E1531" t="s">
        <v>729</v>
      </c>
      <c r="F1531" t="s">
        <v>820</v>
      </c>
      <c r="G1531">
        <v>2276</v>
      </c>
      <c r="I1531">
        <v>0</v>
      </c>
      <c r="K1531" t="s">
        <v>783</v>
      </c>
    </row>
    <row r="1532" spans="1:11" hidden="1" x14ac:dyDescent="0.25">
      <c r="A1532" s="210" t="s">
        <v>1626</v>
      </c>
      <c r="B1532">
        <v>8949</v>
      </c>
      <c r="C1532" s="100">
        <v>46135</v>
      </c>
      <c r="D1532" t="s">
        <v>13</v>
      </c>
      <c r="E1532" t="s">
        <v>50</v>
      </c>
      <c r="F1532" t="s">
        <v>1753</v>
      </c>
      <c r="G1532">
        <v>3528</v>
      </c>
      <c r="H1532">
        <v>60000</v>
      </c>
      <c r="I1532">
        <v>211680000</v>
      </c>
    </row>
    <row r="1533" spans="1:11" hidden="1" x14ac:dyDescent="0.25">
      <c r="A1533" s="210" t="s">
        <v>1597</v>
      </c>
      <c r="B1533">
        <v>8947</v>
      </c>
      <c r="C1533" s="100">
        <v>46134</v>
      </c>
      <c r="D1533" t="s">
        <v>13</v>
      </c>
      <c r="E1533" t="s">
        <v>143</v>
      </c>
      <c r="F1533" t="s">
        <v>1772</v>
      </c>
      <c r="G1533">
        <v>1353</v>
      </c>
      <c r="H1533">
        <v>60000</v>
      </c>
      <c r="I1533">
        <v>81180000</v>
      </c>
    </row>
    <row r="1534" spans="1:11" hidden="1" x14ac:dyDescent="0.25">
      <c r="A1534" s="210" t="s">
        <v>1597</v>
      </c>
      <c r="B1534">
        <v>8947</v>
      </c>
      <c r="C1534" s="100">
        <v>46134</v>
      </c>
      <c r="D1534" t="s">
        <v>13</v>
      </c>
      <c r="E1534" t="s">
        <v>50</v>
      </c>
      <c r="F1534" t="s">
        <v>120</v>
      </c>
      <c r="G1534">
        <v>801</v>
      </c>
      <c r="H1534">
        <v>59500</v>
      </c>
      <c r="I1534">
        <v>47659500</v>
      </c>
    </row>
    <row r="1535" spans="1:11" hidden="1" x14ac:dyDescent="0.25">
      <c r="A1535" s="210" t="s">
        <v>1524</v>
      </c>
      <c r="B1535">
        <v>8946</v>
      </c>
      <c r="C1535" s="100">
        <v>46134</v>
      </c>
      <c r="D1535" t="s">
        <v>49</v>
      </c>
      <c r="E1535" t="s">
        <v>135</v>
      </c>
      <c r="F1535" t="s">
        <v>62</v>
      </c>
      <c r="G1535">
        <v>2122</v>
      </c>
      <c r="I1535">
        <v>0</v>
      </c>
      <c r="K1535" t="s">
        <v>1771</v>
      </c>
    </row>
    <row r="1536" spans="1:11" hidden="1" x14ac:dyDescent="0.25">
      <c r="A1536" s="210" t="s">
        <v>1538</v>
      </c>
      <c r="B1536">
        <v>8945</v>
      </c>
      <c r="C1536" s="100">
        <v>46134</v>
      </c>
      <c r="D1536" t="s">
        <v>13</v>
      </c>
      <c r="E1536" t="s">
        <v>866</v>
      </c>
      <c r="F1536" t="s">
        <v>1127</v>
      </c>
      <c r="G1536">
        <v>1752</v>
      </c>
      <c r="H1536">
        <v>65000</v>
      </c>
      <c r="I1536">
        <v>113880000</v>
      </c>
    </row>
    <row r="1537" spans="1:11" hidden="1" x14ac:dyDescent="0.25">
      <c r="A1537" s="210" t="s">
        <v>1538</v>
      </c>
      <c r="B1537">
        <v>8945</v>
      </c>
      <c r="C1537" s="100">
        <v>46134</v>
      </c>
      <c r="D1537" t="s">
        <v>13</v>
      </c>
      <c r="E1537" t="s">
        <v>170</v>
      </c>
      <c r="F1537" t="s">
        <v>116</v>
      </c>
      <c r="G1537">
        <v>797</v>
      </c>
      <c r="H1537">
        <v>65000</v>
      </c>
      <c r="I1537">
        <v>51805000</v>
      </c>
    </row>
    <row r="1538" spans="1:11" hidden="1" x14ac:dyDescent="0.25">
      <c r="A1538" s="210" t="s">
        <v>1538</v>
      </c>
      <c r="B1538">
        <v>8945</v>
      </c>
      <c r="C1538" s="100">
        <v>46134</v>
      </c>
      <c r="D1538" t="s">
        <v>13</v>
      </c>
      <c r="E1538" t="s">
        <v>26</v>
      </c>
      <c r="F1538" t="s">
        <v>25</v>
      </c>
      <c r="G1538">
        <v>474</v>
      </c>
      <c r="H1538">
        <v>34000</v>
      </c>
      <c r="I1538">
        <v>16116000</v>
      </c>
    </row>
    <row r="1539" spans="1:11" hidden="1" x14ac:dyDescent="0.25">
      <c r="A1539" s="210" t="s">
        <v>1541</v>
      </c>
      <c r="B1539">
        <v>8944</v>
      </c>
      <c r="C1539" s="100">
        <v>46134</v>
      </c>
      <c r="D1539" t="s">
        <v>13</v>
      </c>
      <c r="E1539" t="s">
        <v>50</v>
      </c>
      <c r="F1539" t="s">
        <v>1172</v>
      </c>
      <c r="G1539">
        <v>499</v>
      </c>
      <c r="H1539">
        <v>59500</v>
      </c>
      <c r="I1539">
        <v>29690500</v>
      </c>
    </row>
    <row r="1540" spans="1:11" hidden="1" x14ac:dyDescent="0.25">
      <c r="A1540" s="210" t="s">
        <v>1650</v>
      </c>
      <c r="B1540">
        <v>8943</v>
      </c>
      <c r="C1540" s="100">
        <v>46134</v>
      </c>
      <c r="D1540" t="s">
        <v>13</v>
      </c>
      <c r="E1540" t="s">
        <v>109</v>
      </c>
      <c r="F1540" t="s">
        <v>946</v>
      </c>
      <c r="G1540">
        <v>292</v>
      </c>
      <c r="H1540">
        <v>60000</v>
      </c>
      <c r="I1540">
        <v>17520000</v>
      </c>
    </row>
    <row r="1541" spans="1:11" hidden="1" x14ac:dyDescent="0.25">
      <c r="A1541" s="210" t="s">
        <v>1646</v>
      </c>
      <c r="B1541">
        <v>8942</v>
      </c>
      <c r="C1541" s="100">
        <v>46134</v>
      </c>
      <c r="D1541" t="s">
        <v>13</v>
      </c>
      <c r="E1541" t="s">
        <v>50</v>
      </c>
      <c r="F1541" t="s">
        <v>848</v>
      </c>
      <c r="G1541">
        <v>554</v>
      </c>
      <c r="H1541">
        <v>61000</v>
      </c>
      <c r="I1541">
        <v>33794000</v>
      </c>
    </row>
    <row r="1542" spans="1:11" hidden="1" x14ac:dyDescent="0.25">
      <c r="A1542" s="210" t="s">
        <v>1525</v>
      </c>
      <c r="B1542">
        <v>8941</v>
      </c>
      <c r="C1542" s="100">
        <v>46134</v>
      </c>
      <c r="D1542" t="s">
        <v>13</v>
      </c>
      <c r="E1542" t="s">
        <v>17</v>
      </c>
      <c r="F1542" t="s">
        <v>40</v>
      </c>
      <c r="G1542">
        <v>4652</v>
      </c>
      <c r="H1542">
        <v>67000</v>
      </c>
      <c r="I1542">
        <v>311684000</v>
      </c>
    </row>
    <row r="1543" spans="1:11" hidden="1" x14ac:dyDescent="0.25">
      <c r="A1543" s="210" t="s">
        <v>1524</v>
      </c>
      <c r="B1543">
        <v>8940</v>
      </c>
      <c r="C1543" s="100">
        <v>46134</v>
      </c>
      <c r="D1543" t="s">
        <v>49</v>
      </c>
      <c r="E1543" t="s">
        <v>301</v>
      </c>
      <c r="F1543" t="s">
        <v>1768</v>
      </c>
      <c r="G1543">
        <v>1616</v>
      </c>
      <c r="I1543">
        <v>0</v>
      </c>
      <c r="K1543" t="s">
        <v>786</v>
      </c>
    </row>
    <row r="1544" spans="1:11" hidden="1" x14ac:dyDescent="0.25">
      <c r="A1544" s="210" t="s">
        <v>1524</v>
      </c>
      <c r="B1544">
        <v>8940</v>
      </c>
      <c r="C1544" s="100">
        <v>46134</v>
      </c>
      <c r="D1544" t="s">
        <v>49</v>
      </c>
      <c r="E1544" t="s">
        <v>301</v>
      </c>
      <c r="F1544" t="s">
        <v>1769</v>
      </c>
      <c r="G1544">
        <v>2050</v>
      </c>
      <c r="I1544">
        <v>0</v>
      </c>
      <c r="K1544" t="s">
        <v>1770</v>
      </c>
    </row>
    <row r="1545" spans="1:11" hidden="1" x14ac:dyDescent="0.25">
      <c r="A1545" s="210" t="s">
        <v>1524</v>
      </c>
      <c r="B1545">
        <v>8940</v>
      </c>
      <c r="C1545" s="100">
        <v>46134</v>
      </c>
      <c r="D1545" t="s">
        <v>49</v>
      </c>
      <c r="E1545" t="s">
        <v>17</v>
      </c>
      <c r="F1545" t="s">
        <v>464</v>
      </c>
      <c r="G1545">
        <v>659</v>
      </c>
      <c r="I1545">
        <v>0</v>
      </c>
    </row>
    <row r="1546" spans="1:11" hidden="1" x14ac:dyDescent="0.25">
      <c r="A1546" s="210" t="s">
        <v>1579</v>
      </c>
      <c r="B1546">
        <v>8939</v>
      </c>
      <c r="C1546" s="100">
        <v>46134</v>
      </c>
      <c r="D1546" t="s">
        <v>13</v>
      </c>
      <c r="E1546" t="s">
        <v>17</v>
      </c>
      <c r="F1546" t="s">
        <v>62</v>
      </c>
      <c r="G1546">
        <v>3622</v>
      </c>
      <c r="H1546">
        <v>65000</v>
      </c>
      <c r="I1546">
        <v>235430000</v>
      </c>
    </row>
    <row r="1547" spans="1:11" hidden="1" x14ac:dyDescent="0.25">
      <c r="A1547" s="210" t="s">
        <v>1579</v>
      </c>
      <c r="B1547">
        <v>8939</v>
      </c>
      <c r="C1547" s="100">
        <v>46134</v>
      </c>
      <c r="D1547" t="s">
        <v>13</v>
      </c>
      <c r="E1547" t="s">
        <v>43</v>
      </c>
      <c r="F1547" t="s">
        <v>1767</v>
      </c>
      <c r="G1547">
        <v>2746</v>
      </c>
      <c r="H1547">
        <v>58000</v>
      </c>
      <c r="I1547">
        <v>159268000</v>
      </c>
    </row>
    <row r="1548" spans="1:11" hidden="1" x14ac:dyDescent="0.25">
      <c r="A1548" s="210" t="s">
        <v>1579</v>
      </c>
      <c r="B1548">
        <v>8938</v>
      </c>
      <c r="C1548" s="100">
        <v>46134</v>
      </c>
      <c r="D1548" t="s">
        <v>13</v>
      </c>
      <c r="E1548" t="s">
        <v>43</v>
      </c>
      <c r="F1548" t="s">
        <v>203</v>
      </c>
      <c r="G1548">
        <v>1356.8</v>
      </c>
      <c r="H1548">
        <v>58000</v>
      </c>
      <c r="I1548">
        <v>78694400</v>
      </c>
    </row>
    <row r="1549" spans="1:11" hidden="1" x14ac:dyDescent="0.25">
      <c r="A1549" s="210" t="s">
        <v>1579</v>
      </c>
      <c r="B1549">
        <v>8938</v>
      </c>
      <c r="C1549" s="100">
        <v>46134</v>
      </c>
      <c r="D1549" t="s">
        <v>13</v>
      </c>
      <c r="E1549" t="s">
        <v>43</v>
      </c>
      <c r="F1549" t="s">
        <v>246</v>
      </c>
      <c r="G1549">
        <v>1430</v>
      </c>
      <c r="H1549">
        <v>58000</v>
      </c>
      <c r="I1549">
        <v>82940000</v>
      </c>
    </row>
    <row r="1550" spans="1:11" hidden="1" x14ac:dyDescent="0.25">
      <c r="A1550" s="210" t="s">
        <v>1579</v>
      </c>
      <c r="B1550">
        <v>8938</v>
      </c>
      <c r="C1550" s="100">
        <v>46134</v>
      </c>
      <c r="D1550" t="s">
        <v>13</v>
      </c>
      <c r="E1550" t="s">
        <v>43</v>
      </c>
      <c r="F1550" t="s">
        <v>243</v>
      </c>
      <c r="G1550">
        <v>326</v>
      </c>
      <c r="H1550">
        <v>62000</v>
      </c>
      <c r="I1550">
        <v>20212000</v>
      </c>
    </row>
    <row r="1551" spans="1:11" hidden="1" x14ac:dyDescent="0.25">
      <c r="A1551" s="210" t="s">
        <v>1577</v>
      </c>
      <c r="B1551">
        <v>8937</v>
      </c>
      <c r="C1551" s="100">
        <v>46134</v>
      </c>
      <c r="D1551" t="s">
        <v>13</v>
      </c>
      <c r="E1551" t="s">
        <v>103</v>
      </c>
      <c r="F1551" t="s">
        <v>1765</v>
      </c>
      <c r="G1551">
        <v>280</v>
      </c>
      <c r="H1551">
        <v>38000</v>
      </c>
      <c r="I1551">
        <v>10640000</v>
      </c>
    </row>
    <row r="1552" spans="1:11" hidden="1" x14ac:dyDescent="0.25">
      <c r="A1552" s="210" t="s">
        <v>1577</v>
      </c>
      <c r="B1552">
        <v>8937</v>
      </c>
      <c r="C1552" s="100">
        <v>46134</v>
      </c>
      <c r="D1552" t="s">
        <v>13</v>
      </c>
      <c r="E1552" t="s">
        <v>50</v>
      </c>
      <c r="F1552" t="s">
        <v>1766</v>
      </c>
      <c r="G1552">
        <v>310</v>
      </c>
      <c r="H1552">
        <v>61000</v>
      </c>
      <c r="I1552">
        <v>18910000</v>
      </c>
    </row>
    <row r="1553" spans="1:11" hidden="1" x14ac:dyDescent="0.25">
      <c r="A1553" s="210" t="s">
        <v>1577</v>
      </c>
      <c r="B1553">
        <v>8937</v>
      </c>
      <c r="C1553" s="100">
        <v>46134</v>
      </c>
      <c r="D1553" t="s">
        <v>13</v>
      </c>
      <c r="E1553" t="s">
        <v>50</v>
      </c>
      <c r="F1553" t="s">
        <v>255</v>
      </c>
      <c r="G1553">
        <v>812</v>
      </c>
      <c r="H1553">
        <v>61000</v>
      </c>
      <c r="I1553">
        <v>49532000</v>
      </c>
    </row>
    <row r="1554" spans="1:11" hidden="1" x14ac:dyDescent="0.25">
      <c r="A1554" s="210" t="s">
        <v>1479</v>
      </c>
      <c r="B1554">
        <v>8936</v>
      </c>
      <c r="C1554" s="100">
        <v>46134</v>
      </c>
      <c r="D1554" t="s">
        <v>13</v>
      </c>
      <c r="E1554" t="s">
        <v>50</v>
      </c>
      <c r="F1554" t="s">
        <v>1094</v>
      </c>
      <c r="G1554">
        <v>7668</v>
      </c>
      <c r="H1554">
        <v>58000</v>
      </c>
      <c r="I1554">
        <v>444744000</v>
      </c>
    </row>
    <row r="1555" spans="1:11" hidden="1" x14ac:dyDescent="0.25">
      <c r="A1555" s="210" t="s">
        <v>1555</v>
      </c>
      <c r="B1555">
        <v>8935</v>
      </c>
      <c r="C1555" s="100">
        <v>46134</v>
      </c>
      <c r="D1555" t="s">
        <v>13</v>
      </c>
      <c r="E1555" t="s">
        <v>1085</v>
      </c>
      <c r="F1555" t="s">
        <v>78</v>
      </c>
      <c r="G1555">
        <v>1291</v>
      </c>
      <c r="H1555">
        <v>37500</v>
      </c>
      <c r="I1555">
        <v>48412500</v>
      </c>
      <c r="K1555" t="s">
        <v>42</v>
      </c>
    </row>
    <row r="1556" spans="1:11" hidden="1" x14ac:dyDescent="0.25">
      <c r="A1556" s="210" t="s">
        <v>1555</v>
      </c>
      <c r="B1556">
        <v>8935</v>
      </c>
      <c r="C1556" s="100">
        <v>46134</v>
      </c>
      <c r="D1556" t="s">
        <v>13</v>
      </c>
      <c r="E1556" t="s">
        <v>1085</v>
      </c>
      <c r="F1556" t="s">
        <v>446</v>
      </c>
      <c r="G1556">
        <v>454</v>
      </c>
      <c r="H1556">
        <v>35500</v>
      </c>
      <c r="I1556">
        <v>16117000</v>
      </c>
      <c r="K1556" t="s">
        <v>42</v>
      </c>
    </row>
    <row r="1557" spans="1:11" hidden="1" x14ac:dyDescent="0.25">
      <c r="A1557" s="210" t="s">
        <v>1555</v>
      </c>
      <c r="B1557">
        <v>8935</v>
      </c>
      <c r="C1557" s="100">
        <v>46134</v>
      </c>
      <c r="D1557" t="s">
        <v>13</v>
      </c>
      <c r="E1557" t="s">
        <v>26</v>
      </c>
      <c r="F1557" t="s">
        <v>255</v>
      </c>
      <c r="G1557">
        <v>902</v>
      </c>
      <c r="H1557">
        <v>33000</v>
      </c>
      <c r="I1557">
        <v>29766000</v>
      </c>
      <c r="K1557" t="s">
        <v>42</v>
      </c>
    </row>
    <row r="1558" spans="1:11" hidden="1" x14ac:dyDescent="0.25">
      <c r="A1558" s="210" t="s">
        <v>1555</v>
      </c>
      <c r="B1558">
        <v>8935</v>
      </c>
      <c r="C1558" s="100">
        <v>46134</v>
      </c>
      <c r="D1558" t="s">
        <v>13</v>
      </c>
      <c r="E1558" t="s">
        <v>26</v>
      </c>
      <c r="F1558" t="s">
        <v>1764</v>
      </c>
      <c r="G1558">
        <v>88</v>
      </c>
      <c r="H1558">
        <v>38000</v>
      </c>
      <c r="I1558">
        <v>3344000</v>
      </c>
      <c r="K1558" t="s">
        <v>42</v>
      </c>
    </row>
    <row r="1559" spans="1:11" hidden="1" x14ac:dyDescent="0.25">
      <c r="A1559" s="210" t="s">
        <v>1502</v>
      </c>
      <c r="B1559">
        <v>8934</v>
      </c>
      <c r="C1559" s="100">
        <v>46134</v>
      </c>
      <c r="D1559" t="s">
        <v>13</v>
      </c>
      <c r="E1559" t="s">
        <v>50</v>
      </c>
      <c r="F1559" t="s">
        <v>299</v>
      </c>
      <c r="G1559">
        <v>2004</v>
      </c>
      <c r="H1559">
        <v>56000</v>
      </c>
      <c r="I1559">
        <v>112224000</v>
      </c>
    </row>
    <row r="1560" spans="1:11" hidden="1" x14ac:dyDescent="0.25">
      <c r="A1560" s="210" t="s">
        <v>1536</v>
      </c>
      <c r="B1560">
        <v>8933</v>
      </c>
      <c r="C1560" s="100">
        <v>46133</v>
      </c>
      <c r="D1560" t="s">
        <v>13</v>
      </c>
      <c r="E1560" t="s">
        <v>50</v>
      </c>
      <c r="F1560" t="s">
        <v>1763</v>
      </c>
      <c r="G1560">
        <v>100</v>
      </c>
      <c r="H1560">
        <v>60000</v>
      </c>
      <c r="I1560">
        <v>6000000</v>
      </c>
    </row>
    <row r="1561" spans="1:11" hidden="1" x14ac:dyDescent="0.25">
      <c r="A1561" s="210" t="s">
        <v>1536</v>
      </c>
      <c r="B1561">
        <v>8933</v>
      </c>
      <c r="C1561" s="100">
        <v>46133</v>
      </c>
      <c r="D1561" t="s">
        <v>13</v>
      </c>
      <c r="E1561" t="s">
        <v>50</v>
      </c>
      <c r="F1561" t="s">
        <v>1324</v>
      </c>
      <c r="G1561">
        <v>428</v>
      </c>
      <c r="H1561">
        <v>60000</v>
      </c>
      <c r="I1561">
        <v>25680000</v>
      </c>
    </row>
    <row r="1562" spans="1:11" hidden="1" x14ac:dyDescent="0.25">
      <c r="A1562" s="210" t="s">
        <v>1536</v>
      </c>
      <c r="B1562">
        <v>8933</v>
      </c>
      <c r="C1562" s="100">
        <v>46133</v>
      </c>
      <c r="D1562" t="s">
        <v>13</v>
      </c>
      <c r="E1562" t="s">
        <v>50</v>
      </c>
      <c r="F1562" t="s">
        <v>946</v>
      </c>
      <c r="G1562">
        <v>571</v>
      </c>
      <c r="H1562">
        <v>60000</v>
      </c>
      <c r="I1562">
        <v>34260000</v>
      </c>
    </row>
    <row r="1563" spans="1:11" hidden="1" x14ac:dyDescent="0.25">
      <c r="A1563" s="210" t="s">
        <v>1536</v>
      </c>
      <c r="B1563">
        <v>8933</v>
      </c>
      <c r="C1563" s="100">
        <v>46133</v>
      </c>
      <c r="D1563" t="s">
        <v>13</v>
      </c>
      <c r="E1563" t="s">
        <v>17</v>
      </c>
      <c r="F1563" t="s">
        <v>78</v>
      </c>
      <c r="G1563">
        <v>136</v>
      </c>
      <c r="H1563">
        <v>66000</v>
      </c>
      <c r="I1563">
        <v>8976000</v>
      </c>
    </row>
    <row r="1564" spans="1:11" hidden="1" x14ac:dyDescent="0.25">
      <c r="A1564" s="210" t="s">
        <v>1536</v>
      </c>
      <c r="B1564">
        <v>8933</v>
      </c>
      <c r="C1564" s="100">
        <v>46133</v>
      </c>
      <c r="D1564" t="s">
        <v>13</v>
      </c>
      <c r="E1564" t="s">
        <v>43</v>
      </c>
      <c r="F1564" t="s">
        <v>250</v>
      </c>
      <c r="G1564">
        <v>531</v>
      </c>
      <c r="H1564">
        <v>59500</v>
      </c>
      <c r="I1564">
        <v>31594500</v>
      </c>
    </row>
    <row r="1565" spans="1:11" hidden="1" x14ac:dyDescent="0.25">
      <c r="A1565" s="210" t="s">
        <v>1689</v>
      </c>
      <c r="B1565">
        <v>8932</v>
      </c>
      <c r="C1565" s="100">
        <v>46133</v>
      </c>
      <c r="D1565" t="s">
        <v>13</v>
      </c>
      <c r="E1565" t="s">
        <v>43</v>
      </c>
      <c r="F1565" t="s">
        <v>140</v>
      </c>
      <c r="G1565">
        <v>11614</v>
      </c>
      <c r="H1565">
        <v>55000</v>
      </c>
      <c r="I1565">
        <v>638770000</v>
      </c>
    </row>
    <row r="1566" spans="1:11" hidden="1" x14ac:dyDescent="0.25">
      <c r="A1566" s="210" t="s">
        <v>1511</v>
      </c>
      <c r="B1566">
        <v>8931</v>
      </c>
      <c r="C1566" s="100">
        <v>46133</v>
      </c>
      <c r="D1566" t="s">
        <v>13</v>
      </c>
      <c r="E1566" t="s">
        <v>27</v>
      </c>
      <c r="F1566" t="s">
        <v>835</v>
      </c>
      <c r="G1566">
        <v>76</v>
      </c>
      <c r="H1566">
        <v>60000</v>
      </c>
      <c r="I1566">
        <v>4560000</v>
      </c>
      <c r="J1566">
        <v>4560000</v>
      </c>
    </row>
    <row r="1567" spans="1:11" hidden="1" x14ac:dyDescent="0.25">
      <c r="A1567" s="210" t="s">
        <v>1593</v>
      </c>
      <c r="B1567">
        <v>8930</v>
      </c>
      <c r="C1567" s="100">
        <v>46133</v>
      </c>
      <c r="D1567" t="s">
        <v>13</v>
      </c>
      <c r="E1567" t="s">
        <v>17</v>
      </c>
      <c r="F1567" t="s">
        <v>146</v>
      </c>
      <c r="G1567">
        <v>1030</v>
      </c>
      <c r="H1567">
        <v>66500</v>
      </c>
      <c r="I1567">
        <v>68495000</v>
      </c>
    </row>
    <row r="1568" spans="1:11" hidden="1" x14ac:dyDescent="0.25">
      <c r="A1568" s="210" t="s">
        <v>1554</v>
      </c>
      <c r="B1568">
        <v>8929</v>
      </c>
      <c r="C1568" s="100">
        <v>46133</v>
      </c>
      <c r="D1568" t="s">
        <v>13</v>
      </c>
      <c r="E1568" t="s">
        <v>317</v>
      </c>
      <c r="F1568" t="s">
        <v>228</v>
      </c>
      <c r="G1568">
        <v>730</v>
      </c>
      <c r="H1568">
        <v>61000</v>
      </c>
      <c r="I1568">
        <v>44530000</v>
      </c>
      <c r="K1568" t="s">
        <v>42</v>
      </c>
    </row>
    <row r="1569" spans="1:11" hidden="1" x14ac:dyDescent="0.25">
      <c r="A1569" s="210" t="s">
        <v>1566</v>
      </c>
      <c r="B1569">
        <v>8928</v>
      </c>
      <c r="C1569" s="100">
        <v>46133</v>
      </c>
      <c r="D1569" t="s">
        <v>13</v>
      </c>
      <c r="E1569" t="s">
        <v>43</v>
      </c>
      <c r="F1569" t="s">
        <v>887</v>
      </c>
      <c r="G1569">
        <v>434</v>
      </c>
      <c r="H1569">
        <v>61000</v>
      </c>
      <c r="I1569">
        <v>26474000</v>
      </c>
    </row>
    <row r="1570" spans="1:11" hidden="1" x14ac:dyDescent="0.25">
      <c r="A1570" s="210" t="s">
        <v>1574</v>
      </c>
      <c r="B1570">
        <v>8927</v>
      </c>
      <c r="C1570" s="100">
        <v>46133</v>
      </c>
      <c r="D1570" t="s">
        <v>13</v>
      </c>
      <c r="E1570" t="s">
        <v>50</v>
      </c>
      <c r="F1570" t="s">
        <v>1762</v>
      </c>
      <c r="G1570">
        <v>190</v>
      </c>
      <c r="H1570">
        <v>57000</v>
      </c>
      <c r="I1570">
        <v>10830000</v>
      </c>
    </row>
    <row r="1571" spans="1:11" hidden="1" x14ac:dyDescent="0.25">
      <c r="A1571" s="210" t="s">
        <v>1574</v>
      </c>
      <c r="B1571">
        <v>8927</v>
      </c>
      <c r="C1571" s="100">
        <v>46133</v>
      </c>
      <c r="D1571" t="s">
        <v>13</v>
      </c>
      <c r="E1571" t="s">
        <v>50</v>
      </c>
      <c r="F1571" t="s">
        <v>896</v>
      </c>
      <c r="G1571">
        <v>550</v>
      </c>
      <c r="H1571">
        <v>57000</v>
      </c>
      <c r="I1571">
        <v>31350000</v>
      </c>
    </row>
    <row r="1572" spans="1:11" hidden="1" x14ac:dyDescent="0.25">
      <c r="A1572" s="210" t="s">
        <v>1568</v>
      </c>
      <c r="B1572">
        <v>8926</v>
      </c>
      <c r="C1572" s="100">
        <v>46133</v>
      </c>
      <c r="D1572" t="s">
        <v>13</v>
      </c>
      <c r="E1572" t="s">
        <v>14</v>
      </c>
      <c r="F1572" t="s">
        <v>146</v>
      </c>
      <c r="G1572">
        <v>394</v>
      </c>
      <c r="H1572">
        <v>40500</v>
      </c>
      <c r="I1572">
        <v>15957000</v>
      </c>
    </row>
    <row r="1573" spans="1:11" hidden="1" x14ac:dyDescent="0.25">
      <c r="A1573" s="210" t="s">
        <v>1568</v>
      </c>
      <c r="B1573">
        <v>8926</v>
      </c>
      <c r="C1573" s="100">
        <v>46133</v>
      </c>
      <c r="D1573" t="s">
        <v>13</v>
      </c>
      <c r="E1573" t="s">
        <v>317</v>
      </c>
      <c r="F1573" t="s">
        <v>887</v>
      </c>
      <c r="G1573">
        <v>222</v>
      </c>
      <c r="H1573">
        <v>58000</v>
      </c>
      <c r="I1573">
        <v>12876000</v>
      </c>
    </row>
    <row r="1574" spans="1:11" hidden="1" x14ac:dyDescent="0.25">
      <c r="A1574" s="210" t="s">
        <v>1477</v>
      </c>
      <c r="B1574">
        <v>8925</v>
      </c>
      <c r="C1574" s="100">
        <v>46133</v>
      </c>
      <c r="D1574" t="s">
        <v>13</v>
      </c>
      <c r="E1574" t="s">
        <v>17</v>
      </c>
      <c r="F1574" t="s">
        <v>25</v>
      </c>
      <c r="G1574">
        <v>406</v>
      </c>
      <c r="H1574">
        <v>60500</v>
      </c>
      <c r="I1574">
        <v>24563000</v>
      </c>
    </row>
    <row r="1575" spans="1:11" hidden="1" x14ac:dyDescent="0.25">
      <c r="A1575" s="210" t="s">
        <v>1477</v>
      </c>
      <c r="B1575">
        <v>8925</v>
      </c>
      <c r="C1575" s="100">
        <v>46133</v>
      </c>
      <c r="D1575" t="s">
        <v>13</v>
      </c>
      <c r="E1575" t="s">
        <v>17</v>
      </c>
      <c r="F1575" t="s">
        <v>1761</v>
      </c>
      <c r="G1575">
        <v>856</v>
      </c>
      <c r="H1575">
        <v>60500</v>
      </c>
      <c r="I1575">
        <v>51788000</v>
      </c>
    </row>
    <row r="1576" spans="1:11" hidden="1" x14ac:dyDescent="0.25">
      <c r="A1576" s="210" t="s">
        <v>1703</v>
      </c>
      <c r="B1576">
        <v>8924</v>
      </c>
      <c r="C1576" s="100">
        <v>46133</v>
      </c>
      <c r="D1576" t="s">
        <v>13</v>
      </c>
      <c r="E1576" t="s">
        <v>54</v>
      </c>
      <c r="F1576" t="s">
        <v>221</v>
      </c>
      <c r="G1576">
        <v>322</v>
      </c>
      <c r="H1576">
        <v>34000</v>
      </c>
      <c r="I1576">
        <v>10948000</v>
      </c>
      <c r="K1576" t="s">
        <v>42</v>
      </c>
    </row>
    <row r="1577" spans="1:11" hidden="1" x14ac:dyDescent="0.25">
      <c r="A1577" s="210" t="s">
        <v>1703</v>
      </c>
      <c r="B1577">
        <v>8924</v>
      </c>
      <c r="C1577" s="100">
        <v>46133</v>
      </c>
      <c r="D1577" t="s">
        <v>13</v>
      </c>
      <c r="E1577" t="s">
        <v>50</v>
      </c>
      <c r="F1577" t="s">
        <v>29</v>
      </c>
      <c r="G1577">
        <v>286</v>
      </c>
      <c r="H1577">
        <v>60000</v>
      </c>
      <c r="I1577">
        <v>17160000</v>
      </c>
      <c r="K1577" t="s">
        <v>42</v>
      </c>
    </row>
    <row r="1578" spans="1:11" hidden="1" x14ac:dyDescent="0.25">
      <c r="A1578" s="210" t="s">
        <v>1538</v>
      </c>
      <c r="B1578">
        <v>8923</v>
      </c>
      <c r="C1578" s="100">
        <v>46133</v>
      </c>
      <c r="D1578" t="s">
        <v>13</v>
      </c>
      <c r="E1578" t="s">
        <v>26</v>
      </c>
      <c r="F1578" t="s">
        <v>1760</v>
      </c>
      <c r="G1578">
        <v>430</v>
      </c>
      <c r="H1578">
        <v>35000</v>
      </c>
      <c r="I1578">
        <v>15050000</v>
      </c>
    </row>
    <row r="1579" spans="1:11" hidden="1" x14ac:dyDescent="0.25">
      <c r="A1579" s="210" t="s">
        <v>1701</v>
      </c>
      <c r="B1579">
        <v>8922</v>
      </c>
      <c r="C1579" s="100">
        <v>46133</v>
      </c>
      <c r="D1579" t="s">
        <v>13</v>
      </c>
      <c r="E1579" t="s">
        <v>26</v>
      </c>
      <c r="F1579" t="s">
        <v>148</v>
      </c>
      <c r="G1579">
        <v>578</v>
      </c>
      <c r="H1579">
        <v>35000</v>
      </c>
      <c r="I1579">
        <v>20230000</v>
      </c>
      <c r="K1579" t="s">
        <v>42</v>
      </c>
    </row>
    <row r="1580" spans="1:11" hidden="1" x14ac:dyDescent="0.25">
      <c r="A1580" s="210" t="s">
        <v>1579</v>
      </c>
      <c r="B1580">
        <v>8921</v>
      </c>
      <c r="C1580" s="100">
        <v>46133</v>
      </c>
      <c r="D1580" t="s">
        <v>13</v>
      </c>
      <c r="E1580" t="s">
        <v>14</v>
      </c>
      <c r="F1580" t="s">
        <v>1758</v>
      </c>
      <c r="G1580">
        <v>630</v>
      </c>
      <c r="H1580">
        <v>43000</v>
      </c>
      <c r="I1580">
        <v>27090000</v>
      </c>
    </row>
    <row r="1581" spans="1:11" hidden="1" x14ac:dyDescent="0.25">
      <c r="A1581" s="210" t="s">
        <v>1579</v>
      </c>
      <c r="B1581">
        <v>8921</v>
      </c>
      <c r="C1581" s="100">
        <v>46133</v>
      </c>
      <c r="D1581" t="s">
        <v>13</v>
      </c>
      <c r="E1581" t="s">
        <v>43</v>
      </c>
      <c r="F1581" t="s">
        <v>1759</v>
      </c>
      <c r="G1581">
        <v>365</v>
      </c>
      <c r="H1581">
        <v>63000</v>
      </c>
      <c r="I1581">
        <v>22995000</v>
      </c>
    </row>
    <row r="1582" spans="1:11" hidden="1" x14ac:dyDescent="0.25">
      <c r="A1582" s="210" t="s">
        <v>1579</v>
      </c>
      <c r="B1582">
        <v>8921</v>
      </c>
      <c r="C1582" s="100">
        <v>46133</v>
      </c>
      <c r="D1582" t="s">
        <v>13</v>
      </c>
      <c r="E1582" t="s">
        <v>43</v>
      </c>
      <c r="F1582" t="s">
        <v>243</v>
      </c>
      <c r="G1582">
        <v>1612</v>
      </c>
      <c r="H1582">
        <v>61500</v>
      </c>
      <c r="I1582">
        <v>99138000</v>
      </c>
    </row>
    <row r="1583" spans="1:11" hidden="1" x14ac:dyDescent="0.25">
      <c r="A1583" s="210" t="s">
        <v>1579</v>
      </c>
      <c r="B1583">
        <v>8921</v>
      </c>
      <c r="C1583" s="100">
        <v>46133</v>
      </c>
      <c r="D1583" t="s">
        <v>13</v>
      </c>
      <c r="E1583" t="s">
        <v>17</v>
      </c>
      <c r="F1583" t="s">
        <v>78</v>
      </c>
      <c r="G1583">
        <v>536</v>
      </c>
      <c r="H1583">
        <v>62500</v>
      </c>
      <c r="I1583">
        <v>33500000</v>
      </c>
    </row>
    <row r="1584" spans="1:11" hidden="1" x14ac:dyDescent="0.25">
      <c r="A1584" s="210" t="s">
        <v>1490</v>
      </c>
      <c r="B1584">
        <v>8920</v>
      </c>
      <c r="C1584" s="100">
        <v>46133</v>
      </c>
      <c r="D1584" t="s">
        <v>13</v>
      </c>
      <c r="E1584" t="s">
        <v>17</v>
      </c>
      <c r="F1584" t="s">
        <v>25</v>
      </c>
      <c r="G1584">
        <v>398</v>
      </c>
      <c r="H1584">
        <v>61000</v>
      </c>
      <c r="I1584">
        <v>24278000</v>
      </c>
    </row>
    <row r="1585" spans="1:11" hidden="1" x14ac:dyDescent="0.25">
      <c r="A1585" s="210" t="s">
        <v>1490</v>
      </c>
      <c r="B1585">
        <v>8920</v>
      </c>
      <c r="C1585" s="100">
        <v>46133</v>
      </c>
      <c r="D1585" t="s">
        <v>166</v>
      </c>
      <c r="E1585" t="s">
        <v>17</v>
      </c>
      <c r="F1585" t="s">
        <v>25</v>
      </c>
      <c r="G1585">
        <v>194</v>
      </c>
      <c r="H1585">
        <v>-61000</v>
      </c>
      <c r="I1585">
        <v>-11834000</v>
      </c>
    </row>
    <row r="1586" spans="1:11" hidden="1" x14ac:dyDescent="0.25">
      <c r="A1586" s="210" t="s">
        <v>1600</v>
      </c>
      <c r="B1586">
        <v>8919</v>
      </c>
      <c r="C1586" s="100">
        <v>46133</v>
      </c>
      <c r="D1586" t="s">
        <v>13</v>
      </c>
      <c r="E1586" t="s">
        <v>265</v>
      </c>
      <c r="F1586" t="s">
        <v>41</v>
      </c>
      <c r="G1586">
        <v>542</v>
      </c>
      <c r="H1586">
        <v>65000</v>
      </c>
      <c r="I1586">
        <v>35230000</v>
      </c>
    </row>
    <row r="1587" spans="1:11" hidden="1" x14ac:dyDescent="0.25">
      <c r="A1587" s="210" t="s">
        <v>1600</v>
      </c>
      <c r="B1587">
        <v>8919</v>
      </c>
      <c r="C1587" s="100">
        <v>46133</v>
      </c>
      <c r="D1587" t="s">
        <v>13</v>
      </c>
      <c r="E1587" t="s">
        <v>265</v>
      </c>
      <c r="F1587" t="s">
        <v>136</v>
      </c>
      <c r="G1587">
        <v>552</v>
      </c>
      <c r="H1587">
        <v>64000</v>
      </c>
      <c r="I1587">
        <v>35328000</v>
      </c>
    </row>
    <row r="1588" spans="1:11" hidden="1" x14ac:dyDescent="0.25">
      <c r="A1588" s="210" t="s">
        <v>1600</v>
      </c>
      <c r="B1588">
        <v>8919</v>
      </c>
      <c r="C1588" s="100">
        <v>46133</v>
      </c>
      <c r="D1588" t="s">
        <v>13</v>
      </c>
      <c r="E1588" t="s">
        <v>135</v>
      </c>
      <c r="F1588" t="s">
        <v>1756</v>
      </c>
      <c r="G1588">
        <v>1494</v>
      </c>
      <c r="H1588">
        <v>38500</v>
      </c>
      <c r="I1588">
        <v>57519000</v>
      </c>
      <c r="K1588" t="s">
        <v>1757</v>
      </c>
    </row>
    <row r="1589" spans="1:11" hidden="1" x14ac:dyDescent="0.25">
      <c r="A1589" s="210" t="s">
        <v>1476</v>
      </c>
      <c r="B1589">
        <v>8918</v>
      </c>
      <c r="C1589" s="100">
        <v>46133</v>
      </c>
      <c r="D1589" t="s">
        <v>49</v>
      </c>
      <c r="E1589" t="s">
        <v>411</v>
      </c>
      <c r="F1589" t="s">
        <v>122</v>
      </c>
      <c r="G1589">
        <v>258</v>
      </c>
      <c r="I1589">
        <v>0</v>
      </c>
      <c r="K1589" t="s">
        <v>64</v>
      </c>
    </row>
    <row r="1590" spans="1:11" hidden="1" x14ac:dyDescent="0.25">
      <c r="A1590" s="210" t="s">
        <v>1697</v>
      </c>
      <c r="B1590">
        <v>8917</v>
      </c>
      <c r="C1590" s="100">
        <v>46133</v>
      </c>
      <c r="D1590" t="s">
        <v>49</v>
      </c>
      <c r="E1590" t="s">
        <v>26</v>
      </c>
      <c r="F1590" t="s">
        <v>214</v>
      </c>
      <c r="G1590">
        <v>8006</v>
      </c>
      <c r="I1590">
        <v>0</v>
      </c>
      <c r="K1590" t="s">
        <v>1755</v>
      </c>
    </row>
    <row r="1591" spans="1:11" hidden="1" x14ac:dyDescent="0.25">
      <c r="A1591" s="210" t="s">
        <v>1499</v>
      </c>
      <c r="B1591">
        <v>8916</v>
      </c>
      <c r="C1591" s="100">
        <v>46133</v>
      </c>
      <c r="D1591" t="s">
        <v>13</v>
      </c>
      <c r="E1591" t="s">
        <v>43</v>
      </c>
      <c r="F1591" t="s">
        <v>230</v>
      </c>
      <c r="G1591">
        <v>246</v>
      </c>
      <c r="H1591">
        <v>66000</v>
      </c>
      <c r="I1591">
        <v>16236000</v>
      </c>
    </row>
    <row r="1592" spans="1:11" hidden="1" x14ac:dyDescent="0.25">
      <c r="A1592" s="210" t="s">
        <v>1534</v>
      </c>
      <c r="B1592">
        <v>8915</v>
      </c>
      <c r="C1592" s="100">
        <v>46133</v>
      </c>
      <c r="D1592" t="s">
        <v>13</v>
      </c>
      <c r="E1592" t="s">
        <v>192</v>
      </c>
      <c r="F1592" t="s">
        <v>796</v>
      </c>
      <c r="G1592">
        <v>2040</v>
      </c>
      <c r="H1592">
        <v>30000</v>
      </c>
      <c r="I1592">
        <v>61200000</v>
      </c>
    </row>
    <row r="1593" spans="1:11" hidden="1" x14ac:dyDescent="0.25">
      <c r="A1593" s="210" t="s">
        <v>1715</v>
      </c>
      <c r="B1593">
        <v>8914</v>
      </c>
      <c r="C1593" s="100">
        <v>46133</v>
      </c>
      <c r="D1593" t="s">
        <v>13</v>
      </c>
      <c r="E1593" t="s">
        <v>17</v>
      </c>
      <c r="F1593" t="s">
        <v>146</v>
      </c>
      <c r="G1593">
        <v>644</v>
      </c>
      <c r="H1593">
        <v>65000</v>
      </c>
      <c r="I1593">
        <v>41860000</v>
      </c>
    </row>
    <row r="1594" spans="1:11" hidden="1" x14ac:dyDescent="0.25">
      <c r="A1594" s="210" t="s">
        <v>1562</v>
      </c>
      <c r="B1594">
        <v>8913</v>
      </c>
      <c r="C1594" s="100">
        <v>46133</v>
      </c>
      <c r="D1594" t="s">
        <v>13</v>
      </c>
      <c r="E1594" t="s">
        <v>265</v>
      </c>
      <c r="F1594" t="s">
        <v>62</v>
      </c>
      <c r="G1594">
        <v>1040</v>
      </c>
      <c r="H1594">
        <v>68000</v>
      </c>
      <c r="I1594">
        <v>70720000</v>
      </c>
    </row>
    <row r="1595" spans="1:11" hidden="1" x14ac:dyDescent="0.25">
      <c r="A1595" s="210" t="s">
        <v>1562</v>
      </c>
      <c r="B1595">
        <v>8913</v>
      </c>
      <c r="C1595" s="100">
        <v>46133</v>
      </c>
      <c r="D1595" t="s">
        <v>13</v>
      </c>
      <c r="E1595" t="s">
        <v>278</v>
      </c>
      <c r="F1595" t="s">
        <v>136</v>
      </c>
      <c r="G1595">
        <v>808</v>
      </c>
      <c r="H1595">
        <v>69000</v>
      </c>
      <c r="I1595">
        <v>55752000</v>
      </c>
    </row>
    <row r="1596" spans="1:11" hidden="1" x14ac:dyDescent="0.25">
      <c r="A1596" s="210" t="s">
        <v>1524</v>
      </c>
      <c r="B1596">
        <v>8912</v>
      </c>
      <c r="C1596" s="100">
        <v>46133</v>
      </c>
      <c r="D1596" t="s">
        <v>49</v>
      </c>
      <c r="E1596" t="s">
        <v>43</v>
      </c>
      <c r="F1596" t="s">
        <v>148</v>
      </c>
      <c r="G1596">
        <v>5142</v>
      </c>
      <c r="I1596">
        <v>0</v>
      </c>
      <c r="K1596" t="s">
        <v>1754</v>
      </c>
    </row>
    <row r="1597" spans="1:11" hidden="1" x14ac:dyDescent="0.25">
      <c r="A1597" s="210" t="s">
        <v>1677</v>
      </c>
      <c r="B1597">
        <v>8911</v>
      </c>
      <c r="C1597" s="100">
        <v>46132</v>
      </c>
      <c r="D1597" t="s">
        <v>13</v>
      </c>
      <c r="E1597" t="s">
        <v>17</v>
      </c>
      <c r="F1597" t="s">
        <v>230</v>
      </c>
      <c r="G1597">
        <v>12</v>
      </c>
      <c r="H1597">
        <v>68000</v>
      </c>
      <c r="I1597">
        <v>816000</v>
      </c>
    </row>
    <row r="1598" spans="1:11" hidden="1" x14ac:dyDescent="0.25">
      <c r="A1598" s="210" t="s">
        <v>1626</v>
      </c>
      <c r="B1598">
        <v>8910</v>
      </c>
      <c r="C1598" s="100">
        <v>46132</v>
      </c>
      <c r="D1598" t="s">
        <v>13</v>
      </c>
      <c r="E1598" t="s">
        <v>50</v>
      </c>
      <c r="F1598" t="s">
        <v>1753</v>
      </c>
      <c r="G1598">
        <v>1650</v>
      </c>
      <c r="H1598">
        <v>60000</v>
      </c>
      <c r="I1598">
        <v>99000000</v>
      </c>
    </row>
    <row r="1599" spans="1:11" hidden="1" x14ac:dyDescent="0.25">
      <c r="A1599" s="210" t="s">
        <v>1524</v>
      </c>
      <c r="B1599">
        <v>8908</v>
      </c>
      <c r="C1599" s="100">
        <v>46132</v>
      </c>
      <c r="D1599" t="s">
        <v>49</v>
      </c>
      <c r="E1599" t="s">
        <v>17</v>
      </c>
      <c r="F1599" t="s">
        <v>78</v>
      </c>
      <c r="G1599">
        <v>856</v>
      </c>
      <c r="I1599">
        <v>0</v>
      </c>
      <c r="K1599" t="s">
        <v>476</v>
      </c>
    </row>
    <row r="1600" spans="1:11" hidden="1" x14ac:dyDescent="0.25">
      <c r="A1600" s="210" t="s">
        <v>1524</v>
      </c>
      <c r="B1600">
        <v>8908</v>
      </c>
      <c r="C1600" s="100">
        <v>46132</v>
      </c>
      <c r="D1600" t="s">
        <v>49</v>
      </c>
      <c r="E1600" t="s">
        <v>17</v>
      </c>
      <c r="F1600" t="s">
        <v>40</v>
      </c>
      <c r="G1600">
        <v>4933</v>
      </c>
      <c r="I1600">
        <v>0</v>
      </c>
      <c r="K1600" t="s">
        <v>1752</v>
      </c>
    </row>
    <row r="1601" spans="1:11" hidden="1" x14ac:dyDescent="0.25">
      <c r="A1601" s="210" t="s">
        <v>1541</v>
      </c>
      <c r="B1601">
        <v>8907</v>
      </c>
      <c r="C1601" s="100">
        <v>46132</v>
      </c>
      <c r="D1601" t="s">
        <v>13</v>
      </c>
      <c r="E1601" t="s">
        <v>17</v>
      </c>
      <c r="F1601" t="s">
        <v>46</v>
      </c>
      <c r="G1601">
        <v>380</v>
      </c>
      <c r="H1601">
        <v>61000</v>
      </c>
      <c r="I1601">
        <v>23180000</v>
      </c>
      <c r="K1601" t="s">
        <v>42</v>
      </c>
    </row>
    <row r="1602" spans="1:11" hidden="1" x14ac:dyDescent="0.25">
      <c r="A1602" s="210" t="s">
        <v>1541</v>
      </c>
      <c r="B1602">
        <v>8907</v>
      </c>
      <c r="C1602" s="100">
        <v>46132</v>
      </c>
      <c r="D1602" t="s">
        <v>13</v>
      </c>
      <c r="E1602" t="s">
        <v>17</v>
      </c>
      <c r="F1602" t="s">
        <v>25</v>
      </c>
      <c r="G1602">
        <v>412</v>
      </c>
      <c r="H1602">
        <v>61000</v>
      </c>
      <c r="I1602">
        <v>25132000</v>
      </c>
      <c r="K1602" t="s">
        <v>42</v>
      </c>
    </row>
    <row r="1603" spans="1:11" hidden="1" x14ac:dyDescent="0.25">
      <c r="A1603" s="210" t="s">
        <v>1541</v>
      </c>
      <c r="B1603">
        <v>8907</v>
      </c>
      <c r="C1603" s="100">
        <v>46132</v>
      </c>
      <c r="D1603" t="s">
        <v>13</v>
      </c>
      <c r="E1603" t="s">
        <v>17</v>
      </c>
      <c r="F1603" t="s">
        <v>33</v>
      </c>
      <c r="G1603">
        <v>544</v>
      </c>
      <c r="H1603">
        <v>61000</v>
      </c>
      <c r="I1603">
        <v>33184000</v>
      </c>
      <c r="K1603" t="s">
        <v>42</v>
      </c>
    </row>
    <row r="1604" spans="1:11" hidden="1" x14ac:dyDescent="0.25">
      <c r="A1604" s="210" t="s">
        <v>1511</v>
      </c>
      <c r="B1604">
        <v>8906</v>
      </c>
      <c r="C1604" s="100">
        <v>46132</v>
      </c>
      <c r="D1604" t="s">
        <v>13</v>
      </c>
      <c r="E1604" t="s">
        <v>27</v>
      </c>
      <c r="F1604" t="s">
        <v>390</v>
      </c>
      <c r="G1604">
        <v>56</v>
      </c>
      <c r="H1604">
        <v>60000</v>
      </c>
      <c r="I1604">
        <v>3360000</v>
      </c>
      <c r="J1604">
        <v>3360000</v>
      </c>
    </row>
    <row r="1605" spans="1:11" hidden="1" x14ac:dyDescent="0.25">
      <c r="A1605" s="210" t="s">
        <v>1532</v>
      </c>
      <c r="B1605">
        <v>8905</v>
      </c>
      <c r="C1605" s="100">
        <v>46132</v>
      </c>
      <c r="D1605" t="s">
        <v>49</v>
      </c>
      <c r="E1605" t="s">
        <v>43</v>
      </c>
      <c r="F1605" t="s">
        <v>1743</v>
      </c>
      <c r="G1605">
        <v>1280</v>
      </c>
      <c r="I1605">
        <v>0</v>
      </c>
      <c r="K1605" t="s">
        <v>1744</v>
      </c>
    </row>
    <row r="1606" spans="1:11" hidden="1" x14ac:dyDescent="0.25">
      <c r="A1606" s="210" t="s">
        <v>1532</v>
      </c>
      <c r="B1606">
        <v>8905</v>
      </c>
      <c r="C1606" s="100">
        <v>46132</v>
      </c>
      <c r="D1606" t="s">
        <v>49</v>
      </c>
      <c r="E1606" t="s">
        <v>77</v>
      </c>
      <c r="F1606" t="s">
        <v>794</v>
      </c>
      <c r="G1606">
        <v>1340</v>
      </c>
      <c r="I1606">
        <v>0</v>
      </c>
      <c r="K1606" t="s">
        <v>1745</v>
      </c>
    </row>
    <row r="1607" spans="1:11" hidden="1" x14ac:dyDescent="0.25">
      <c r="A1607" s="210" t="s">
        <v>1532</v>
      </c>
      <c r="B1607">
        <v>8905</v>
      </c>
      <c r="C1607" s="100">
        <v>46132</v>
      </c>
      <c r="D1607" t="s">
        <v>49</v>
      </c>
      <c r="E1607" t="s">
        <v>77</v>
      </c>
      <c r="F1607" t="s">
        <v>1746</v>
      </c>
      <c r="G1607">
        <v>1322</v>
      </c>
      <c r="I1607">
        <v>0</v>
      </c>
      <c r="K1607" t="s">
        <v>1747</v>
      </c>
    </row>
    <row r="1608" spans="1:11" hidden="1" x14ac:dyDescent="0.25">
      <c r="A1608" s="210" t="s">
        <v>1532</v>
      </c>
      <c r="B1608">
        <v>8905</v>
      </c>
      <c r="C1608" s="100">
        <v>46132</v>
      </c>
      <c r="D1608" t="s">
        <v>49</v>
      </c>
      <c r="E1608" t="s">
        <v>77</v>
      </c>
      <c r="F1608" t="s">
        <v>1748</v>
      </c>
      <c r="G1608">
        <v>1375</v>
      </c>
      <c r="I1608">
        <v>0</v>
      </c>
      <c r="K1608" t="s">
        <v>1749</v>
      </c>
    </row>
    <row r="1609" spans="1:11" hidden="1" x14ac:dyDescent="0.25">
      <c r="A1609" s="210" t="s">
        <v>1532</v>
      </c>
      <c r="B1609">
        <v>8905</v>
      </c>
      <c r="C1609" s="100">
        <v>46132</v>
      </c>
      <c r="D1609" t="s">
        <v>49</v>
      </c>
      <c r="E1609" t="s">
        <v>77</v>
      </c>
      <c r="F1609" t="s">
        <v>1750</v>
      </c>
      <c r="G1609">
        <v>2388</v>
      </c>
      <c r="I1609">
        <v>0</v>
      </c>
      <c r="K1609" t="s">
        <v>1751</v>
      </c>
    </row>
    <row r="1610" spans="1:11" hidden="1" x14ac:dyDescent="0.25">
      <c r="A1610" s="210" t="s">
        <v>1490</v>
      </c>
      <c r="B1610">
        <v>8904</v>
      </c>
      <c r="C1610" s="100">
        <v>46132</v>
      </c>
      <c r="D1610" t="s">
        <v>13</v>
      </c>
      <c r="E1610" t="s">
        <v>17</v>
      </c>
      <c r="F1610" t="s">
        <v>25</v>
      </c>
      <c r="G1610">
        <v>404</v>
      </c>
      <c r="H1610">
        <v>61000</v>
      </c>
      <c r="I1610">
        <v>24644000</v>
      </c>
    </row>
    <row r="1611" spans="1:11" hidden="1" x14ac:dyDescent="0.25">
      <c r="A1611" s="210" t="s">
        <v>1524</v>
      </c>
      <c r="B1611">
        <v>8903</v>
      </c>
      <c r="C1611" s="100">
        <v>46132</v>
      </c>
      <c r="D1611" t="s">
        <v>49</v>
      </c>
      <c r="E1611" t="s">
        <v>17</v>
      </c>
      <c r="F1611" t="s">
        <v>251</v>
      </c>
      <c r="G1611">
        <v>616</v>
      </c>
      <c r="I1611">
        <v>0</v>
      </c>
      <c r="K1611" t="s">
        <v>1740</v>
      </c>
    </row>
    <row r="1612" spans="1:11" hidden="1" x14ac:dyDescent="0.25">
      <c r="A1612" s="210" t="s">
        <v>1524</v>
      </c>
      <c r="B1612">
        <v>8903</v>
      </c>
      <c r="C1612" s="100">
        <v>46132</v>
      </c>
      <c r="D1612" t="s">
        <v>49</v>
      </c>
      <c r="E1612" t="s">
        <v>17</v>
      </c>
      <c r="F1612" t="s">
        <v>136</v>
      </c>
      <c r="G1612">
        <v>812</v>
      </c>
      <c r="I1612">
        <v>0</v>
      </c>
      <c r="K1612" t="s">
        <v>1741</v>
      </c>
    </row>
    <row r="1613" spans="1:11" hidden="1" x14ac:dyDescent="0.25">
      <c r="A1613" s="210" t="s">
        <v>1524</v>
      </c>
      <c r="B1613">
        <v>8903</v>
      </c>
      <c r="C1613" s="100">
        <v>46132</v>
      </c>
      <c r="D1613" t="s">
        <v>49</v>
      </c>
      <c r="E1613" t="s">
        <v>26</v>
      </c>
      <c r="F1613" t="s">
        <v>446</v>
      </c>
      <c r="G1613">
        <v>451</v>
      </c>
      <c r="I1613">
        <v>0</v>
      </c>
      <c r="K1613" t="s">
        <v>1742</v>
      </c>
    </row>
    <row r="1614" spans="1:11" hidden="1" x14ac:dyDescent="0.25">
      <c r="A1614" s="210" t="s">
        <v>2016</v>
      </c>
      <c r="B1614">
        <v>8903</v>
      </c>
      <c r="C1614" s="100">
        <v>46111</v>
      </c>
      <c r="D1614" t="s">
        <v>692</v>
      </c>
      <c r="E1614" t="s">
        <v>26</v>
      </c>
      <c r="F1614" t="s">
        <v>254</v>
      </c>
      <c r="G1614">
        <v>4285</v>
      </c>
      <c r="H1614">
        <v>-35500</v>
      </c>
      <c r="I1614">
        <v>-152117500</v>
      </c>
    </row>
    <row r="1615" spans="1:11" hidden="1" x14ac:dyDescent="0.25">
      <c r="A1615" s="210" t="s">
        <v>1530</v>
      </c>
      <c r="B1615">
        <v>8902</v>
      </c>
      <c r="C1615" s="100">
        <v>46132</v>
      </c>
      <c r="D1615" t="s">
        <v>13</v>
      </c>
      <c r="E1615" t="s">
        <v>1739</v>
      </c>
      <c r="F1615" t="s">
        <v>283</v>
      </c>
      <c r="G1615">
        <v>5188</v>
      </c>
      <c r="H1615">
        <v>36500</v>
      </c>
      <c r="I1615">
        <v>189362000</v>
      </c>
    </row>
    <row r="1616" spans="1:11" hidden="1" x14ac:dyDescent="0.25">
      <c r="A1616" s="210" t="s">
        <v>1580</v>
      </c>
      <c r="B1616">
        <v>8901</v>
      </c>
      <c r="C1616" s="100">
        <v>46132</v>
      </c>
      <c r="D1616" t="s">
        <v>13</v>
      </c>
      <c r="E1616" t="s">
        <v>17</v>
      </c>
      <c r="F1616" t="s">
        <v>33</v>
      </c>
      <c r="G1616">
        <v>1810</v>
      </c>
      <c r="H1616">
        <v>61000</v>
      </c>
      <c r="I1616">
        <v>110410000</v>
      </c>
      <c r="K1616" t="s">
        <v>42</v>
      </c>
    </row>
    <row r="1617" spans="1:11" hidden="1" x14ac:dyDescent="0.25">
      <c r="A1617" s="210" t="s">
        <v>1579</v>
      </c>
      <c r="B1617">
        <v>8899</v>
      </c>
      <c r="C1617" s="100">
        <v>46132</v>
      </c>
      <c r="D1617" t="s">
        <v>13</v>
      </c>
      <c r="E1617" t="s">
        <v>43</v>
      </c>
      <c r="F1617" t="s">
        <v>203</v>
      </c>
      <c r="G1617">
        <v>2976</v>
      </c>
      <c r="H1617">
        <v>58000</v>
      </c>
      <c r="I1617">
        <v>172608000</v>
      </c>
    </row>
    <row r="1618" spans="1:11" hidden="1" x14ac:dyDescent="0.25">
      <c r="A1618" s="210" t="s">
        <v>1558</v>
      </c>
      <c r="B1618">
        <v>8898</v>
      </c>
      <c r="C1618" s="100">
        <v>46132</v>
      </c>
      <c r="D1618" t="s">
        <v>13</v>
      </c>
      <c r="E1618" t="s">
        <v>301</v>
      </c>
      <c r="F1618" t="s">
        <v>1738</v>
      </c>
      <c r="G1618">
        <v>19100</v>
      </c>
      <c r="H1618">
        <v>24000</v>
      </c>
      <c r="I1618">
        <v>458400000</v>
      </c>
    </row>
    <row r="1619" spans="1:11" hidden="1" x14ac:dyDescent="0.25">
      <c r="A1619" s="210" t="s">
        <v>1696</v>
      </c>
      <c r="B1619">
        <v>8896</v>
      </c>
      <c r="C1619" s="100">
        <v>46132</v>
      </c>
      <c r="D1619" t="s">
        <v>13</v>
      </c>
      <c r="E1619" t="s">
        <v>50</v>
      </c>
      <c r="F1619" t="s">
        <v>1109</v>
      </c>
      <c r="G1619">
        <v>176</v>
      </c>
      <c r="H1619">
        <v>63000</v>
      </c>
      <c r="I1619">
        <v>11088000</v>
      </c>
    </row>
    <row r="1620" spans="1:11" hidden="1" x14ac:dyDescent="0.25">
      <c r="A1620" s="210" t="s">
        <v>1696</v>
      </c>
      <c r="B1620">
        <v>8896</v>
      </c>
      <c r="C1620" s="100">
        <v>46132</v>
      </c>
      <c r="D1620" t="s">
        <v>13</v>
      </c>
      <c r="E1620" t="s">
        <v>50</v>
      </c>
      <c r="F1620" t="s">
        <v>136</v>
      </c>
      <c r="G1620">
        <v>118</v>
      </c>
      <c r="H1620">
        <v>67000</v>
      </c>
      <c r="I1620">
        <v>7906000</v>
      </c>
    </row>
    <row r="1621" spans="1:11" hidden="1" x14ac:dyDescent="0.25">
      <c r="A1621" s="210" t="s">
        <v>1696</v>
      </c>
      <c r="B1621">
        <v>8896</v>
      </c>
      <c r="C1621" s="100">
        <v>46132</v>
      </c>
      <c r="D1621" t="s">
        <v>13</v>
      </c>
      <c r="E1621" t="s">
        <v>170</v>
      </c>
      <c r="F1621" t="s">
        <v>146</v>
      </c>
      <c r="G1621">
        <v>132</v>
      </c>
      <c r="H1621">
        <v>66000</v>
      </c>
      <c r="I1621">
        <v>8712000</v>
      </c>
    </row>
    <row r="1622" spans="1:11" hidden="1" x14ac:dyDescent="0.25">
      <c r="A1622" s="210" t="s">
        <v>1696</v>
      </c>
      <c r="B1622">
        <v>8896</v>
      </c>
      <c r="C1622" s="100">
        <v>46132</v>
      </c>
      <c r="D1622" t="s">
        <v>13</v>
      </c>
      <c r="E1622" t="s">
        <v>169</v>
      </c>
      <c r="F1622" t="s">
        <v>136</v>
      </c>
      <c r="G1622">
        <v>132</v>
      </c>
      <c r="H1622">
        <v>38500</v>
      </c>
      <c r="I1622">
        <v>5082000</v>
      </c>
      <c r="J1622">
        <v>138</v>
      </c>
    </row>
    <row r="1623" spans="1:11" hidden="1" x14ac:dyDescent="0.25">
      <c r="A1623" s="210" t="s">
        <v>1504</v>
      </c>
      <c r="B1623">
        <v>8895</v>
      </c>
      <c r="C1623" s="100">
        <v>46132</v>
      </c>
      <c r="D1623" t="s">
        <v>13</v>
      </c>
      <c r="E1623" t="s">
        <v>26</v>
      </c>
      <c r="F1623" t="s">
        <v>78</v>
      </c>
      <c r="G1623">
        <v>1186</v>
      </c>
      <c r="H1623">
        <v>37000</v>
      </c>
      <c r="I1623">
        <v>43882000</v>
      </c>
    </row>
    <row r="1624" spans="1:11" hidden="1" x14ac:dyDescent="0.25">
      <c r="A1624" s="210" t="s">
        <v>1504</v>
      </c>
      <c r="B1624">
        <v>8895</v>
      </c>
      <c r="C1624" s="100">
        <v>46132</v>
      </c>
      <c r="D1624" t="s">
        <v>13</v>
      </c>
      <c r="E1624" t="s">
        <v>26</v>
      </c>
      <c r="F1624" t="s">
        <v>1736</v>
      </c>
      <c r="G1624">
        <v>486</v>
      </c>
      <c r="H1624">
        <v>39000</v>
      </c>
      <c r="I1624">
        <v>18954000</v>
      </c>
    </row>
    <row r="1625" spans="1:11" hidden="1" x14ac:dyDescent="0.25">
      <c r="A1625" s="210" t="s">
        <v>1504</v>
      </c>
      <c r="B1625">
        <v>8895</v>
      </c>
      <c r="C1625" s="100">
        <v>46132</v>
      </c>
      <c r="D1625" t="s">
        <v>13</v>
      </c>
      <c r="E1625" t="s">
        <v>1737</v>
      </c>
      <c r="F1625" t="s">
        <v>117</v>
      </c>
      <c r="G1625">
        <v>218</v>
      </c>
      <c r="H1625">
        <v>72000</v>
      </c>
      <c r="I1625">
        <v>15696000</v>
      </c>
    </row>
    <row r="1626" spans="1:11" hidden="1" x14ac:dyDescent="0.25">
      <c r="A1626" s="210" t="s">
        <v>1511</v>
      </c>
      <c r="B1626">
        <v>8892</v>
      </c>
      <c r="C1626" s="100">
        <v>46130</v>
      </c>
      <c r="D1626" t="s">
        <v>13</v>
      </c>
      <c r="E1626" t="s">
        <v>27</v>
      </c>
      <c r="F1626" t="s">
        <v>116</v>
      </c>
      <c r="G1626">
        <v>44</v>
      </c>
      <c r="H1626">
        <v>65000</v>
      </c>
      <c r="I1626">
        <v>2860000</v>
      </c>
      <c r="J1626">
        <v>2860000</v>
      </c>
    </row>
    <row r="1627" spans="1:11" hidden="1" x14ac:dyDescent="0.25">
      <c r="A1627" s="210" t="s">
        <v>1511</v>
      </c>
      <c r="B1627">
        <v>8892</v>
      </c>
      <c r="C1627" s="100">
        <v>46130</v>
      </c>
      <c r="D1627" t="s">
        <v>13</v>
      </c>
      <c r="E1627" t="s">
        <v>411</v>
      </c>
      <c r="F1627" t="s">
        <v>288</v>
      </c>
      <c r="G1627">
        <v>20</v>
      </c>
      <c r="H1627">
        <v>40000</v>
      </c>
      <c r="I1627">
        <v>800000</v>
      </c>
      <c r="J1627">
        <v>800000</v>
      </c>
    </row>
    <row r="1628" spans="1:11" hidden="1" x14ac:dyDescent="0.25">
      <c r="A1628" s="210" t="s">
        <v>1538</v>
      </c>
      <c r="B1628">
        <v>8891</v>
      </c>
      <c r="C1628" s="100">
        <v>46130</v>
      </c>
      <c r="D1628" t="s">
        <v>13</v>
      </c>
      <c r="E1628" t="s">
        <v>14</v>
      </c>
      <c r="F1628" t="s">
        <v>449</v>
      </c>
      <c r="G1628">
        <v>202</v>
      </c>
      <c r="H1628">
        <v>43000</v>
      </c>
      <c r="I1628">
        <v>8686000</v>
      </c>
    </row>
    <row r="1629" spans="1:11" hidden="1" x14ac:dyDescent="0.25">
      <c r="A1629" s="210" t="s">
        <v>2016</v>
      </c>
      <c r="B1629">
        <v>8891</v>
      </c>
      <c r="C1629" s="100">
        <v>46109</v>
      </c>
      <c r="D1629" t="s">
        <v>692</v>
      </c>
      <c r="E1629" t="s">
        <v>26</v>
      </c>
      <c r="F1629" t="s">
        <v>1288</v>
      </c>
      <c r="G1629">
        <v>2384</v>
      </c>
      <c r="H1629">
        <v>-35000</v>
      </c>
      <c r="I1629">
        <v>-83440000</v>
      </c>
    </row>
    <row r="1630" spans="1:11" hidden="1" x14ac:dyDescent="0.25">
      <c r="A1630" s="210" t="s">
        <v>1568</v>
      </c>
      <c r="B1630">
        <v>8890</v>
      </c>
      <c r="C1630" s="100">
        <v>46130</v>
      </c>
      <c r="D1630" t="s">
        <v>13</v>
      </c>
      <c r="E1630" t="s">
        <v>17</v>
      </c>
      <c r="F1630" t="s">
        <v>38</v>
      </c>
      <c r="G1630">
        <v>1330</v>
      </c>
      <c r="H1630">
        <v>60000</v>
      </c>
      <c r="I1630">
        <v>79800000</v>
      </c>
      <c r="K1630" t="s">
        <v>231</v>
      </c>
    </row>
    <row r="1631" spans="1:11" hidden="1" x14ac:dyDescent="0.25">
      <c r="A1631" s="210" t="s">
        <v>1567</v>
      </c>
      <c r="B1631">
        <v>8889</v>
      </c>
      <c r="C1631" s="100">
        <v>46130</v>
      </c>
      <c r="D1631" t="s">
        <v>13</v>
      </c>
      <c r="E1631" t="s">
        <v>17</v>
      </c>
      <c r="F1631" t="s">
        <v>953</v>
      </c>
      <c r="G1631">
        <v>1064</v>
      </c>
      <c r="H1631">
        <v>60000</v>
      </c>
      <c r="I1631">
        <v>63840000</v>
      </c>
      <c r="K1631" t="s">
        <v>231</v>
      </c>
    </row>
    <row r="1632" spans="1:11" hidden="1" x14ac:dyDescent="0.25">
      <c r="A1632" s="210" t="s">
        <v>1541</v>
      </c>
      <c r="B1632">
        <v>8888</v>
      </c>
      <c r="C1632" s="100">
        <v>46130</v>
      </c>
      <c r="D1632" t="s">
        <v>13</v>
      </c>
      <c r="E1632" t="s">
        <v>43</v>
      </c>
      <c r="F1632" t="s">
        <v>185</v>
      </c>
      <c r="G1632">
        <v>500</v>
      </c>
      <c r="H1632">
        <v>59500</v>
      </c>
      <c r="I1632">
        <v>29750000</v>
      </c>
    </row>
    <row r="1633" spans="1:11" hidden="1" x14ac:dyDescent="0.25">
      <c r="A1633" s="210" t="s">
        <v>1511</v>
      </c>
      <c r="B1633">
        <v>8887</v>
      </c>
      <c r="C1633" s="100">
        <v>46130</v>
      </c>
      <c r="D1633" t="s">
        <v>13</v>
      </c>
      <c r="E1633" t="s">
        <v>17</v>
      </c>
      <c r="F1633" t="s">
        <v>78</v>
      </c>
      <c r="G1633">
        <v>106</v>
      </c>
      <c r="H1633">
        <v>66000</v>
      </c>
      <c r="I1633">
        <v>6996000</v>
      </c>
      <c r="J1633">
        <v>6996000</v>
      </c>
      <c r="K1633" t="s">
        <v>410</v>
      </c>
    </row>
    <row r="1634" spans="1:11" hidden="1" x14ac:dyDescent="0.25">
      <c r="A1634" s="210" t="s">
        <v>1511</v>
      </c>
      <c r="B1634">
        <v>8887</v>
      </c>
      <c r="C1634" s="100">
        <v>46130</v>
      </c>
      <c r="D1634" t="s">
        <v>13</v>
      </c>
      <c r="E1634" t="s">
        <v>26</v>
      </c>
      <c r="F1634" t="s">
        <v>41</v>
      </c>
      <c r="G1634">
        <v>462</v>
      </c>
      <c r="H1634">
        <v>35000</v>
      </c>
      <c r="I1634">
        <v>16170000</v>
      </c>
      <c r="J1634">
        <v>16170000</v>
      </c>
      <c r="K1634" t="s">
        <v>410</v>
      </c>
    </row>
    <row r="1635" spans="1:11" hidden="1" x14ac:dyDescent="0.25">
      <c r="A1635" s="210" t="s">
        <v>1554</v>
      </c>
      <c r="B1635">
        <v>8886</v>
      </c>
      <c r="C1635" s="100">
        <v>46130</v>
      </c>
      <c r="D1635" t="s">
        <v>13</v>
      </c>
      <c r="E1635" t="s">
        <v>17</v>
      </c>
      <c r="F1635" t="s">
        <v>41</v>
      </c>
      <c r="G1635">
        <v>316</v>
      </c>
      <c r="H1635">
        <v>62000</v>
      </c>
      <c r="I1635">
        <v>19592000</v>
      </c>
      <c r="K1635" t="s">
        <v>231</v>
      </c>
    </row>
    <row r="1636" spans="1:11" hidden="1" x14ac:dyDescent="0.25">
      <c r="A1636" s="210" t="s">
        <v>1593</v>
      </c>
      <c r="B1636">
        <v>8885</v>
      </c>
      <c r="C1636" s="100">
        <v>46130</v>
      </c>
      <c r="D1636" t="s">
        <v>13</v>
      </c>
      <c r="E1636" t="s">
        <v>265</v>
      </c>
      <c r="F1636" t="s">
        <v>136</v>
      </c>
      <c r="G1636">
        <v>1248</v>
      </c>
      <c r="H1636">
        <v>65500</v>
      </c>
      <c r="I1636">
        <v>81744000</v>
      </c>
    </row>
    <row r="1637" spans="1:11" hidden="1" x14ac:dyDescent="0.25">
      <c r="A1637" s="210" t="s">
        <v>1579</v>
      </c>
      <c r="B1637">
        <v>8884</v>
      </c>
      <c r="C1637" s="100">
        <v>46130</v>
      </c>
      <c r="D1637" t="s">
        <v>13</v>
      </c>
      <c r="E1637" t="s">
        <v>17</v>
      </c>
      <c r="F1637" t="s">
        <v>62</v>
      </c>
      <c r="G1637">
        <v>414</v>
      </c>
      <c r="H1637">
        <v>65500</v>
      </c>
      <c r="I1637">
        <v>27117000</v>
      </c>
    </row>
    <row r="1638" spans="1:11" hidden="1" x14ac:dyDescent="0.25">
      <c r="A1638" s="210" t="s">
        <v>1579</v>
      </c>
      <c r="B1638">
        <v>8884</v>
      </c>
      <c r="C1638" s="100">
        <v>46130</v>
      </c>
      <c r="D1638" t="s">
        <v>13</v>
      </c>
      <c r="E1638" t="s">
        <v>17</v>
      </c>
      <c r="F1638" t="s">
        <v>221</v>
      </c>
      <c r="G1638">
        <v>1598</v>
      </c>
      <c r="H1638">
        <v>58000</v>
      </c>
      <c r="I1638">
        <v>92684000</v>
      </c>
    </row>
    <row r="1639" spans="1:11" hidden="1" x14ac:dyDescent="0.25">
      <c r="A1639" s="210" t="s">
        <v>1579</v>
      </c>
      <c r="B1639">
        <v>8884</v>
      </c>
      <c r="C1639" s="100">
        <v>46130</v>
      </c>
      <c r="D1639" t="s">
        <v>13</v>
      </c>
      <c r="E1639" t="s">
        <v>17</v>
      </c>
      <c r="F1639" t="s">
        <v>993</v>
      </c>
      <c r="G1639">
        <v>4072</v>
      </c>
      <c r="H1639">
        <v>56500</v>
      </c>
      <c r="I1639">
        <v>230068000</v>
      </c>
    </row>
    <row r="1640" spans="1:11" hidden="1" x14ac:dyDescent="0.25">
      <c r="A1640" s="210" t="s">
        <v>1579</v>
      </c>
      <c r="B1640">
        <v>8884</v>
      </c>
      <c r="C1640" s="100">
        <v>46130</v>
      </c>
      <c r="D1640" t="s">
        <v>13</v>
      </c>
      <c r="E1640" t="s">
        <v>17</v>
      </c>
      <c r="F1640" t="s">
        <v>995</v>
      </c>
      <c r="G1640">
        <v>1670</v>
      </c>
      <c r="H1640">
        <v>56500</v>
      </c>
      <c r="I1640">
        <v>94355000</v>
      </c>
    </row>
    <row r="1641" spans="1:11" hidden="1" x14ac:dyDescent="0.25">
      <c r="A1641" s="210" t="s">
        <v>1524</v>
      </c>
      <c r="B1641">
        <v>8883</v>
      </c>
      <c r="C1641" s="100">
        <v>46130</v>
      </c>
      <c r="D1641" t="s">
        <v>49</v>
      </c>
      <c r="E1641" t="s">
        <v>135</v>
      </c>
      <c r="F1641" t="s">
        <v>62</v>
      </c>
      <c r="G1641">
        <v>3620</v>
      </c>
      <c r="I1641">
        <v>0</v>
      </c>
      <c r="K1641" t="s">
        <v>635</v>
      </c>
    </row>
    <row r="1642" spans="1:11" hidden="1" x14ac:dyDescent="0.25">
      <c r="A1642" s="210" t="s">
        <v>1610</v>
      </c>
      <c r="B1642">
        <v>8881</v>
      </c>
      <c r="C1642" s="100">
        <v>46130</v>
      </c>
      <c r="D1642" t="s">
        <v>13</v>
      </c>
      <c r="E1642" t="s">
        <v>26</v>
      </c>
      <c r="F1642" t="s">
        <v>1151</v>
      </c>
      <c r="G1642">
        <v>1439</v>
      </c>
      <c r="H1642">
        <v>33000</v>
      </c>
      <c r="I1642">
        <v>47487000</v>
      </c>
    </row>
    <row r="1643" spans="1:11" hidden="1" x14ac:dyDescent="0.25">
      <c r="A1643" s="210" t="s">
        <v>1610</v>
      </c>
      <c r="B1643">
        <v>8881</v>
      </c>
      <c r="C1643" s="100">
        <v>46130</v>
      </c>
      <c r="D1643" t="s">
        <v>13</v>
      </c>
      <c r="E1643" t="s">
        <v>26</v>
      </c>
      <c r="F1643" t="s">
        <v>1152</v>
      </c>
      <c r="G1643">
        <v>1928</v>
      </c>
      <c r="H1643">
        <v>33000</v>
      </c>
      <c r="I1643">
        <v>63624000</v>
      </c>
    </row>
    <row r="1644" spans="1:11" hidden="1" x14ac:dyDescent="0.25">
      <c r="A1644" s="210" t="s">
        <v>1609</v>
      </c>
      <c r="B1644">
        <v>8880</v>
      </c>
      <c r="C1644" s="100">
        <v>46130</v>
      </c>
      <c r="D1644" t="s">
        <v>13</v>
      </c>
      <c r="E1644" t="s">
        <v>643</v>
      </c>
      <c r="F1644" t="s">
        <v>62</v>
      </c>
      <c r="G1644">
        <v>2824</v>
      </c>
      <c r="H1644">
        <v>38000</v>
      </c>
      <c r="I1644">
        <v>107312000</v>
      </c>
      <c r="K1644" t="s">
        <v>1144</v>
      </c>
    </row>
    <row r="1645" spans="1:11" hidden="1" x14ac:dyDescent="0.25">
      <c r="A1645" s="210" t="s">
        <v>1524</v>
      </c>
      <c r="B1645">
        <v>8879</v>
      </c>
      <c r="C1645" s="100">
        <v>46130</v>
      </c>
      <c r="D1645" t="s">
        <v>49</v>
      </c>
      <c r="E1645" t="s">
        <v>26</v>
      </c>
      <c r="F1645" t="s">
        <v>78</v>
      </c>
      <c r="G1645">
        <v>5014</v>
      </c>
      <c r="I1645">
        <v>0</v>
      </c>
      <c r="K1645" t="s">
        <v>634</v>
      </c>
    </row>
    <row r="1646" spans="1:11" hidden="1" x14ac:dyDescent="0.25">
      <c r="A1646" s="210" t="s">
        <v>1633</v>
      </c>
      <c r="B1646">
        <v>8878</v>
      </c>
      <c r="C1646" s="100">
        <v>46130</v>
      </c>
      <c r="D1646" t="s">
        <v>13</v>
      </c>
      <c r="E1646" t="s">
        <v>252</v>
      </c>
      <c r="F1646" t="s">
        <v>41</v>
      </c>
      <c r="G1646">
        <v>578</v>
      </c>
      <c r="H1646">
        <v>37500</v>
      </c>
      <c r="I1646">
        <v>21675000</v>
      </c>
    </row>
    <row r="1647" spans="1:11" hidden="1" x14ac:dyDescent="0.25">
      <c r="A1647" s="210" t="s">
        <v>1633</v>
      </c>
      <c r="B1647">
        <v>8878</v>
      </c>
      <c r="C1647" s="100">
        <v>46130</v>
      </c>
      <c r="D1647" t="s">
        <v>13</v>
      </c>
      <c r="E1647" t="s">
        <v>17</v>
      </c>
      <c r="F1647" t="s">
        <v>41</v>
      </c>
      <c r="G1647">
        <v>154</v>
      </c>
      <c r="H1647">
        <v>65000</v>
      </c>
      <c r="I1647">
        <v>10010000</v>
      </c>
    </row>
    <row r="1648" spans="1:11" hidden="1" x14ac:dyDescent="0.25">
      <c r="A1648" s="210" t="s">
        <v>1633</v>
      </c>
      <c r="B1648">
        <v>8878</v>
      </c>
      <c r="C1648" s="100">
        <v>46130</v>
      </c>
      <c r="D1648" t="s">
        <v>13</v>
      </c>
      <c r="E1648" t="s">
        <v>26</v>
      </c>
      <c r="F1648" t="s">
        <v>1223</v>
      </c>
      <c r="G1648">
        <v>1450</v>
      </c>
      <c r="H1648">
        <v>35000</v>
      </c>
      <c r="I1648">
        <v>50750000</v>
      </c>
    </row>
    <row r="1649" spans="1:11" hidden="1" x14ac:dyDescent="0.25">
      <c r="A1649" s="210" t="s">
        <v>2548</v>
      </c>
      <c r="B1649">
        <v>8877</v>
      </c>
      <c r="C1649" s="100">
        <v>46130</v>
      </c>
      <c r="D1649" t="s">
        <v>13</v>
      </c>
      <c r="E1649" t="s">
        <v>1029</v>
      </c>
      <c r="F1649" t="s">
        <v>1160</v>
      </c>
      <c r="G1649">
        <v>20154</v>
      </c>
      <c r="H1649">
        <v>30000</v>
      </c>
      <c r="I1649">
        <v>604620000</v>
      </c>
    </row>
    <row r="1650" spans="1:11" hidden="1" x14ac:dyDescent="0.25">
      <c r="A1650" s="210" t="s">
        <v>2548</v>
      </c>
      <c r="B1650">
        <v>8876</v>
      </c>
      <c r="C1650" s="100">
        <v>46130</v>
      </c>
      <c r="D1650" t="s">
        <v>13</v>
      </c>
      <c r="E1650" t="s">
        <v>195</v>
      </c>
      <c r="F1650" t="s">
        <v>682</v>
      </c>
      <c r="G1650">
        <v>1010</v>
      </c>
      <c r="H1650">
        <v>30000</v>
      </c>
      <c r="I1650">
        <v>30300000</v>
      </c>
    </row>
    <row r="1651" spans="1:11" hidden="1" x14ac:dyDescent="0.25">
      <c r="A1651" s="210" t="s">
        <v>2548</v>
      </c>
      <c r="B1651">
        <v>8876</v>
      </c>
      <c r="C1651" s="100">
        <v>46130</v>
      </c>
      <c r="D1651" t="s">
        <v>13</v>
      </c>
      <c r="E1651" t="s">
        <v>1029</v>
      </c>
      <c r="F1651" t="s">
        <v>1160</v>
      </c>
      <c r="G1651">
        <v>7044</v>
      </c>
      <c r="H1651">
        <v>30000</v>
      </c>
      <c r="I1651">
        <v>211320000</v>
      </c>
    </row>
    <row r="1652" spans="1:11" hidden="1" x14ac:dyDescent="0.25">
      <c r="A1652" s="210" t="s">
        <v>1672</v>
      </c>
      <c r="B1652">
        <v>8876</v>
      </c>
      <c r="C1652" s="100">
        <v>46129</v>
      </c>
      <c r="D1652" t="s">
        <v>84</v>
      </c>
      <c r="E1652" t="s">
        <v>109</v>
      </c>
      <c r="F1652" t="s">
        <v>1324</v>
      </c>
      <c r="G1652">
        <v>1364</v>
      </c>
      <c r="H1652">
        <v>-500</v>
      </c>
      <c r="I1652">
        <v>-682000</v>
      </c>
    </row>
    <row r="1653" spans="1:11" hidden="1" x14ac:dyDescent="0.25">
      <c r="A1653" s="210" t="s">
        <v>1672</v>
      </c>
      <c r="B1653">
        <v>8876</v>
      </c>
      <c r="C1653" s="100">
        <v>46129</v>
      </c>
      <c r="D1653" t="s">
        <v>84</v>
      </c>
      <c r="E1653" t="s">
        <v>109</v>
      </c>
      <c r="F1653" t="s">
        <v>1324</v>
      </c>
      <c r="G1653">
        <v>3602</v>
      </c>
      <c r="H1653">
        <v>-500</v>
      </c>
      <c r="I1653">
        <v>-1801000</v>
      </c>
    </row>
    <row r="1654" spans="1:11" hidden="1" x14ac:dyDescent="0.25">
      <c r="A1654" s="210" t="s">
        <v>1582</v>
      </c>
      <c r="B1654">
        <v>8875</v>
      </c>
      <c r="C1654" s="100">
        <v>46130</v>
      </c>
      <c r="D1654" t="s">
        <v>13</v>
      </c>
      <c r="E1654" t="s">
        <v>26</v>
      </c>
      <c r="F1654" t="s">
        <v>200</v>
      </c>
      <c r="G1654">
        <v>1792</v>
      </c>
      <c r="H1654">
        <v>35000</v>
      </c>
      <c r="I1654">
        <v>62720000</v>
      </c>
    </row>
    <row r="1655" spans="1:11" hidden="1" x14ac:dyDescent="0.25">
      <c r="A1655" s="210" t="s">
        <v>1689</v>
      </c>
      <c r="B1655">
        <v>8874</v>
      </c>
      <c r="C1655" s="100">
        <v>46130</v>
      </c>
      <c r="D1655" t="s">
        <v>13</v>
      </c>
      <c r="E1655" t="s">
        <v>170</v>
      </c>
      <c r="F1655" t="s">
        <v>1213</v>
      </c>
      <c r="G1655">
        <v>436</v>
      </c>
      <c r="H1655">
        <v>65000</v>
      </c>
      <c r="I1655">
        <v>28340000</v>
      </c>
    </row>
    <row r="1656" spans="1:11" hidden="1" x14ac:dyDescent="0.25">
      <c r="A1656" s="210" t="s">
        <v>1572</v>
      </c>
      <c r="B1656">
        <v>8872</v>
      </c>
      <c r="C1656" s="100">
        <v>46130</v>
      </c>
      <c r="D1656" t="s">
        <v>13</v>
      </c>
      <c r="E1656" t="s">
        <v>14</v>
      </c>
      <c r="F1656" t="s">
        <v>41</v>
      </c>
      <c r="G1656">
        <v>1568</v>
      </c>
      <c r="H1656">
        <v>41500</v>
      </c>
      <c r="I1656">
        <v>65072000</v>
      </c>
    </row>
    <row r="1657" spans="1:11" hidden="1" x14ac:dyDescent="0.25">
      <c r="A1657" s="210" t="s">
        <v>1509</v>
      </c>
      <c r="B1657">
        <v>8871</v>
      </c>
      <c r="C1657" s="100">
        <v>46130</v>
      </c>
      <c r="D1657" t="s">
        <v>13</v>
      </c>
      <c r="E1657" t="s">
        <v>17</v>
      </c>
      <c r="F1657" t="s">
        <v>136</v>
      </c>
      <c r="G1657">
        <v>826</v>
      </c>
      <c r="H1657">
        <v>59000</v>
      </c>
      <c r="I1657">
        <v>48734000</v>
      </c>
    </row>
    <row r="1658" spans="1:11" hidden="1" x14ac:dyDescent="0.25">
      <c r="A1658" s="210" t="s">
        <v>1509</v>
      </c>
      <c r="B1658">
        <v>8871</v>
      </c>
      <c r="C1658" s="100">
        <v>46130</v>
      </c>
      <c r="D1658" t="s">
        <v>13</v>
      </c>
      <c r="E1658" t="s">
        <v>17</v>
      </c>
      <c r="F1658" t="s">
        <v>62</v>
      </c>
      <c r="G1658">
        <v>190</v>
      </c>
      <c r="H1658">
        <v>0</v>
      </c>
      <c r="I1658">
        <v>0</v>
      </c>
      <c r="K1658" t="s">
        <v>374</v>
      </c>
    </row>
    <row r="1659" spans="1:11" hidden="1" x14ac:dyDescent="0.25">
      <c r="A1659" s="210" t="s">
        <v>1524</v>
      </c>
      <c r="B1659">
        <v>8869</v>
      </c>
      <c r="C1659" s="100">
        <v>46130</v>
      </c>
      <c r="D1659" t="s">
        <v>49</v>
      </c>
      <c r="E1659" t="s">
        <v>26</v>
      </c>
      <c r="F1659" t="s">
        <v>62</v>
      </c>
      <c r="G1659">
        <v>2826</v>
      </c>
      <c r="I1659">
        <v>0</v>
      </c>
      <c r="K1659" t="s">
        <v>631</v>
      </c>
    </row>
    <row r="1660" spans="1:11" hidden="1" x14ac:dyDescent="0.25">
      <c r="A1660" s="210" t="s">
        <v>1524</v>
      </c>
      <c r="B1660">
        <v>8869</v>
      </c>
      <c r="C1660" s="100">
        <v>46130</v>
      </c>
      <c r="D1660" t="s">
        <v>49</v>
      </c>
      <c r="E1660" t="s">
        <v>43</v>
      </c>
      <c r="F1660" t="s">
        <v>136</v>
      </c>
      <c r="G1660">
        <v>2943</v>
      </c>
      <c r="I1660">
        <v>0</v>
      </c>
      <c r="K1660" t="s">
        <v>632</v>
      </c>
    </row>
    <row r="1661" spans="1:11" hidden="1" x14ac:dyDescent="0.25">
      <c r="A1661" s="210" t="s">
        <v>1524</v>
      </c>
      <c r="B1661">
        <v>8869</v>
      </c>
      <c r="C1661" s="100">
        <v>46130</v>
      </c>
      <c r="D1661" t="s">
        <v>49</v>
      </c>
      <c r="E1661" t="s">
        <v>43</v>
      </c>
      <c r="F1661" t="s">
        <v>62</v>
      </c>
      <c r="G1661">
        <v>1086</v>
      </c>
      <c r="I1661">
        <v>0</v>
      </c>
      <c r="K1661" t="s">
        <v>633</v>
      </c>
    </row>
    <row r="1662" spans="1:11" hidden="1" x14ac:dyDescent="0.25">
      <c r="A1662" s="210" t="s">
        <v>1524</v>
      </c>
      <c r="B1662">
        <v>8869</v>
      </c>
      <c r="C1662" s="100">
        <v>46130</v>
      </c>
      <c r="D1662" t="s">
        <v>49</v>
      </c>
      <c r="E1662" t="s">
        <v>43</v>
      </c>
      <c r="F1662" t="s">
        <v>146</v>
      </c>
      <c r="G1662">
        <v>754</v>
      </c>
      <c r="I1662">
        <v>0</v>
      </c>
      <c r="K1662" t="s">
        <v>633</v>
      </c>
    </row>
    <row r="1663" spans="1:11" hidden="1" x14ac:dyDescent="0.25">
      <c r="A1663" s="210" t="s">
        <v>1641</v>
      </c>
      <c r="B1663">
        <v>8868</v>
      </c>
      <c r="C1663" s="100">
        <v>46130</v>
      </c>
      <c r="D1663" t="s">
        <v>13</v>
      </c>
      <c r="E1663" t="s">
        <v>43</v>
      </c>
      <c r="F1663" t="s">
        <v>250</v>
      </c>
      <c r="G1663">
        <v>595.5</v>
      </c>
      <c r="H1663">
        <v>59000</v>
      </c>
      <c r="I1663">
        <v>35134500</v>
      </c>
      <c r="K1663" t="s">
        <v>1242</v>
      </c>
    </row>
    <row r="1664" spans="1:11" hidden="1" x14ac:dyDescent="0.25">
      <c r="A1664" s="210" t="s">
        <v>1641</v>
      </c>
      <c r="B1664">
        <v>8868</v>
      </c>
      <c r="C1664" s="100">
        <v>46130</v>
      </c>
      <c r="D1664" t="s">
        <v>13</v>
      </c>
      <c r="E1664" t="s">
        <v>43</v>
      </c>
      <c r="F1664" t="s">
        <v>78</v>
      </c>
      <c r="G1664">
        <v>1263</v>
      </c>
      <c r="H1664">
        <v>60000</v>
      </c>
      <c r="I1664">
        <v>75780000</v>
      </c>
      <c r="K1664" t="s">
        <v>1243</v>
      </c>
    </row>
    <row r="1665" spans="1:11" hidden="1" x14ac:dyDescent="0.25">
      <c r="A1665" s="210" t="s">
        <v>1491</v>
      </c>
      <c r="B1665">
        <v>8867</v>
      </c>
      <c r="C1665" s="100">
        <v>46130</v>
      </c>
      <c r="D1665" t="s">
        <v>13</v>
      </c>
      <c r="E1665" t="s">
        <v>17</v>
      </c>
      <c r="F1665" t="s">
        <v>263</v>
      </c>
      <c r="G1665">
        <v>1978</v>
      </c>
      <c r="H1665">
        <v>67000</v>
      </c>
      <c r="I1665">
        <v>132526000</v>
      </c>
    </row>
    <row r="1666" spans="1:11" hidden="1" x14ac:dyDescent="0.25">
      <c r="A1666" s="210" t="s">
        <v>1491</v>
      </c>
      <c r="B1666">
        <v>8867</v>
      </c>
      <c r="C1666" s="100">
        <v>46130</v>
      </c>
      <c r="D1666" t="s">
        <v>13</v>
      </c>
      <c r="E1666" t="s">
        <v>43</v>
      </c>
      <c r="F1666" t="s">
        <v>259</v>
      </c>
      <c r="G1666">
        <v>864</v>
      </c>
      <c r="H1666">
        <v>63000</v>
      </c>
      <c r="I1666">
        <v>54432000</v>
      </c>
    </row>
    <row r="1667" spans="1:11" hidden="1" x14ac:dyDescent="0.25">
      <c r="A1667" s="210" t="s">
        <v>1491</v>
      </c>
      <c r="B1667">
        <v>8867</v>
      </c>
      <c r="C1667" s="100">
        <v>46130</v>
      </c>
      <c r="D1667" t="s">
        <v>166</v>
      </c>
      <c r="E1667" t="s">
        <v>26</v>
      </c>
      <c r="F1667" t="s">
        <v>230</v>
      </c>
      <c r="G1667">
        <v>795</v>
      </c>
      <c r="H1667">
        <v>-38000</v>
      </c>
      <c r="I1667">
        <v>-30210000</v>
      </c>
    </row>
    <row r="1668" spans="1:11" hidden="1" x14ac:dyDescent="0.25">
      <c r="A1668" s="210" t="s">
        <v>1493</v>
      </c>
      <c r="B1668">
        <v>8866</v>
      </c>
      <c r="C1668" s="100">
        <v>46130</v>
      </c>
      <c r="D1668" t="s">
        <v>13</v>
      </c>
      <c r="E1668" t="s">
        <v>17</v>
      </c>
      <c r="F1668" t="s">
        <v>279</v>
      </c>
      <c r="G1668">
        <v>1098</v>
      </c>
      <c r="H1668">
        <v>60000</v>
      </c>
      <c r="I1668">
        <v>65880000</v>
      </c>
    </row>
    <row r="1669" spans="1:11" hidden="1" x14ac:dyDescent="0.25">
      <c r="A1669" s="210" t="s">
        <v>1493</v>
      </c>
      <c r="B1669">
        <v>8866</v>
      </c>
      <c r="C1669" s="100">
        <v>46130</v>
      </c>
      <c r="D1669" t="s">
        <v>13</v>
      </c>
      <c r="E1669" t="s">
        <v>265</v>
      </c>
      <c r="F1669" t="s">
        <v>146</v>
      </c>
      <c r="G1669">
        <v>1048</v>
      </c>
      <c r="H1669">
        <v>64000</v>
      </c>
      <c r="I1669">
        <v>67072000</v>
      </c>
    </row>
    <row r="1670" spans="1:11" hidden="1" x14ac:dyDescent="0.25">
      <c r="A1670" s="210" t="s">
        <v>1493</v>
      </c>
      <c r="B1670">
        <v>8866</v>
      </c>
      <c r="C1670" s="100">
        <v>46130</v>
      </c>
      <c r="D1670" t="s">
        <v>13</v>
      </c>
      <c r="E1670" t="s">
        <v>68</v>
      </c>
      <c r="F1670" t="s">
        <v>280</v>
      </c>
      <c r="G1670">
        <v>494</v>
      </c>
      <c r="H1670">
        <v>41500</v>
      </c>
      <c r="I1670">
        <v>20501000</v>
      </c>
    </row>
    <row r="1671" spans="1:11" hidden="1" x14ac:dyDescent="0.25">
      <c r="A1671" s="210" t="s">
        <v>1579</v>
      </c>
      <c r="B1671">
        <v>8865</v>
      </c>
      <c r="C1671" s="100">
        <v>46129</v>
      </c>
      <c r="D1671" t="s">
        <v>13</v>
      </c>
      <c r="E1671" t="s">
        <v>50</v>
      </c>
      <c r="F1671" t="s">
        <v>993</v>
      </c>
      <c r="G1671">
        <v>1680</v>
      </c>
      <c r="H1671">
        <v>56500</v>
      </c>
      <c r="I1671">
        <v>94920000</v>
      </c>
    </row>
    <row r="1672" spans="1:11" hidden="1" x14ac:dyDescent="0.25">
      <c r="A1672" s="210" t="s">
        <v>1579</v>
      </c>
      <c r="B1672">
        <v>8865</v>
      </c>
      <c r="C1672" s="100">
        <v>46129</v>
      </c>
      <c r="D1672" t="s">
        <v>13</v>
      </c>
      <c r="E1672" t="s">
        <v>43</v>
      </c>
      <c r="F1672" t="s">
        <v>283</v>
      </c>
      <c r="G1672">
        <v>2200</v>
      </c>
      <c r="H1672">
        <v>56500</v>
      </c>
      <c r="I1672">
        <v>124300000</v>
      </c>
    </row>
    <row r="1673" spans="1:11" hidden="1" x14ac:dyDescent="0.25">
      <c r="A1673" s="210" t="s">
        <v>1579</v>
      </c>
      <c r="B1673">
        <v>8865</v>
      </c>
      <c r="C1673" s="100">
        <v>46129</v>
      </c>
      <c r="D1673" t="s">
        <v>13</v>
      </c>
      <c r="E1673" t="s">
        <v>50</v>
      </c>
      <c r="F1673" t="s">
        <v>994</v>
      </c>
      <c r="G1673">
        <v>3140</v>
      </c>
      <c r="H1673">
        <v>56500</v>
      </c>
      <c r="I1673">
        <v>177410000</v>
      </c>
    </row>
    <row r="1674" spans="1:11" hidden="1" x14ac:dyDescent="0.25">
      <c r="A1674" s="210" t="s">
        <v>1538</v>
      </c>
      <c r="B1674">
        <v>8864</v>
      </c>
      <c r="C1674" s="100">
        <v>46129</v>
      </c>
      <c r="D1674" t="s">
        <v>13</v>
      </c>
      <c r="E1674" t="s">
        <v>43</v>
      </c>
      <c r="F1674" t="s">
        <v>870</v>
      </c>
      <c r="G1674">
        <v>306</v>
      </c>
      <c r="H1674">
        <v>63000</v>
      </c>
      <c r="I1674">
        <v>19278000</v>
      </c>
    </row>
    <row r="1675" spans="1:11" hidden="1" x14ac:dyDescent="0.25">
      <c r="A1675" s="210" t="s">
        <v>1538</v>
      </c>
      <c r="B1675">
        <v>8864</v>
      </c>
      <c r="C1675" s="100">
        <v>46129</v>
      </c>
      <c r="D1675" t="s">
        <v>13</v>
      </c>
      <c r="E1675" t="s">
        <v>43</v>
      </c>
      <c r="F1675" t="s">
        <v>871</v>
      </c>
      <c r="G1675">
        <v>267</v>
      </c>
      <c r="H1675">
        <v>63000</v>
      </c>
      <c r="I1675">
        <v>16821000</v>
      </c>
      <c r="K1675" t="s">
        <v>872</v>
      </c>
    </row>
    <row r="1676" spans="1:11" hidden="1" x14ac:dyDescent="0.25">
      <c r="A1676" s="210" t="s">
        <v>1538</v>
      </c>
      <c r="B1676">
        <v>8864</v>
      </c>
      <c r="C1676" s="100">
        <v>46129</v>
      </c>
      <c r="D1676" t="s">
        <v>13</v>
      </c>
      <c r="E1676" t="s">
        <v>540</v>
      </c>
      <c r="F1676" t="s">
        <v>873</v>
      </c>
      <c r="G1676">
        <v>502</v>
      </c>
      <c r="H1676">
        <v>43500</v>
      </c>
      <c r="I1676">
        <v>21837000</v>
      </c>
      <c r="K1676" t="s">
        <v>874</v>
      </c>
    </row>
    <row r="1677" spans="1:11" hidden="1" x14ac:dyDescent="0.25">
      <c r="A1677" s="210" t="s">
        <v>1580</v>
      </c>
      <c r="B1677">
        <v>8863</v>
      </c>
      <c r="C1677" s="100">
        <v>46129</v>
      </c>
      <c r="D1677" t="s">
        <v>13</v>
      </c>
      <c r="E1677" t="s">
        <v>43</v>
      </c>
      <c r="F1677" t="s">
        <v>41</v>
      </c>
      <c r="G1677">
        <v>946</v>
      </c>
      <c r="H1677">
        <v>62000</v>
      </c>
      <c r="I1677">
        <v>58652000</v>
      </c>
    </row>
    <row r="1678" spans="1:11" hidden="1" x14ac:dyDescent="0.25">
      <c r="A1678" s="210" t="s">
        <v>1580</v>
      </c>
      <c r="B1678">
        <v>8863</v>
      </c>
      <c r="C1678" s="100">
        <v>46129</v>
      </c>
      <c r="D1678" t="s">
        <v>13</v>
      </c>
      <c r="E1678" t="s">
        <v>17</v>
      </c>
      <c r="F1678" t="s">
        <v>62</v>
      </c>
      <c r="G1678">
        <v>294</v>
      </c>
      <c r="H1678">
        <v>65500</v>
      </c>
      <c r="I1678">
        <v>19257000</v>
      </c>
    </row>
    <row r="1679" spans="1:11" hidden="1" x14ac:dyDescent="0.25">
      <c r="A1679" s="210" t="s">
        <v>1635</v>
      </c>
      <c r="B1679">
        <v>8861</v>
      </c>
      <c r="C1679" s="100">
        <v>46129</v>
      </c>
      <c r="D1679" t="s">
        <v>13</v>
      </c>
      <c r="E1679" t="s">
        <v>50</v>
      </c>
      <c r="F1679" t="s">
        <v>185</v>
      </c>
      <c r="G1679">
        <v>1196</v>
      </c>
      <c r="H1679">
        <v>59500</v>
      </c>
      <c r="I1679">
        <v>71162000</v>
      </c>
    </row>
    <row r="1680" spans="1:11" hidden="1" x14ac:dyDescent="0.25">
      <c r="A1680" s="210" t="s">
        <v>1502</v>
      </c>
      <c r="B1680">
        <v>8860</v>
      </c>
      <c r="C1680" s="100">
        <v>46129</v>
      </c>
      <c r="D1680" t="s">
        <v>13</v>
      </c>
      <c r="E1680" t="s">
        <v>109</v>
      </c>
      <c r="F1680" t="s">
        <v>303</v>
      </c>
      <c r="G1680">
        <v>148</v>
      </c>
      <c r="H1680">
        <v>59000</v>
      </c>
      <c r="I1680">
        <v>8732000</v>
      </c>
    </row>
    <row r="1681" spans="1:11" hidden="1" x14ac:dyDescent="0.25">
      <c r="A1681" s="210" t="s">
        <v>1643</v>
      </c>
      <c r="B1681">
        <v>8859</v>
      </c>
      <c r="C1681" s="100">
        <v>46129</v>
      </c>
      <c r="D1681" t="s">
        <v>13</v>
      </c>
      <c r="E1681" t="s">
        <v>17</v>
      </c>
      <c r="F1681" t="s">
        <v>1039</v>
      </c>
      <c r="G1681">
        <v>1712</v>
      </c>
      <c r="H1681">
        <v>55000</v>
      </c>
      <c r="I1681">
        <v>94160000</v>
      </c>
    </row>
    <row r="1682" spans="1:11" hidden="1" x14ac:dyDescent="0.25">
      <c r="A1682" s="210" t="s">
        <v>1643</v>
      </c>
      <c r="B1682">
        <v>8859</v>
      </c>
      <c r="C1682" s="100">
        <v>46129</v>
      </c>
      <c r="D1682" t="s">
        <v>13</v>
      </c>
      <c r="E1682" t="s">
        <v>50</v>
      </c>
      <c r="F1682" t="s">
        <v>69</v>
      </c>
      <c r="G1682">
        <v>132</v>
      </c>
      <c r="H1682">
        <v>61000</v>
      </c>
      <c r="I1682">
        <v>8052000</v>
      </c>
    </row>
    <row r="1683" spans="1:11" hidden="1" x14ac:dyDescent="0.25">
      <c r="A1683" s="210" t="s">
        <v>1643</v>
      </c>
      <c r="B1683">
        <v>8859</v>
      </c>
      <c r="C1683" s="100">
        <v>46129</v>
      </c>
      <c r="D1683" t="s">
        <v>13</v>
      </c>
      <c r="E1683" t="s">
        <v>50</v>
      </c>
      <c r="F1683" t="s">
        <v>1040</v>
      </c>
      <c r="G1683">
        <v>98</v>
      </c>
      <c r="H1683">
        <v>62000</v>
      </c>
      <c r="I1683">
        <v>6076000</v>
      </c>
    </row>
    <row r="1684" spans="1:11" hidden="1" x14ac:dyDescent="0.25">
      <c r="A1684" s="210" t="s">
        <v>1721</v>
      </c>
      <c r="B1684">
        <v>8858</v>
      </c>
      <c r="C1684" s="100">
        <v>46129</v>
      </c>
      <c r="D1684" t="s">
        <v>13</v>
      </c>
      <c r="E1684" t="s">
        <v>26</v>
      </c>
      <c r="F1684" t="s">
        <v>1465</v>
      </c>
      <c r="G1684">
        <v>902</v>
      </c>
      <c r="H1684">
        <v>36000</v>
      </c>
      <c r="I1684">
        <v>32472000</v>
      </c>
    </row>
    <row r="1685" spans="1:11" hidden="1" x14ac:dyDescent="0.25">
      <c r="A1685" s="210" t="s">
        <v>1721</v>
      </c>
      <c r="B1685">
        <v>8858</v>
      </c>
      <c r="C1685" s="100">
        <v>46129</v>
      </c>
      <c r="D1685" t="s">
        <v>13</v>
      </c>
      <c r="E1685" t="s">
        <v>43</v>
      </c>
      <c r="F1685" t="s">
        <v>1466</v>
      </c>
      <c r="G1685">
        <v>435</v>
      </c>
      <c r="H1685">
        <v>66000</v>
      </c>
      <c r="I1685">
        <v>28710000</v>
      </c>
    </row>
    <row r="1686" spans="1:11" hidden="1" x14ac:dyDescent="0.25">
      <c r="A1686" s="210" t="s">
        <v>1490</v>
      </c>
      <c r="B1686">
        <v>8856</v>
      </c>
      <c r="C1686" s="100">
        <v>46129</v>
      </c>
      <c r="D1686" t="s">
        <v>13</v>
      </c>
      <c r="E1686" t="s">
        <v>14</v>
      </c>
      <c r="F1686" t="s">
        <v>146</v>
      </c>
      <c r="G1686">
        <v>150</v>
      </c>
      <c r="H1686">
        <v>40500</v>
      </c>
      <c r="I1686">
        <v>6075000</v>
      </c>
    </row>
    <row r="1687" spans="1:11" hidden="1" x14ac:dyDescent="0.25">
      <c r="A1687" s="210" t="s">
        <v>1490</v>
      </c>
      <c r="B1687">
        <v>8856</v>
      </c>
      <c r="C1687" s="100">
        <v>46129</v>
      </c>
      <c r="D1687" t="s">
        <v>13</v>
      </c>
      <c r="E1687" t="s">
        <v>14</v>
      </c>
      <c r="F1687" t="s">
        <v>136</v>
      </c>
      <c r="G1687">
        <v>158</v>
      </c>
      <c r="H1687">
        <v>40500</v>
      </c>
      <c r="I1687">
        <v>6399000</v>
      </c>
    </row>
    <row r="1688" spans="1:11" hidden="1" x14ac:dyDescent="0.25">
      <c r="A1688" s="210" t="s">
        <v>1524</v>
      </c>
      <c r="B1688">
        <v>8855</v>
      </c>
      <c r="C1688" s="100">
        <v>46129</v>
      </c>
      <c r="D1688" t="s">
        <v>49</v>
      </c>
      <c r="E1688" t="s">
        <v>17</v>
      </c>
      <c r="F1688" t="s">
        <v>469</v>
      </c>
      <c r="G1688">
        <v>4087</v>
      </c>
      <c r="I1688">
        <v>0</v>
      </c>
      <c r="K1688" t="s">
        <v>630</v>
      </c>
    </row>
    <row r="1689" spans="1:11" hidden="1" x14ac:dyDescent="0.25">
      <c r="A1689" s="210" t="s">
        <v>1524</v>
      </c>
      <c r="B1689">
        <v>8853</v>
      </c>
      <c r="C1689" s="100">
        <v>46129</v>
      </c>
      <c r="D1689" t="s">
        <v>49</v>
      </c>
      <c r="E1689" t="s">
        <v>17</v>
      </c>
      <c r="F1689" t="s">
        <v>628</v>
      </c>
      <c r="G1689">
        <v>11094</v>
      </c>
      <c r="I1689">
        <v>0</v>
      </c>
      <c r="K1689" t="s">
        <v>629</v>
      </c>
    </row>
    <row r="1690" spans="1:11" hidden="1" x14ac:dyDescent="0.25">
      <c r="A1690" s="210" t="s">
        <v>1531</v>
      </c>
      <c r="B1690">
        <v>8853</v>
      </c>
      <c r="C1690" s="100">
        <v>46129</v>
      </c>
      <c r="D1690" t="s">
        <v>13</v>
      </c>
      <c r="E1690" t="s">
        <v>17</v>
      </c>
      <c r="F1690" t="s">
        <v>2073</v>
      </c>
      <c r="G1690">
        <v>11094</v>
      </c>
      <c r="H1690">
        <v>55000</v>
      </c>
      <c r="I1690">
        <v>610170000</v>
      </c>
    </row>
    <row r="1691" spans="1:11" hidden="1" x14ac:dyDescent="0.25">
      <c r="A1691" s="210" t="s">
        <v>1524</v>
      </c>
      <c r="B1691">
        <v>8852</v>
      </c>
      <c r="C1691" s="100">
        <v>46129</v>
      </c>
      <c r="D1691" t="s">
        <v>49</v>
      </c>
      <c r="E1691" t="s">
        <v>17</v>
      </c>
      <c r="F1691" t="s">
        <v>482</v>
      </c>
      <c r="G1691">
        <v>2000</v>
      </c>
      <c r="I1691">
        <v>0</v>
      </c>
      <c r="K1691" t="s">
        <v>627</v>
      </c>
    </row>
    <row r="1692" spans="1:11" hidden="1" x14ac:dyDescent="0.25">
      <c r="A1692" s="210" t="s">
        <v>1490</v>
      </c>
      <c r="B1692">
        <v>8851</v>
      </c>
      <c r="C1692" s="100">
        <v>46129</v>
      </c>
      <c r="D1692" t="s">
        <v>13</v>
      </c>
      <c r="E1692" t="s">
        <v>17</v>
      </c>
      <c r="F1692" t="s">
        <v>240</v>
      </c>
      <c r="G1692">
        <v>498</v>
      </c>
      <c r="H1692">
        <v>60000</v>
      </c>
      <c r="I1692">
        <v>29880000</v>
      </c>
    </row>
    <row r="1693" spans="1:11" hidden="1" x14ac:dyDescent="0.25">
      <c r="A1693" s="210" t="s">
        <v>1532</v>
      </c>
      <c r="B1693">
        <v>8850</v>
      </c>
      <c r="C1693" s="100">
        <v>46129</v>
      </c>
      <c r="D1693" t="s">
        <v>49</v>
      </c>
      <c r="E1693" t="s">
        <v>77</v>
      </c>
      <c r="F1693" t="s">
        <v>794</v>
      </c>
      <c r="G1693">
        <v>1242</v>
      </c>
      <c r="I1693">
        <v>0</v>
      </c>
      <c r="K1693" t="s">
        <v>795</v>
      </c>
    </row>
    <row r="1694" spans="1:11" hidden="1" x14ac:dyDescent="0.25">
      <c r="A1694" s="210" t="s">
        <v>1613</v>
      </c>
      <c r="B1694">
        <v>8849</v>
      </c>
      <c r="C1694" s="100">
        <v>46129</v>
      </c>
      <c r="D1694" t="s">
        <v>13</v>
      </c>
      <c r="E1694" t="s">
        <v>26</v>
      </c>
      <c r="F1694" t="s">
        <v>134</v>
      </c>
      <c r="G1694">
        <v>7793</v>
      </c>
      <c r="H1694">
        <v>34000</v>
      </c>
      <c r="I1694">
        <v>264962000</v>
      </c>
    </row>
    <row r="1695" spans="1:11" hidden="1" x14ac:dyDescent="0.25">
      <c r="A1695" s="210" t="s">
        <v>1638</v>
      </c>
      <c r="B1695">
        <v>8848</v>
      </c>
      <c r="C1695" s="100">
        <v>46129</v>
      </c>
      <c r="D1695" t="s">
        <v>13</v>
      </c>
      <c r="E1695" t="s">
        <v>50</v>
      </c>
      <c r="F1695" t="s">
        <v>1233</v>
      </c>
      <c r="G1695">
        <v>176</v>
      </c>
      <c r="H1695">
        <v>61000</v>
      </c>
      <c r="I1695">
        <v>10736000</v>
      </c>
    </row>
    <row r="1696" spans="1:11" hidden="1" x14ac:dyDescent="0.25">
      <c r="A1696" s="210" t="s">
        <v>1638</v>
      </c>
      <c r="B1696">
        <v>8848</v>
      </c>
      <c r="C1696" s="100">
        <v>46129</v>
      </c>
      <c r="D1696" t="s">
        <v>13</v>
      </c>
      <c r="E1696" t="s">
        <v>50</v>
      </c>
      <c r="F1696" t="s">
        <v>376</v>
      </c>
      <c r="G1696">
        <v>68</v>
      </c>
      <c r="H1696">
        <v>59000</v>
      </c>
      <c r="I1696">
        <v>4012000</v>
      </c>
    </row>
    <row r="1697" spans="1:11" hidden="1" x14ac:dyDescent="0.25">
      <c r="A1697" s="210" t="s">
        <v>1638</v>
      </c>
      <c r="B1697">
        <v>8848</v>
      </c>
      <c r="C1697" s="100">
        <v>46129</v>
      </c>
      <c r="D1697" t="s">
        <v>13</v>
      </c>
      <c r="E1697" t="s">
        <v>328</v>
      </c>
      <c r="F1697" t="s">
        <v>115</v>
      </c>
      <c r="G1697">
        <v>700</v>
      </c>
      <c r="H1697">
        <v>39000</v>
      </c>
      <c r="I1697">
        <v>27300000</v>
      </c>
    </row>
    <row r="1698" spans="1:11" hidden="1" x14ac:dyDescent="0.25">
      <c r="A1698" s="210" t="s">
        <v>1548</v>
      </c>
      <c r="B1698">
        <v>8847</v>
      </c>
      <c r="C1698" s="100">
        <v>46129</v>
      </c>
      <c r="D1698" t="s">
        <v>13</v>
      </c>
      <c r="E1698" t="s">
        <v>109</v>
      </c>
      <c r="F1698" t="s">
        <v>678</v>
      </c>
      <c r="G1698">
        <v>642</v>
      </c>
      <c r="H1698">
        <v>59000</v>
      </c>
      <c r="I1698">
        <v>37878000</v>
      </c>
    </row>
    <row r="1699" spans="1:11" hidden="1" x14ac:dyDescent="0.25">
      <c r="A1699" s="210" t="s">
        <v>1548</v>
      </c>
      <c r="B1699">
        <v>8847</v>
      </c>
      <c r="C1699" s="100">
        <v>46129</v>
      </c>
      <c r="D1699" t="s">
        <v>13</v>
      </c>
      <c r="E1699" t="s">
        <v>109</v>
      </c>
      <c r="F1699" t="s">
        <v>911</v>
      </c>
      <c r="G1699">
        <v>722</v>
      </c>
      <c r="H1699">
        <v>59500</v>
      </c>
      <c r="I1699">
        <v>42959000</v>
      </c>
    </row>
    <row r="1700" spans="1:11" hidden="1" x14ac:dyDescent="0.25">
      <c r="A1700" s="210" t="s">
        <v>1489</v>
      </c>
      <c r="B1700">
        <v>8846</v>
      </c>
      <c r="C1700" s="100">
        <v>46129</v>
      </c>
      <c r="D1700" t="s">
        <v>13</v>
      </c>
      <c r="E1700" t="s">
        <v>232</v>
      </c>
      <c r="F1700" t="s">
        <v>62</v>
      </c>
      <c r="G1700">
        <v>38</v>
      </c>
      <c r="H1700">
        <v>48000</v>
      </c>
      <c r="I1700">
        <v>1824000</v>
      </c>
    </row>
    <row r="1701" spans="1:11" hidden="1" x14ac:dyDescent="0.25">
      <c r="A1701" s="210" t="s">
        <v>1558</v>
      </c>
      <c r="B1701">
        <v>8845</v>
      </c>
      <c r="C1701" s="100">
        <v>46129</v>
      </c>
      <c r="D1701" t="s">
        <v>13</v>
      </c>
      <c r="E1701" t="s">
        <v>301</v>
      </c>
      <c r="F1701" t="s">
        <v>81</v>
      </c>
      <c r="G1701">
        <v>4840</v>
      </c>
      <c r="H1701">
        <v>24000</v>
      </c>
      <c r="I1701">
        <v>116160000</v>
      </c>
    </row>
    <row r="1702" spans="1:11" hidden="1" x14ac:dyDescent="0.25">
      <c r="A1702" s="210" t="s">
        <v>1524</v>
      </c>
      <c r="B1702">
        <v>8844</v>
      </c>
      <c r="C1702" s="100">
        <v>46129</v>
      </c>
      <c r="D1702" t="s">
        <v>13</v>
      </c>
      <c r="E1702" t="s">
        <v>43</v>
      </c>
      <c r="F1702" t="s">
        <v>136</v>
      </c>
      <c r="G1702">
        <v>606</v>
      </c>
      <c r="H1702">
        <v>57000</v>
      </c>
      <c r="I1702">
        <v>34542000</v>
      </c>
    </row>
    <row r="1703" spans="1:11" hidden="1" x14ac:dyDescent="0.25">
      <c r="A1703" s="210" t="s">
        <v>1524</v>
      </c>
      <c r="B1703">
        <v>8844</v>
      </c>
      <c r="C1703" s="100">
        <v>46129</v>
      </c>
      <c r="D1703" t="s">
        <v>13</v>
      </c>
      <c r="E1703" t="s">
        <v>43</v>
      </c>
      <c r="F1703" t="s">
        <v>136</v>
      </c>
      <c r="G1703">
        <v>890</v>
      </c>
      <c r="H1703">
        <v>57000</v>
      </c>
      <c r="I1703">
        <v>50730000</v>
      </c>
    </row>
    <row r="1704" spans="1:11" hidden="1" x14ac:dyDescent="0.25">
      <c r="A1704" s="210" t="s">
        <v>1499</v>
      </c>
      <c r="B1704">
        <v>8843</v>
      </c>
      <c r="C1704" s="100">
        <v>46129</v>
      </c>
      <c r="D1704" t="s">
        <v>13</v>
      </c>
      <c r="E1704" t="s">
        <v>293</v>
      </c>
      <c r="F1704" t="s">
        <v>230</v>
      </c>
      <c r="G1704">
        <v>2508</v>
      </c>
      <c r="H1704">
        <v>66000</v>
      </c>
      <c r="I1704">
        <v>165528000</v>
      </c>
    </row>
    <row r="1705" spans="1:11" hidden="1" x14ac:dyDescent="0.25">
      <c r="A1705" s="210" t="s">
        <v>1700</v>
      </c>
      <c r="B1705">
        <v>8842</v>
      </c>
      <c r="C1705" s="100">
        <v>46129</v>
      </c>
      <c r="D1705" t="s">
        <v>13</v>
      </c>
      <c r="E1705" t="s">
        <v>17</v>
      </c>
      <c r="F1705" t="s">
        <v>46</v>
      </c>
      <c r="G1705">
        <v>174</v>
      </c>
      <c r="H1705">
        <v>67500</v>
      </c>
      <c r="I1705">
        <v>11745000</v>
      </c>
    </row>
    <row r="1706" spans="1:11" hidden="1" x14ac:dyDescent="0.25">
      <c r="A1706" s="210" t="s">
        <v>1643</v>
      </c>
      <c r="B1706">
        <v>8841</v>
      </c>
      <c r="C1706" s="100">
        <v>46129</v>
      </c>
      <c r="D1706" t="s">
        <v>13</v>
      </c>
      <c r="E1706" t="s">
        <v>17</v>
      </c>
      <c r="F1706" t="s">
        <v>1039</v>
      </c>
      <c r="G1706">
        <v>8709</v>
      </c>
      <c r="H1706">
        <v>55000</v>
      </c>
      <c r="I1706">
        <v>478995000</v>
      </c>
    </row>
    <row r="1707" spans="1:11" hidden="1" x14ac:dyDescent="0.25">
      <c r="A1707" s="210" t="s">
        <v>1502</v>
      </c>
      <c r="B1707">
        <v>8840</v>
      </c>
      <c r="C1707" s="100">
        <v>46129</v>
      </c>
      <c r="D1707" t="s">
        <v>13</v>
      </c>
      <c r="E1707" t="s">
        <v>301</v>
      </c>
      <c r="F1707" t="s">
        <v>302</v>
      </c>
      <c r="G1707">
        <v>10035</v>
      </c>
      <c r="H1707">
        <v>24000</v>
      </c>
      <c r="I1707">
        <v>240840000</v>
      </c>
    </row>
    <row r="1708" spans="1:11" hidden="1" x14ac:dyDescent="0.25">
      <c r="A1708" s="210" t="s">
        <v>1657</v>
      </c>
      <c r="B1708">
        <v>8839</v>
      </c>
      <c r="C1708" s="100">
        <v>46129</v>
      </c>
      <c r="D1708" t="s">
        <v>49</v>
      </c>
      <c r="E1708" t="s">
        <v>26</v>
      </c>
      <c r="F1708" t="s">
        <v>1272</v>
      </c>
      <c r="G1708">
        <v>512</v>
      </c>
      <c r="I1708">
        <v>0</v>
      </c>
      <c r="K1708" t="s">
        <v>1273</v>
      </c>
    </row>
    <row r="1709" spans="1:11" hidden="1" x14ac:dyDescent="0.25">
      <c r="A1709" s="210" t="s">
        <v>1531</v>
      </c>
      <c r="B1709">
        <v>8838</v>
      </c>
      <c r="C1709" s="100">
        <v>46128</v>
      </c>
      <c r="D1709" t="s">
        <v>13</v>
      </c>
      <c r="E1709" t="s">
        <v>17</v>
      </c>
      <c r="F1709" t="s">
        <v>723</v>
      </c>
      <c r="G1709">
        <v>1012</v>
      </c>
      <c r="H1709">
        <v>55000</v>
      </c>
      <c r="I1709">
        <v>55660000</v>
      </c>
      <c r="K1709" t="s">
        <v>42</v>
      </c>
    </row>
    <row r="1710" spans="1:11" hidden="1" x14ac:dyDescent="0.25">
      <c r="A1710" s="210" t="s">
        <v>1531</v>
      </c>
      <c r="B1710">
        <v>8838</v>
      </c>
      <c r="C1710" s="100">
        <v>46128</v>
      </c>
      <c r="D1710" t="s">
        <v>13</v>
      </c>
      <c r="E1710" t="s">
        <v>17</v>
      </c>
      <c r="F1710" t="s">
        <v>469</v>
      </c>
      <c r="G1710">
        <v>480</v>
      </c>
      <c r="H1710">
        <v>55000</v>
      </c>
      <c r="I1710">
        <v>26400000</v>
      </c>
      <c r="K1710" t="s">
        <v>42</v>
      </c>
    </row>
    <row r="1711" spans="1:11" hidden="1" x14ac:dyDescent="0.25">
      <c r="A1711" s="210" t="s">
        <v>1531</v>
      </c>
      <c r="B1711">
        <v>8838</v>
      </c>
      <c r="C1711" s="100">
        <v>46128</v>
      </c>
      <c r="D1711" t="s">
        <v>13</v>
      </c>
      <c r="E1711" t="s">
        <v>17</v>
      </c>
      <c r="F1711" t="s">
        <v>724</v>
      </c>
      <c r="G1711">
        <v>507</v>
      </c>
      <c r="H1711">
        <v>55000</v>
      </c>
      <c r="I1711">
        <v>27885000</v>
      </c>
      <c r="K1711" t="s">
        <v>42</v>
      </c>
    </row>
    <row r="1712" spans="1:11" hidden="1" x14ac:dyDescent="0.25">
      <c r="A1712" s="210" t="s">
        <v>1531</v>
      </c>
      <c r="B1712">
        <v>8838</v>
      </c>
      <c r="C1712" s="100">
        <v>46128</v>
      </c>
      <c r="D1712" t="s">
        <v>13</v>
      </c>
      <c r="E1712" t="s">
        <v>17</v>
      </c>
      <c r="F1712" t="s">
        <v>44</v>
      </c>
      <c r="G1712">
        <v>318</v>
      </c>
      <c r="H1712">
        <v>55000</v>
      </c>
      <c r="I1712">
        <v>17490000</v>
      </c>
      <c r="K1712" t="s">
        <v>42</v>
      </c>
    </row>
    <row r="1713" spans="1:11" hidden="1" x14ac:dyDescent="0.25">
      <c r="A1713" s="210" t="s">
        <v>1554</v>
      </c>
      <c r="B1713">
        <v>8837</v>
      </c>
      <c r="C1713" s="100">
        <v>46128</v>
      </c>
      <c r="D1713" t="s">
        <v>13</v>
      </c>
      <c r="E1713" t="s">
        <v>14</v>
      </c>
      <c r="F1713" t="s">
        <v>41</v>
      </c>
      <c r="G1713">
        <v>208</v>
      </c>
      <c r="H1713">
        <v>40500</v>
      </c>
      <c r="I1713">
        <v>8424000</v>
      </c>
      <c r="K1713" t="s">
        <v>42</v>
      </c>
    </row>
    <row r="1714" spans="1:11" hidden="1" x14ac:dyDescent="0.25">
      <c r="A1714" s="210" t="s">
        <v>1554</v>
      </c>
      <c r="B1714">
        <v>8837</v>
      </c>
      <c r="C1714" s="100">
        <v>46128</v>
      </c>
      <c r="D1714" t="s">
        <v>13</v>
      </c>
      <c r="E1714" t="s">
        <v>14</v>
      </c>
      <c r="F1714" t="s">
        <v>929</v>
      </c>
      <c r="G1714">
        <v>36</v>
      </c>
      <c r="H1714">
        <v>40500</v>
      </c>
      <c r="I1714">
        <v>1458000</v>
      </c>
      <c r="K1714" t="s">
        <v>42</v>
      </c>
    </row>
    <row r="1715" spans="1:11" hidden="1" x14ac:dyDescent="0.25">
      <c r="A1715" s="210" t="s">
        <v>1554</v>
      </c>
      <c r="B1715">
        <v>8837</v>
      </c>
      <c r="C1715" s="100">
        <v>46128</v>
      </c>
      <c r="D1715" t="s">
        <v>13</v>
      </c>
      <c r="E1715" t="s">
        <v>17</v>
      </c>
      <c r="F1715" t="s">
        <v>41</v>
      </c>
      <c r="G1715">
        <v>186</v>
      </c>
      <c r="H1715">
        <v>63000</v>
      </c>
      <c r="I1715">
        <v>11718000</v>
      </c>
      <c r="K1715" t="s">
        <v>42</v>
      </c>
    </row>
    <row r="1716" spans="1:11" hidden="1" x14ac:dyDescent="0.25">
      <c r="A1716" s="210" t="s">
        <v>1554</v>
      </c>
      <c r="B1716">
        <v>8837</v>
      </c>
      <c r="C1716" s="100">
        <v>46128</v>
      </c>
      <c r="D1716" t="s">
        <v>13</v>
      </c>
      <c r="E1716" t="s">
        <v>43</v>
      </c>
      <c r="F1716" t="s">
        <v>40</v>
      </c>
      <c r="G1716">
        <v>472</v>
      </c>
      <c r="H1716">
        <v>62000</v>
      </c>
      <c r="I1716">
        <v>29264000</v>
      </c>
      <c r="K1716" t="s">
        <v>42</v>
      </c>
    </row>
    <row r="1717" spans="1:11" hidden="1" x14ac:dyDescent="0.25">
      <c r="A1717" s="210" t="s">
        <v>1554</v>
      </c>
      <c r="B1717">
        <v>8837</v>
      </c>
      <c r="C1717" s="100">
        <v>46128</v>
      </c>
      <c r="D1717" t="s">
        <v>13</v>
      </c>
      <c r="E1717" t="s">
        <v>930</v>
      </c>
      <c r="F1717" t="s">
        <v>848</v>
      </c>
      <c r="G1717">
        <v>264</v>
      </c>
      <c r="H1717">
        <v>58000</v>
      </c>
      <c r="I1717">
        <v>15312000</v>
      </c>
      <c r="K1717" t="s">
        <v>42</v>
      </c>
    </row>
    <row r="1718" spans="1:11" hidden="1" x14ac:dyDescent="0.25">
      <c r="A1718" s="210" t="s">
        <v>1512</v>
      </c>
      <c r="B1718">
        <v>8836</v>
      </c>
      <c r="C1718" s="100">
        <v>46128</v>
      </c>
      <c r="D1718" t="s">
        <v>13</v>
      </c>
      <c r="E1718" t="s">
        <v>14</v>
      </c>
      <c r="F1718" t="s">
        <v>148</v>
      </c>
      <c r="G1718">
        <v>3502</v>
      </c>
      <c r="H1718">
        <v>41500</v>
      </c>
      <c r="I1718">
        <v>145333000</v>
      </c>
    </row>
    <row r="1719" spans="1:11" hidden="1" x14ac:dyDescent="0.25">
      <c r="A1719" s="210" t="s">
        <v>1719</v>
      </c>
      <c r="B1719">
        <v>8835</v>
      </c>
      <c r="C1719" s="100">
        <v>46128</v>
      </c>
      <c r="D1719" t="s">
        <v>13</v>
      </c>
      <c r="E1719" t="s">
        <v>27</v>
      </c>
      <c r="F1719" t="s">
        <v>1462</v>
      </c>
      <c r="G1719">
        <v>92</v>
      </c>
      <c r="H1719">
        <v>62000</v>
      </c>
      <c r="I1719">
        <v>5704000</v>
      </c>
    </row>
    <row r="1720" spans="1:11" hidden="1" x14ac:dyDescent="0.25">
      <c r="A1720" s="210" t="s">
        <v>1719</v>
      </c>
      <c r="B1720">
        <v>8835</v>
      </c>
      <c r="C1720" s="100">
        <v>46128</v>
      </c>
      <c r="D1720" t="s">
        <v>13</v>
      </c>
      <c r="E1720" t="s">
        <v>27</v>
      </c>
      <c r="F1720" t="s">
        <v>1463</v>
      </c>
      <c r="G1720">
        <v>32</v>
      </c>
      <c r="H1720">
        <v>62000</v>
      </c>
      <c r="I1720">
        <v>1984000</v>
      </c>
    </row>
    <row r="1721" spans="1:11" hidden="1" x14ac:dyDescent="0.25">
      <c r="A1721" s="210" t="s">
        <v>1643</v>
      </c>
      <c r="B1721">
        <v>8834</v>
      </c>
      <c r="C1721" s="100">
        <v>46128</v>
      </c>
      <c r="D1721" t="s">
        <v>49</v>
      </c>
      <c r="E1721" t="s">
        <v>27</v>
      </c>
      <c r="F1721" t="s">
        <v>705</v>
      </c>
      <c r="G1721">
        <v>122</v>
      </c>
      <c r="I1721">
        <v>0</v>
      </c>
      <c r="K1721" t="s">
        <v>1038</v>
      </c>
    </row>
    <row r="1722" spans="1:11" hidden="1" x14ac:dyDescent="0.25">
      <c r="A1722" s="210" t="s">
        <v>1568</v>
      </c>
      <c r="B1722">
        <v>8833</v>
      </c>
      <c r="C1722" s="100">
        <v>46128</v>
      </c>
      <c r="D1722" t="s">
        <v>13</v>
      </c>
      <c r="E1722" t="s">
        <v>14</v>
      </c>
      <c r="F1722" t="s">
        <v>134</v>
      </c>
      <c r="G1722">
        <v>625</v>
      </c>
      <c r="H1722">
        <v>40500</v>
      </c>
      <c r="I1722">
        <v>25312500</v>
      </c>
    </row>
    <row r="1723" spans="1:11" hidden="1" x14ac:dyDescent="0.25">
      <c r="A1723" s="210" t="s">
        <v>1568</v>
      </c>
      <c r="B1723">
        <v>8833</v>
      </c>
      <c r="C1723" s="100">
        <v>46128</v>
      </c>
      <c r="D1723" t="s">
        <v>13</v>
      </c>
      <c r="E1723" t="s">
        <v>17</v>
      </c>
      <c r="F1723" t="s">
        <v>961</v>
      </c>
      <c r="G1723">
        <v>1182</v>
      </c>
      <c r="H1723">
        <v>61500</v>
      </c>
      <c r="I1723">
        <v>72693000</v>
      </c>
    </row>
    <row r="1724" spans="1:11" hidden="1" x14ac:dyDescent="0.25">
      <c r="A1724" s="210" t="s">
        <v>1524</v>
      </c>
      <c r="B1724">
        <v>8832</v>
      </c>
      <c r="C1724" s="100">
        <v>46128</v>
      </c>
      <c r="D1724" t="s">
        <v>49</v>
      </c>
      <c r="E1724" t="s">
        <v>43</v>
      </c>
      <c r="F1724" t="s">
        <v>146</v>
      </c>
      <c r="G1724">
        <v>1798</v>
      </c>
      <c r="I1724">
        <v>0</v>
      </c>
      <c r="K1724" t="s">
        <v>626</v>
      </c>
    </row>
    <row r="1725" spans="1:11" hidden="1" x14ac:dyDescent="0.25">
      <c r="A1725" s="210" t="s">
        <v>1509</v>
      </c>
      <c r="B1725">
        <v>8830</v>
      </c>
      <c r="C1725" s="100">
        <v>46128</v>
      </c>
      <c r="D1725" t="s">
        <v>13</v>
      </c>
      <c r="E1725" t="s">
        <v>43</v>
      </c>
      <c r="F1725" t="s">
        <v>44</v>
      </c>
      <c r="G1725">
        <v>142</v>
      </c>
      <c r="H1725">
        <v>56000</v>
      </c>
      <c r="I1725">
        <v>7952000</v>
      </c>
    </row>
    <row r="1726" spans="1:11" hidden="1" x14ac:dyDescent="0.25">
      <c r="A1726" s="210" t="s">
        <v>1509</v>
      </c>
      <c r="B1726">
        <v>8830</v>
      </c>
      <c r="C1726" s="100">
        <v>46128</v>
      </c>
      <c r="D1726" t="s">
        <v>166</v>
      </c>
      <c r="E1726" t="s">
        <v>43</v>
      </c>
      <c r="F1726" t="s">
        <v>41</v>
      </c>
      <c r="G1726">
        <v>83</v>
      </c>
      <c r="H1726">
        <v>-58000</v>
      </c>
      <c r="I1726">
        <v>-4814000</v>
      </c>
    </row>
    <row r="1727" spans="1:11" hidden="1" x14ac:dyDescent="0.25">
      <c r="A1727" s="210" t="s">
        <v>1562</v>
      </c>
      <c r="B1727">
        <v>8829</v>
      </c>
      <c r="C1727" s="100">
        <v>46128</v>
      </c>
      <c r="D1727" t="s">
        <v>13</v>
      </c>
      <c r="E1727" t="s">
        <v>135</v>
      </c>
      <c r="F1727" t="s">
        <v>134</v>
      </c>
      <c r="G1727">
        <v>538</v>
      </c>
      <c r="H1727">
        <v>39000</v>
      </c>
      <c r="I1727">
        <v>20982000</v>
      </c>
    </row>
    <row r="1728" spans="1:11" hidden="1" x14ac:dyDescent="0.25">
      <c r="A1728" s="210" t="s">
        <v>1562</v>
      </c>
      <c r="B1728">
        <v>8829</v>
      </c>
      <c r="C1728" s="100">
        <v>46128</v>
      </c>
      <c r="D1728" t="s">
        <v>13</v>
      </c>
      <c r="E1728" t="s">
        <v>109</v>
      </c>
      <c r="F1728" t="s">
        <v>946</v>
      </c>
      <c r="G1728">
        <v>292</v>
      </c>
      <c r="H1728">
        <v>61000</v>
      </c>
      <c r="I1728">
        <v>17812000</v>
      </c>
    </row>
    <row r="1729" spans="1:11" hidden="1" x14ac:dyDescent="0.25">
      <c r="A1729" s="210" t="s">
        <v>1562</v>
      </c>
      <c r="B1729">
        <v>8829</v>
      </c>
      <c r="C1729" s="100">
        <v>46128</v>
      </c>
      <c r="D1729" t="s">
        <v>13</v>
      </c>
      <c r="E1729" t="s">
        <v>109</v>
      </c>
      <c r="F1729" t="s">
        <v>947</v>
      </c>
      <c r="G1729">
        <v>428</v>
      </c>
      <c r="H1729">
        <v>61000</v>
      </c>
      <c r="I1729">
        <v>26108000</v>
      </c>
    </row>
    <row r="1730" spans="1:11" hidden="1" x14ac:dyDescent="0.25">
      <c r="A1730" s="210" t="s">
        <v>1531</v>
      </c>
      <c r="B1730">
        <v>8828</v>
      </c>
      <c r="C1730" s="100">
        <v>46128</v>
      </c>
      <c r="D1730" t="s">
        <v>13</v>
      </c>
      <c r="E1730" t="s">
        <v>50</v>
      </c>
      <c r="F1730" t="s">
        <v>722</v>
      </c>
      <c r="G1730">
        <v>1554</v>
      </c>
      <c r="H1730">
        <v>56500</v>
      </c>
      <c r="I1730">
        <v>87801000</v>
      </c>
    </row>
    <row r="1731" spans="1:11" hidden="1" x14ac:dyDescent="0.25">
      <c r="A1731" s="210" t="s">
        <v>1531</v>
      </c>
      <c r="B1731">
        <v>8828</v>
      </c>
      <c r="C1731" s="100">
        <v>46128</v>
      </c>
      <c r="D1731" t="s">
        <v>680</v>
      </c>
      <c r="E1731" t="s">
        <v>277</v>
      </c>
      <c r="F1731">
        <v>0.4</v>
      </c>
      <c r="G1731">
        <v>2</v>
      </c>
      <c r="H1731">
        <v>-59500</v>
      </c>
      <c r="I1731">
        <v>-119000</v>
      </c>
    </row>
    <row r="1732" spans="1:11" hidden="1" x14ac:dyDescent="0.25">
      <c r="A1732" s="210" t="s">
        <v>1538</v>
      </c>
      <c r="B1732">
        <v>8827</v>
      </c>
      <c r="C1732" s="100">
        <v>46128</v>
      </c>
      <c r="D1732" t="s">
        <v>13</v>
      </c>
      <c r="E1732" t="s">
        <v>103</v>
      </c>
      <c r="F1732" t="s">
        <v>869</v>
      </c>
      <c r="G1732">
        <v>548.5</v>
      </c>
      <c r="H1732">
        <v>37000</v>
      </c>
      <c r="I1732">
        <v>20294500</v>
      </c>
    </row>
    <row r="1733" spans="1:11" hidden="1" x14ac:dyDescent="0.25">
      <c r="A1733" s="210" t="s">
        <v>1579</v>
      </c>
      <c r="B1733">
        <v>8826</v>
      </c>
      <c r="C1733" s="100">
        <v>46128</v>
      </c>
      <c r="D1733" t="s">
        <v>13</v>
      </c>
      <c r="E1733" t="s">
        <v>50</v>
      </c>
      <c r="F1733" t="s">
        <v>992</v>
      </c>
      <c r="G1733">
        <v>918</v>
      </c>
      <c r="H1733">
        <v>57000</v>
      </c>
      <c r="I1733">
        <v>52326000</v>
      </c>
    </row>
    <row r="1734" spans="1:11" hidden="1" x14ac:dyDescent="0.25">
      <c r="A1734" s="210" t="s">
        <v>1641</v>
      </c>
      <c r="B1734">
        <v>8825</v>
      </c>
      <c r="C1734" s="100">
        <v>46128</v>
      </c>
      <c r="D1734" t="s">
        <v>13</v>
      </c>
      <c r="E1734" t="s">
        <v>43</v>
      </c>
      <c r="F1734" t="s">
        <v>154</v>
      </c>
      <c r="G1734">
        <v>1996</v>
      </c>
      <c r="H1734">
        <v>61000</v>
      </c>
      <c r="I1734">
        <v>121756000</v>
      </c>
    </row>
    <row r="1735" spans="1:11" hidden="1" x14ac:dyDescent="0.25">
      <c r="A1735" s="210" t="s">
        <v>1575</v>
      </c>
      <c r="B1735">
        <v>8824</v>
      </c>
      <c r="C1735" s="100">
        <v>46128</v>
      </c>
      <c r="D1735" t="s">
        <v>13</v>
      </c>
      <c r="E1735" t="s">
        <v>14</v>
      </c>
      <c r="F1735" t="s">
        <v>41</v>
      </c>
      <c r="G1735">
        <v>750</v>
      </c>
      <c r="H1735">
        <v>41500</v>
      </c>
      <c r="I1735">
        <v>31125000</v>
      </c>
    </row>
    <row r="1736" spans="1:11" hidden="1" x14ac:dyDescent="0.25">
      <c r="A1736" s="210" t="s">
        <v>1575</v>
      </c>
      <c r="B1736">
        <v>8824</v>
      </c>
      <c r="C1736" s="100">
        <v>46128</v>
      </c>
      <c r="D1736" t="s">
        <v>166</v>
      </c>
      <c r="E1736" t="s">
        <v>17</v>
      </c>
      <c r="F1736" t="s">
        <v>971</v>
      </c>
      <c r="G1736">
        <v>1232</v>
      </c>
      <c r="H1736">
        <v>-60500</v>
      </c>
      <c r="I1736">
        <v>-74536000</v>
      </c>
      <c r="K1736" t="s">
        <v>975</v>
      </c>
    </row>
    <row r="1737" spans="1:11" hidden="1" x14ac:dyDescent="0.25">
      <c r="A1737" s="210" t="s">
        <v>2016</v>
      </c>
      <c r="B1737">
        <v>8824</v>
      </c>
      <c r="C1737" s="100">
        <v>46102</v>
      </c>
      <c r="D1737" t="s">
        <v>692</v>
      </c>
      <c r="E1737" t="s">
        <v>143</v>
      </c>
      <c r="F1737" t="s">
        <v>1286</v>
      </c>
      <c r="G1737">
        <v>8057</v>
      </c>
      <c r="H1737">
        <v>-61000</v>
      </c>
      <c r="I1737">
        <v>-491477000</v>
      </c>
    </row>
    <row r="1738" spans="1:11" hidden="1" x14ac:dyDescent="0.25">
      <c r="A1738" s="210" t="s">
        <v>1610</v>
      </c>
      <c r="B1738">
        <v>8823</v>
      </c>
      <c r="C1738" s="100">
        <v>46128</v>
      </c>
      <c r="D1738" t="s">
        <v>13</v>
      </c>
      <c r="E1738" t="s">
        <v>43</v>
      </c>
      <c r="F1738" t="s">
        <v>204</v>
      </c>
      <c r="G1738">
        <v>426</v>
      </c>
      <c r="H1738">
        <v>58000</v>
      </c>
      <c r="I1738">
        <v>24708000</v>
      </c>
    </row>
    <row r="1739" spans="1:11" hidden="1" x14ac:dyDescent="0.25">
      <c r="A1739" s="210" t="s">
        <v>2016</v>
      </c>
      <c r="B1739">
        <v>8823</v>
      </c>
      <c r="C1739" s="100">
        <v>46102</v>
      </c>
      <c r="D1739" t="s">
        <v>692</v>
      </c>
      <c r="E1739" t="s">
        <v>143</v>
      </c>
      <c r="F1739" t="s">
        <v>1286</v>
      </c>
      <c r="G1739">
        <v>3949</v>
      </c>
      <c r="H1739">
        <v>-61000</v>
      </c>
      <c r="I1739">
        <v>-240889000</v>
      </c>
    </row>
    <row r="1740" spans="1:11" hidden="1" x14ac:dyDescent="0.25">
      <c r="A1740" s="210" t="s">
        <v>1548</v>
      </c>
      <c r="B1740">
        <v>8822</v>
      </c>
      <c r="C1740" s="100">
        <v>46128</v>
      </c>
      <c r="D1740" t="s">
        <v>13</v>
      </c>
      <c r="E1740" t="s">
        <v>109</v>
      </c>
      <c r="F1740" t="s">
        <v>678</v>
      </c>
      <c r="G1740">
        <v>1522</v>
      </c>
      <c r="H1740">
        <v>59000</v>
      </c>
      <c r="I1740">
        <v>89798000</v>
      </c>
    </row>
    <row r="1741" spans="1:11" hidden="1" x14ac:dyDescent="0.25">
      <c r="A1741" s="210" t="s">
        <v>1478</v>
      </c>
      <c r="B1741">
        <v>8820</v>
      </c>
      <c r="C1741" s="100">
        <v>46128</v>
      </c>
      <c r="D1741" t="s">
        <v>13</v>
      </c>
      <c r="E1741" t="s">
        <v>14</v>
      </c>
      <c r="F1741" t="s">
        <v>41</v>
      </c>
      <c r="G1741">
        <v>1462</v>
      </c>
      <c r="H1741">
        <v>40000</v>
      </c>
      <c r="I1741">
        <v>58480000</v>
      </c>
      <c r="K1741" t="s">
        <v>42</v>
      </c>
    </row>
    <row r="1742" spans="1:11" hidden="1" x14ac:dyDescent="0.25">
      <c r="A1742" s="210" t="s">
        <v>2016</v>
      </c>
      <c r="B1742">
        <v>8820</v>
      </c>
      <c r="C1742" s="100">
        <v>46102</v>
      </c>
      <c r="D1742" t="s">
        <v>692</v>
      </c>
      <c r="E1742" t="s">
        <v>17</v>
      </c>
      <c r="F1742" t="s">
        <v>1286</v>
      </c>
      <c r="G1742">
        <v>7621</v>
      </c>
      <c r="H1742">
        <v>-61000</v>
      </c>
      <c r="I1742">
        <v>-464881000</v>
      </c>
    </row>
    <row r="1743" spans="1:11" hidden="1" x14ac:dyDescent="0.25">
      <c r="A1743" s="210" t="s">
        <v>2016</v>
      </c>
      <c r="B1743">
        <v>8820</v>
      </c>
      <c r="C1743" s="100">
        <v>46102</v>
      </c>
      <c r="D1743" t="s">
        <v>692</v>
      </c>
      <c r="E1743" t="s">
        <v>103</v>
      </c>
      <c r="F1743" t="s">
        <v>1287</v>
      </c>
      <c r="G1743">
        <v>1098</v>
      </c>
      <c r="H1743">
        <v>-37000</v>
      </c>
      <c r="I1743">
        <v>-40626000</v>
      </c>
    </row>
    <row r="1744" spans="1:11" hidden="1" x14ac:dyDescent="0.25">
      <c r="A1744" s="210" t="s">
        <v>1595</v>
      </c>
      <c r="B1744">
        <v>8819</v>
      </c>
      <c r="C1744" s="100">
        <v>46128</v>
      </c>
      <c r="D1744" t="s">
        <v>13</v>
      </c>
      <c r="E1744" t="s">
        <v>109</v>
      </c>
      <c r="F1744" t="s">
        <v>73</v>
      </c>
      <c r="G1744">
        <v>1100</v>
      </c>
      <c r="H1744">
        <v>57500</v>
      </c>
      <c r="I1744">
        <v>63250000</v>
      </c>
      <c r="K1744" t="s">
        <v>42</v>
      </c>
    </row>
    <row r="1745" spans="1:11" hidden="1" x14ac:dyDescent="0.25">
      <c r="A1745" s="210" t="s">
        <v>1595</v>
      </c>
      <c r="B1745">
        <v>8819</v>
      </c>
      <c r="C1745" s="100">
        <v>46128</v>
      </c>
      <c r="D1745" t="s">
        <v>13</v>
      </c>
      <c r="E1745" t="s">
        <v>109</v>
      </c>
      <c r="F1745" t="s">
        <v>886</v>
      </c>
      <c r="G1745">
        <v>1166</v>
      </c>
      <c r="H1745">
        <v>57500</v>
      </c>
      <c r="I1745">
        <v>67045000</v>
      </c>
      <c r="K1745" t="s">
        <v>42</v>
      </c>
    </row>
    <row r="1746" spans="1:11" hidden="1" x14ac:dyDescent="0.25">
      <c r="A1746" s="210" t="s">
        <v>1595</v>
      </c>
      <c r="B1746">
        <v>8819</v>
      </c>
      <c r="C1746" s="100">
        <v>46128</v>
      </c>
      <c r="D1746" t="s">
        <v>13</v>
      </c>
      <c r="E1746" t="s">
        <v>109</v>
      </c>
      <c r="F1746" t="s">
        <v>151</v>
      </c>
      <c r="G1746">
        <v>1096</v>
      </c>
      <c r="H1746">
        <v>57500</v>
      </c>
      <c r="I1746">
        <v>63020000</v>
      </c>
      <c r="K1746" t="s">
        <v>42</v>
      </c>
    </row>
    <row r="1747" spans="1:11" hidden="1" x14ac:dyDescent="0.25">
      <c r="A1747" s="210" t="s">
        <v>1595</v>
      </c>
      <c r="B1747">
        <v>8819</v>
      </c>
      <c r="C1747" s="100">
        <v>46128</v>
      </c>
      <c r="D1747" t="s">
        <v>13</v>
      </c>
      <c r="E1747" t="s">
        <v>36</v>
      </c>
      <c r="F1747" t="s">
        <v>73</v>
      </c>
      <c r="G1747">
        <v>790</v>
      </c>
      <c r="H1747">
        <v>59000</v>
      </c>
      <c r="I1747">
        <v>46610000</v>
      </c>
      <c r="K1747" t="s">
        <v>42</v>
      </c>
    </row>
    <row r="1748" spans="1:11" hidden="1" x14ac:dyDescent="0.25">
      <c r="A1748" s="210" t="s">
        <v>1499</v>
      </c>
      <c r="B1748">
        <v>8817</v>
      </c>
      <c r="C1748" s="100">
        <v>46128</v>
      </c>
      <c r="D1748" t="s">
        <v>13</v>
      </c>
      <c r="E1748" t="s">
        <v>17</v>
      </c>
      <c r="F1748" t="s">
        <v>46</v>
      </c>
      <c r="G1748">
        <v>210</v>
      </c>
      <c r="H1748">
        <v>67000</v>
      </c>
      <c r="I1748">
        <v>14070000</v>
      </c>
    </row>
    <row r="1749" spans="1:11" hidden="1" x14ac:dyDescent="0.25">
      <c r="A1749" s="210" t="s">
        <v>1499</v>
      </c>
      <c r="B1749">
        <v>8817</v>
      </c>
      <c r="C1749" s="100">
        <v>46128</v>
      </c>
      <c r="D1749" t="s">
        <v>13</v>
      </c>
      <c r="E1749" t="s">
        <v>17</v>
      </c>
      <c r="F1749" t="s">
        <v>40</v>
      </c>
      <c r="G1749">
        <v>240</v>
      </c>
      <c r="H1749">
        <v>67000</v>
      </c>
      <c r="I1749">
        <v>16080000</v>
      </c>
    </row>
    <row r="1750" spans="1:11" hidden="1" x14ac:dyDescent="0.25">
      <c r="A1750" s="210" t="s">
        <v>1475</v>
      </c>
      <c r="B1750">
        <v>8816</v>
      </c>
      <c r="C1750" s="100">
        <v>46128</v>
      </c>
      <c r="D1750" t="s">
        <v>13</v>
      </c>
      <c r="E1750" t="s">
        <v>17</v>
      </c>
      <c r="F1750" t="s">
        <v>33</v>
      </c>
      <c r="G1750">
        <v>1446</v>
      </c>
      <c r="H1750">
        <v>60500</v>
      </c>
      <c r="I1750">
        <v>87483000</v>
      </c>
    </row>
    <row r="1751" spans="1:11" hidden="1" x14ac:dyDescent="0.25">
      <c r="A1751" s="210" t="s">
        <v>1475</v>
      </c>
      <c r="B1751">
        <v>8816</v>
      </c>
      <c r="C1751" s="100">
        <v>46128</v>
      </c>
      <c r="D1751" t="s">
        <v>13</v>
      </c>
      <c r="E1751" t="s">
        <v>17</v>
      </c>
      <c r="F1751" t="s">
        <v>25</v>
      </c>
      <c r="G1751">
        <v>1320</v>
      </c>
      <c r="H1751">
        <v>60500</v>
      </c>
      <c r="I1751">
        <v>79860000</v>
      </c>
    </row>
    <row r="1752" spans="1:11" hidden="1" x14ac:dyDescent="0.25">
      <c r="A1752" s="210" t="s">
        <v>1475</v>
      </c>
      <c r="B1752">
        <v>8816</v>
      </c>
      <c r="C1752" s="100">
        <v>46128</v>
      </c>
      <c r="D1752" t="s">
        <v>13</v>
      </c>
      <c r="E1752" t="s">
        <v>43</v>
      </c>
      <c r="F1752" t="s">
        <v>44</v>
      </c>
      <c r="G1752">
        <v>319</v>
      </c>
      <c r="H1752">
        <v>57000</v>
      </c>
      <c r="I1752">
        <v>18183000</v>
      </c>
    </row>
    <row r="1753" spans="1:11" hidden="1" x14ac:dyDescent="0.25">
      <c r="A1753" s="210" t="s">
        <v>1475</v>
      </c>
      <c r="B1753">
        <v>8816</v>
      </c>
      <c r="C1753" s="100">
        <v>46128</v>
      </c>
      <c r="D1753" t="s">
        <v>13</v>
      </c>
      <c r="E1753" t="s">
        <v>45</v>
      </c>
      <c r="F1753" t="s">
        <v>46</v>
      </c>
      <c r="G1753">
        <v>536</v>
      </c>
      <c r="H1753">
        <v>32500</v>
      </c>
      <c r="I1753">
        <v>17420000</v>
      </c>
    </row>
    <row r="1754" spans="1:11" hidden="1" x14ac:dyDescent="0.25">
      <c r="A1754" s="210" t="s">
        <v>1475</v>
      </c>
      <c r="B1754">
        <v>8816</v>
      </c>
      <c r="C1754" s="100">
        <v>46128</v>
      </c>
      <c r="D1754" t="s">
        <v>13</v>
      </c>
      <c r="E1754" t="s">
        <v>45</v>
      </c>
      <c r="F1754" t="s">
        <v>25</v>
      </c>
      <c r="G1754">
        <v>948</v>
      </c>
      <c r="H1754">
        <v>32500</v>
      </c>
      <c r="I1754">
        <v>30810000</v>
      </c>
    </row>
    <row r="1755" spans="1:11" hidden="1" x14ac:dyDescent="0.25">
      <c r="A1755" s="210" t="s">
        <v>1475</v>
      </c>
      <c r="B1755">
        <v>8816</v>
      </c>
      <c r="C1755" s="100">
        <v>46128</v>
      </c>
      <c r="D1755" t="s">
        <v>13</v>
      </c>
      <c r="E1755" t="s">
        <v>32</v>
      </c>
      <c r="F1755" t="s">
        <v>46</v>
      </c>
      <c r="G1755">
        <v>686</v>
      </c>
      <c r="H1755">
        <v>41000</v>
      </c>
      <c r="I1755">
        <v>28126000</v>
      </c>
    </row>
    <row r="1756" spans="1:11" hidden="1" x14ac:dyDescent="0.25">
      <c r="A1756" s="210" t="s">
        <v>1527</v>
      </c>
      <c r="B1756">
        <v>8815</v>
      </c>
      <c r="C1756" s="100">
        <v>46128</v>
      </c>
      <c r="D1756" t="s">
        <v>13</v>
      </c>
      <c r="E1756" t="s">
        <v>14</v>
      </c>
      <c r="F1756" t="s">
        <v>41</v>
      </c>
      <c r="G1756">
        <v>778</v>
      </c>
      <c r="H1756">
        <v>42000</v>
      </c>
      <c r="I1756">
        <v>32676000</v>
      </c>
    </row>
    <row r="1757" spans="1:11" hidden="1" x14ac:dyDescent="0.25">
      <c r="A1757" s="210" t="s">
        <v>1527</v>
      </c>
      <c r="B1757">
        <v>8815</v>
      </c>
      <c r="C1757" s="100">
        <v>46128</v>
      </c>
      <c r="D1757" t="s">
        <v>13</v>
      </c>
      <c r="E1757" t="s">
        <v>14</v>
      </c>
      <c r="F1757" t="s">
        <v>136</v>
      </c>
      <c r="G1757">
        <v>756</v>
      </c>
      <c r="H1757">
        <v>42000</v>
      </c>
      <c r="I1757">
        <v>31752000</v>
      </c>
    </row>
    <row r="1758" spans="1:11" hidden="1" x14ac:dyDescent="0.25">
      <c r="A1758" s="210" t="s">
        <v>1527</v>
      </c>
      <c r="B1758">
        <v>8815</v>
      </c>
      <c r="C1758" s="100">
        <v>46128</v>
      </c>
      <c r="D1758" t="s">
        <v>13</v>
      </c>
      <c r="E1758" t="s">
        <v>683</v>
      </c>
      <c r="F1758" t="s">
        <v>449</v>
      </c>
      <c r="G1758">
        <v>34</v>
      </c>
      <c r="H1758">
        <v>49000</v>
      </c>
      <c r="I1758">
        <v>1666000</v>
      </c>
    </row>
    <row r="1759" spans="1:11" hidden="1" x14ac:dyDescent="0.25">
      <c r="A1759" s="210" t="s">
        <v>1527</v>
      </c>
      <c r="B1759">
        <v>8815</v>
      </c>
      <c r="C1759" s="100">
        <v>46128</v>
      </c>
      <c r="D1759" t="s">
        <v>13</v>
      </c>
      <c r="E1759" t="s">
        <v>36</v>
      </c>
      <c r="F1759" t="s">
        <v>684</v>
      </c>
      <c r="G1759">
        <v>40</v>
      </c>
      <c r="H1759">
        <v>64000</v>
      </c>
      <c r="I1759">
        <v>2560000</v>
      </c>
    </row>
    <row r="1760" spans="1:11" hidden="1" x14ac:dyDescent="0.25">
      <c r="A1760" s="210" t="s">
        <v>1527</v>
      </c>
      <c r="B1760">
        <v>8815</v>
      </c>
      <c r="C1760" s="100">
        <v>46128</v>
      </c>
      <c r="D1760" t="s">
        <v>13</v>
      </c>
      <c r="E1760" t="s">
        <v>50</v>
      </c>
      <c r="F1760" t="s">
        <v>685</v>
      </c>
      <c r="G1760">
        <v>678</v>
      </c>
      <c r="H1760">
        <v>61000</v>
      </c>
      <c r="I1760">
        <v>41358000</v>
      </c>
    </row>
    <row r="1761" spans="1:11" hidden="1" x14ac:dyDescent="0.25">
      <c r="A1761" s="210" t="s">
        <v>1527</v>
      </c>
      <c r="B1761">
        <v>8815</v>
      </c>
      <c r="C1761" s="100">
        <v>46128</v>
      </c>
      <c r="D1761" t="s">
        <v>13</v>
      </c>
      <c r="E1761" t="s">
        <v>36</v>
      </c>
      <c r="F1761" t="s">
        <v>188</v>
      </c>
      <c r="G1761">
        <v>470</v>
      </c>
      <c r="H1761">
        <v>57000</v>
      </c>
      <c r="I1761">
        <v>26790000</v>
      </c>
    </row>
    <row r="1762" spans="1:11" hidden="1" x14ac:dyDescent="0.25">
      <c r="A1762" s="210" t="s">
        <v>1527</v>
      </c>
      <c r="B1762">
        <v>8815</v>
      </c>
      <c r="C1762" s="100">
        <v>46128</v>
      </c>
      <c r="D1762" t="s">
        <v>13</v>
      </c>
      <c r="E1762" t="s">
        <v>317</v>
      </c>
      <c r="F1762" t="s">
        <v>40</v>
      </c>
      <c r="G1762">
        <v>392</v>
      </c>
      <c r="H1762">
        <v>67000</v>
      </c>
      <c r="I1762">
        <v>26264000</v>
      </c>
    </row>
    <row r="1763" spans="1:11" hidden="1" x14ac:dyDescent="0.25">
      <c r="A1763" s="210" t="s">
        <v>1573</v>
      </c>
      <c r="B1763">
        <v>8814</v>
      </c>
      <c r="C1763" s="100">
        <v>46128</v>
      </c>
      <c r="D1763" t="s">
        <v>13</v>
      </c>
      <c r="E1763" t="s">
        <v>107</v>
      </c>
      <c r="F1763" t="s">
        <v>966</v>
      </c>
      <c r="G1763">
        <v>66</v>
      </c>
      <c r="H1763">
        <v>60000</v>
      </c>
      <c r="I1763">
        <v>3960000</v>
      </c>
    </row>
    <row r="1764" spans="1:11" hidden="1" x14ac:dyDescent="0.25">
      <c r="A1764" s="210" t="s">
        <v>1606</v>
      </c>
      <c r="B1764">
        <v>8813</v>
      </c>
      <c r="C1764" s="100">
        <v>46128</v>
      </c>
      <c r="D1764" t="s">
        <v>13</v>
      </c>
      <c r="E1764" t="s">
        <v>252</v>
      </c>
      <c r="F1764" t="s">
        <v>41</v>
      </c>
      <c r="G1764">
        <v>1641</v>
      </c>
      <c r="H1764">
        <v>37500</v>
      </c>
      <c r="I1764">
        <v>61537500</v>
      </c>
    </row>
    <row r="1765" spans="1:11" hidden="1" x14ac:dyDescent="0.25">
      <c r="A1765" s="210" t="s">
        <v>1476</v>
      </c>
      <c r="B1765">
        <v>8812</v>
      </c>
      <c r="C1765" s="100">
        <v>46128</v>
      </c>
      <c r="D1765" t="s">
        <v>49</v>
      </c>
      <c r="E1765" t="s">
        <v>103</v>
      </c>
      <c r="F1765" t="s">
        <v>115</v>
      </c>
      <c r="G1765">
        <v>700</v>
      </c>
      <c r="I1765">
        <v>0</v>
      </c>
    </row>
    <row r="1766" spans="1:11" hidden="1" x14ac:dyDescent="0.25">
      <c r="A1766" s="210" t="s">
        <v>2016</v>
      </c>
      <c r="B1766">
        <v>8812</v>
      </c>
      <c r="C1766" s="100">
        <v>46102</v>
      </c>
      <c r="D1766" t="s">
        <v>692</v>
      </c>
      <c r="E1766" t="s">
        <v>143</v>
      </c>
      <c r="F1766" t="s">
        <v>1286</v>
      </c>
      <c r="G1766">
        <v>9860</v>
      </c>
      <c r="H1766">
        <v>-61000</v>
      </c>
      <c r="I1766">
        <v>-601460000</v>
      </c>
    </row>
    <row r="1767" spans="1:11" hidden="1" x14ac:dyDescent="0.25">
      <c r="A1767" s="210" t="s">
        <v>1624</v>
      </c>
      <c r="B1767">
        <v>8811</v>
      </c>
      <c r="C1767" s="100">
        <v>46128</v>
      </c>
      <c r="D1767" t="s">
        <v>13</v>
      </c>
      <c r="E1767" t="s">
        <v>26</v>
      </c>
      <c r="F1767" t="s">
        <v>1189</v>
      </c>
      <c r="G1767">
        <v>1586</v>
      </c>
      <c r="H1767">
        <v>35000</v>
      </c>
      <c r="I1767">
        <v>55510000</v>
      </c>
    </row>
    <row r="1768" spans="1:11" hidden="1" x14ac:dyDescent="0.25">
      <c r="A1768" s="210" t="s">
        <v>1524</v>
      </c>
      <c r="B1768">
        <v>8810</v>
      </c>
      <c r="C1768" s="100">
        <v>46128</v>
      </c>
      <c r="D1768" t="s">
        <v>49</v>
      </c>
      <c r="E1768" t="s">
        <v>43</v>
      </c>
      <c r="F1768" t="s">
        <v>78</v>
      </c>
      <c r="G1768">
        <v>1012</v>
      </c>
      <c r="I1768">
        <v>0</v>
      </c>
      <c r="K1768" t="s">
        <v>624</v>
      </c>
    </row>
    <row r="1769" spans="1:11" hidden="1" x14ac:dyDescent="0.25">
      <c r="A1769" s="210" t="s">
        <v>1524</v>
      </c>
      <c r="B1769">
        <v>8810</v>
      </c>
      <c r="C1769" s="100">
        <v>46128</v>
      </c>
      <c r="D1769" t="s">
        <v>49</v>
      </c>
      <c r="E1769" t="s">
        <v>17</v>
      </c>
      <c r="F1769" t="s">
        <v>62</v>
      </c>
      <c r="G1769">
        <v>5562</v>
      </c>
      <c r="I1769">
        <v>0</v>
      </c>
      <c r="K1769" t="s">
        <v>625</v>
      </c>
    </row>
    <row r="1770" spans="1:11" hidden="1" x14ac:dyDescent="0.25">
      <c r="A1770" s="210" t="s">
        <v>1524</v>
      </c>
      <c r="B1770">
        <v>8809</v>
      </c>
      <c r="C1770" s="100">
        <v>46128</v>
      </c>
      <c r="D1770" t="s">
        <v>49</v>
      </c>
      <c r="E1770" t="s">
        <v>43</v>
      </c>
      <c r="F1770" t="s">
        <v>619</v>
      </c>
      <c r="G1770">
        <v>307</v>
      </c>
      <c r="I1770">
        <v>0</v>
      </c>
      <c r="K1770" t="s">
        <v>620</v>
      </c>
    </row>
    <row r="1771" spans="1:11" hidden="1" x14ac:dyDescent="0.25">
      <c r="A1771" s="210" t="s">
        <v>1524</v>
      </c>
      <c r="B1771">
        <v>8809</v>
      </c>
      <c r="C1771" s="100">
        <v>46128</v>
      </c>
      <c r="D1771" t="s">
        <v>49</v>
      </c>
      <c r="E1771" t="s">
        <v>43</v>
      </c>
      <c r="F1771" t="s">
        <v>621</v>
      </c>
      <c r="G1771">
        <v>734</v>
      </c>
      <c r="I1771">
        <v>0</v>
      </c>
      <c r="K1771" t="s">
        <v>622</v>
      </c>
    </row>
    <row r="1772" spans="1:11" hidden="1" x14ac:dyDescent="0.25">
      <c r="A1772" s="210" t="s">
        <v>1524</v>
      </c>
      <c r="B1772">
        <v>8809</v>
      </c>
      <c r="C1772" s="100">
        <v>46128</v>
      </c>
      <c r="D1772" t="s">
        <v>49</v>
      </c>
      <c r="E1772" t="s">
        <v>26</v>
      </c>
      <c r="F1772" t="s">
        <v>621</v>
      </c>
      <c r="G1772">
        <v>986</v>
      </c>
      <c r="I1772">
        <v>0</v>
      </c>
      <c r="K1772" t="s">
        <v>623</v>
      </c>
    </row>
    <row r="1773" spans="1:11" hidden="1" x14ac:dyDescent="0.25">
      <c r="A1773" s="210" t="s">
        <v>1530</v>
      </c>
      <c r="B1773">
        <v>8808</v>
      </c>
      <c r="C1773" s="100">
        <v>46128</v>
      </c>
      <c r="D1773" t="s">
        <v>13</v>
      </c>
      <c r="E1773" t="s">
        <v>702</v>
      </c>
      <c r="F1773" t="s">
        <v>136</v>
      </c>
      <c r="G1773">
        <v>5242</v>
      </c>
      <c r="H1773">
        <v>41000</v>
      </c>
      <c r="I1773">
        <v>214922000</v>
      </c>
    </row>
    <row r="1774" spans="1:11" hidden="1" x14ac:dyDescent="0.25">
      <c r="A1774" s="210" t="s">
        <v>1530</v>
      </c>
      <c r="B1774">
        <v>8808</v>
      </c>
      <c r="C1774" s="100">
        <v>46128</v>
      </c>
      <c r="D1774" t="s">
        <v>13</v>
      </c>
      <c r="E1774" t="s">
        <v>702</v>
      </c>
      <c r="F1774" t="s">
        <v>146</v>
      </c>
      <c r="G1774">
        <v>4228</v>
      </c>
      <c r="H1774">
        <v>41000</v>
      </c>
      <c r="I1774">
        <v>173348000</v>
      </c>
    </row>
    <row r="1775" spans="1:11" hidden="1" x14ac:dyDescent="0.25">
      <c r="A1775" s="210" t="s">
        <v>1672</v>
      </c>
      <c r="B1775">
        <v>8807</v>
      </c>
      <c r="C1775" s="100">
        <v>46128</v>
      </c>
      <c r="D1775" t="s">
        <v>49</v>
      </c>
      <c r="E1775" t="s">
        <v>442</v>
      </c>
      <c r="F1775" t="s">
        <v>1322</v>
      </c>
      <c r="G1775">
        <v>4970</v>
      </c>
      <c r="I1775">
        <v>0</v>
      </c>
      <c r="K1775" t="s">
        <v>1323</v>
      </c>
    </row>
    <row r="1776" spans="1:11" hidden="1" x14ac:dyDescent="0.25">
      <c r="A1776" s="210" t="s">
        <v>1662</v>
      </c>
      <c r="B1776">
        <v>8806</v>
      </c>
      <c r="C1776" s="100">
        <v>46127</v>
      </c>
      <c r="D1776" t="s">
        <v>242</v>
      </c>
      <c r="E1776" t="s">
        <v>26</v>
      </c>
      <c r="F1776" t="s">
        <v>747</v>
      </c>
      <c r="G1776">
        <v>6248</v>
      </c>
      <c r="I1776">
        <v>0</v>
      </c>
    </row>
    <row r="1777" spans="1:11" hidden="1" x14ac:dyDescent="0.25">
      <c r="A1777" s="210" t="s">
        <v>1662</v>
      </c>
      <c r="B1777">
        <v>8806</v>
      </c>
      <c r="C1777" s="100">
        <v>46127</v>
      </c>
      <c r="D1777" t="s">
        <v>242</v>
      </c>
      <c r="E1777" t="s">
        <v>26</v>
      </c>
      <c r="F1777" t="s">
        <v>747</v>
      </c>
      <c r="G1777">
        <v>4740</v>
      </c>
      <c r="I1777">
        <v>0</v>
      </c>
    </row>
    <row r="1778" spans="1:11" hidden="1" x14ac:dyDescent="0.25">
      <c r="A1778" s="210" t="s">
        <v>1538</v>
      </c>
      <c r="B1778">
        <v>8805</v>
      </c>
      <c r="C1778" s="100">
        <v>46127</v>
      </c>
      <c r="D1778" t="s">
        <v>13</v>
      </c>
      <c r="E1778" t="s">
        <v>866</v>
      </c>
      <c r="F1778" t="s">
        <v>867</v>
      </c>
      <c r="G1778">
        <v>1104</v>
      </c>
      <c r="H1778">
        <v>65000</v>
      </c>
      <c r="I1778">
        <v>71760000</v>
      </c>
    </row>
    <row r="1779" spans="1:11" hidden="1" x14ac:dyDescent="0.25">
      <c r="A1779" s="210" t="s">
        <v>1538</v>
      </c>
      <c r="B1779">
        <v>8805</v>
      </c>
      <c r="C1779" s="100">
        <v>46127</v>
      </c>
      <c r="D1779" t="s">
        <v>13</v>
      </c>
      <c r="E1779" t="s">
        <v>866</v>
      </c>
      <c r="F1779" t="s">
        <v>868</v>
      </c>
      <c r="G1779">
        <v>1754</v>
      </c>
      <c r="H1779">
        <v>65000</v>
      </c>
      <c r="I1779">
        <v>114010000</v>
      </c>
    </row>
    <row r="1780" spans="1:11" hidden="1" x14ac:dyDescent="0.25">
      <c r="A1780" s="210" t="s">
        <v>1511</v>
      </c>
      <c r="B1780">
        <v>8804</v>
      </c>
      <c r="C1780" s="100">
        <v>46127</v>
      </c>
      <c r="D1780" t="s">
        <v>13</v>
      </c>
      <c r="E1780" t="s">
        <v>54</v>
      </c>
      <c r="F1780" t="s">
        <v>409</v>
      </c>
      <c r="G1780">
        <v>380</v>
      </c>
      <c r="H1780">
        <v>33000</v>
      </c>
      <c r="I1780">
        <v>12540000</v>
      </c>
      <c r="J1780">
        <v>12540000</v>
      </c>
    </row>
    <row r="1781" spans="1:11" hidden="1" x14ac:dyDescent="0.25">
      <c r="A1781" s="210" t="s">
        <v>1572</v>
      </c>
      <c r="B1781">
        <v>8803</v>
      </c>
      <c r="C1781" s="100">
        <v>46127</v>
      </c>
      <c r="D1781" t="s">
        <v>13</v>
      </c>
      <c r="E1781" t="s">
        <v>43</v>
      </c>
      <c r="F1781" t="s">
        <v>204</v>
      </c>
      <c r="G1781">
        <v>251</v>
      </c>
      <c r="H1781">
        <v>55000</v>
      </c>
      <c r="I1781">
        <v>13805000</v>
      </c>
    </row>
    <row r="1782" spans="1:11" hidden="1" x14ac:dyDescent="0.25">
      <c r="A1782" s="210" t="s">
        <v>1572</v>
      </c>
      <c r="B1782">
        <v>8803</v>
      </c>
      <c r="C1782" s="100">
        <v>46127</v>
      </c>
      <c r="D1782" t="s">
        <v>13</v>
      </c>
      <c r="E1782" t="s">
        <v>43</v>
      </c>
      <c r="F1782" t="s">
        <v>203</v>
      </c>
      <c r="G1782">
        <v>1070</v>
      </c>
      <c r="H1782">
        <v>55000</v>
      </c>
      <c r="I1782">
        <v>58850000</v>
      </c>
    </row>
    <row r="1783" spans="1:11" hidden="1" x14ac:dyDescent="0.25">
      <c r="A1783" s="210" t="s">
        <v>1572</v>
      </c>
      <c r="B1783">
        <v>8803</v>
      </c>
      <c r="C1783" s="100">
        <v>46127</v>
      </c>
      <c r="D1783" t="s">
        <v>13</v>
      </c>
      <c r="E1783" t="s">
        <v>43</v>
      </c>
      <c r="F1783" t="s">
        <v>248</v>
      </c>
      <c r="G1783">
        <v>1734</v>
      </c>
      <c r="H1783">
        <v>55000</v>
      </c>
      <c r="I1783">
        <v>95370000</v>
      </c>
    </row>
    <row r="1784" spans="1:11" hidden="1" x14ac:dyDescent="0.25">
      <c r="A1784" s="210" t="s">
        <v>1572</v>
      </c>
      <c r="B1784">
        <v>8803</v>
      </c>
      <c r="C1784" s="100">
        <v>46127</v>
      </c>
      <c r="D1784" t="s">
        <v>13</v>
      </c>
      <c r="E1784" t="s">
        <v>43</v>
      </c>
      <c r="F1784" t="s">
        <v>154</v>
      </c>
      <c r="G1784">
        <v>2036</v>
      </c>
      <c r="H1784">
        <v>55000</v>
      </c>
      <c r="I1784">
        <v>111980000</v>
      </c>
    </row>
    <row r="1785" spans="1:11" hidden="1" x14ac:dyDescent="0.25">
      <c r="A1785" s="210" t="s">
        <v>1572</v>
      </c>
      <c r="B1785">
        <v>8803</v>
      </c>
      <c r="C1785" s="100">
        <v>46127</v>
      </c>
      <c r="D1785" t="s">
        <v>13</v>
      </c>
      <c r="E1785" t="s">
        <v>43</v>
      </c>
      <c r="F1785" t="s">
        <v>140</v>
      </c>
      <c r="G1785">
        <v>706</v>
      </c>
      <c r="H1785">
        <v>55000</v>
      </c>
      <c r="I1785">
        <v>38830000</v>
      </c>
    </row>
    <row r="1786" spans="1:11" hidden="1" x14ac:dyDescent="0.25">
      <c r="A1786" s="210" t="s">
        <v>1490</v>
      </c>
      <c r="B1786">
        <v>8802</v>
      </c>
      <c r="C1786" s="100">
        <v>46127</v>
      </c>
      <c r="D1786" t="s">
        <v>13</v>
      </c>
      <c r="E1786" t="s">
        <v>17</v>
      </c>
      <c r="F1786" t="s">
        <v>33</v>
      </c>
      <c r="G1786">
        <v>592</v>
      </c>
      <c r="H1786">
        <v>61000</v>
      </c>
      <c r="I1786">
        <v>36112000</v>
      </c>
    </row>
    <row r="1787" spans="1:11" hidden="1" x14ac:dyDescent="0.25">
      <c r="A1787" s="210" t="s">
        <v>1556</v>
      </c>
      <c r="B1787">
        <v>8801</v>
      </c>
      <c r="C1787" s="100">
        <v>46127</v>
      </c>
      <c r="D1787" t="s">
        <v>13</v>
      </c>
      <c r="E1787" t="s">
        <v>26</v>
      </c>
      <c r="F1787" t="s">
        <v>938</v>
      </c>
      <c r="G1787">
        <v>1946</v>
      </c>
      <c r="H1787">
        <v>32500</v>
      </c>
      <c r="I1787">
        <v>63245000</v>
      </c>
    </row>
    <row r="1788" spans="1:11" hidden="1" x14ac:dyDescent="0.25">
      <c r="A1788" s="210" t="s">
        <v>1532</v>
      </c>
      <c r="B1788">
        <v>8800</v>
      </c>
      <c r="C1788" s="100">
        <v>46127</v>
      </c>
      <c r="D1788" t="s">
        <v>49</v>
      </c>
      <c r="E1788" t="s">
        <v>77</v>
      </c>
      <c r="F1788" t="s">
        <v>793</v>
      </c>
      <c r="G1788">
        <v>2344</v>
      </c>
      <c r="I1788">
        <v>0</v>
      </c>
      <c r="K1788" t="s">
        <v>789</v>
      </c>
    </row>
    <row r="1789" spans="1:11" hidden="1" x14ac:dyDescent="0.25">
      <c r="A1789" s="210" t="s">
        <v>1613</v>
      </c>
      <c r="B1789">
        <v>8799</v>
      </c>
      <c r="C1789" s="100">
        <v>46127</v>
      </c>
      <c r="D1789" t="s">
        <v>13</v>
      </c>
      <c r="E1789" t="s">
        <v>26</v>
      </c>
      <c r="F1789" t="s">
        <v>134</v>
      </c>
      <c r="G1789">
        <v>7120</v>
      </c>
      <c r="H1789">
        <v>34000</v>
      </c>
      <c r="I1789">
        <v>242080000</v>
      </c>
    </row>
    <row r="1790" spans="1:11" hidden="1" x14ac:dyDescent="0.25">
      <c r="A1790" s="210" t="s">
        <v>1524</v>
      </c>
      <c r="B1790">
        <v>8798</v>
      </c>
      <c r="C1790" s="100">
        <v>46127</v>
      </c>
      <c r="D1790" t="s">
        <v>49</v>
      </c>
      <c r="E1790" t="s">
        <v>17</v>
      </c>
      <c r="F1790" t="s">
        <v>40</v>
      </c>
      <c r="G1790">
        <v>2818</v>
      </c>
      <c r="I1790">
        <v>0</v>
      </c>
      <c r="K1790" t="s">
        <v>475</v>
      </c>
    </row>
    <row r="1791" spans="1:11" hidden="1" x14ac:dyDescent="0.25">
      <c r="A1791" s="210" t="s">
        <v>2548</v>
      </c>
      <c r="B1791">
        <v>8797</v>
      </c>
      <c r="C1791" s="100">
        <v>46127</v>
      </c>
      <c r="D1791" t="s">
        <v>13</v>
      </c>
      <c r="E1791" t="s">
        <v>195</v>
      </c>
      <c r="F1791" t="s">
        <v>682</v>
      </c>
      <c r="G1791">
        <v>4540</v>
      </c>
      <c r="H1791">
        <v>30000</v>
      </c>
      <c r="I1791">
        <v>136200000</v>
      </c>
    </row>
    <row r="1792" spans="1:11" hidden="1" x14ac:dyDescent="0.25">
      <c r="A1792" s="210" t="s">
        <v>1727</v>
      </c>
      <c r="B1792">
        <v>8796</v>
      </c>
      <c r="C1792" s="100">
        <v>46127</v>
      </c>
      <c r="D1792" t="s">
        <v>13</v>
      </c>
      <c r="E1792" t="s">
        <v>26</v>
      </c>
      <c r="F1792" t="s">
        <v>200</v>
      </c>
      <c r="G1792">
        <v>1580</v>
      </c>
      <c r="H1792">
        <v>35000</v>
      </c>
      <c r="I1792">
        <v>55300000</v>
      </c>
    </row>
    <row r="1793" spans="1:11" hidden="1" x14ac:dyDescent="0.25">
      <c r="A1793" s="210" t="s">
        <v>1490</v>
      </c>
      <c r="B1793">
        <v>8795</v>
      </c>
      <c r="C1793" s="100">
        <v>46127</v>
      </c>
      <c r="D1793" t="s">
        <v>13</v>
      </c>
      <c r="E1793" t="s">
        <v>17</v>
      </c>
      <c r="F1793" t="s">
        <v>46</v>
      </c>
      <c r="G1793">
        <v>320</v>
      </c>
      <c r="H1793">
        <v>61000</v>
      </c>
      <c r="I1793">
        <v>19520000</v>
      </c>
    </row>
    <row r="1794" spans="1:11" hidden="1" x14ac:dyDescent="0.25">
      <c r="A1794" s="210" t="s">
        <v>1490</v>
      </c>
      <c r="B1794">
        <v>8794</v>
      </c>
      <c r="C1794" s="100">
        <v>46127</v>
      </c>
      <c r="D1794" t="s">
        <v>13</v>
      </c>
      <c r="E1794" t="s">
        <v>17</v>
      </c>
      <c r="F1794" t="s">
        <v>33</v>
      </c>
      <c r="G1794">
        <v>600</v>
      </c>
      <c r="H1794">
        <v>61000</v>
      </c>
      <c r="I1794">
        <v>36600000</v>
      </c>
    </row>
    <row r="1795" spans="1:11" hidden="1" x14ac:dyDescent="0.25">
      <c r="A1795" s="210" t="s">
        <v>1641</v>
      </c>
      <c r="B1795">
        <v>8793</v>
      </c>
      <c r="C1795" s="100">
        <v>46127</v>
      </c>
      <c r="D1795" t="s">
        <v>13</v>
      </c>
      <c r="E1795" t="s">
        <v>26</v>
      </c>
      <c r="F1795" t="s">
        <v>403</v>
      </c>
      <c r="G1795">
        <v>1678</v>
      </c>
      <c r="H1795">
        <v>33000</v>
      </c>
      <c r="I1795">
        <v>55374000</v>
      </c>
    </row>
    <row r="1796" spans="1:11" hidden="1" x14ac:dyDescent="0.25">
      <c r="A1796" s="210" t="s">
        <v>1641</v>
      </c>
      <c r="B1796">
        <v>8793</v>
      </c>
      <c r="C1796" s="100">
        <v>46127</v>
      </c>
      <c r="D1796" t="s">
        <v>13</v>
      </c>
      <c r="E1796" t="s">
        <v>26</v>
      </c>
      <c r="F1796" t="s">
        <v>136</v>
      </c>
      <c r="G1796">
        <v>1020</v>
      </c>
      <c r="H1796">
        <v>35000</v>
      </c>
      <c r="I1796">
        <v>35700000</v>
      </c>
    </row>
    <row r="1797" spans="1:11" hidden="1" x14ac:dyDescent="0.25">
      <c r="A1797" s="210" t="s">
        <v>1641</v>
      </c>
      <c r="B1797">
        <v>8793</v>
      </c>
      <c r="C1797" s="100">
        <v>46127</v>
      </c>
      <c r="D1797" t="s">
        <v>13</v>
      </c>
      <c r="E1797" t="s">
        <v>14</v>
      </c>
      <c r="F1797" t="s">
        <v>136</v>
      </c>
      <c r="G1797">
        <v>2566</v>
      </c>
      <c r="H1797">
        <v>42000</v>
      </c>
      <c r="I1797">
        <v>107772000</v>
      </c>
    </row>
    <row r="1798" spans="1:11" hidden="1" x14ac:dyDescent="0.25">
      <c r="A1798" s="210" t="s">
        <v>1493</v>
      </c>
      <c r="B1798">
        <v>8792</v>
      </c>
      <c r="C1798" s="100">
        <v>46127</v>
      </c>
      <c r="D1798" t="s">
        <v>13</v>
      </c>
      <c r="E1798" t="s">
        <v>14</v>
      </c>
      <c r="F1798" t="s">
        <v>41</v>
      </c>
      <c r="G1798">
        <v>1006</v>
      </c>
      <c r="H1798">
        <v>41500</v>
      </c>
      <c r="I1798">
        <v>41749000</v>
      </c>
    </row>
    <row r="1799" spans="1:11" hidden="1" x14ac:dyDescent="0.25">
      <c r="A1799" s="210" t="s">
        <v>1493</v>
      </c>
      <c r="B1799">
        <v>8792</v>
      </c>
      <c r="C1799" s="100">
        <v>46127</v>
      </c>
      <c r="D1799" t="s">
        <v>13</v>
      </c>
      <c r="E1799" t="s">
        <v>14</v>
      </c>
      <c r="F1799" t="s">
        <v>136</v>
      </c>
      <c r="G1799">
        <v>802</v>
      </c>
      <c r="H1799">
        <v>41500</v>
      </c>
      <c r="I1799">
        <v>33283000</v>
      </c>
    </row>
    <row r="1800" spans="1:11" hidden="1" x14ac:dyDescent="0.25">
      <c r="A1800" s="210" t="s">
        <v>1493</v>
      </c>
      <c r="B1800">
        <v>8792</v>
      </c>
      <c r="C1800" s="100">
        <v>46127</v>
      </c>
      <c r="D1800" t="s">
        <v>13</v>
      </c>
      <c r="E1800" t="s">
        <v>14</v>
      </c>
      <c r="F1800" t="s">
        <v>134</v>
      </c>
      <c r="G1800">
        <v>1010</v>
      </c>
      <c r="H1800">
        <v>41500</v>
      </c>
      <c r="I1800">
        <v>41915000</v>
      </c>
    </row>
    <row r="1801" spans="1:11" hidden="1" x14ac:dyDescent="0.25">
      <c r="A1801" s="210" t="s">
        <v>1646</v>
      </c>
      <c r="B1801">
        <v>8791</v>
      </c>
      <c r="C1801" s="100">
        <v>46127</v>
      </c>
      <c r="D1801" t="s">
        <v>13</v>
      </c>
      <c r="E1801" t="s">
        <v>317</v>
      </c>
      <c r="F1801" t="s">
        <v>1249</v>
      </c>
      <c r="G1801">
        <v>310</v>
      </c>
      <c r="H1801">
        <v>61000</v>
      </c>
      <c r="I1801">
        <v>18910000</v>
      </c>
    </row>
    <row r="1802" spans="1:11" hidden="1" x14ac:dyDescent="0.25">
      <c r="A1802" s="210" t="s">
        <v>1646</v>
      </c>
      <c r="B1802">
        <v>8791</v>
      </c>
      <c r="C1802" s="100">
        <v>46127</v>
      </c>
      <c r="D1802" t="s">
        <v>13</v>
      </c>
      <c r="E1802" t="s">
        <v>317</v>
      </c>
      <c r="F1802" t="s">
        <v>146</v>
      </c>
      <c r="G1802">
        <v>310</v>
      </c>
      <c r="H1802">
        <v>61000</v>
      </c>
      <c r="I1802">
        <v>18910000</v>
      </c>
    </row>
    <row r="1803" spans="1:11" hidden="1" x14ac:dyDescent="0.25">
      <c r="A1803" s="210" t="s">
        <v>1646</v>
      </c>
      <c r="B1803">
        <v>8791</v>
      </c>
      <c r="C1803" s="100">
        <v>46127</v>
      </c>
      <c r="D1803" t="s">
        <v>13</v>
      </c>
      <c r="E1803" t="s">
        <v>1250</v>
      </c>
      <c r="F1803" t="s">
        <v>148</v>
      </c>
      <c r="G1803">
        <v>387</v>
      </c>
      <c r="H1803">
        <v>57000</v>
      </c>
      <c r="I1803">
        <v>22059000</v>
      </c>
    </row>
    <row r="1804" spans="1:11" hidden="1" x14ac:dyDescent="0.25">
      <c r="A1804" s="210" t="s">
        <v>1638</v>
      </c>
      <c r="B1804">
        <v>8790</v>
      </c>
      <c r="C1804" s="100">
        <v>46127</v>
      </c>
      <c r="D1804" t="s">
        <v>13</v>
      </c>
      <c r="E1804" t="s">
        <v>17</v>
      </c>
      <c r="F1804" t="s">
        <v>62</v>
      </c>
      <c r="G1804">
        <v>728</v>
      </c>
      <c r="H1804">
        <v>65500</v>
      </c>
      <c r="I1804">
        <v>47684000</v>
      </c>
    </row>
    <row r="1805" spans="1:11" hidden="1" x14ac:dyDescent="0.25">
      <c r="A1805" s="210" t="s">
        <v>2016</v>
      </c>
      <c r="B1805">
        <v>8790</v>
      </c>
      <c r="C1805" s="100">
        <v>46100</v>
      </c>
      <c r="D1805" t="s">
        <v>692</v>
      </c>
      <c r="E1805" t="s">
        <v>192</v>
      </c>
      <c r="F1805" t="s">
        <v>1283</v>
      </c>
      <c r="G1805">
        <v>5341</v>
      </c>
      <c r="H1805">
        <v>-34000</v>
      </c>
      <c r="I1805">
        <v>-181594000</v>
      </c>
    </row>
    <row r="1806" spans="1:11" hidden="1" x14ac:dyDescent="0.25">
      <c r="A1806" s="210" t="s">
        <v>1624</v>
      </c>
      <c r="B1806">
        <v>8789</v>
      </c>
      <c r="C1806" s="100">
        <v>46128</v>
      </c>
      <c r="D1806" t="s">
        <v>13</v>
      </c>
      <c r="E1806" t="s">
        <v>14</v>
      </c>
      <c r="F1806" t="s">
        <v>78</v>
      </c>
      <c r="G1806">
        <v>699</v>
      </c>
      <c r="H1806">
        <v>45000</v>
      </c>
      <c r="I1806">
        <v>31455000</v>
      </c>
    </row>
    <row r="1807" spans="1:11" hidden="1" x14ac:dyDescent="0.25">
      <c r="A1807" s="210" t="s">
        <v>1530</v>
      </c>
      <c r="B1807">
        <v>8788</v>
      </c>
      <c r="C1807" s="100">
        <v>46127</v>
      </c>
      <c r="D1807" t="s">
        <v>13</v>
      </c>
      <c r="E1807" t="s">
        <v>26</v>
      </c>
      <c r="F1807" t="s">
        <v>62</v>
      </c>
      <c r="G1807">
        <v>1804</v>
      </c>
      <c r="H1807">
        <v>33000</v>
      </c>
      <c r="I1807">
        <v>59532000</v>
      </c>
      <c r="K1807">
        <v>1810</v>
      </c>
    </row>
    <row r="1808" spans="1:11" hidden="1" x14ac:dyDescent="0.25">
      <c r="A1808" s="210" t="s">
        <v>1689</v>
      </c>
      <c r="B1808">
        <v>8787</v>
      </c>
      <c r="C1808" s="100">
        <v>46127</v>
      </c>
      <c r="D1808" t="s">
        <v>13</v>
      </c>
      <c r="E1808" t="s">
        <v>265</v>
      </c>
      <c r="F1808" t="s">
        <v>1385</v>
      </c>
      <c r="G1808">
        <v>994</v>
      </c>
      <c r="H1808">
        <v>65000</v>
      </c>
      <c r="I1808">
        <v>64610000</v>
      </c>
    </row>
    <row r="1809" spans="1:11" hidden="1" x14ac:dyDescent="0.25">
      <c r="A1809" s="210" t="s">
        <v>1689</v>
      </c>
      <c r="B1809">
        <v>8787</v>
      </c>
      <c r="C1809" s="100">
        <v>46127</v>
      </c>
      <c r="D1809" t="s">
        <v>13</v>
      </c>
      <c r="E1809" t="s">
        <v>50</v>
      </c>
      <c r="F1809" t="s">
        <v>1386</v>
      </c>
      <c r="G1809">
        <v>3046</v>
      </c>
      <c r="H1809">
        <v>55000</v>
      </c>
      <c r="I1809">
        <v>167530000</v>
      </c>
    </row>
    <row r="1810" spans="1:11" hidden="1" x14ac:dyDescent="0.25">
      <c r="A1810" s="210" t="s">
        <v>1547</v>
      </c>
      <c r="B1810">
        <v>8786</v>
      </c>
      <c r="C1810" s="100">
        <v>46127</v>
      </c>
      <c r="D1810" t="s">
        <v>13</v>
      </c>
      <c r="E1810" t="s">
        <v>14</v>
      </c>
      <c r="F1810" t="s">
        <v>40</v>
      </c>
      <c r="G1810">
        <v>1066</v>
      </c>
      <c r="H1810">
        <v>47000</v>
      </c>
      <c r="I1810">
        <v>50102000</v>
      </c>
    </row>
    <row r="1811" spans="1:11" hidden="1" x14ac:dyDescent="0.25">
      <c r="A1811" s="210" t="s">
        <v>1692</v>
      </c>
      <c r="B1811">
        <v>8785</v>
      </c>
      <c r="C1811" s="100">
        <v>46127</v>
      </c>
      <c r="D1811" t="s">
        <v>13</v>
      </c>
      <c r="E1811" t="s">
        <v>1390</v>
      </c>
      <c r="F1811" t="s">
        <v>621</v>
      </c>
      <c r="G1811">
        <v>1967</v>
      </c>
      <c r="H1811">
        <v>67000</v>
      </c>
      <c r="I1811">
        <v>131789000</v>
      </c>
    </row>
    <row r="1812" spans="1:11" hidden="1" x14ac:dyDescent="0.25">
      <c r="A1812" s="210" t="s">
        <v>1524</v>
      </c>
      <c r="B1812">
        <v>8784</v>
      </c>
      <c r="C1812" s="100">
        <v>46127</v>
      </c>
      <c r="D1812" t="s">
        <v>49</v>
      </c>
      <c r="E1812" t="s">
        <v>43</v>
      </c>
      <c r="F1812" t="s">
        <v>154</v>
      </c>
      <c r="G1812">
        <v>7114</v>
      </c>
      <c r="I1812">
        <v>0</v>
      </c>
      <c r="K1812" t="s">
        <v>618</v>
      </c>
    </row>
    <row r="1813" spans="1:11" hidden="1" x14ac:dyDescent="0.25">
      <c r="A1813" s="210" t="s">
        <v>1638</v>
      </c>
      <c r="B1813">
        <v>8783</v>
      </c>
      <c r="C1813" s="100">
        <v>46127</v>
      </c>
      <c r="D1813" t="s">
        <v>13</v>
      </c>
      <c r="E1813" t="s">
        <v>17</v>
      </c>
      <c r="F1813" t="s">
        <v>78</v>
      </c>
      <c r="G1813">
        <v>9030</v>
      </c>
      <c r="H1813">
        <v>66000</v>
      </c>
      <c r="I1813">
        <v>595980000</v>
      </c>
    </row>
    <row r="1814" spans="1:11" hidden="1" x14ac:dyDescent="0.25">
      <c r="A1814" s="210" t="s">
        <v>1504</v>
      </c>
      <c r="B1814">
        <v>8782</v>
      </c>
      <c r="C1814" s="100">
        <v>46127</v>
      </c>
      <c r="D1814" t="s">
        <v>13</v>
      </c>
      <c r="E1814" t="s">
        <v>192</v>
      </c>
      <c r="F1814" t="s">
        <v>345</v>
      </c>
      <c r="G1814">
        <v>1500</v>
      </c>
      <c r="H1814">
        <v>40000</v>
      </c>
      <c r="I1814">
        <v>60000000</v>
      </c>
    </row>
    <row r="1815" spans="1:11" hidden="1" x14ac:dyDescent="0.25">
      <c r="A1815" s="210" t="s">
        <v>1504</v>
      </c>
      <c r="B1815">
        <v>8782</v>
      </c>
      <c r="C1815" s="100">
        <v>46127</v>
      </c>
      <c r="D1815" t="s">
        <v>13</v>
      </c>
      <c r="E1815" t="s">
        <v>192</v>
      </c>
      <c r="F1815" t="s">
        <v>81</v>
      </c>
      <c r="G1815">
        <v>840</v>
      </c>
      <c r="H1815">
        <v>40000</v>
      </c>
      <c r="I1815">
        <v>33600000</v>
      </c>
    </row>
    <row r="1816" spans="1:11" hidden="1" x14ac:dyDescent="0.25">
      <c r="A1816" s="210" t="s">
        <v>1504</v>
      </c>
      <c r="B1816">
        <v>8782</v>
      </c>
      <c r="C1816" s="100">
        <v>46127</v>
      </c>
      <c r="D1816" t="s">
        <v>13</v>
      </c>
      <c r="E1816" t="s">
        <v>192</v>
      </c>
      <c r="F1816" t="s">
        <v>346</v>
      </c>
      <c r="G1816">
        <v>1040</v>
      </c>
      <c r="H1816">
        <v>41000</v>
      </c>
      <c r="I1816">
        <v>42640000</v>
      </c>
    </row>
    <row r="1817" spans="1:11" hidden="1" x14ac:dyDescent="0.25">
      <c r="A1817" s="210" t="s">
        <v>1630</v>
      </c>
      <c r="B1817">
        <v>8781</v>
      </c>
      <c r="C1817" s="100">
        <v>46126</v>
      </c>
      <c r="D1817" t="s">
        <v>13</v>
      </c>
      <c r="E1817" t="s">
        <v>317</v>
      </c>
      <c r="F1817" t="s">
        <v>1217</v>
      </c>
      <c r="G1817">
        <v>516</v>
      </c>
      <c r="H1817">
        <v>63000</v>
      </c>
      <c r="I1817">
        <v>32508000</v>
      </c>
    </row>
    <row r="1818" spans="1:11" hidden="1" x14ac:dyDescent="0.25">
      <c r="A1818" s="210" t="s">
        <v>1630</v>
      </c>
      <c r="B1818">
        <v>8781</v>
      </c>
      <c r="C1818" s="100">
        <v>46126</v>
      </c>
      <c r="D1818" t="s">
        <v>13</v>
      </c>
      <c r="E1818" t="s">
        <v>317</v>
      </c>
      <c r="F1818" t="s">
        <v>78</v>
      </c>
      <c r="G1818">
        <v>214</v>
      </c>
      <c r="H1818">
        <v>63000</v>
      </c>
      <c r="I1818">
        <v>13482000</v>
      </c>
    </row>
    <row r="1819" spans="1:11" hidden="1" x14ac:dyDescent="0.25">
      <c r="A1819" s="210" t="s">
        <v>1494</v>
      </c>
      <c r="B1819">
        <v>8780</v>
      </c>
      <c r="C1819" s="100">
        <v>46126</v>
      </c>
      <c r="D1819" t="s">
        <v>13</v>
      </c>
      <c r="E1819" t="s">
        <v>68</v>
      </c>
      <c r="F1819" t="s">
        <v>287</v>
      </c>
      <c r="G1819">
        <v>18</v>
      </c>
      <c r="H1819">
        <v>41500</v>
      </c>
      <c r="I1819">
        <v>747000</v>
      </c>
    </row>
    <row r="1820" spans="1:11" hidden="1" x14ac:dyDescent="0.25">
      <c r="A1820" s="210" t="s">
        <v>1494</v>
      </c>
      <c r="B1820">
        <v>8780</v>
      </c>
      <c r="C1820" s="100">
        <v>46126</v>
      </c>
      <c r="D1820" t="s">
        <v>13</v>
      </c>
      <c r="E1820" t="s">
        <v>68</v>
      </c>
      <c r="F1820" t="s">
        <v>288</v>
      </c>
      <c r="G1820">
        <v>134</v>
      </c>
      <c r="H1820">
        <v>41500</v>
      </c>
      <c r="I1820">
        <v>5561000</v>
      </c>
    </row>
    <row r="1821" spans="1:11" hidden="1" x14ac:dyDescent="0.25">
      <c r="A1821" s="210" t="s">
        <v>1597</v>
      </c>
      <c r="B1821">
        <v>8779</v>
      </c>
      <c r="C1821" s="100">
        <v>46126</v>
      </c>
      <c r="D1821" t="s">
        <v>13</v>
      </c>
      <c r="E1821" t="s">
        <v>50</v>
      </c>
      <c r="F1821" t="s">
        <v>44</v>
      </c>
      <c r="G1821">
        <v>890</v>
      </c>
      <c r="H1821">
        <v>56000</v>
      </c>
      <c r="I1821">
        <v>49840000</v>
      </c>
    </row>
    <row r="1822" spans="1:11" hidden="1" x14ac:dyDescent="0.25">
      <c r="A1822" s="210" t="s">
        <v>1566</v>
      </c>
      <c r="B1822">
        <v>8778</v>
      </c>
      <c r="C1822" s="100">
        <v>46126</v>
      </c>
      <c r="D1822" t="s">
        <v>13</v>
      </c>
      <c r="E1822" t="s">
        <v>68</v>
      </c>
      <c r="F1822" t="s">
        <v>1214</v>
      </c>
      <c r="G1822">
        <v>767</v>
      </c>
      <c r="H1822">
        <v>43000</v>
      </c>
      <c r="I1822">
        <v>32981000</v>
      </c>
    </row>
    <row r="1823" spans="1:11" hidden="1" x14ac:dyDescent="0.25">
      <c r="A1823" s="210" t="s">
        <v>1566</v>
      </c>
      <c r="B1823">
        <v>8778</v>
      </c>
      <c r="C1823" s="100">
        <v>46126</v>
      </c>
      <c r="D1823" t="s">
        <v>13</v>
      </c>
      <c r="E1823" t="s">
        <v>26</v>
      </c>
      <c r="F1823" t="s">
        <v>62</v>
      </c>
      <c r="G1823">
        <v>156</v>
      </c>
      <c r="H1823">
        <v>35000</v>
      </c>
      <c r="I1823">
        <v>5460000</v>
      </c>
    </row>
    <row r="1824" spans="1:11" hidden="1" x14ac:dyDescent="0.25">
      <c r="A1824" s="210" t="s">
        <v>1566</v>
      </c>
      <c r="B1824">
        <v>8778</v>
      </c>
      <c r="C1824" s="100">
        <v>46126</v>
      </c>
      <c r="D1824" t="s">
        <v>13</v>
      </c>
      <c r="E1824" t="s">
        <v>17</v>
      </c>
      <c r="F1824" t="s">
        <v>230</v>
      </c>
      <c r="G1824">
        <v>1821.5</v>
      </c>
      <c r="H1824">
        <v>69000</v>
      </c>
      <c r="I1824">
        <v>125683500</v>
      </c>
    </row>
    <row r="1825" spans="1:11" hidden="1" x14ac:dyDescent="0.25">
      <c r="A1825" s="210" t="s">
        <v>1582</v>
      </c>
      <c r="B1825">
        <v>8777</v>
      </c>
      <c r="C1825" s="100">
        <v>46126</v>
      </c>
      <c r="D1825" t="s">
        <v>13</v>
      </c>
      <c r="E1825" t="s">
        <v>14</v>
      </c>
      <c r="F1825" t="s">
        <v>40</v>
      </c>
      <c r="G1825">
        <v>318</v>
      </c>
      <c r="H1825">
        <v>47000</v>
      </c>
      <c r="I1825">
        <v>14946000</v>
      </c>
    </row>
    <row r="1826" spans="1:11" hidden="1" x14ac:dyDescent="0.25">
      <c r="A1826" s="210" t="s">
        <v>1582</v>
      </c>
      <c r="B1826">
        <v>8777</v>
      </c>
      <c r="C1826" s="100">
        <v>46126</v>
      </c>
      <c r="D1826" t="s">
        <v>13</v>
      </c>
      <c r="E1826" t="s">
        <v>14</v>
      </c>
      <c r="F1826" t="s">
        <v>41</v>
      </c>
      <c r="G1826">
        <v>190</v>
      </c>
      <c r="H1826">
        <v>42000</v>
      </c>
      <c r="I1826">
        <v>7980000</v>
      </c>
    </row>
    <row r="1827" spans="1:11" hidden="1" x14ac:dyDescent="0.25">
      <c r="A1827" s="210" t="s">
        <v>1582</v>
      </c>
      <c r="B1827">
        <v>8777</v>
      </c>
      <c r="C1827" s="100">
        <v>46126</v>
      </c>
      <c r="D1827" t="s">
        <v>13</v>
      </c>
      <c r="E1827" t="s">
        <v>14</v>
      </c>
      <c r="F1827" t="s">
        <v>40</v>
      </c>
      <c r="G1827">
        <v>202</v>
      </c>
      <c r="H1827">
        <v>36000</v>
      </c>
      <c r="I1827">
        <v>7272000</v>
      </c>
    </row>
    <row r="1828" spans="1:11" hidden="1" x14ac:dyDescent="0.25">
      <c r="A1828" s="210" t="s">
        <v>1593</v>
      </c>
      <c r="B1828">
        <v>8776</v>
      </c>
      <c r="C1828" s="100">
        <v>46126</v>
      </c>
      <c r="D1828" t="s">
        <v>13</v>
      </c>
      <c r="E1828" t="s">
        <v>265</v>
      </c>
      <c r="F1828" t="s">
        <v>62</v>
      </c>
      <c r="G1828">
        <v>1045</v>
      </c>
      <c r="H1828">
        <v>67500</v>
      </c>
      <c r="I1828">
        <v>70537500</v>
      </c>
    </row>
    <row r="1829" spans="1:11" hidden="1" x14ac:dyDescent="0.25">
      <c r="A1829" s="210" t="s">
        <v>1593</v>
      </c>
      <c r="B1829">
        <v>8776</v>
      </c>
      <c r="C1829" s="100">
        <v>46126</v>
      </c>
      <c r="D1829" t="s">
        <v>13</v>
      </c>
      <c r="E1829" t="s">
        <v>265</v>
      </c>
      <c r="F1829" t="s">
        <v>136</v>
      </c>
      <c r="G1829">
        <v>1084</v>
      </c>
      <c r="H1829">
        <v>65500</v>
      </c>
      <c r="I1829">
        <v>71002000</v>
      </c>
    </row>
    <row r="1830" spans="1:11" hidden="1" x14ac:dyDescent="0.25">
      <c r="A1830" s="210" t="s">
        <v>1554</v>
      </c>
      <c r="B1830">
        <v>8775</v>
      </c>
      <c r="C1830" s="100">
        <v>46126</v>
      </c>
      <c r="D1830" t="s">
        <v>13</v>
      </c>
      <c r="E1830" t="s">
        <v>928</v>
      </c>
      <c r="F1830" t="s">
        <v>40</v>
      </c>
      <c r="G1830">
        <v>1032</v>
      </c>
      <c r="H1830">
        <v>45000</v>
      </c>
      <c r="I1830">
        <v>46440000</v>
      </c>
      <c r="K1830" t="s">
        <v>42</v>
      </c>
    </row>
    <row r="1831" spans="1:11" hidden="1" x14ac:dyDescent="0.25">
      <c r="A1831" s="210" t="s">
        <v>1592</v>
      </c>
      <c r="B1831">
        <v>8774</v>
      </c>
      <c r="C1831" s="100">
        <v>46126</v>
      </c>
      <c r="D1831" t="s">
        <v>49</v>
      </c>
      <c r="E1831" t="s">
        <v>43</v>
      </c>
      <c r="F1831" t="s">
        <v>62</v>
      </c>
      <c r="G1831">
        <v>2760</v>
      </c>
      <c r="I1831">
        <v>0</v>
      </c>
      <c r="K1831" t="s">
        <v>1059</v>
      </c>
    </row>
    <row r="1832" spans="1:11" hidden="1" x14ac:dyDescent="0.25">
      <c r="A1832" s="210" t="s">
        <v>1556</v>
      </c>
      <c r="B1832">
        <v>8772</v>
      </c>
      <c r="C1832" s="100">
        <v>46126</v>
      </c>
      <c r="D1832" t="s">
        <v>13</v>
      </c>
      <c r="E1832" t="s">
        <v>77</v>
      </c>
      <c r="F1832" t="s">
        <v>797</v>
      </c>
      <c r="G1832">
        <v>4044</v>
      </c>
      <c r="H1832">
        <v>31500</v>
      </c>
      <c r="I1832">
        <v>127386000</v>
      </c>
    </row>
    <row r="1833" spans="1:11" hidden="1" x14ac:dyDescent="0.25">
      <c r="A1833" s="210" t="s">
        <v>1524</v>
      </c>
      <c r="B1833">
        <v>8771</v>
      </c>
      <c r="C1833" s="100">
        <v>46126</v>
      </c>
      <c r="D1833" t="s">
        <v>49</v>
      </c>
      <c r="E1833" t="s">
        <v>43</v>
      </c>
      <c r="F1833" t="s">
        <v>615</v>
      </c>
      <c r="G1833">
        <v>1751</v>
      </c>
      <c r="I1833">
        <v>0</v>
      </c>
      <c r="K1833" t="s">
        <v>616</v>
      </c>
    </row>
    <row r="1834" spans="1:11" hidden="1" x14ac:dyDescent="0.25">
      <c r="A1834" s="210" t="s">
        <v>1524</v>
      </c>
      <c r="B1834">
        <v>8771</v>
      </c>
      <c r="C1834" s="100">
        <v>46126</v>
      </c>
      <c r="D1834" t="s">
        <v>49</v>
      </c>
      <c r="E1834" t="s">
        <v>43</v>
      </c>
      <c r="F1834" t="s">
        <v>148</v>
      </c>
      <c r="G1834">
        <v>3664</v>
      </c>
      <c r="I1834">
        <v>0</v>
      </c>
      <c r="K1834" t="s">
        <v>617</v>
      </c>
    </row>
    <row r="1835" spans="1:11" hidden="1" x14ac:dyDescent="0.25">
      <c r="A1835" s="210" t="s">
        <v>1530</v>
      </c>
      <c r="B1835">
        <v>8770</v>
      </c>
      <c r="C1835" s="100">
        <v>46126</v>
      </c>
      <c r="D1835" t="s">
        <v>13</v>
      </c>
      <c r="E1835" t="s">
        <v>703</v>
      </c>
      <c r="F1835" t="s">
        <v>704</v>
      </c>
      <c r="G1835">
        <v>378</v>
      </c>
      <c r="H1835">
        <v>35000</v>
      </c>
      <c r="I1835">
        <v>13230000</v>
      </c>
    </row>
    <row r="1836" spans="1:11" hidden="1" x14ac:dyDescent="0.25">
      <c r="A1836" s="210" t="s">
        <v>1530</v>
      </c>
      <c r="B1836">
        <v>8770</v>
      </c>
      <c r="C1836" s="100">
        <v>46126</v>
      </c>
      <c r="D1836" t="s">
        <v>13</v>
      </c>
      <c r="E1836" t="s">
        <v>703</v>
      </c>
      <c r="F1836" t="s">
        <v>705</v>
      </c>
      <c r="G1836">
        <v>166</v>
      </c>
      <c r="H1836">
        <v>34000</v>
      </c>
      <c r="I1836">
        <v>5644000</v>
      </c>
    </row>
    <row r="1837" spans="1:11" hidden="1" x14ac:dyDescent="0.25">
      <c r="A1837" s="210" t="s">
        <v>1530</v>
      </c>
      <c r="B1837">
        <v>8770</v>
      </c>
      <c r="C1837" s="100">
        <v>46126</v>
      </c>
      <c r="D1837" t="s">
        <v>13</v>
      </c>
      <c r="E1837" t="s">
        <v>703</v>
      </c>
      <c r="F1837" t="s">
        <v>706</v>
      </c>
      <c r="G1837">
        <v>188</v>
      </c>
      <c r="H1837">
        <v>28000</v>
      </c>
      <c r="I1837">
        <v>5264000</v>
      </c>
    </row>
    <row r="1838" spans="1:11" hidden="1" x14ac:dyDescent="0.25">
      <c r="A1838" s="210" t="s">
        <v>1491</v>
      </c>
      <c r="B1838">
        <v>8769</v>
      </c>
      <c r="C1838" s="100">
        <v>46126</v>
      </c>
      <c r="D1838" t="s">
        <v>13</v>
      </c>
      <c r="E1838" t="s">
        <v>36</v>
      </c>
      <c r="F1838" t="s">
        <v>73</v>
      </c>
      <c r="G1838">
        <v>858</v>
      </c>
      <c r="H1838">
        <v>61000</v>
      </c>
      <c r="I1838">
        <v>52338000</v>
      </c>
    </row>
    <row r="1839" spans="1:11" hidden="1" x14ac:dyDescent="0.25">
      <c r="A1839" s="210" t="s">
        <v>1491</v>
      </c>
      <c r="B1839">
        <v>8769</v>
      </c>
      <c r="C1839" s="100">
        <v>46126</v>
      </c>
      <c r="D1839" t="s">
        <v>13</v>
      </c>
      <c r="E1839" t="s">
        <v>17</v>
      </c>
      <c r="F1839" t="s">
        <v>40</v>
      </c>
      <c r="G1839">
        <v>2254</v>
      </c>
      <c r="H1839">
        <v>66500</v>
      </c>
      <c r="I1839">
        <v>149891000</v>
      </c>
    </row>
    <row r="1840" spans="1:11" hidden="1" x14ac:dyDescent="0.25">
      <c r="A1840" s="210" t="s">
        <v>1491</v>
      </c>
      <c r="B1840">
        <v>8769</v>
      </c>
      <c r="C1840" s="100">
        <v>46126</v>
      </c>
      <c r="D1840" t="s">
        <v>13</v>
      </c>
      <c r="E1840" t="s">
        <v>43</v>
      </c>
      <c r="F1840" t="s">
        <v>78</v>
      </c>
      <c r="G1840">
        <v>1118</v>
      </c>
      <c r="H1840">
        <v>63000</v>
      </c>
      <c r="I1840">
        <v>70434000</v>
      </c>
    </row>
    <row r="1841" spans="1:11" hidden="1" x14ac:dyDescent="0.25">
      <c r="A1841" s="210" t="s">
        <v>1491</v>
      </c>
      <c r="B1841">
        <v>8769</v>
      </c>
      <c r="C1841" s="100">
        <v>46126</v>
      </c>
      <c r="D1841" t="s">
        <v>13</v>
      </c>
      <c r="E1841" t="s">
        <v>14</v>
      </c>
      <c r="F1841" t="s">
        <v>136</v>
      </c>
      <c r="G1841">
        <v>768</v>
      </c>
      <c r="H1841">
        <v>41500</v>
      </c>
      <c r="I1841">
        <v>31872000</v>
      </c>
    </row>
    <row r="1842" spans="1:11" hidden="1" x14ac:dyDescent="0.25">
      <c r="A1842" s="210" t="s">
        <v>1491</v>
      </c>
      <c r="B1842">
        <v>8769</v>
      </c>
      <c r="C1842" s="100">
        <v>46126</v>
      </c>
      <c r="D1842" t="s">
        <v>13</v>
      </c>
      <c r="E1842" t="s">
        <v>252</v>
      </c>
      <c r="F1842" t="s">
        <v>146</v>
      </c>
      <c r="G1842">
        <v>466</v>
      </c>
      <c r="H1842">
        <v>38000</v>
      </c>
      <c r="I1842">
        <v>17708000</v>
      </c>
      <c r="K1842" t="s">
        <v>262</v>
      </c>
    </row>
    <row r="1843" spans="1:11" hidden="1" x14ac:dyDescent="0.25">
      <c r="A1843" s="210" t="s">
        <v>1479</v>
      </c>
      <c r="B1843">
        <v>8768</v>
      </c>
      <c r="C1843" s="100">
        <v>46126</v>
      </c>
      <c r="D1843" t="s">
        <v>13</v>
      </c>
      <c r="E1843" t="s">
        <v>14</v>
      </c>
      <c r="F1843" t="s">
        <v>136</v>
      </c>
      <c r="G1843">
        <v>2134</v>
      </c>
      <c r="H1843">
        <v>41500</v>
      </c>
      <c r="I1843">
        <v>88561000</v>
      </c>
    </row>
    <row r="1844" spans="1:11" hidden="1" x14ac:dyDescent="0.25">
      <c r="A1844" s="210" t="s">
        <v>1490</v>
      </c>
      <c r="B1844">
        <v>8767</v>
      </c>
      <c r="C1844" s="100">
        <v>46126</v>
      </c>
      <c r="D1844" t="s">
        <v>13</v>
      </c>
      <c r="E1844" t="s">
        <v>17</v>
      </c>
      <c r="F1844" t="s">
        <v>25</v>
      </c>
      <c r="G1844">
        <v>1248</v>
      </c>
      <c r="H1844">
        <v>61000</v>
      </c>
      <c r="I1844">
        <v>76128000</v>
      </c>
    </row>
    <row r="1845" spans="1:11" hidden="1" x14ac:dyDescent="0.25">
      <c r="A1845" s="210" t="s">
        <v>1623</v>
      </c>
      <c r="B1845">
        <v>8766</v>
      </c>
      <c r="C1845" s="100">
        <v>46126</v>
      </c>
      <c r="D1845" t="s">
        <v>13</v>
      </c>
      <c r="E1845" t="s">
        <v>43</v>
      </c>
      <c r="F1845" t="s">
        <v>41</v>
      </c>
      <c r="G1845">
        <v>1154</v>
      </c>
      <c r="H1845">
        <v>62500</v>
      </c>
      <c r="I1845">
        <v>72125000</v>
      </c>
    </row>
    <row r="1846" spans="1:11" hidden="1" x14ac:dyDescent="0.25">
      <c r="A1846" s="210" t="s">
        <v>1613</v>
      </c>
      <c r="B1846">
        <v>8765</v>
      </c>
      <c r="C1846" s="100">
        <v>46126</v>
      </c>
      <c r="D1846" t="s">
        <v>13</v>
      </c>
      <c r="E1846" t="s">
        <v>26</v>
      </c>
      <c r="F1846" t="s">
        <v>146</v>
      </c>
      <c r="G1846">
        <v>7146</v>
      </c>
      <c r="H1846">
        <v>34000</v>
      </c>
      <c r="I1846">
        <v>242964000</v>
      </c>
    </row>
    <row r="1847" spans="1:11" hidden="1" x14ac:dyDescent="0.25">
      <c r="A1847" s="210" t="s">
        <v>1606</v>
      </c>
      <c r="B1847">
        <v>8764</v>
      </c>
      <c r="C1847" s="100">
        <v>46126</v>
      </c>
      <c r="D1847" t="s">
        <v>13</v>
      </c>
      <c r="E1847" t="s">
        <v>14</v>
      </c>
      <c r="F1847" t="s">
        <v>62</v>
      </c>
      <c r="G1847">
        <v>314</v>
      </c>
      <c r="H1847">
        <v>43000</v>
      </c>
      <c r="I1847">
        <v>13502000</v>
      </c>
    </row>
    <row r="1848" spans="1:11" hidden="1" x14ac:dyDescent="0.25">
      <c r="A1848" s="210" t="s">
        <v>1606</v>
      </c>
      <c r="B1848">
        <v>8764</v>
      </c>
      <c r="C1848" s="100">
        <v>46126</v>
      </c>
      <c r="D1848" t="s">
        <v>13</v>
      </c>
      <c r="E1848" t="s">
        <v>14</v>
      </c>
      <c r="F1848" t="s">
        <v>136</v>
      </c>
      <c r="G1848">
        <v>332</v>
      </c>
      <c r="H1848">
        <v>41500</v>
      </c>
      <c r="I1848">
        <v>13778000</v>
      </c>
    </row>
    <row r="1849" spans="1:11" hidden="1" x14ac:dyDescent="0.25">
      <c r="A1849" s="210" t="s">
        <v>1606</v>
      </c>
      <c r="B1849">
        <v>8764</v>
      </c>
      <c r="C1849" s="100">
        <v>46126</v>
      </c>
      <c r="D1849" t="s">
        <v>13</v>
      </c>
      <c r="E1849" t="s">
        <v>75</v>
      </c>
      <c r="F1849" t="s">
        <v>1121</v>
      </c>
      <c r="G1849">
        <v>1152</v>
      </c>
      <c r="H1849">
        <v>37500</v>
      </c>
      <c r="I1849">
        <v>43200000</v>
      </c>
    </row>
    <row r="1850" spans="1:11" hidden="1" x14ac:dyDescent="0.25">
      <c r="A1850" s="210" t="s">
        <v>1596</v>
      </c>
      <c r="B1850">
        <v>8763</v>
      </c>
      <c r="C1850" s="100">
        <v>46126</v>
      </c>
      <c r="D1850" t="s">
        <v>49</v>
      </c>
      <c r="E1850" t="s">
        <v>68</v>
      </c>
      <c r="F1850" t="s">
        <v>1082</v>
      </c>
      <c r="G1850">
        <v>2690</v>
      </c>
      <c r="I1850">
        <v>0</v>
      </c>
      <c r="K1850" t="s">
        <v>1083</v>
      </c>
    </row>
    <row r="1851" spans="1:11" hidden="1" x14ac:dyDescent="0.25">
      <c r="A1851" s="210" t="s">
        <v>2016</v>
      </c>
      <c r="B1851">
        <v>8762</v>
      </c>
      <c r="C1851" s="100">
        <v>46098</v>
      </c>
      <c r="D1851" t="s">
        <v>692</v>
      </c>
      <c r="E1851" t="s">
        <v>68</v>
      </c>
      <c r="F1851" t="s">
        <v>1285</v>
      </c>
      <c r="G1851">
        <v>113</v>
      </c>
      <c r="H1851">
        <v>-41000</v>
      </c>
      <c r="I1851">
        <v>-4633000</v>
      </c>
    </row>
    <row r="1852" spans="1:11" hidden="1" x14ac:dyDescent="0.25">
      <c r="A1852" s="210" t="s">
        <v>2016</v>
      </c>
      <c r="B1852">
        <v>8762</v>
      </c>
      <c r="C1852" s="100">
        <v>46098</v>
      </c>
      <c r="D1852" t="s">
        <v>692</v>
      </c>
      <c r="E1852" t="s">
        <v>68</v>
      </c>
      <c r="F1852" t="s">
        <v>116</v>
      </c>
      <c r="G1852">
        <v>690</v>
      </c>
      <c r="H1852">
        <v>-41000</v>
      </c>
      <c r="I1852">
        <v>-28290000</v>
      </c>
    </row>
    <row r="1853" spans="1:11" hidden="1" x14ac:dyDescent="0.25">
      <c r="A1853" s="210" t="s">
        <v>1524</v>
      </c>
      <c r="B1853">
        <v>8761</v>
      </c>
      <c r="C1853" s="100">
        <v>46126</v>
      </c>
      <c r="D1853" t="s">
        <v>49</v>
      </c>
      <c r="E1853" t="s">
        <v>45</v>
      </c>
      <c r="F1853" t="s">
        <v>46</v>
      </c>
      <c r="G1853">
        <v>3955</v>
      </c>
      <c r="I1853">
        <v>0</v>
      </c>
      <c r="K1853" t="s">
        <v>614</v>
      </c>
    </row>
    <row r="1854" spans="1:11" hidden="1" x14ac:dyDescent="0.25">
      <c r="A1854" s="210" t="s">
        <v>1633</v>
      </c>
      <c r="B1854">
        <v>8760</v>
      </c>
      <c r="C1854" s="100">
        <v>46126</v>
      </c>
      <c r="D1854" t="s">
        <v>49</v>
      </c>
      <c r="E1854" t="s">
        <v>26</v>
      </c>
      <c r="F1854" t="s">
        <v>78</v>
      </c>
      <c r="G1854">
        <v>6260</v>
      </c>
      <c r="I1854">
        <v>0</v>
      </c>
    </row>
    <row r="1855" spans="1:11" hidden="1" x14ac:dyDescent="0.25">
      <c r="A1855" s="210" t="s">
        <v>1539</v>
      </c>
      <c r="B1855">
        <v>8759</v>
      </c>
      <c r="C1855" s="100">
        <v>46126</v>
      </c>
      <c r="D1855" t="s">
        <v>13</v>
      </c>
      <c r="E1855" t="s">
        <v>103</v>
      </c>
      <c r="F1855" t="s">
        <v>878</v>
      </c>
      <c r="G1855">
        <v>432</v>
      </c>
      <c r="H1855">
        <v>37000</v>
      </c>
      <c r="I1855">
        <v>15984000</v>
      </c>
    </row>
    <row r="1856" spans="1:11" hidden="1" x14ac:dyDescent="0.25">
      <c r="A1856" s="210" t="s">
        <v>1489</v>
      </c>
      <c r="B1856">
        <v>8758</v>
      </c>
      <c r="C1856" s="100">
        <v>46126</v>
      </c>
      <c r="D1856" t="s">
        <v>13</v>
      </c>
      <c r="E1856" t="s">
        <v>14</v>
      </c>
      <c r="F1856" t="s">
        <v>146</v>
      </c>
      <c r="G1856">
        <v>116</v>
      </c>
      <c r="H1856">
        <v>42000</v>
      </c>
      <c r="I1856">
        <v>4872000</v>
      </c>
      <c r="K1856" t="s">
        <v>42</v>
      </c>
    </row>
    <row r="1857" spans="1:11" hidden="1" x14ac:dyDescent="0.25">
      <c r="A1857" s="210" t="s">
        <v>1489</v>
      </c>
      <c r="B1857">
        <v>8758</v>
      </c>
      <c r="C1857" s="100">
        <v>46126</v>
      </c>
      <c r="D1857" t="s">
        <v>13</v>
      </c>
      <c r="E1857" t="s">
        <v>14</v>
      </c>
      <c r="F1857" t="s">
        <v>41</v>
      </c>
      <c r="G1857">
        <v>186</v>
      </c>
      <c r="H1857">
        <v>42000</v>
      </c>
      <c r="I1857">
        <v>7812000</v>
      </c>
      <c r="K1857" t="s">
        <v>42</v>
      </c>
    </row>
    <row r="1858" spans="1:11" hidden="1" x14ac:dyDescent="0.25">
      <c r="A1858" s="210" t="s">
        <v>1496</v>
      </c>
      <c r="B1858">
        <v>8757</v>
      </c>
      <c r="C1858" s="100">
        <v>46126</v>
      </c>
      <c r="D1858" t="s">
        <v>13</v>
      </c>
      <c r="E1858" t="s">
        <v>17</v>
      </c>
      <c r="F1858" t="s">
        <v>33</v>
      </c>
      <c r="G1858">
        <v>722</v>
      </c>
      <c r="H1858">
        <v>65000</v>
      </c>
      <c r="I1858">
        <v>46930000</v>
      </c>
    </row>
    <row r="1859" spans="1:11" hidden="1" x14ac:dyDescent="0.25">
      <c r="A1859" s="210" t="s">
        <v>1496</v>
      </c>
      <c r="B1859">
        <v>8756</v>
      </c>
      <c r="C1859" s="100">
        <v>46126</v>
      </c>
      <c r="D1859" t="s">
        <v>13</v>
      </c>
      <c r="E1859" t="s">
        <v>290</v>
      </c>
      <c r="F1859" t="s">
        <v>25</v>
      </c>
      <c r="G1859">
        <v>542</v>
      </c>
      <c r="H1859">
        <v>65000</v>
      </c>
      <c r="I1859">
        <v>35230000</v>
      </c>
    </row>
    <row r="1860" spans="1:11" hidden="1" x14ac:dyDescent="0.25">
      <c r="A1860" s="210" t="s">
        <v>1496</v>
      </c>
      <c r="B1860">
        <v>8756</v>
      </c>
      <c r="C1860" s="100">
        <v>46126</v>
      </c>
      <c r="D1860" t="s">
        <v>13</v>
      </c>
      <c r="E1860" t="s">
        <v>290</v>
      </c>
      <c r="F1860" t="s">
        <v>33</v>
      </c>
      <c r="G1860">
        <v>3682</v>
      </c>
      <c r="H1860">
        <v>65000</v>
      </c>
      <c r="I1860">
        <v>239330000</v>
      </c>
    </row>
    <row r="1861" spans="1:11" hidden="1" x14ac:dyDescent="0.25">
      <c r="A1861" s="210" t="s">
        <v>1496</v>
      </c>
      <c r="B1861">
        <v>8756</v>
      </c>
      <c r="C1861" s="100">
        <v>46126</v>
      </c>
      <c r="D1861" t="s">
        <v>13</v>
      </c>
      <c r="E1861" t="s">
        <v>290</v>
      </c>
      <c r="F1861" t="s">
        <v>46</v>
      </c>
      <c r="G1861">
        <v>4104</v>
      </c>
      <c r="H1861">
        <v>65000</v>
      </c>
      <c r="I1861">
        <v>266760000</v>
      </c>
    </row>
    <row r="1862" spans="1:11" hidden="1" x14ac:dyDescent="0.25">
      <c r="A1862" s="210" t="s">
        <v>1638</v>
      </c>
      <c r="B1862">
        <v>8755</v>
      </c>
      <c r="C1862" s="100">
        <v>46126</v>
      </c>
      <c r="D1862" t="s">
        <v>13</v>
      </c>
      <c r="E1862" t="s">
        <v>17</v>
      </c>
      <c r="F1862" t="s">
        <v>40</v>
      </c>
      <c r="G1862">
        <v>8797</v>
      </c>
      <c r="H1862">
        <v>66500</v>
      </c>
      <c r="I1862">
        <v>585000500</v>
      </c>
    </row>
    <row r="1863" spans="1:11" hidden="1" x14ac:dyDescent="0.25">
      <c r="A1863" s="210" t="s">
        <v>1524</v>
      </c>
      <c r="B1863">
        <v>8754</v>
      </c>
      <c r="C1863" s="100">
        <v>46126</v>
      </c>
      <c r="D1863" t="s">
        <v>49</v>
      </c>
      <c r="E1863" t="s">
        <v>43</v>
      </c>
      <c r="F1863" t="s">
        <v>136</v>
      </c>
      <c r="G1863">
        <v>4990</v>
      </c>
      <c r="I1863">
        <v>0</v>
      </c>
      <c r="K1863" t="s">
        <v>613</v>
      </c>
    </row>
    <row r="1864" spans="1:11" hidden="1" x14ac:dyDescent="0.25">
      <c r="A1864" s="210" t="s">
        <v>1579</v>
      </c>
      <c r="B1864">
        <v>8753</v>
      </c>
      <c r="C1864" s="100">
        <v>46126</v>
      </c>
      <c r="D1864" t="s">
        <v>13</v>
      </c>
      <c r="E1864" t="s">
        <v>150</v>
      </c>
      <c r="F1864" t="s">
        <v>990</v>
      </c>
      <c r="G1864">
        <v>705</v>
      </c>
      <c r="H1864">
        <v>37000</v>
      </c>
      <c r="I1864">
        <v>26085000</v>
      </c>
      <c r="K1864" t="s">
        <v>991</v>
      </c>
    </row>
    <row r="1865" spans="1:11" hidden="1" x14ac:dyDescent="0.25">
      <c r="A1865" s="210" t="s">
        <v>1579</v>
      </c>
      <c r="B1865">
        <v>8753</v>
      </c>
      <c r="C1865" s="100">
        <v>46126</v>
      </c>
      <c r="D1865" t="s">
        <v>13</v>
      </c>
      <c r="E1865" t="s">
        <v>50</v>
      </c>
      <c r="F1865" t="s">
        <v>456</v>
      </c>
      <c r="G1865">
        <v>1414</v>
      </c>
      <c r="H1865">
        <v>61000</v>
      </c>
      <c r="I1865">
        <v>86254000</v>
      </c>
      <c r="K1865" t="s">
        <v>991</v>
      </c>
    </row>
    <row r="1866" spans="1:11" hidden="1" x14ac:dyDescent="0.25">
      <c r="A1866" s="210" t="s">
        <v>1579</v>
      </c>
      <c r="B1866">
        <v>8753</v>
      </c>
      <c r="C1866" s="100">
        <v>46126</v>
      </c>
      <c r="D1866" t="s">
        <v>13</v>
      </c>
      <c r="E1866" t="s">
        <v>50</v>
      </c>
      <c r="F1866" t="s">
        <v>53</v>
      </c>
      <c r="G1866">
        <v>2240</v>
      </c>
      <c r="H1866">
        <v>61000</v>
      </c>
      <c r="I1866">
        <v>136640000</v>
      </c>
      <c r="K1866" t="s">
        <v>184</v>
      </c>
    </row>
    <row r="1867" spans="1:11" hidden="1" x14ac:dyDescent="0.25">
      <c r="A1867" s="210" t="s">
        <v>1579</v>
      </c>
      <c r="B1867">
        <v>8753</v>
      </c>
      <c r="C1867" s="100">
        <v>46126</v>
      </c>
      <c r="D1867" t="s">
        <v>13</v>
      </c>
      <c r="E1867" t="s">
        <v>68</v>
      </c>
      <c r="F1867" t="s">
        <v>62</v>
      </c>
      <c r="G1867">
        <v>156</v>
      </c>
      <c r="H1867">
        <v>43000</v>
      </c>
      <c r="I1867">
        <v>6708000</v>
      </c>
    </row>
    <row r="1868" spans="1:11" hidden="1" x14ac:dyDescent="0.25">
      <c r="A1868" s="210" t="s">
        <v>1476</v>
      </c>
      <c r="B1868">
        <v>8752</v>
      </c>
      <c r="C1868" s="100">
        <v>46125</v>
      </c>
      <c r="D1868" t="s">
        <v>49</v>
      </c>
      <c r="E1868" t="s">
        <v>68</v>
      </c>
      <c r="F1868" t="s">
        <v>112</v>
      </c>
      <c r="G1868">
        <v>38</v>
      </c>
      <c r="I1868">
        <v>0</v>
      </c>
      <c r="K1868" t="s">
        <v>113</v>
      </c>
    </row>
    <row r="1869" spans="1:11" hidden="1" x14ac:dyDescent="0.25">
      <c r="A1869" s="210" t="s">
        <v>1476</v>
      </c>
      <c r="B1869">
        <v>8752</v>
      </c>
      <c r="C1869" s="100">
        <v>46125</v>
      </c>
      <c r="D1869" t="s">
        <v>49</v>
      </c>
      <c r="E1869" t="s">
        <v>68</v>
      </c>
      <c r="F1869" t="s">
        <v>114</v>
      </c>
      <c r="G1869">
        <v>34</v>
      </c>
      <c r="I1869">
        <v>0</v>
      </c>
      <c r="K1869" t="s">
        <v>113</v>
      </c>
    </row>
    <row r="1870" spans="1:11" hidden="1" x14ac:dyDescent="0.25">
      <c r="A1870" s="210" t="s">
        <v>1600</v>
      </c>
      <c r="B1870">
        <v>8751</v>
      </c>
      <c r="C1870" s="100">
        <v>46125</v>
      </c>
      <c r="D1870" t="s">
        <v>13</v>
      </c>
      <c r="E1870" t="s">
        <v>252</v>
      </c>
      <c r="F1870" t="s">
        <v>41</v>
      </c>
      <c r="G1870">
        <v>326</v>
      </c>
      <c r="H1870">
        <v>38000</v>
      </c>
      <c r="I1870">
        <v>12388000</v>
      </c>
    </row>
    <row r="1871" spans="1:11" hidden="1" x14ac:dyDescent="0.25">
      <c r="A1871" s="210" t="s">
        <v>1600</v>
      </c>
      <c r="B1871">
        <v>8751</v>
      </c>
      <c r="C1871" s="100">
        <v>46125</v>
      </c>
      <c r="D1871" t="s">
        <v>13</v>
      </c>
      <c r="E1871" t="s">
        <v>54</v>
      </c>
      <c r="F1871" t="s">
        <v>117</v>
      </c>
      <c r="G1871">
        <v>58</v>
      </c>
      <c r="H1871">
        <v>35000</v>
      </c>
      <c r="I1871">
        <v>2030000</v>
      </c>
    </row>
    <row r="1872" spans="1:11" hidden="1" x14ac:dyDescent="0.25">
      <c r="A1872" s="210" t="s">
        <v>1624</v>
      </c>
      <c r="B1872">
        <v>8750</v>
      </c>
      <c r="C1872" s="100">
        <v>46125</v>
      </c>
      <c r="D1872" t="s">
        <v>13</v>
      </c>
      <c r="E1872" t="s">
        <v>26</v>
      </c>
      <c r="F1872" t="s">
        <v>62</v>
      </c>
      <c r="G1872">
        <v>564</v>
      </c>
      <c r="H1872">
        <v>35000</v>
      </c>
      <c r="I1872">
        <v>19740000</v>
      </c>
    </row>
    <row r="1873" spans="1:11" hidden="1" x14ac:dyDescent="0.25">
      <c r="A1873" s="210" t="s">
        <v>1624</v>
      </c>
      <c r="B1873">
        <v>8750</v>
      </c>
      <c r="C1873" s="100">
        <v>46125</v>
      </c>
      <c r="D1873" t="s">
        <v>13</v>
      </c>
      <c r="E1873" t="s">
        <v>14</v>
      </c>
      <c r="F1873" t="s">
        <v>136</v>
      </c>
      <c r="G1873">
        <v>1278</v>
      </c>
      <c r="H1873">
        <v>41500</v>
      </c>
      <c r="I1873">
        <v>53037000</v>
      </c>
    </row>
    <row r="1874" spans="1:11" hidden="1" x14ac:dyDescent="0.25">
      <c r="A1874" s="210" t="s">
        <v>1624</v>
      </c>
      <c r="B1874">
        <v>8750</v>
      </c>
      <c r="C1874" s="100">
        <v>46125</v>
      </c>
      <c r="D1874" t="s">
        <v>13</v>
      </c>
      <c r="E1874" t="s">
        <v>14</v>
      </c>
      <c r="F1874" t="s">
        <v>62</v>
      </c>
      <c r="G1874">
        <v>1180</v>
      </c>
      <c r="H1874">
        <v>43000</v>
      </c>
      <c r="I1874">
        <v>50740000</v>
      </c>
    </row>
    <row r="1875" spans="1:11" hidden="1" x14ac:dyDescent="0.25">
      <c r="A1875" s="210" t="s">
        <v>1624</v>
      </c>
      <c r="B1875">
        <v>8750</v>
      </c>
      <c r="C1875" s="100">
        <v>46125</v>
      </c>
      <c r="D1875" t="s">
        <v>13</v>
      </c>
      <c r="E1875" t="s">
        <v>14</v>
      </c>
      <c r="F1875" t="s">
        <v>41</v>
      </c>
      <c r="G1875">
        <v>882</v>
      </c>
      <c r="H1875">
        <v>41500</v>
      </c>
      <c r="I1875">
        <v>36603000</v>
      </c>
    </row>
    <row r="1876" spans="1:11" hidden="1" x14ac:dyDescent="0.25">
      <c r="A1876" s="210" t="s">
        <v>1476</v>
      </c>
      <c r="B1876">
        <v>8749</v>
      </c>
      <c r="C1876" s="100">
        <v>46125</v>
      </c>
      <c r="D1876" t="s">
        <v>13</v>
      </c>
      <c r="E1876" t="s">
        <v>50</v>
      </c>
      <c r="F1876" t="s">
        <v>111</v>
      </c>
      <c r="G1876">
        <v>429</v>
      </c>
      <c r="H1876">
        <v>61000</v>
      </c>
      <c r="I1876">
        <v>26169000</v>
      </c>
    </row>
    <row r="1877" spans="1:11" hidden="1" x14ac:dyDescent="0.25">
      <c r="A1877" s="210" t="s">
        <v>1582</v>
      </c>
      <c r="B1877">
        <v>8748</v>
      </c>
      <c r="C1877" s="100">
        <v>46125</v>
      </c>
      <c r="D1877" t="s">
        <v>13</v>
      </c>
      <c r="E1877" t="s">
        <v>17</v>
      </c>
      <c r="F1877" t="s">
        <v>249</v>
      </c>
      <c r="G1877">
        <v>5049</v>
      </c>
      <c r="H1877">
        <v>66500</v>
      </c>
      <c r="I1877">
        <v>335758500</v>
      </c>
    </row>
    <row r="1878" spans="1:11" hidden="1" x14ac:dyDescent="0.25">
      <c r="A1878" s="210" t="s">
        <v>1511</v>
      </c>
      <c r="B1878">
        <v>8747</v>
      </c>
      <c r="C1878" s="100">
        <v>46125</v>
      </c>
      <c r="D1878" t="s">
        <v>13</v>
      </c>
      <c r="E1878" t="s">
        <v>54</v>
      </c>
      <c r="F1878" t="s">
        <v>405</v>
      </c>
      <c r="G1878">
        <v>222</v>
      </c>
      <c r="H1878">
        <v>33000</v>
      </c>
      <c r="I1878">
        <v>7326000</v>
      </c>
      <c r="J1878">
        <v>7326000</v>
      </c>
      <c r="K1878" t="s">
        <v>406</v>
      </c>
    </row>
    <row r="1879" spans="1:11" hidden="1" x14ac:dyDescent="0.25">
      <c r="A1879" s="210" t="s">
        <v>1511</v>
      </c>
      <c r="B1879">
        <v>8747</v>
      </c>
      <c r="C1879" s="100">
        <v>46125</v>
      </c>
      <c r="D1879" t="s">
        <v>13</v>
      </c>
      <c r="E1879" t="s">
        <v>54</v>
      </c>
      <c r="F1879" t="s">
        <v>407</v>
      </c>
      <c r="G1879">
        <v>462</v>
      </c>
      <c r="H1879">
        <v>34000</v>
      </c>
      <c r="I1879">
        <v>15708000</v>
      </c>
      <c r="J1879">
        <v>15708000</v>
      </c>
      <c r="K1879" t="s">
        <v>406</v>
      </c>
    </row>
    <row r="1880" spans="1:11" hidden="1" x14ac:dyDescent="0.25">
      <c r="A1880" s="210" t="s">
        <v>1511</v>
      </c>
      <c r="B1880">
        <v>8747</v>
      </c>
      <c r="C1880" s="100">
        <v>46125</v>
      </c>
      <c r="D1880" t="s">
        <v>13</v>
      </c>
      <c r="E1880" t="s">
        <v>54</v>
      </c>
      <c r="F1880" t="s">
        <v>408</v>
      </c>
      <c r="G1880">
        <v>356</v>
      </c>
      <c r="H1880">
        <v>34000</v>
      </c>
      <c r="I1880">
        <v>12104000</v>
      </c>
      <c r="J1880">
        <v>12104000</v>
      </c>
      <c r="K1880" t="s">
        <v>406</v>
      </c>
    </row>
    <row r="1881" spans="1:11" hidden="1" x14ac:dyDescent="0.25">
      <c r="A1881" s="210" t="s">
        <v>1512</v>
      </c>
      <c r="B1881">
        <v>8746</v>
      </c>
      <c r="C1881" s="100">
        <v>46125</v>
      </c>
      <c r="D1881" t="s">
        <v>13</v>
      </c>
      <c r="E1881" t="s">
        <v>14</v>
      </c>
      <c r="F1881" t="s">
        <v>62</v>
      </c>
      <c r="G1881">
        <v>1024</v>
      </c>
      <c r="H1881">
        <v>43000</v>
      </c>
      <c r="I1881">
        <v>44032000</v>
      </c>
    </row>
    <row r="1882" spans="1:11" hidden="1" x14ac:dyDescent="0.25">
      <c r="A1882" s="210" t="s">
        <v>1582</v>
      </c>
      <c r="B1882">
        <v>8745</v>
      </c>
      <c r="C1882" s="100">
        <v>46125</v>
      </c>
      <c r="D1882" t="s">
        <v>13</v>
      </c>
      <c r="E1882" t="s">
        <v>45</v>
      </c>
      <c r="F1882" t="s">
        <v>25</v>
      </c>
      <c r="G1882">
        <v>968</v>
      </c>
      <c r="H1882">
        <v>34500</v>
      </c>
      <c r="I1882">
        <v>33396000</v>
      </c>
    </row>
    <row r="1883" spans="1:11" hidden="1" x14ac:dyDescent="0.25">
      <c r="A1883" s="210" t="s">
        <v>1582</v>
      </c>
      <c r="B1883">
        <v>8745</v>
      </c>
      <c r="C1883" s="100">
        <v>46125</v>
      </c>
      <c r="D1883" t="s">
        <v>13</v>
      </c>
      <c r="E1883" t="s">
        <v>26</v>
      </c>
      <c r="F1883" t="s">
        <v>649</v>
      </c>
      <c r="G1883">
        <v>1010</v>
      </c>
      <c r="H1883">
        <v>35000</v>
      </c>
      <c r="I1883">
        <v>35350000</v>
      </c>
    </row>
    <row r="1884" spans="1:11" hidden="1" x14ac:dyDescent="0.25">
      <c r="A1884" s="210" t="s">
        <v>1582</v>
      </c>
      <c r="B1884">
        <v>8745</v>
      </c>
      <c r="C1884" s="100">
        <v>46125</v>
      </c>
      <c r="D1884" t="s">
        <v>13</v>
      </c>
      <c r="E1884" t="s">
        <v>68</v>
      </c>
      <c r="F1884" t="s">
        <v>1008</v>
      </c>
      <c r="G1884">
        <v>24</v>
      </c>
      <c r="H1884">
        <v>42000</v>
      </c>
      <c r="I1884">
        <v>1008000</v>
      </c>
    </row>
    <row r="1885" spans="1:11" hidden="1" x14ac:dyDescent="0.25">
      <c r="A1885" s="210" t="s">
        <v>1582</v>
      </c>
      <c r="B1885">
        <v>8745</v>
      </c>
      <c r="C1885" s="100">
        <v>46125</v>
      </c>
      <c r="D1885" t="s">
        <v>13</v>
      </c>
      <c r="E1885" t="s">
        <v>68</v>
      </c>
      <c r="F1885" t="s">
        <v>40</v>
      </c>
      <c r="G1885">
        <v>250</v>
      </c>
      <c r="H1885">
        <v>47000</v>
      </c>
      <c r="I1885">
        <v>11750000</v>
      </c>
    </row>
    <row r="1886" spans="1:11" hidden="1" x14ac:dyDescent="0.25">
      <c r="A1886" s="210" t="s">
        <v>1545</v>
      </c>
      <c r="B1886">
        <v>8744</v>
      </c>
      <c r="C1886" s="100">
        <v>46125</v>
      </c>
      <c r="D1886" t="s">
        <v>13</v>
      </c>
      <c r="E1886" t="s">
        <v>17</v>
      </c>
      <c r="F1886" t="s">
        <v>136</v>
      </c>
      <c r="G1886">
        <v>1066</v>
      </c>
      <c r="H1886">
        <v>65000</v>
      </c>
      <c r="I1886">
        <v>69290000</v>
      </c>
    </row>
    <row r="1887" spans="1:11" hidden="1" x14ac:dyDescent="0.25">
      <c r="A1887" s="210" t="s">
        <v>1545</v>
      </c>
      <c r="B1887">
        <v>8744</v>
      </c>
      <c r="C1887" s="100">
        <v>46125</v>
      </c>
      <c r="D1887" t="s">
        <v>13</v>
      </c>
      <c r="E1887" t="s">
        <v>17</v>
      </c>
      <c r="F1887" t="s">
        <v>41</v>
      </c>
      <c r="G1887">
        <v>472</v>
      </c>
      <c r="H1887">
        <v>65000</v>
      </c>
      <c r="I1887">
        <v>30680000</v>
      </c>
    </row>
    <row r="1888" spans="1:11" hidden="1" x14ac:dyDescent="0.25">
      <c r="A1888" s="210" t="s">
        <v>1641</v>
      </c>
      <c r="B1888">
        <v>8743</v>
      </c>
      <c r="C1888" s="100">
        <v>46125</v>
      </c>
      <c r="D1888" t="s">
        <v>13</v>
      </c>
      <c r="E1888" t="s">
        <v>135</v>
      </c>
      <c r="F1888" t="s">
        <v>134</v>
      </c>
      <c r="G1888">
        <v>2138</v>
      </c>
      <c r="H1888">
        <v>37500</v>
      </c>
      <c r="I1888">
        <v>80175000</v>
      </c>
    </row>
    <row r="1889" spans="1:11" hidden="1" x14ac:dyDescent="0.25">
      <c r="A1889" s="210" t="s">
        <v>1592</v>
      </c>
      <c r="B1889">
        <v>8742</v>
      </c>
      <c r="C1889" s="100">
        <v>46125</v>
      </c>
      <c r="D1889" t="s">
        <v>49</v>
      </c>
      <c r="E1889" t="s">
        <v>77</v>
      </c>
      <c r="F1889" t="s">
        <v>345</v>
      </c>
      <c r="G1889">
        <v>1500</v>
      </c>
      <c r="I1889">
        <v>0</v>
      </c>
      <c r="K1889" t="s">
        <v>1057</v>
      </c>
    </row>
    <row r="1890" spans="1:11" hidden="1" x14ac:dyDescent="0.25">
      <c r="A1890" s="210" t="s">
        <v>1592</v>
      </c>
      <c r="B1890">
        <v>8742</v>
      </c>
      <c r="C1890" s="100">
        <v>46125</v>
      </c>
      <c r="D1890" t="s">
        <v>49</v>
      </c>
      <c r="E1890" t="s">
        <v>77</v>
      </c>
      <c r="F1890" t="s">
        <v>661</v>
      </c>
      <c r="G1890">
        <v>840</v>
      </c>
      <c r="I1890">
        <v>0</v>
      </c>
      <c r="K1890" t="s">
        <v>1058</v>
      </c>
    </row>
    <row r="1891" spans="1:11" hidden="1" x14ac:dyDescent="0.25">
      <c r="A1891" s="210" t="s">
        <v>1592</v>
      </c>
      <c r="B1891">
        <v>8742</v>
      </c>
      <c r="C1891" s="100">
        <v>46125</v>
      </c>
      <c r="D1891" t="s">
        <v>49</v>
      </c>
      <c r="E1891" t="s">
        <v>77</v>
      </c>
      <c r="F1891" t="s">
        <v>346</v>
      </c>
      <c r="G1891">
        <v>1040</v>
      </c>
      <c r="I1891">
        <v>0</v>
      </c>
      <c r="K1891" t="s">
        <v>1058</v>
      </c>
    </row>
    <row r="1892" spans="1:11" hidden="1" x14ac:dyDescent="0.25">
      <c r="A1892" s="210" t="s">
        <v>1615</v>
      </c>
      <c r="B1892">
        <v>8741</v>
      </c>
      <c r="C1892" s="100">
        <v>46125</v>
      </c>
      <c r="D1892" t="s">
        <v>13</v>
      </c>
      <c r="E1892" t="s">
        <v>68</v>
      </c>
      <c r="F1892" t="s">
        <v>1173</v>
      </c>
      <c r="G1892">
        <v>946</v>
      </c>
      <c r="H1892">
        <v>47000</v>
      </c>
      <c r="I1892">
        <v>44462000</v>
      </c>
    </row>
    <row r="1893" spans="1:11" hidden="1" x14ac:dyDescent="0.25">
      <c r="A1893" s="210" t="s">
        <v>1593</v>
      </c>
      <c r="B1893">
        <v>8740</v>
      </c>
      <c r="C1893" s="100">
        <v>46125</v>
      </c>
      <c r="D1893" t="s">
        <v>13</v>
      </c>
      <c r="E1893" t="s">
        <v>252</v>
      </c>
      <c r="F1893" t="s">
        <v>136</v>
      </c>
      <c r="G1893">
        <v>1236</v>
      </c>
      <c r="H1893">
        <v>38000</v>
      </c>
      <c r="I1893">
        <v>46968000</v>
      </c>
    </row>
    <row r="1894" spans="1:11" hidden="1" x14ac:dyDescent="0.25">
      <c r="A1894" s="210" t="s">
        <v>1593</v>
      </c>
      <c r="B1894">
        <v>8740</v>
      </c>
      <c r="C1894" s="100">
        <v>46125</v>
      </c>
      <c r="D1894" t="s">
        <v>13</v>
      </c>
      <c r="E1894" t="s">
        <v>270</v>
      </c>
      <c r="F1894" t="s">
        <v>148</v>
      </c>
      <c r="G1894">
        <v>1254</v>
      </c>
      <c r="H1894">
        <v>64500</v>
      </c>
      <c r="I1894">
        <v>80883000</v>
      </c>
    </row>
    <row r="1895" spans="1:11" hidden="1" x14ac:dyDescent="0.25">
      <c r="A1895" s="210" t="s">
        <v>1524</v>
      </c>
      <c r="B1895">
        <v>8739</v>
      </c>
      <c r="C1895" s="100">
        <v>46125</v>
      </c>
      <c r="D1895" t="s">
        <v>49</v>
      </c>
      <c r="E1895" t="s">
        <v>17</v>
      </c>
      <c r="F1895" t="s">
        <v>610</v>
      </c>
      <c r="G1895">
        <v>4970</v>
      </c>
      <c r="I1895">
        <v>0</v>
      </c>
      <c r="K1895" t="s">
        <v>611</v>
      </c>
    </row>
    <row r="1896" spans="1:11" hidden="1" x14ac:dyDescent="0.25">
      <c r="A1896" s="210" t="s">
        <v>1524</v>
      </c>
      <c r="B1896">
        <v>8739</v>
      </c>
      <c r="C1896" s="100">
        <v>46125</v>
      </c>
      <c r="D1896" t="s">
        <v>49</v>
      </c>
      <c r="E1896" t="s">
        <v>26</v>
      </c>
      <c r="F1896" t="s">
        <v>612</v>
      </c>
      <c r="G1896">
        <v>1000</v>
      </c>
      <c r="I1896">
        <v>0</v>
      </c>
      <c r="K1896" t="s">
        <v>475</v>
      </c>
    </row>
    <row r="1897" spans="1:11" hidden="1" x14ac:dyDescent="0.25">
      <c r="A1897" s="210" t="s">
        <v>1579</v>
      </c>
      <c r="B1897">
        <v>8738</v>
      </c>
      <c r="C1897" s="100">
        <v>46125</v>
      </c>
      <c r="D1897" t="s">
        <v>13</v>
      </c>
      <c r="E1897" t="s">
        <v>43</v>
      </c>
      <c r="F1897" t="s">
        <v>62</v>
      </c>
      <c r="G1897">
        <v>429</v>
      </c>
      <c r="H1897">
        <v>63000</v>
      </c>
      <c r="I1897">
        <v>27027000</v>
      </c>
    </row>
    <row r="1898" spans="1:11" hidden="1" x14ac:dyDescent="0.25">
      <c r="A1898" s="210" t="s">
        <v>1579</v>
      </c>
      <c r="B1898">
        <v>8738</v>
      </c>
      <c r="C1898" s="100">
        <v>46125</v>
      </c>
      <c r="D1898" t="s">
        <v>13</v>
      </c>
      <c r="E1898" t="s">
        <v>14</v>
      </c>
      <c r="F1898" t="s">
        <v>148</v>
      </c>
      <c r="G1898">
        <v>998</v>
      </c>
      <c r="H1898">
        <v>41500</v>
      </c>
      <c r="I1898">
        <v>41417000</v>
      </c>
    </row>
    <row r="1899" spans="1:11" hidden="1" x14ac:dyDescent="0.25">
      <c r="A1899" s="210" t="s">
        <v>1579</v>
      </c>
      <c r="B1899">
        <v>8738</v>
      </c>
      <c r="C1899" s="100">
        <v>46125</v>
      </c>
      <c r="D1899" t="s">
        <v>13</v>
      </c>
      <c r="E1899" t="s">
        <v>26</v>
      </c>
      <c r="F1899" t="s">
        <v>62</v>
      </c>
      <c r="G1899">
        <v>1034</v>
      </c>
      <c r="H1899">
        <v>35000</v>
      </c>
      <c r="I1899">
        <v>36190000</v>
      </c>
    </row>
    <row r="1900" spans="1:11" hidden="1" x14ac:dyDescent="0.25">
      <c r="A1900" s="210" t="s">
        <v>1579</v>
      </c>
      <c r="B1900">
        <v>8738</v>
      </c>
      <c r="C1900" s="100">
        <v>46125</v>
      </c>
      <c r="D1900" t="s">
        <v>13</v>
      </c>
      <c r="E1900" t="s">
        <v>75</v>
      </c>
      <c r="F1900" t="s">
        <v>380</v>
      </c>
      <c r="G1900">
        <v>332</v>
      </c>
      <c r="H1900">
        <v>38000</v>
      </c>
      <c r="I1900">
        <v>12616000</v>
      </c>
    </row>
    <row r="1901" spans="1:11" hidden="1" x14ac:dyDescent="0.25">
      <c r="A1901" s="210" t="s">
        <v>1579</v>
      </c>
      <c r="B1901">
        <v>8738</v>
      </c>
      <c r="C1901" s="100">
        <v>46125</v>
      </c>
      <c r="D1901" t="s">
        <v>13</v>
      </c>
      <c r="E1901" t="s">
        <v>14</v>
      </c>
      <c r="F1901" t="s">
        <v>40</v>
      </c>
      <c r="G1901">
        <v>180</v>
      </c>
      <c r="H1901">
        <v>47000</v>
      </c>
      <c r="I1901">
        <v>8460000</v>
      </c>
    </row>
    <row r="1902" spans="1:11" hidden="1" x14ac:dyDescent="0.25">
      <c r="A1902" s="210" t="s">
        <v>1479</v>
      </c>
      <c r="B1902">
        <v>8737</v>
      </c>
      <c r="C1902" s="100">
        <v>46125</v>
      </c>
      <c r="D1902" t="s">
        <v>13</v>
      </c>
      <c r="E1902" t="s">
        <v>14</v>
      </c>
      <c r="F1902" t="s">
        <v>78</v>
      </c>
      <c r="G1902">
        <v>2102</v>
      </c>
      <c r="H1902">
        <v>45000</v>
      </c>
      <c r="I1902">
        <v>94590000</v>
      </c>
    </row>
    <row r="1903" spans="1:11" hidden="1" x14ac:dyDescent="0.25">
      <c r="A1903" s="210" t="s">
        <v>1479</v>
      </c>
      <c r="B1903">
        <v>8737</v>
      </c>
      <c r="C1903" s="100">
        <v>46125</v>
      </c>
      <c r="D1903" t="s">
        <v>13</v>
      </c>
      <c r="E1903" t="s">
        <v>14</v>
      </c>
      <c r="F1903" t="s">
        <v>134</v>
      </c>
      <c r="G1903">
        <v>2750</v>
      </c>
      <c r="H1903">
        <v>41500</v>
      </c>
      <c r="I1903">
        <v>114125000</v>
      </c>
    </row>
    <row r="1904" spans="1:11" hidden="1" x14ac:dyDescent="0.25">
      <c r="A1904" s="210" t="s">
        <v>1491</v>
      </c>
      <c r="B1904">
        <v>8736</v>
      </c>
      <c r="C1904" s="100">
        <v>46125</v>
      </c>
      <c r="D1904" t="s">
        <v>13</v>
      </c>
      <c r="E1904" t="s">
        <v>26</v>
      </c>
      <c r="F1904" t="s">
        <v>230</v>
      </c>
      <c r="G1904">
        <v>1148</v>
      </c>
      <c r="H1904">
        <v>38000</v>
      </c>
      <c r="I1904">
        <v>43624000</v>
      </c>
    </row>
    <row r="1905" spans="1:11" hidden="1" x14ac:dyDescent="0.25">
      <c r="A1905" s="210" t="s">
        <v>1547</v>
      </c>
      <c r="B1905">
        <v>8735</v>
      </c>
      <c r="C1905" s="100">
        <v>46125</v>
      </c>
      <c r="D1905" t="s">
        <v>13</v>
      </c>
      <c r="E1905" t="s">
        <v>14</v>
      </c>
      <c r="F1905" t="s">
        <v>78</v>
      </c>
      <c r="G1905">
        <v>1470</v>
      </c>
      <c r="H1905">
        <v>45000</v>
      </c>
      <c r="I1905">
        <v>66150000</v>
      </c>
    </row>
    <row r="1906" spans="1:11" hidden="1" x14ac:dyDescent="0.25">
      <c r="A1906" s="210" t="s">
        <v>1547</v>
      </c>
      <c r="B1906">
        <v>8735</v>
      </c>
      <c r="C1906" s="100">
        <v>46125</v>
      </c>
      <c r="D1906" t="s">
        <v>13</v>
      </c>
      <c r="E1906" t="s">
        <v>14</v>
      </c>
      <c r="F1906" t="s">
        <v>136</v>
      </c>
      <c r="G1906">
        <v>1064</v>
      </c>
      <c r="H1906">
        <v>41500</v>
      </c>
      <c r="I1906">
        <v>44156000</v>
      </c>
    </row>
    <row r="1907" spans="1:11" hidden="1" x14ac:dyDescent="0.25">
      <c r="A1907" s="210" t="s">
        <v>1523</v>
      </c>
      <c r="B1907">
        <v>8734</v>
      </c>
      <c r="C1907" s="100">
        <v>46125</v>
      </c>
      <c r="D1907" t="s">
        <v>13</v>
      </c>
      <c r="E1907" t="s">
        <v>17</v>
      </c>
      <c r="F1907" t="s">
        <v>40</v>
      </c>
      <c r="G1907">
        <v>132</v>
      </c>
      <c r="H1907">
        <v>69000</v>
      </c>
      <c r="I1907">
        <v>9108000</v>
      </c>
      <c r="J1907">
        <v>124</v>
      </c>
    </row>
    <row r="1908" spans="1:11" hidden="1" x14ac:dyDescent="0.25">
      <c r="A1908" s="210" t="s">
        <v>1587</v>
      </c>
      <c r="B1908">
        <v>8733</v>
      </c>
      <c r="C1908" s="100">
        <v>46125</v>
      </c>
      <c r="D1908" t="s">
        <v>13</v>
      </c>
      <c r="E1908" t="s">
        <v>17</v>
      </c>
      <c r="F1908" t="s">
        <v>40</v>
      </c>
      <c r="G1908">
        <v>200</v>
      </c>
      <c r="H1908">
        <v>67000</v>
      </c>
      <c r="I1908">
        <v>13400000</v>
      </c>
    </row>
    <row r="1909" spans="1:11" hidden="1" x14ac:dyDescent="0.25">
      <c r="A1909" s="210" t="s">
        <v>1587</v>
      </c>
      <c r="B1909">
        <v>8733</v>
      </c>
      <c r="C1909" s="100">
        <v>46125</v>
      </c>
      <c r="D1909" t="s">
        <v>13</v>
      </c>
      <c r="E1909" t="s">
        <v>26</v>
      </c>
      <c r="F1909" t="s">
        <v>41</v>
      </c>
      <c r="G1909">
        <v>150</v>
      </c>
      <c r="H1909">
        <v>36000</v>
      </c>
      <c r="I1909">
        <v>5400000</v>
      </c>
    </row>
    <row r="1910" spans="1:11" hidden="1" x14ac:dyDescent="0.25">
      <c r="A1910" s="210" t="s">
        <v>1609</v>
      </c>
      <c r="B1910">
        <v>8732</v>
      </c>
      <c r="C1910" s="100">
        <v>46125</v>
      </c>
      <c r="D1910" t="s">
        <v>13</v>
      </c>
      <c r="E1910" t="s">
        <v>26</v>
      </c>
      <c r="F1910" t="s">
        <v>1141</v>
      </c>
      <c r="G1910">
        <v>1054</v>
      </c>
      <c r="H1910">
        <v>36000</v>
      </c>
      <c r="I1910">
        <v>37944000</v>
      </c>
    </row>
    <row r="1911" spans="1:11" hidden="1" x14ac:dyDescent="0.25">
      <c r="A1911" s="210" t="s">
        <v>1609</v>
      </c>
      <c r="B1911">
        <v>8732</v>
      </c>
      <c r="C1911" s="100">
        <v>46125</v>
      </c>
      <c r="D1911" t="s">
        <v>13</v>
      </c>
      <c r="E1911" t="s">
        <v>26</v>
      </c>
      <c r="F1911" t="s">
        <v>1142</v>
      </c>
      <c r="G1911">
        <v>1445</v>
      </c>
      <c r="H1911">
        <v>36000</v>
      </c>
      <c r="I1911">
        <v>52020000</v>
      </c>
    </row>
    <row r="1912" spans="1:11" hidden="1" x14ac:dyDescent="0.25">
      <c r="A1912" s="210" t="s">
        <v>1609</v>
      </c>
      <c r="B1912">
        <v>8732</v>
      </c>
      <c r="C1912" s="100">
        <v>46125</v>
      </c>
      <c r="D1912" t="s">
        <v>13</v>
      </c>
      <c r="E1912" t="s">
        <v>26</v>
      </c>
      <c r="F1912" t="s">
        <v>1143</v>
      </c>
      <c r="G1912">
        <v>1811</v>
      </c>
      <c r="H1912">
        <v>36000</v>
      </c>
      <c r="I1912">
        <v>65196000</v>
      </c>
    </row>
    <row r="1913" spans="1:11" hidden="1" x14ac:dyDescent="0.25">
      <c r="A1913" s="210" t="s">
        <v>1494</v>
      </c>
      <c r="B1913">
        <v>8731</v>
      </c>
      <c r="C1913" s="100">
        <v>46125</v>
      </c>
      <c r="D1913" t="s">
        <v>13</v>
      </c>
      <c r="E1913" t="s">
        <v>14</v>
      </c>
      <c r="F1913" t="s">
        <v>40</v>
      </c>
      <c r="G1913">
        <v>251</v>
      </c>
      <c r="H1913">
        <v>47000</v>
      </c>
      <c r="I1913">
        <v>11797000</v>
      </c>
    </row>
    <row r="1914" spans="1:11" hidden="1" x14ac:dyDescent="0.25">
      <c r="A1914" s="210" t="s">
        <v>1597</v>
      </c>
      <c r="B1914">
        <v>8730</v>
      </c>
      <c r="C1914" s="100">
        <v>46125</v>
      </c>
      <c r="D1914" t="s">
        <v>13</v>
      </c>
      <c r="E1914" t="s">
        <v>14</v>
      </c>
      <c r="F1914" t="s">
        <v>146</v>
      </c>
      <c r="G1914">
        <v>538</v>
      </c>
      <c r="H1914">
        <v>42000</v>
      </c>
      <c r="I1914">
        <v>22596000</v>
      </c>
    </row>
    <row r="1915" spans="1:11" hidden="1" x14ac:dyDescent="0.25">
      <c r="A1915" s="210" t="s">
        <v>1597</v>
      </c>
      <c r="B1915">
        <v>8730</v>
      </c>
      <c r="C1915" s="100">
        <v>46125</v>
      </c>
      <c r="D1915" t="s">
        <v>13</v>
      </c>
      <c r="E1915" t="s">
        <v>14</v>
      </c>
      <c r="F1915" t="s">
        <v>136</v>
      </c>
      <c r="G1915">
        <v>582</v>
      </c>
      <c r="H1915">
        <v>42000</v>
      </c>
      <c r="I1915">
        <v>24444000</v>
      </c>
    </row>
    <row r="1916" spans="1:11" hidden="1" x14ac:dyDescent="0.25">
      <c r="A1916" s="210" t="s">
        <v>1478</v>
      </c>
      <c r="B1916">
        <v>8729</v>
      </c>
      <c r="C1916" s="100">
        <v>46125</v>
      </c>
      <c r="D1916" t="s">
        <v>13</v>
      </c>
      <c r="E1916" t="s">
        <v>50</v>
      </c>
      <c r="F1916" t="s">
        <v>153</v>
      </c>
      <c r="G1916">
        <v>578</v>
      </c>
      <c r="H1916">
        <v>54000</v>
      </c>
      <c r="I1916">
        <v>31212000</v>
      </c>
      <c r="K1916" t="s">
        <v>42</v>
      </c>
    </row>
    <row r="1917" spans="1:11" hidden="1" x14ac:dyDescent="0.25">
      <c r="A1917" s="210" t="s">
        <v>1478</v>
      </c>
      <c r="B1917">
        <v>8729</v>
      </c>
      <c r="C1917" s="100">
        <v>46125</v>
      </c>
      <c r="D1917" t="s">
        <v>13</v>
      </c>
      <c r="E1917" t="s">
        <v>26</v>
      </c>
      <c r="F1917" t="s">
        <v>145</v>
      </c>
      <c r="G1917">
        <v>1928</v>
      </c>
      <c r="H1917">
        <v>33000</v>
      </c>
      <c r="I1917">
        <v>63624000</v>
      </c>
      <c r="K1917" t="s">
        <v>42</v>
      </c>
    </row>
    <row r="1918" spans="1:11" hidden="1" x14ac:dyDescent="0.25">
      <c r="A1918" s="210" t="s">
        <v>1478</v>
      </c>
      <c r="B1918">
        <v>8729</v>
      </c>
      <c r="C1918" s="100">
        <v>46125</v>
      </c>
      <c r="D1918" t="s">
        <v>13</v>
      </c>
      <c r="E1918" t="s">
        <v>14</v>
      </c>
      <c r="F1918" t="s">
        <v>40</v>
      </c>
      <c r="G1918">
        <v>1242</v>
      </c>
      <c r="H1918">
        <v>45500</v>
      </c>
      <c r="I1918">
        <v>56511000</v>
      </c>
      <c r="K1918" t="s">
        <v>42</v>
      </c>
    </row>
    <row r="1919" spans="1:11" hidden="1" x14ac:dyDescent="0.25">
      <c r="A1919" s="210" t="s">
        <v>1478</v>
      </c>
      <c r="B1919">
        <v>8729</v>
      </c>
      <c r="C1919" s="100">
        <v>46125</v>
      </c>
      <c r="D1919" t="s">
        <v>13</v>
      </c>
      <c r="E1919" t="s">
        <v>14</v>
      </c>
      <c r="F1919" t="s">
        <v>41</v>
      </c>
      <c r="G1919">
        <v>1324</v>
      </c>
      <c r="H1919">
        <v>40000</v>
      </c>
      <c r="I1919">
        <v>52960000</v>
      </c>
      <c r="K1919" t="s">
        <v>42</v>
      </c>
    </row>
    <row r="1920" spans="1:11" hidden="1" x14ac:dyDescent="0.25">
      <c r="A1920" s="210" t="s">
        <v>1478</v>
      </c>
      <c r="B1920">
        <v>8729</v>
      </c>
      <c r="C1920" s="100">
        <v>46125</v>
      </c>
      <c r="D1920" t="s">
        <v>13</v>
      </c>
      <c r="E1920" t="s">
        <v>14</v>
      </c>
      <c r="F1920" t="s">
        <v>146</v>
      </c>
      <c r="G1920">
        <v>1556</v>
      </c>
      <c r="H1920">
        <v>40000</v>
      </c>
      <c r="I1920">
        <v>62240000</v>
      </c>
      <c r="K1920" t="s">
        <v>42</v>
      </c>
    </row>
    <row r="1921" spans="1:11" hidden="1" x14ac:dyDescent="0.25">
      <c r="A1921" s="210" t="s">
        <v>1478</v>
      </c>
      <c r="B1921">
        <v>8729</v>
      </c>
      <c r="C1921" s="100">
        <v>46125</v>
      </c>
      <c r="D1921" t="s">
        <v>13</v>
      </c>
      <c r="E1921" t="s">
        <v>43</v>
      </c>
      <c r="F1921" t="s">
        <v>154</v>
      </c>
      <c r="G1921">
        <v>480</v>
      </c>
      <c r="H1921">
        <v>55000</v>
      </c>
      <c r="I1921">
        <v>26400000</v>
      </c>
      <c r="K1921" t="s">
        <v>42</v>
      </c>
    </row>
    <row r="1922" spans="1:11" hidden="1" x14ac:dyDescent="0.25">
      <c r="A1922" s="210" t="s">
        <v>1524</v>
      </c>
      <c r="B1922">
        <v>8727</v>
      </c>
      <c r="C1922" s="100">
        <v>46125</v>
      </c>
      <c r="D1922" t="s">
        <v>49</v>
      </c>
      <c r="E1922" t="s">
        <v>17</v>
      </c>
      <c r="F1922" t="s">
        <v>502</v>
      </c>
      <c r="G1922">
        <v>5020</v>
      </c>
      <c r="I1922">
        <v>0</v>
      </c>
      <c r="K1922" t="s">
        <v>608</v>
      </c>
    </row>
    <row r="1923" spans="1:11" hidden="1" x14ac:dyDescent="0.25">
      <c r="A1923" s="210" t="s">
        <v>1524</v>
      </c>
      <c r="B1923">
        <v>8727</v>
      </c>
      <c r="C1923" s="100">
        <v>46125</v>
      </c>
      <c r="D1923" t="s">
        <v>49</v>
      </c>
      <c r="E1923" t="s">
        <v>17</v>
      </c>
      <c r="F1923" t="s">
        <v>46</v>
      </c>
      <c r="G1923">
        <v>4900</v>
      </c>
      <c r="I1923">
        <v>0</v>
      </c>
      <c r="K1923" t="s">
        <v>609</v>
      </c>
    </row>
    <row r="1924" spans="1:11" hidden="1" x14ac:dyDescent="0.25">
      <c r="A1924" s="210" t="s">
        <v>1494</v>
      </c>
      <c r="B1924">
        <v>8726</v>
      </c>
      <c r="C1924" s="100">
        <v>46125</v>
      </c>
      <c r="D1924" t="s">
        <v>13</v>
      </c>
      <c r="E1924" t="s">
        <v>43</v>
      </c>
      <c r="F1924" t="s">
        <v>146</v>
      </c>
      <c r="G1924">
        <v>718</v>
      </c>
      <c r="H1924">
        <v>58500</v>
      </c>
      <c r="I1924">
        <v>42003000</v>
      </c>
    </row>
    <row r="1925" spans="1:11" hidden="1" x14ac:dyDescent="0.25">
      <c r="A1925" s="210" t="s">
        <v>1596</v>
      </c>
      <c r="B1925">
        <v>8725</v>
      </c>
      <c r="C1925" s="100">
        <v>46125</v>
      </c>
      <c r="D1925" t="s">
        <v>49</v>
      </c>
      <c r="E1925" t="s">
        <v>14</v>
      </c>
      <c r="F1925" t="s">
        <v>40</v>
      </c>
      <c r="G1925">
        <v>3386</v>
      </c>
      <c r="I1925">
        <v>0</v>
      </c>
      <c r="K1925" t="s">
        <v>1080</v>
      </c>
    </row>
    <row r="1926" spans="1:11" hidden="1" x14ac:dyDescent="0.25">
      <c r="A1926" s="210" t="s">
        <v>1596</v>
      </c>
      <c r="B1926">
        <v>8725</v>
      </c>
      <c r="C1926" s="100">
        <v>46125</v>
      </c>
      <c r="D1926" t="s">
        <v>166</v>
      </c>
      <c r="E1926" t="s">
        <v>17</v>
      </c>
      <c r="F1926" t="s">
        <v>40</v>
      </c>
      <c r="G1926">
        <v>3883</v>
      </c>
      <c r="I1926">
        <v>0</v>
      </c>
      <c r="K1926" t="s">
        <v>1081</v>
      </c>
    </row>
    <row r="1927" spans="1:11" hidden="1" x14ac:dyDescent="0.25">
      <c r="A1927" s="210" t="s">
        <v>1476</v>
      </c>
      <c r="B1927">
        <v>8724</v>
      </c>
      <c r="C1927" s="100">
        <v>46125</v>
      </c>
      <c r="D1927" t="s">
        <v>49</v>
      </c>
      <c r="E1927" t="s">
        <v>27</v>
      </c>
      <c r="F1927" t="s">
        <v>110</v>
      </c>
      <c r="G1927">
        <v>830</v>
      </c>
      <c r="I1927">
        <v>0</v>
      </c>
      <c r="K1927" t="s">
        <v>64</v>
      </c>
    </row>
    <row r="1928" spans="1:11" hidden="1" x14ac:dyDescent="0.25">
      <c r="A1928" s="210" t="s">
        <v>2016</v>
      </c>
      <c r="B1928">
        <v>8722</v>
      </c>
      <c r="C1928" s="100">
        <v>46094</v>
      </c>
      <c r="D1928" t="s">
        <v>692</v>
      </c>
      <c r="E1928" t="s">
        <v>26</v>
      </c>
      <c r="F1928" t="s">
        <v>1283</v>
      </c>
      <c r="G1928">
        <v>1557</v>
      </c>
      <c r="H1928">
        <v>-34000</v>
      </c>
      <c r="I1928">
        <v>-52938000</v>
      </c>
    </row>
    <row r="1929" spans="1:11" hidden="1" x14ac:dyDescent="0.25">
      <c r="A1929" s="210" t="s">
        <v>2016</v>
      </c>
      <c r="B1929">
        <v>8722</v>
      </c>
      <c r="C1929" s="100">
        <v>46094</v>
      </c>
      <c r="D1929" t="s">
        <v>692</v>
      </c>
      <c r="E1929" t="s">
        <v>103</v>
      </c>
      <c r="F1929" t="s">
        <v>1284</v>
      </c>
      <c r="G1929">
        <v>493</v>
      </c>
      <c r="H1929">
        <v>-37000</v>
      </c>
      <c r="I1929">
        <v>-18241000</v>
      </c>
    </row>
    <row r="1930" spans="1:11" hidden="1" x14ac:dyDescent="0.25">
      <c r="A1930" s="210" t="s">
        <v>1524</v>
      </c>
      <c r="B1930">
        <v>8720</v>
      </c>
      <c r="C1930" s="100">
        <v>46125</v>
      </c>
      <c r="D1930" t="s">
        <v>49</v>
      </c>
      <c r="E1930" t="s">
        <v>26</v>
      </c>
      <c r="F1930" t="s">
        <v>600</v>
      </c>
      <c r="G1930">
        <v>2163</v>
      </c>
      <c r="I1930">
        <v>0</v>
      </c>
      <c r="K1930" t="s">
        <v>601</v>
      </c>
    </row>
    <row r="1931" spans="1:11" hidden="1" x14ac:dyDescent="0.25">
      <c r="A1931" s="210" t="s">
        <v>1524</v>
      </c>
      <c r="B1931">
        <v>8720</v>
      </c>
      <c r="C1931" s="100">
        <v>46125</v>
      </c>
      <c r="D1931" t="s">
        <v>49</v>
      </c>
      <c r="E1931" t="s">
        <v>26</v>
      </c>
      <c r="F1931" t="s">
        <v>602</v>
      </c>
      <c r="G1931">
        <v>1086</v>
      </c>
      <c r="I1931">
        <v>0</v>
      </c>
      <c r="K1931" t="s">
        <v>471</v>
      </c>
    </row>
    <row r="1932" spans="1:11" hidden="1" x14ac:dyDescent="0.25">
      <c r="A1932" s="210" t="s">
        <v>1524</v>
      </c>
      <c r="B1932">
        <v>8720</v>
      </c>
      <c r="C1932" s="100">
        <v>46125</v>
      </c>
      <c r="D1932" t="s">
        <v>49</v>
      </c>
      <c r="E1932" t="s">
        <v>26</v>
      </c>
      <c r="F1932" t="s">
        <v>603</v>
      </c>
      <c r="G1932">
        <v>1168</v>
      </c>
      <c r="I1932">
        <v>0</v>
      </c>
      <c r="K1932" t="s">
        <v>604</v>
      </c>
    </row>
    <row r="1933" spans="1:11" hidden="1" x14ac:dyDescent="0.25">
      <c r="A1933" s="210" t="s">
        <v>1524</v>
      </c>
      <c r="B1933">
        <v>8720</v>
      </c>
      <c r="C1933" s="100">
        <v>46125</v>
      </c>
      <c r="D1933" t="s">
        <v>49</v>
      </c>
      <c r="E1933" t="s">
        <v>26</v>
      </c>
      <c r="F1933" t="s">
        <v>344</v>
      </c>
      <c r="G1933">
        <v>1914</v>
      </c>
      <c r="I1933">
        <v>0</v>
      </c>
      <c r="K1933" t="s">
        <v>605</v>
      </c>
    </row>
    <row r="1934" spans="1:11" hidden="1" x14ac:dyDescent="0.25">
      <c r="A1934" s="210" t="s">
        <v>1524</v>
      </c>
      <c r="B1934">
        <v>8720</v>
      </c>
      <c r="C1934" s="100">
        <v>46125</v>
      </c>
      <c r="D1934" t="s">
        <v>49</v>
      </c>
      <c r="E1934" t="s">
        <v>26</v>
      </c>
      <c r="F1934" t="s">
        <v>606</v>
      </c>
      <c r="G1934">
        <v>2660</v>
      </c>
      <c r="I1934">
        <v>0</v>
      </c>
      <c r="K1934" t="s">
        <v>607</v>
      </c>
    </row>
    <row r="1935" spans="1:11" hidden="1" x14ac:dyDescent="0.25">
      <c r="A1935" s="210" t="s">
        <v>1633</v>
      </c>
      <c r="B1935">
        <v>8719</v>
      </c>
      <c r="C1935" s="100">
        <v>46123</v>
      </c>
      <c r="D1935" t="s">
        <v>13</v>
      </c>
      <c r="E1935" t="s">
        <v>701</v>
      </c>
      <c r="F1935" t="s">
        <v>40</v>
      </c>
      <c r="G1935">
        <v>2493</v>
      </c>
      <c r="H1935">
        <v>47000</v>
      </c>
      <c r="I1935">
        <v>117171000</v>
      </c>
    </row>
    <row r="1936" spans="1:11" hidden="1" x14ac:dyDescent="0.25">
      <c r="A1936" s="210" t="s">
        <v>1555</v>
      </c>
      <c r="B1936">
        <v>8718</v>
      </c>
      <c r="C1936" s="100">
        <v>46123</v>
      </c>
      <c r="D1936" t="s">
        <v>13</v>
      </c>
      <c r="E1936" t="s">
        <v>54</v>
      </c>
      <c r="F1936" t="s">
        <v>934</v>
      </c>
      <c r="G1936">
        <v>104</v>
      </c>
      <c r="H1936">
        <v>38000</v>
      </c>
      <c r="I1936">
        <v>3952000</v>
      </c>
      <c r="K1936" t="s">
        <v>42</v>
      </c>
    </row>
    <row r="1937" spans="1:11" hidden="1" x14ac:dyDescent="0.25">
      <c r="A1937" s="210" t="s">
        <v>1532</v>
      </c>
      <c r="B1937">
        <v>8717</v>
      </c>
      <c r="C1937" s="100">
        <v>46123</v>
      </c>
      <c r="D1937" t="s">
        <v>49</v>
      </c>
      <c r="E1937" t="s">
        <v>77</v>
      </c>
      <c r="F1937" t="s">
        <v>791</v>
      </c>
      <c r="G1937">
        <v>1937</v>
      </c>
      <c r="I1937">
        <v>0</v>
      </c>
      <c r="K1937" t="s">
        <v>792</v>
      </c>
    </row>
    <row r="1938" spans="1:11" hidden="1" x14ac:dyDescent="0.25">
      <c r="A1938" s="210" t="s">
        <v>1623</v>
      </c>
      <c r="B1938">
        <v>8715</v>
      </c>
      <c r="C1938" s="100">
        <v>46123</v>
      </c>
      <c r="D1938" t="s">
        <v>13</v>
      </c>
      <c r="E1938" t="s">
        <v>135</v>
      </c>
      <c r="F1938" t="s">
        <v>41</v>
      </c>
      <c r="G1938">
        <v>1002</v>
      </c>
      <c r="H1938">
        <v>37000</v>
      </c>
      <c r="I1938">
        <v>37074000</v>
      </c>
    </row>
    <row r="1939" spans="1:11" hidden="1" x14ac:dyDescent="0.25">
      <c r="A1939" s="210" t="s">
        <v>1623</v>
      </c>
      <c r="B1939">
        <v>8715</v>
      </c>
      <c r="C1939" s="100">
        <v>46123</v>
      </c>
      <c r="D1939" t="s">
        <v>13</v>
      </c>
      <c r="E1939" t="s">
        <v>43</v>
      </c>
      <c r="F1939" t="s">
        <v>146</v>
      </c>
      <c r="G1939">
        <v>1052</v>
      </c>
      <c r="H1939">
        <v>60500</v>
      </c>
      <c r="I1939">
        <v>63646000</v>
      </c>
    </row>
    <row r="1940" spans="1:11" hidden="1" x14ac:dyDescent="0.25">
      <c r="A1940" s="210" t="s">
        <v>1532</v>
      </c>
      <c r="B1940">
        <v>8714</v>
      </c>
      <c r="C1940" s="100">
        <v>46123</v>
      </c>
      <c r="D1940" t="s">
        <v>13</v>
      </c>
      <c r="E1940" t="s">
        <v>26</v>
      </c>
      <c r="F1940" t="s">
        <v>136</v>
      </c>
      <c r="G1940">
        <v>2162</v>
      </c>
      <c r="H1940">
        <v>33000</v>
      </c>
      <c r="I1940">
        <v>71346000</v>
      </c>
    </row>
    <row r="1941" spans="1:11" hidden="1" x14ac:dyDescent="0.25">
      <c r="A1941" s="210" t="s">
        <v>1587</v>
      </c>
      <c r="B1941">
        <v>8713</v>
      </c>
      <c r="C1941" s="100">
        <v>46123</v>
      </c>
      <c r="D1941" t="s">
        <v>13</v>
      </c>
      <c r="E1941" t="s">
        <v>17</v>
      </c>
      <c r="F1941" t="s">
        <v>40</v>
      </c>
      <c r="G1941">
        <v>1097</v>
      </c>
      <c r="H1941">
        <v>66500</v>
      </c>
      <c r="I1941">
        <v>72950500</v>
      </c>
    </row>
    <row r="1942" spans="1:11" hidden="1" x14ac:dyDescent="0.25">
      <c r="A1942" s="210" t="s">
        <v>1703</v>
      </c>
      <c r="B1942">
        <v>8712</v>
      </c>
      <c r="C1942" s="100">
        <v>46123</v>
      </c>
      <c r="D1942" t="s">
        <v>13</v>
      </c>
      <c r="E1942" t="s">
        <v>355</v>
      </c>
      <c r="F1942" t="s">
        <v>1238</v>
      </c>
      <c r="G1942">
        <v>1916</v>
      </c>
      <c r="H1942">
        <v>57000</v>
      </c>
      <c r="I1942">
        <v>109212000</v>
      </c>
      <c r="K1942" t="s">
        <v>42</v>
      </c>
    </row>
    <row r="1943" spans="1:11" hidden="1" x14ac:dyDescent="0.25">
      <c r="A1943" s="210" t="s">
        <v>1850</v>
      </c>
      <c r="B1943">
        <v>8711</v>
      </c>
      <c r="C1943" s="100">
        <v>46123</v>
      </c>
      <c r="D1943" t="s">
        <v>13</v>
      </c>
      <c r="E1943" t="s">
        <v>17</v>
      </c>
      <c r="F1943" t="s">
        <v>33</v>
      </c>
      <c r="G1943">
        <v>550</v>
      </c>
      <c r="H1943">
        <v>60500</v>
      </c>
      <c r="I1943">
        <v>33275000</v>
      </c>
      <c r="J1943">
        <v>1000</v>
      </c>
    </row>
    <row r="1944" spans="1:11" hidden="1" x14ac:dyDescent="0.25">
      <c r="A1944" s="210" t="s">
        <v>1579</v>
      </c>
      <c r="B1944">
        <v>8710</v>
      </c>
      <c r="C1944" s="100">
        <v>46123</v>
      </c>
      <c r="D1944" t="s">
        <v>13</v>
      </c>
      <c r="E1944" t="s">
        <v>14</v>
      </c>
      <c r="F1944" t="s">
        <v>136</v>
      </c>
      <c r="G1944">
        <v>1022</v>
      </c>
      <c r="H1944">
        <v>41500</v>
      </c>
      <c r="I1944">
        <v>42413000</v>
      </c>
    </row>
    <row r="1945" spans="1:11" hidden="1" x14ac:dyDescent="0.25">
      <c r="A1945" s="210" t="s">
        <v>1579</v>
      </c>
      <c r="B1945">
        <v>8710</v>
      </c>
      <c r="C1945" s="100">
        <v>46123</v>
      </c>
      <c r="D1945" t="s">
        <v>13</v>
      </c>
      <c r="E1945" t="s">
        <v>14</v>
      </c>
      <c r="F1945" t="s">
        <v>134</v>
      </c>
      <c r="G1945">
        <v>946</v>
      </c>
      <c r="H1945">
        <v>41500</v>
      </c>
      <c r="I1945">
        <v>39259000</v>
      </c>
    </row>
    <row r="1946" spans="1:11" hidden="1" x14ac:dyDescent="0.25">
      <c r="A1946" s="210" t="s">
        <v>1579</v>
      </c>
      <c r="B1946">
        <v>8710</v>
      </c>
      <c r="C1946" s="100">
        <v>46123</v>
      </c>
      <c r="D1946" t="s">
        <v>13</v>
      </c>
      <c r="E1946" t="s">
        <v>14</v>
      </c>
      <c r="F1946" t="s">
        <v>116</v>
      </c>
      <c r="G1946">
        <v>608</v>
      </c>
      <c r="H1946">
        <v>41500</v>
      </c>
      <c r="I1946">
        <v>25232000</v>
      </c>
    </row>
    <row r="1947" spans="1:11" hidden="1" x14ac:dyDescent="0.25">
      <c r="A1947" s="210" t="s">
        <v>1579</v>
      </c>
      <c r="B1947">
        <v>8710</v>
      </c>
      <c r="C1947" s="100">
        <v>46123</v>
      </c>
      <c r="D1947" t="s">
        <v>13</v>
      </c>
      <c r="E1947" t="s">
        <v>50</v>
      </c>
      <c r="F1947" t="s">
        <v>989</v>
      </c>
      <c r="G1947">
        <v>360</v>
      </c>
      <c r="H1947">
        <v>60000</v>
      </c>
      <c r="I1947">
        <v>21600000</v>
      </c>
    </row>
    <row r="1948" spans="1:11" hidden="1" x14ac:dyDescent="0.25">
      <c r="A1948" s="210" t="s">
        <v>2016</v>
      </c>
      <c r="B1948">
        <v>8709</v>
      </c>
      <c r="C1948" s="100">
        <v>46092</v>
      </c>
      <c r="D1948" t="s">
        <v>692</v>
      </c>
      <c r="E1948" t="s">
        <v>135</v>
      </c>
      <c r="F1948" t="s">
        <v>148</v>
      </c>
      <c r="G1948">
        <v>5318</v>
      </c>
      <c r="H1948">
        <v>-37000</v>
      </c>
      <c r="I1948">
        <v>-196766000</v>
      </c>
    </row>
    <row r="1949" spans="1:11" hidden="1" x14ac:dyDescent="0.25">
      <c r="A1949" s="210" t="s">
        <v>1960</v>
      </c>
      <c r="B1949">
        <v>8709</v>
      </c>
      <c r="C1949" s="100">
        <v>46123</v>
      </c>
      <c r="D1949" t="s">
        <v>13</v>
      </c>
      <c r="E1949" t="s">
        <v>26</v>
      </c>
      <c r="F1949" t="s">
        <v>403</v>
      </c>
      <c r="G1949">
        <v>394</v>
      </c>
      <c r="H1949">
        <v>34000</v>
      </c>
      <c r="I1949">
        <v>13396000</v>
      </c>
      <c r="J1949">
        <v>13396000</v>
      </c>
    </row>
    <row r="1950" spans="1:11" hidden="1" x14ac:dyDescent="0.25">
      <c r="A1950" s="210" t="s">
        <v>1960</v>
      </c>
      <c r="B1950">
        <v>8709</v>
      </c>
      <c r="C1950" s="100">
        <v>46123</v>
      </c>
      <c r="D1950" t="s">
        <v>13</v>
      </c>
      <c r="E1950" t="s">
        <v>26</v>
      </c>
      <c r="F1950" t="s">
        <v>404</v>
      </c>
      <c r="G1950">
        <v>634</v>
      </c>
      <c r="H1950">
        <v>34000</v>
      </c>
      <c r="I1950">
        <v>21556000</v>
      </c>
      <c r="J1950">
        <v>21556000</v>
      </c>
    </row>
    <row r="1951" spans="1:11" hidden="1" x14ac:dyDescent="0.25">
      <c r="A1951" s="210" t="s">
        <v>1960</v>
      </c>
      <c r="B1951">
        <v>8709</v>
      </c>
      <c r="C1951" s="100">
        <v>46123</v>
      </c>
      <c r="D1951" t="s">
        <v>13</v>
      </c>
      <c r="E1951" t="s">
        <v>26</v>
      </c>
      <c r="F1951" t="s">
        <v>62</v>
      </c>
      <c r="G1951">
        <v>154</v>
      </c>
      <c r="H1951">
        <v>34000</v>
      </c>
      <c r="I1951">
        <v>5236000</v>
      </c>
      <c r="J1951">
        <v>5236000</v>
      </c>
    </row>
    <row r="1952" spans="1:11" hidden="1" x14ac:dyDescent="0.25">
      <c r="A1952" s="210" t="s">
        <v>1568</v>
      </c>
      <c r="B1952">
        <v>8708</v>
      </c>
      <c r="C1952" s="100">
        <v>46123</v>
      </c>
      <c r="D1952" t="s">
        <v>13</v>
      </c>
      <c r="E1952" t="s">
        <v>50</v>
      </c>
      <c r="F1952" t="s">
        <v>73</v>
      </c>
      <c r="G1952">
        <v>774</v>
      </c>
      <c r="H1952">
        <v>56500</v>
      </c>
      <c r="I1952">
        <v>43731000</v>
      </c>
    </row>
    <row r="1953" spans="1:11" hidden="1" x14ac:dyDescent="0.25">
      <c r="A1953" s="210" t="s">
        <v>1568</v>
      </c>
      <c r="B1953">
        <v>8708</v>
      </c>
      <c r="C1953" s="100">
        <v>46123</v>
      </c>
      <c r="D1953" t="s">
        <v>13</v>
      </c>
      <c r="E1953" t="s">
        <v>17</v>
      </c>
      <c r="F1953" t="s">
        <v>33</v>
      </c>
      <c r="G1953">
        <v>1192</v>
      </c>
      <c r="H1953">
        <v>60000</v>
      </c>
      <c r="I1953">
        <v>71520000</v>
      </c>
    </row>
    <row r="1954" spans="1:11" hidden="1" x14ac:dyDescent="0.25">
      <c r="A1954" s="210" t="s">
        <v>1597</v>
      </c>
      <c r="B1954">
        <v>8707</v>
      </c>
      <c r="C1954" s="100">
        <v>46123</v>
      </c>
      <c r="D1954" t="s">
        <v>13</v>
      </c>
      <c r="E1954" t="s">
        <v>17</v>
      </c>
      <c r="F1954" t="s">
        <v>416</v>
      </c>
      <c r="G1954">
        <v>806</v>
      </c>
      <c r="H1954">
        <v>61000</v>
      </c>
      <c r="I1954">
        <v>49166000</v>
      </c>
    </row>
    <row r="1955" spans="1:11" hidden="1" x14ac:dyDescent="0.25">
      <c r="A1955" s="210" t="s">
        <v>1541</v>
      </c>
      <c r="B1955">
        <v>8706</v>
      </c>
      <c r="C1955" s="100">
        <v>46123</v>
      </c>
      <c r="D1955" t="s">
        <v>13</v>
      </c>
      <c r="E1955" t="s">
        <v>54</v>
      </c>
      <c r="F1955" t="s">
        <v>884</v>
      </c>
      <c r="G1955">
        <v>428</v>
      </c>
      <c r="H1955">
        <v>35000</v>
      </c>
      <c r="I1955">
        <v>14980000</v>
      </c>
    </row>
    <row r="1956" spans="1:11" hidden="1" x14ac:dyDescent="0.25">
      <c r="A1956" s="210" t="s">
        <v>1512</v>
      </c>
      <c r="B1956">
        <v>8705</v>
      </c>
      <c r="C1956" s="100">
        <v>46123</v>
      </c>
      <c r="D1956" t="s">
        <v>13</v>
      </c>
      <c r="E1956" t="s">
        <v>14</v>
      </c>
      <c r="F1956" t="s">
        <v>136</v>
      </c>
      <c r="G1956">
        <v>818</v>
      </c>
      <c r="H1956">
        <v>41500</v>
      </c>
      <c r="I1956">
        <v>33947000</v>
      </c>
    </row>
    <row r="1957" spans="1:11" hidden="1" x14ac:dyDescent="0.25">
      <c r="A1957" s="210" t="s">
        <v>1512</v>
      </c>
      <c r="B1957">
        <v>8705</v>
      </c>
      <c r="C1957" s="100">
        <v>46123</v>
      </c>
      <c r="D1957" t="s">
        <v>13</v>
      </c>
      <c r="E1957" t="s">
        <v>14</v>
      </c>
      <c r="F1957" t="s">
        <v>40</v>
      </c>
      <c r="G1957">
        <v>3052</v>
      </c>
      <c r="H1957">
        <v>47000</v>
      </c>
      <c r="I1957">
        <v>143444000</v>
      </c>
    </row>
    <row r="1958" spans="1:11" hidden="1" x14ac:dyDescent="0.25">
      <c r="A1958" s="210" t="s">
        <v>1608</v>
      </c>
      <c r="B1958">
        <v>8704</v>
      </c>
      <c r="C1958" s="100">
        <v>46123</v>
      </c>
      <c r="D1958" t="s">
        <v>13</v>
      </c>
      <c r="E1958" t="s">
        <v>470</v>
      </c>
      <c r="F1958" t="s">
        <v>40</v>
      </c>
      <c r="G1958">
        <v>4928</v>
      </c>
      <c r="H1958">
        <v>39500</v>
      </c>
      <c r="I1958">
        <v>194656000</v>
      </c>
    </row>
    <row r="1959" spans="1:11" hidden="1" x14ac:dyDescent="0.25">
      <c r="A1959" s="210" t="s">
        <v>1541</v>
      </c>
      <c r="B1959">
        <v>8703</v>
      </c>
      <c r="C1959" s="100">
        <v>46123</v>
      </c>
      <c r="D1959" t="s">
        <v>13</v>
      </c>
      <c r="E1959" t="s">
        <v>14</v>
      </c>
      <c r="F1959" t="s">
        <v>78</v>
      </c>
      <c r="G1959">
        <v>510</v>
      </c>
      <c r="H1959">
        <v>45000</v>
      </c>
      <c r="I1959">
        <v>22950000</v>
      </c>
    </row>
    <row r="1960" spans="1:11" hidden="1" x14ac:dyDescent="0.25">
      <c r="A1960" s="210" t="s">
        <v>1541</v>
      </c>
      <c r="B1960">
        <v>8703</v>
      </c>
      <c r="C1960" s="100">
        <v>46123</v>
      </c>
      <c r="D1960" t="s">
        <v>13</v>
      </c>
      <c r="E1960" t="s">
        <v>14</v>
      </c>
      <c r="F1960" t="s">
        <v>41</v>
      </c>
      <c r="G1960">
        <v>498</v>
      </c>
      <c r="H1960">
        <v>41500</v>
      </c>
      <c r="I1960">
        <v>20667000</v>
      </c>
    </row>
    <row r="1961" spans="1:11" hidden="1" x14ac:dyDescent="0.25">
      <c r="A1961" s="210" t="s">
        <v>1541</v>
      </c>
      <c r="B1961">
        <v>8703</v>
      </c>
      <c r="C1961" s="100">
        <v>46123</v>
      </c>
      <c r="D1961" t="s">
        <v>13</v>
      </c>
      <c r="E1961" t="s">
        <v>50</v>
      </c>
      <c r="F1961" t="s">
        <v>117</v>
      </c>
      <c r="G1961">
        <v>260</v>
      </c>
      <c r="H1961">
        <v>56000</v>
      </c>
      <c r="I1961">
        <v>14560000</v>
      </c>
    </row>
    <row r="1962" spans="1:11" hidden="1" x14ac:dyDescent="0.25">
      <c r="A1962" s="210" t="s">
        <v>1653</v>
      </c>
      <c r="B1962">
        <v>8702</v>
      </c>
      <c r="C1962" s="100">
        <v>46123</v>
      </c>
      <c r="D1962" t="s">
        <v>13</v>
      </c>
      <c r="E1962" t="s">
        <v>68</v>
      </c>
      <c r="F1962" t="s">
        <v>1262</v>
      </c>
      <c r="G1962">
        <v>954</v>
      </c>
      <c r="H1962">
        <v>45000</v>
      </c>
      <c r="I1962">
        <v>42930000</v>
      </c>
    </row>
    <row r="1963" spans="1:11" hidden="1" x14ac:dyDescent="0.25">
      <c r="A1963" s="210" t="s">
        <v>1653</v>
      </c>
      <c r="B1963">
        <v>8702</v>
      </c>
      <c r="C1963" s="100">
        <v>46123</v>
      </c>
      <c r="D1963" t="s">
        <v>13</v>
      </c>
      <c r="E1963" t="s">
        <v>68</v>
      </c>
      <c r="F1963" t="s">
        <v>1267</v>
      </c>
      <c r="G1963">
        <v>722</v>
      </c>
      <c r="H1963">
        <v>41500</v>
      </c>
      <c r="I1963">
        <v>29963000</v>
      </c>
    </row>
    <row r="1964" spans="1:11" hidden="1" x14ac:dyDescent="0.25">
      <c r="A1964" s="210" t="s">
        <v>1653</v>
      </c>
      <c r="B1964">
        <v>8702</v>
      </c>
      <c r="C1964" s="100">
        <v>46123</v>
      </c>
      <c r="D1964" t="s">
        <v>13</v>
      </c>
      <c r="E1964" t="s">
        <v>1105</v>
      </c>
      <c r="F1964" t="s">
        <v>1268</v>
      </c>
      <c r="G1964">
        <v>172</v>
      </c>
      <c r="H1964">
        <v>68000</v>
      </c>
      <c r="I1964">
        <v>11696000</v>
      </c>
    </row>
    <row r="1965" spans="1:11" hidden="1" x14ac:dyDescent="0.25">
      <c r="A1965" s="210" t="s">
        <v>1653</v>
      </c>
      <c r="B1965">
        <v>8702</v>
      </c>
      <c r="C1965" s="100">
        <v>46123</v>
      </c>
      <c r="D1965" t="s">
        <v>13</v>
      </c>
      <c r="E1965" t="s">
        <v>50</v>
      </c>
      <c r="F1965" t="s">
        <v>379</v>
      </c>
      <c r="G1965">
        <v>180</v>
      </c>
      <c r="H1965">
        <v>57000</v>
      </c>
      <c r="I1965">
        <v>10260000</v>
      </c>
    </row>
    <row r="1966" spans="1:11" hidden="1" x14ac:dyDescent="0.25">
      <c r="A1966" s="210" t="s">
        <v>1524</v>
      </c>
      <c r="B1966">
        <v>8701</v>
      </c>
      <c r="C1966" s="100">
        <v>46123</v>
      </c>
      <c r="D1966" t="s">
        <v>49</v>
      </c>
      <c r="E1966" t="s">
        <v>14</v>
      </c>
      <c r="F1966" t="s">
        <v>148</v>
      </c>
      <c r="G1966">
        <v>4518</v>
      </c>
      <c r="I1966">
        <v>0</v>
      </c>
      <c r="K1966" t="s">
        <v>599</v>
      </c>
    </row>
    <row r="1967" spans="1:11" hidden="1" x14ac:dyDescent="0.25">
      <c r="A1967" s="210" t="s">
        <v>1493</v>
      </c>
      <c r="B1967">
        <v>8700</v>
      </c>
      <c r="C1967" s="100">
        <v>46123</v>
      </c>
      <c r="D1967" t="s">
        <v>13</v>
      </c>
      <c r="E1967" t="s">
        <v>43</v>
      </c>
      <c r="F1967" t="s">
        <v>148</v>
      </c>
      <c r="G1967">
        <v>1010</v>
      </c>
      <c r="H1967">
        <v>58000</v>
      </c>
      <c r="I1967">
        <v>58580000</v>
      </c>
    </row>
    <row r="1968" spans="1:11" hidden="1" x14ac:dyDescent="0.25">
      <c r="A1968" s="210" t="s">
        <v>1493</v>
      </c>
      <c r="B1968">
        <v>8700</v>
      </c>
      <c r="C1968" s="100">
        <v>46123</v>
      </c>
      <c r="D1968" t="s">
        <v>13</v>
      </c>
      <c r="E1968" t="s">
        <v>278</v>
      </c>
      <c r="F1968" t="s">
        <v>41</v>
      </c>
      <c r="G1968">
        <v>534</v>
      </c>
      <c r="H1968">
        <v>67000</v>
      </c>
      <c r="I1968">
        <v>35778000</v>
      </c>
    </row>
    <row r="1969" spans="1:11" hidden="1" x14ac:dyDescent="0.25">
      <c r="A1969" s="210" t="s">
        <v>1485</v>
      </c>
      <c r="B1969">
        <v>8699</v>
      </c>
      <c r="C1969" s="100">
        <v>46123</v>
      </c>
      <c r="D1969" t="s">
        <v>13</v>
      </c>
      <c r="E1969" t="s">
        <v>43</v>
      </c>
      <c r="F1969" t="s">
        <v>204</v>
      </c>
      <c r="G1969">
        <v>659</v>
      </c>
      <c r="H1969">
        <v>56000</v>
      </c>
      <c r="I1969">
        <v>36904000</v>
      </c>
    </row>
    <row r="1970" spans="1:11" hidden="1" x14ac:dyDescent="0.25">
      <c r="A1970" s="210" t="s">
        <v>1479</v>
      </c>
      <c r="B1970">
        <v>8698</v>
      </c>
      <c r="C1970" s="100">
        <v>46123</v>
      </c>
      <c r="D1970" t="s">
        <v>13</v>
      </c>
      <c r="E1970" t="s">
        <v>14</v>
      </c>
      <c r="F1970" t="s">
        <v>62</v>
      </c>
      <c r="G1970">
        <v>2009</v>
      </c>
      <c r="H1970">
        <v>43000</v>
      </c>
      <c r="I1970">
        <v>86387000</v>
      </c>
    </row>
    <row r="1971" spans="1:11" hidden="1" x14ac:dyDescent="0.25">
      <c r="A1971" s="210" t="s">
        <v>1479</v>
      </c>
      <c r="B1971">
        <v>8698</v>
      </c>
      <c r="C1971" s="100">
        <v>46123</v>
      </c>
      <c r="D1971" t="s">
        <v>13</v>
      </c>
      <c r="E1971" t="s">
        <v>14</v>
      </c>
      <c r="F1971" t="s">
        <v>41</v>
      </c>
      <c r="G1971">
        <v>2006</v>
      </c>
      <c r="H1971">
        <v>41500</v>
      </c>
      <c r="I1971">
        <v>83249000</v>
      </c>
    </row>
    <row r="1972" spans="1:11" hidden="1" x14ac:dyDescent="0.25">
      <c r="A1972" s="210" t="s">
        <v>1479</v>
      </c>
      <c r="B1972">
        <v>8698</v>
      </c>
      <c r="C1972" s="100">
        <v>46123</v>
      </c>
      <c r="D1972" t="s">
        <v>13</v>
      </c>
      <c r="E1972" t="s">
        <v>14</v>
      </c>
      <c r="F1972" t="s">
        <v>136</v>
      </c>
      <c r="G1972">
        <v>2194</v>
      </c>
      <c r="H1972">
        <v>41500</v>
      </c>
      <c r="I1972">
        <v>91051000</v>
      </c>
    </row>
    <row r="1973" spans="1:11" hidden="1" x14ac:dyDescent="0.25">
      <c r="A1973" s="210" t="s">
        <v>1577</v>
      </c>
      <c r="B1973">
        <v>8697</v>
      </c>
      <c r="C1973" s="100">
        <v>46123</v>
      </c>
      <c r="D1973" t="s">
        <v>13</v>
      </c>
      <c r="E1973" t="s">
        <v>109</v>
      </c>
      <c r="F1973" t="s">
        <v>947</v>
      </c>
      <c r="G1973">
        <v>856</v>
      </c>
      <c r="H1973">
        <v>59000</v>
      </c>
      <c r="I1973">
        <v>50504000</v>
      </c>
    </row>
    <row r="1974" spans="1:11" hidden="1" x14ac:dyDescent="0.25">
      <c r="A1974" s="210" t="s">
        <v>1499</v>
      </c>
      <c r="B1974">
        <v>8696</v>
      </c>
      <c r="C1974" s="100">
        <v>46123</v>
      </c>
      <c r="D1974" t="s">
        <v>13</v>
      </c>
      <c r="E1974" t="s">
        <v>43</v>
      </c>
      <c r="F1974" t="s">
        <v>230</v>
      </c>
      <c r="G1974">
        <v>646</v>
      </c>
      <c r="H1974">
        <v>66000</v>
      </c>
      <c r="I1974">
        <v>42636000</v>
      </c>
    </row>
    <row r="1975" spans="1:11" hidden="1" x14ac:dyDescent="0.25">
      <c r="A1975" s="210" t="s">
        <v>1530</v>
      </c>
      <c r="B1975">
        <v>8695</v>
      </c>
      <c r="C1975" s="100">
        <v>46123</v>
      </c>
      <c r="D1975" t="s">
        <v>13</v>
      </c>
      <c r="E1975" t="s">
        <v>702</v>
      </c>
      <c r="F1975" t="s">
        <v>41</v>
      </c>
      <c r="G1975">
        <v>5465</v>
      </c>
      <c r="H1975">
        <v>41000</v>
      </c>
      <c r="I1975">
        <v>224065000</v>
      </c>
    </row>
    <row r="1976" spans="1:11" hidden="1" x14ac:dyDescent="0.25">
      <c r="A1976" s="210" t="s">
        <v>1530</v>
      </c>
      <c r="B1976">
        <v>8695</v>
      </c>
      <c r="C1976" s="100">
        <v>46123</v>
      </c>
      <c r="D1976" t="s">
        <v>13</v>
      </c>
      <c r="E1976" t="s">
        <v>702</v>
      </c>
      <c r="F1976" t="s">
        <v>146</v>
      </c>
      <c r="G1976">
        <v>4252</v>
      </c>
      <c r="H1976">
        <v>41000</v>
      </c>
      <c r="I1976">
        <v>174332000</v>
      </c>
    </row>
    <row r="1977" spans="1:11" hidden="1" x14ac:dyDescent="0.25">
      <c r="A1977" s="210" t="s">
        <v>1635</v>
      </c>
      <c r="B1977">
        <v>8694</v>
      </c>
      <c r="C1977" s="100">
        <v>46123</v>
      </c>
      <c r="D1977" t="s">
        <v>13</v>
      </c>
      <c r="E1977" t="s">
        <v>45</v>
      </c>
      <c r="F1977" t="s">
        <v>215</v>
      </c>
      <c r="G1977">
        <v>1964</v>
      </c>
      <c r="H1977">
        <v>34000</v>
      </c>
      <c r="I1977">
        <v>66776000</v>
      </c>
    </row>
    <row r="1978" spans="1:11" hidden="1" x14ac:dyDescent="0.25">
      <c r="A1978" s="210" t="s">
        <v>1635</v>
      </c>
      <c r="B1978">
        <v>8694</v>
      </c>
      <c r="C1978" s="100">
        <v>46123</v>
      </c>
      <c r="D1978" t="s">
        <v>13</v>
      </c>
      <c r="E1978" t="s">
        <v>1227</v>
      </c>
      <c r="F1978" t="s">
        <v>215</v>
      </c>
      <c r="G1978">
        <v>1186</v>
      </c>
      <c r="H1978">
        <v>34000</v>
      </c>
      <c r="I1978">
        <v>40324000</v>
      </c>
    </row>
    <row r="1979" spans="1:11" hidden="1" x14ac:dyDescent="0.25">
      <c r="A1979" s="210" t="s">
        <v>1635</v>
      </c>
      <c r="B1979">
        <v>8694</v>
      </c>
      <c r="C1979" s="100">
        <v>46123</v>
      </c>
      <c r="D1979" t="s">
        <v>13</v>
      </c>
      <c r="E1979" t="s">
        <v>1227</v>
      </c>
      <c r="F1979" t="s">
        <v>1228</v>
      </c>
      <c r="G1979">
        <v>1186</v>
      </c>
      <c r="H1979">
        <v>3500</v>
      </c>
      <c r="I1979">
        <v>4151000</v>
      </c>
    </row>
    <row r="1980" spans="1:11" hidden="1" x14ac:dyDescent="0.25">
      <c r="A1980" s="210" t="s">
        <v>1675</v>
      </c>
      <c r="B1980">
        <v>8693</v>
      </c>
      <c r="C1980" s="100">
        <v>46123</v>
      </c>
      <c r="D1980" t="s">
        <v>13</v>
      </c>
      <c r="E1980" t="s">
        <v>135</v>
      </c>
      <c r="F1980" t="s">
        <v>1094</v>
      </c>
      <c r="G1980">
        <v>1548</v>
      </c>
      <c r="H1980">
        <v>39000</v>
      </c>
      <c r="I1980">
        <v>60372000</v>
      </c>
    </row>
    <row r="1981" spans="1:11" hidden="1" x14ac:dyDescent="0.25">
      <c r="A1981" s="210" t="s">
        <v>1512</v>
      </c>
      <c r="B1981">
        <v>8692</v>
      </c>
      <c r="C1981" s="100">
        <v>46122</v>
      </c>
      <c r="D1981" t="s">
        <v>49</v>
      </c>
      <c r="E1981" t="s">
        <v>17</v>
      </c>
      <c r="F1981" t="s">
        <v>41</v>
      </c>
      <c r="G1981">
        <v>535</v>
      </c>
      <c r="I1981">
        <v>0</v>
      </c>
      <c r="K1981" t="s">
        <v>424</v>
      </c>
    </row>
    <row r="1982" spans="1:11" hidden="1" x14ac:dyDescent="0.25">
      <c r="A1982" s="210" t="s">
        <v>1512</v>
      </c>
      <c r="B1982">
        <v>8692</v>
      </c>
      <c r="C1982" s="100">
        <v>46122</v>
      </c>
      <c r="D1982" t="s">
        <v>49</v>
      </c>
      <c r="E1982" t="s">
        <v>17</v>
      </c>
      <c r="F1982" t="s">
        <v>416</v>
      </c>
      <c r="G1982">
        <v>834</v>
      </c>
      <c r="I1982">
        <v>0</v>
      </c>
      <c r="K1982" t="s">
        <v>425</v>
      </c>
    </row>
    <row r="1983" spans="1:11" hidden="1" x14ac:dyDescent="0.25">
      <c r="A1983" s="210" t="s">
        <v>1638</v>
      </c>
      <c r="B1983">
        <v>8691</v>
      </c>
      <c r="C1983" s="100">
        <v>46122</v>
      </c>
      <c r="D1983" t="s">
        <v>13</v>
      </c>
      <c r="E1983" t="s">
        <v>68</v>
      </c>
      <c r="F1983" t="s">
        <v>1232</v>
      </c>
      <c r="G1983">
        <v>370</v>
      </c>
      <c r="H1983">
        <v>42000</v>
      </c>
      <c r="I1983">
        <v>15540000</v>
      </c>
    </row>
    <row r="1984" spans="1:11" hidden="1" x14ac:dyDescent="0.25">
      <c r="A1984" s="210" t="s">
        <v>1552</v>
      </c>
      <c r="B1984">
        <v>8690</v>
      </c>
      <c r="C1984" s="100">
        <v>46122</v>
      </c>
      <c r="D1984" t="s">
        <v>13</v>
      </c>
      <c r="E1984" t="s">
        <v>14</v>
      </c>
      <c r="F1984" t="s">
        <v>41</v>
      </c>
      <c r="G1984">
        <v>3064</v>
      </c>
      <c r="H1984">
        <v>43000</v>
      </c>
      <c r="I1984">
        <v>131752000</v>
      </c>
    </row>
    <row r="1985" spans="1:10" hidden="1" x14ac:dyDescent="0.25">
      <c r="A1985" s="210" t="s">
        <v>2016</v>
      </c>
      <c r="B1985">
        <v>8689</v>
      </c>
      <c r="C1985" s="100">
        <v>46090</v>
      </c>
      <c r="D1985" t="s">
        <v>692</v>
      </c>
      <c r="E1985" t="s">
        <v>54</v>
      </c>
      <c r="F1985" t="s">
        <v>1282</v>
      </c>
      <c r="G1985">
        <v>826</v>
      </c>
      <c r="H1985">
        <v>-33000</v>
      </c>
      <c r="I1985">
        <v>-27258000</v>
      </c>
    </row>
    <row r="1986" spans="1:10" hidden="1" x14ac:dyDescent="0.25">
      <c r="A1986" s="210" t="s">
        <v>1530</v>
      </c>
      <c r="B1986">
        <v>8688</v>
      </c>
      <c r="C1986" s="100">
        <v>46122</v>
      </c>
      <c r="D1986" t="s">
        <v>13</v>
      </c>
      <c r="E1986" t="s">
        <v>702</v>
      </c>
      <c r="F1986" t="s">
        <v>148</v>
      </c>
      <c r="G1986">
        <v>5280</v>
      </c>
      <c r="H1986">
        <v>41000</v>
      </c>
      <c r="I1986">
        <v>216480000</v>
      </c>
    </row>
    <row r="1987" spans="1:10" hidden="1" x14ac:dyDescent="0.25">
      <c r="A1987" s="210" t="s">
        <v>1718</v>
      </c>
      <c r="B1987">
        <v>8687</v>
      </c>
      <c r="C1987" s="100">
        <v>46122</v>
      </c>
      <c r="D1987" t="s">
        <v>13</v>
      </c>
      <c r="E1987" t="s">
        <v>26</v>
      </c>
      <c r="F1987" t="s">
        <v>41</v>
      </c>
      <c r="G1987">
        <v>2630</v>
      </c>
      <c r="H1987">
        <v>35000</v>
      </c>
      <c r="I1987">
        <v>92050000</v>
      </c>
    </row>
    <row r="1988" spans="1:10" hidden="1" x14ac:dyDescent="0.25">
      <c r="A1988" s="210" t="s">
        <v>1718</v>
      </c>
      <c r="B1988">
        <v>8687</v>
      </c>
      <c r="C1988" s="100">
        <v>46122</v>
      </c>
      <c r="D1988" t="s">
        <v>13</v>
      </c>
      <c r="E1988" t="s">
        <v>26</v>
      </c>
      <c r="F1988" t="s">
        <v>78</v>
      </c>
      <c r="G1988">
        <v>2924</v>
      </c>
      <c r="H1988">
        <v>36000</v>
      </c>
      <c r="I1988">
        <v>105264000</v>
      </c>
      <c r="J1988">
        <v>400</v>
      </c>
    </row>
    <row r="1989" spans="1:10" hidden="1" x14ac:dyDescent="0.25">
      <c r="A1989" s="210" t="s">
        <v>1518</v>
      </c>
      <c r="B1989">
        <v>8686</v>
      </c>
      <c r="C1989" s="100">
        <v>46122</v>
      </c>
      <c r="D1989" t="s">
        <v>13</v>
      </c>
      <c r="E1989" t="s">
        <v>14</v>
      </c>
      <c r="F1989" t="s">
        <v>136</v>
      </c>
      <c r="G1989">
        <v>550</v>
      </c>
      <c r="H1989">
        <v>41500</v>
      </c>
      <c r="I1989">
        <v>22825000</v>
      </c>
    </row>
    <row r="1990" spans="1:10" hidden="1" x14ac:dyDescent="0.25">
      <c r="A1990" s="210" t="s">
        <v>1518</v>
      </c>
      <c r="B1990">
        <v>8686</v>
      </c>
      <c r="C1990" s="100">
        <v>46122</v>
      </c>
      <c r="D1990" t="s">
        <v>13</v>
      </c>
      <c r="E1990" t="s">
        <v>43</v>
      </c>
      <c r="F1990" t="s">
        <v>148</v>
      </c>
      <c r="G1990">
        <v>610</v>
      </c>
      <c r="H1990">
        <v>57000</v>
      </c>
      <c r="I1990">
        <v>34770000</v>
      </c>
    </row>
    <row r="1991" spans="1:10" hidden="1" x14ac:dyDescent="0.25">
      <c r="A1991" s="210" t="s">
        <v>1579</v>
      </c>
      <c r="B1991">
        <v>8685</v>
      </c>
      <c r="C1991" s="100">
        <v>46122</v>
      </c>
      <c r="D1991" t="s">
        <v>13</v>
      </c>
      <c r="E1991" t="s">
        <v>150</v>
      </c>
      <c r="F1991" t="s">
        <v>28</v>
      </c>
      <c r="G1991">
        <v>1070.5</v>
      </c>
      <c r="H1991">
        <v>37000</v>
      </c>
      <c r="I1991">
        <v>39608500</v>
      </c>
    </row>
    <row r="1992" spans="1:10" hidden="1" x14ac:dyDescent="0.25">
      <c r="A1992" s="210" t="s">
        <v>1579</v>
      </c>
      <c r="B1992">
        <v>8685</v>
      </c>
      <c r="C1992" s="100">
        <v>46122</v>
      </c>
      <c r="D1992" t="s">
        <v>13</v>
      </c>
      <c r="E1992" t="s">
        <v>68</v>
      </c>
      <c r="F1992" t="s">
        <v>185</v>
      </c>
      <c r="G1992">
        <v>481.5</v>
      </c>
      <c r="H1992">
        <v>41500</v>
      </c>
      <c r="I1992">
        <v>19982250</v>
      </c>
    </row>
    <row r="1993" spans="1:10" hidden="1" x14ac:dyDescent="0.25">
      <c r="A1993" s="210" t="s">
        <v>1531</v>
      </c>
      <c r="B1993">
        <v>8684</v>
      </c>
      <c r="C1993" s="100">
        <v>46122</v>
      </c>
      <c r="D1993" t="s">
        <v>13</v>
      </c>
      <c r="E1993" t="s">
        <v>17</v>
      </c>
      <c r="F1993" t="s">
        <v>25</v>
      </c>
      <c r="G1993">
        <v>898</v>
      </c>
      <c r="H1993">
        <v>59500</v>
      </c>
      <c r="I1993">
        <v>53431000</v>
      </c>
    </row>
    <row r="1994" spans="1:10" hidden="1" x14ac:dyDescent="0.25">
      <c r="A1994" s="210" t="s">
        <v>1531</v>
      </c>
      <c r="B1994">
        <v>8684</v>
      </c>
      <c r="C1994" s="100">
        <v>46122</v>
      </c>
      <c r="D1994" t="s">
        <v>13</v>
      </c>
      <c r="E1994" t="s">
        <v>720</v>
      </c>
      <c r="F1994" t="s">
        <v>721</v>
      </c>
      <c r="G1994">
        <v>482</v>
      </c>
      <c r="H1994">
        <v>-1000</v>
      </c>
      <c r="I1994">
        <v>-482000</v>
      </c>
    </row>
    <row r="1995" spans="1:10" hidden="1" x14ac:dyDescent="0.25">
      <c r="A1995" s="210" t="s">
        <v>1490</v>
      </c>
      <c r="B1995">
        <v>8683</v>
      </c>
      <c r="C1995" s="100">
        <v>46122</v>
      </c>
      <c r="D1995" t="s">
        <v>13</v>
      </c>
      <c r="E1995" t="s">
        <v>17</v>
      </c>
      <c r="F1995" t="s">
        <v>38</v>
      </c>
      <c r="G1995">
        <v>1114</v>
      </c>
      <c r="H1995">
        <v>62000</v>
      </c>
      <c r="I1995">
        <v>69068000</v>
      </c>
    </row>
    <row r="1996" spans="1:10" hidden="1" x14ac:dyDescent="0.25">
      <c r="A1996" s="210" t="s">
        <v>1490</v>
      </c>
      <c r="B1996">
        <v>8683</v>
      </c>
      <c r="C1996" s="100">
        <v>46122</v>
      </c>
      <c r="D1996" t="s">
        <v>13</v>
      </c>
      <c r="E1996" t="s">
        <v>17</v>
      </c>
      <c r="F1996" t="s">
        <v>40</v>
      </c>
      <c r="G1996">
        <v>297</v>
      </c>
      <c r="H1996">
        <v>62000</v>
      </c>
      <c r="I1996">
        <v>18414000</v>
      </c>
    </row>
    <row r="1997" spans="1:10" hidden="1" x14ac:dyDescent="0.25">
      <c r="A1997" s="210" t="s">
        <v>1575</v>
      </c>
      <c r="B1997">
        <v>8682</v>
      </c>
      <c r="C1997" s="100">
        <v>46122</v>
      </c>
      <c r="D1997" t="s">
        <v>13</v>
      </c>
      <c r="E1997" t="s">
        <v>45</v>
      </c>
      <c r="F1997" t="s">
        <v>25</v>
      </c>
      <c r="G1997">
        <v>956</v>
      </c>
      <c r="H1997">
        <v>34500</v>
      </c>
      <c r="I1997">
        <v>32982000</v>
      </c>
    </row>
    <row r="1998" spans="1:10" hidden="1" x14ac:dyDescent="0.25">
      <c r="A1998" s="210" t="s">
        <v>1575</v>
      </c>
      <c r="B1998">
        <v>8682</v>
      </c>
      <c r="C1998" s="100">
        <v>46122</v>
      </c>
      <c r="D1998" t="s">
        <v>13</v>
      </c>
      <c r="E1998" t="s">
        <v>17</v>
      </c>
      <c r="F1998" t="s">
        <v>974</v>
      </c>
      <c r="G1998">
        <v>662</v>
      </c>
      <c r="H1998">
        <v>67000</v>
      </c>
      <c r="I1998">
        <v>44354000</v>
      </c>
    </row>
    <row r="1999" spans="1:10" hidden="1" x14ac:dyDescent="0.25">
      <c r="A1999" s="210" t="s">
        <v>1641</v>
      </c>
      <c r="B1999">
        <v>8681</v>
      </c>
      <c r="C1999" s="100">
        <v>46122</v>
      </c>
      <c r="D1999" t="s">
        <v>13</v>
      </c>
      <c r="E1999" t="s">
        <v>43</v>
      </c>
      <c r="F1999" t="s">
        <v>248</v>
      </c>
      <c r="G1999">
        <v>3365</v>
      </c>
      <c r="H1999">
        <v>59000</v>
      </c>
      <c r="I1999">
        <v>198535000</v>
      </c>
    </row>
    <row r="2000" spans="1:10" hidden="1" x14ac:dyDescent="0.25">
      <c r="A2000" s="210" t="s">
        <v>1493</v>
      </c>
      <c r="B2000">
        <v>8680</v>
      </c>
      <c r="C2000" s="100">
        <v>46122</v>
      </c>
      <c r="D2000" t="s">
        <v>13</v>
      </c>
      <c r="E2000" t="s">
        <v>277</v>
      </c>
      <c r="F2000" t="s">
        <v>230</v>
      </c>
      <c r="G2000">
        <v>752</v>
      </c>
      <c r="H2000">
        <v>63000</v>
      </c>
      <c r="I2000">
        <v>47376000</v>
      </c>
    </row>
    <row r="2001" spans="1:11" hidden="1" x14ac:dyDescent="0.25">
      <c r="A2001" s="210" t="s">
        <v>1703</v>
      </c>
      <c r="B2001">
        <v>8679</v>
      </c>
      <c r="C2001" s="100">
        <v>46122</v>
      </c>
      <c r="D2001" t="s">
        <v>13</v>
      </c>
      <c r="E2001" t="s">
        <v>442</v>
      </c>
      <c r="F2001" t="s">
        <v>110</v>
      </c>
      <c r="G2001">
        <v>1410</v>
      </c>
      <c r="H2001">
        <v>57000</v>
      </c>
      <c r="I2001">
        <v>80370000</v>
      </c>
      <c r="K2001" t="s">
        <v>42</v>
      </c>
    </row>
    <row r="2002" spans="1:11" hidden="1" x14ac:dyDescent="0.25">
      <c r="A2002" s="210" t="s">
        <v>1703</v>
      </c>
      <c r="B2002">
        <v>8679</v>
      </c>
      <c r="C2002" s="100">
        <v>46122</v>
      </c>
      <c r="D2002" t="s">
        <v>13</v>
      </c>
      <c r="E2002" t="s">
        <v>50</v>
      </c>
      <c r="F2002" t="s">
        <v>110</v>
      </c>
      <c r="G2002">
        <v>1654</v>
      </c>
      <c r="H2002">
        <v>57000</v>
      </c>
      <c r="I2002">
        <v>94278000</v>
      </c>
      <c r="K2002" t="s">
        <v>42</v>
      </c>
    </row>
    <row r="2003" spans="1:11" hidden="1" x14ac:dyDescent="0.25">
      <c r="A2003" s="210" t="s">
        <v>1587</v>
      </c>
      <c r="B2003">
        <v>8678</v>
      </c>
      <c r="C2003" s="100">
        <v>46122</v>
      </c>
      <c r="D2003" t="s">
        <v>13</v>
      </c>
      <c r="E2003" t="s">
        <v>14</v>
      </c>
      <c r="F2003" t="s">
        <v>134</v>
      </c>
      <c r="G2003">
        <v>5098</v>
      </c>
      <c r="H2003">
        <v>41500</v>
      </c>
      <c r="I2003">
        <v>211567000</v>
      </c>
    </row>
    <row r="2004" spans="1:11" hidden="1" x14ac:dyDescent="0.25">
      <c r="A2004" s="210" t="s">
        <v>1587</v>
      </c>
      <c r="B2004">
        <v>8677</v>
      </c>
      <c r="C2004" s="100">
        <v>46122</v>
      </c>
      <c r="D2004" t="s">
        <v>13</v>
      </c>
      <c r="E2004" t="s">
        <v>701</v>
      </c>
      <c r="F2004" t="s">
        <v>148</v>
      </c>
      <c r="G2004">
        <v>5114</v>
      </c>
      <c r="H2004">
        <v>41500</v>
      </c>
      <c r="I2004">
        <v>212231000</v>
      </c>
    </row>
    <row r="2005" spans="1:11" hidden="1" x14ac:dyDescent="0.25">
      <c r="A2005" s="210" t="s">
        <v>1548</v>
      </c>
      <c r="B2005">
        <v>8676</v>
      </c>
      <c r="C2005" s="100">
        <v>46122</v>
      </c>
      <c r="D2005" t="s">
        <v>13</v>
      </c>
      <c r="E2005" t="s">
        <v>43</v>
      </c>
      <c r="F2005" t="s">
        <v>910</v>
      </c>
      <c r="G2005">
        <v>360</v>
      </c>
      <c r="H2005">
        <v>56000</v>
      </c>
      <c r="I2005">
        <v>20160000</v>
      </c>
    </row>
    <row r="2006" spans="1:11" hidden="1" x14ac:dyDescent="0.25">
      <c r="A2006" s="210" t="s">
        <v>1606</v>
      </c>
      <c r="B2006">
        <v>8675</v>
      </c>
      <c r="C2006" s="100">
        <v>46122</v>
      </c>
      <c r="D2006" t="s">
        <v>13</v>
      </c>
      <c r="E2006" t="s">
        <v>701</v>
      </c>
      <c r="F2006" t="s">
        <v>136</v>
      </c>
      <c r="G2006">
        <v>648</v>
      </c>
      <c r="H2006">
        <v>41500</v>
      </c>
      <c r="I2006">
        <v>26892000</v>
      </c>
    </row>
    <row r="2007" spans="1:11" hidden="1" x14ac:dyDescent="0.25">
      <c r="A2007" s="210" t="s">
        <v>1530</v>
      </c>
      <c r="B2007">
        <v>8672</v>
      </c>
      <c r="C2007" s="100">
        <v>46122</v>
      </c>
      <c r="D2007" t="s">
        <v>13</v>
      </c>
      <c r="E2007" t="s">
        <v>701</v>
      </c>
      <c r="F2007" t="s">
        <v>136</v>
      </c>
      <c r="G2007">
        <v>5276</v>
      </c>
      <c r="H2007">
        <v>41000</v>
      </c>
      <c r="I2007">
        <v>216316000</v>
      </c>
    </row>
    <row r="2008" spans="1:11" hidden="1" x14ac:dyDescent="0.25">
      <c r="A2008" s="210" t="s">
        <v>1587</v>
      </c>
      <c r="B2008">
        <v>8671</v>
      </c>
      <c r="C2008" s="100">
        <v>46122</v>
      </c>
      <c r="D2008" t="s">
        <v>13</v>
      </c>
      <c r="E2008" t="s">
        <v>701</v>
      </c>
      <c r="F2008" t="s">
        <v>136</v>
      </c>
      <c r="G2008">
        <v>5196</v>
      </c>
      <c r="H2008">
        <v>41500</v>
      </c>
      <c r="I2008">
        <v>215634000</v>
      </c>
    </row>
    <row r="2009" spans="1:11" hidden="1" x14ac:dyDescent="0.25">
      <c r="A2009" s="210" t="s">
        <v>1530</v>
      </c>
      <c r="B2009">
        <v>8670</v>
      </c>
      <c r="C2009" s="100">
        <v>46122</v>
      </c>
      <c r="D2009" t="s">
        <v>13</v>
      </c>
      <c r="E2009" t="s">
        <v>691</v>
      </c>
      <c r="F2009" t="s">
        <v>136</v>
      </c>
      <c r="G2009">
        <v>4455</v>
      </c>
      <c r="H2009">
        <v>36700</v>
      </c>
      <c r="I2009">
        <v>163498500</v>
      </c>
    </row>
    <row r="2010" spans="1:11" hidden="1" x14ac:dyDescent="0.25">
      <c r="A2010" s="210" t="s">
        <v>1530</v>
      </c>
      <c r="B2010">
        <v>8670</v>
      </c>
      <c r="C2010" s="100">
        <v>46122</v>
      </c>
      <c r="D2010" t="s">
        <v>13</v>
      </c>
      <c r="E2010" t="s">
        <v>54</v>
      </c>
      <c r="F2010" t="s">
        <v>221</v>
      </c>
      <c r="G2010">
        <v>550</v>
      </c>
      <c r="H2010">
        <v>35000</v>
      </c>
      <c r="I2010">
        <v>19250000</v>
      </c>
    </row>
    <row r="2011" spans="1:11" hidden="1" x14ac:dyDescent="0.25">
      <c r="A2011" s="210" t="s">
        <v>1698</v>
      </c>
      <c r="B2011">
        <v>8669</v>
      </c>
      <c r="C2011" s="100">
        <v>46122</v>
      </c>
      <c r="D2011" t="s">
        <v>13</v>
      </c>
      <c r="E2011" t="s">
        <v>26</v>
      </c>
      <c r="F2011" t="s">
        <v>806</v>
      </c>
      <c r="G2011">
        <v>3656</v>
      </c>
      <c r="H2011">
        <v>29000</v>
      </c>
      <c r="I2011">
        <v>106024000</v>
      </c>
      <c r="K2011" t="s">
        <v>1415</v>
      </c>
    </row>
    <row r="2012" spans="1:11" hidden="1" x14ac:dyDescent="0.25">
      <c r="A2012" s="210" t="s">
        <v>1698</v>
      </c>
      <c r="B2012">
        <v>8669</v>
      </c>
      <c r="C2012" s="100">
        <v>46122</v>
      </c>
      <c r="D2012" t="s">
        <v>13</v>
      </c>
      <c r="E2012" t="s">
        <v>26</v>
      </c>
      <c r="F2012" t="s">
        <v>1416</v>
      </c>
      <c r="G2012">
        <v>135</v>
      </c>
      <c r="H2012">
        <v>29000</v>
      </c>
      <c r="I2012">
        <v>3915000</v>
      </c>
    </row>
    <row r="2013" spans="1:11" hidden="1" x14ac:dyDescent="0.25">
      <c r="A2013" s="210" t="s">
        <v>1512</v>
      </c>
      <c r="B2013">
        <v>8668</v>
      </c>
      <c r="C2013" s="100">
        <v>46121</v>
      </c>
      <c r="D2013" t="s">
        <v>13</v>
      </c>
      <c r="E2013" t="s">
        <v>17</v>
      </c>
      <c r="F2013" t="s">
        <v>25</v>
      </c>
      <c r="G2013">
        <v>390</v>
      </c>
      <c r="H2013">
        <v>67000</v>
      </c>
      <c r="I2013">
        <v>26130000</v>
      </c>
    </row>
    <row r="2014" spans="1:11" hidden="1" x14ac:dyDescent="0.25">
      <c r="A2014" s="210" t="s">
        <v>1512</v>
      </c>
      <c r="B2014">
        <v>8668</v>
      </c>
      <c r="C2014" s="100">
        <v>46121</v>
      </c>
      <c r="D2014" t="s">
        <v>13</v>
      </c>
      <c r="E2014" t="s">
        <v>17</v>
      </c>
      <c r="F2014" t="s">
        <v>33</v>
      </c>
      <c r="G2014">
        <v>216</v>
      </c>
      <c r="H2014">
        <v>67000</v>
      </c>
      <c r="I2014">
        <v>14472000</v>
      </c>
    </row>
    <row r="2015" spans="1:11" hidden="1" x14ac:dyDescent="0.25">
      <c r="A2015" s="210" t="s">
        <v>1524</v>
      </c>
      <c r="B2015">
        <v>8667</v>
      </c>
      <c r="C2015" s="100">
        <v>46121</v>
      </c>
      <c r="D2015" t="s">
        <v>49</v>
      </c>
      <c r="E2015" t="s">
        <v>26</v>
      </c>
      <c r="F2015" t="s">
        <v>416</v>
      </c>
      <c r="G2015">
        <v>1310</v>
      </c>
      <c r="I2015">
        <v>0</v>
      </c>
      <c r="K2015" t="s">
        <v>598</v>
      </c>
    </row>
    <row r="2016" spans="1:11" hidden="1" x14ac:dyDescent="0.25">
      <c r="A2016" s="210" t="s">
        <v>1504</v>
      </c>
      <c r="B2016">
        <v>8666</v>
      </c>
      <c r="C2016" s="100">
        <v>46121</v>
      </c>
      <c r="D2016" t="s">
        <v>13</v>
      </c>
      <c r="E2016" t="s">
        <v>192</v>
      </c>
      <c r="F2016" t="s">
        <v>344</v>
      </c>
      <c r="G2016">
        <v>1164</v>
      </c>
      <c r="H2016">
        <v>39000</v>
      </c>
      <c r="I2016">
        <v>45396000</v>
      </c>
    </row>
    <row r="2017" spans="1:11" hidden="1" x14ac:dyDescent="0.25">
      <c r="A2017" s="210" t="s">
        <v>1504</v>
      </c>
      <c r="B2017">
        <v>8666</v>
      </c>
      <c r="C2017" s="100">
        <v>46121</v>
      </c>
      <c r="D2017" t="s">
        <v>13</v>
      </c>
      <c r="E2017" t="s">
        <v>54</v>
      </c>
      <c r="F2017" t="s">
        <v>228</v>
      </c>
      <c r="G2017">
        <v>106</v>
      </c>
      <c r="H2017">
        <v>37000</v>
      </c>
      <c r="I2017">
        <v>3922000</v>
      </c>
    </row>
    <row r="2018" spans="1:11" hidden="1" x14ac:dyDescent="0.25">
      <c r="A2018" s="210" t="s">
        <v>1734</v>
      </c>
      <c r="B2018">
        <v>8665</v>
      </c>
      <c r="C2018" s="100">
        <v>46121</v>
      </c>
      <c r="D2018" t="s">
        <v>13</v>
      </c>
      <c r="E2018" t="s">
        <v>355</v>
      </c>
      <c r="F2018" t="s">
        <v>116</v>
      </c>
      <c r="G2018">
        <v>3238</v>
      </c>
      <c r="H2018">
        <v>64000</v>
      </c>
      <c r="I2018">
        <v>207232000</v>
      </c>
    </row>
    <row r="2019" spans="1:11" hidden="1" x14ac:dyDescent="0.25">
      <c r="A2019" s="210" t="s">
        <v>1536</v>
      </c>
      <c r="B2019">
        <v>8664</v>
      </c>
      <c r="C2019" s="100">
        <v>46121</v>
      </c>
      <c r="D2019" t="s">
        <v>13</v>
      </c>
      <c r="E2019" t="s">
        <v>355</v>
      </c>
      <c r="F2019" t="s">
        <v>122</v>
      </c>
      <c r="G2019">
        <v>122</v>
      </c>
      <c r="H2019">
        <v>57000</v>
      </c>
      <c r="I2019">
        <v>6954000</v>
      </c>
    </row>
    <row r="2020" spans="1:11" hidden="1" x14ac:dyDescent="0.25">
      <c r="A2020" s="210" t="s">
        <v>1536</v>
      </c>
      <c r="B2020">
        <v>8664</v>
      </c>
      <c r="C2020" s="100">
        <v>46121</v>
      </c>
      <c r="D2020" t="s">
        <v>13</v>
      </c>
      <c r="E2020" t="s">
        <v>54</v>
      </c>
      <c r="F2020" t="s">
        <v>136</v>
      </c>
      <c r="G2020">
        <v>168</v>
      </c>
      <c r="H2020">
        <v>35000</v>
      </c>
      <c r="I2020">
        <v>5880000</v>
      </c>
    </row>
    <row r="2021" spans="1:11" hidden="1" x14ac:dyDescent="0.25">
      <c r="A2021" s="210" t="s">
        <v>1536</v>
      </c>
      <c r="B2021">
        <v>8664</v>
      </c>
      <c r="C2021" s="100">
        <v>46121</v>
      </c>
      <c r="D2021" t="s">
        <v>13</v>
      </c>
      <c r="E2021" t="s">
        <v>54</v>
      </c>
      <c r="F2021" t="s">
        <v>621</v>
      </c>
      <c r="G2021">
        <v>220</v>
      </c>
      <c r="H2021">
        <v>34000</v>
      </c>
      <c r="I2021">
        <v>7480000</v>
      </c>
    </row>
    <row r="2022" spans="1:11" hidden="1" x14ac:dyDescent="0.25">
      <c r="A2022" s="210" t="s">
        <v>1536</v>
      </c>
      <c r="B2022">
        <v>8664</v>
      </c>
      <c r="C2022" s="100">
        <v>46121</v>
      </c>
      <c r="D2022" t="s">
        <v>13</v>
      </c>
      <c r="E2022" t="s">
        <v>45</v>
      </c>
      <c r="F2022" t="s">
        <v>215</v>
      </c>
      <c r="G2022">
        <v>3035</v>
      </c>
      <c r="H2022">
        <v>34000</v>
      </c>
      <c r="I2022">
        <v>103190000</v>
      </c>
    </row>
    <row r="2023" spans="1:11" hidden="1" x14ac:dyDescent="0.25">
      <c r="A2023" s="210" t="s">
        <v>2016</v>
      </c>
      <c r="B2023">
        <v>8664</v>
      </c>
      <c r="C2023" s="100">
        <v>46086</v>
      </c>
      <c r="D2023" t="s">
        <v>692</v>
      </c>
      <c r="E2023" t="s">
        <v>26</v>
      </c>
      <c r="F2023" t="s">
        <v>254</v>
      </c>
      <c r="G2023">
        <v>820</v>
      </c>
      <c r="H2023">
        <v>-33000</v>
      </c>
      <c r="I2023">
        <v>-27060000</v>
      </c>
    </row>
    <row r="2024" spans="1:11" hidden="1" x14ac:dyDescent="0.25">
      <c r="A2024" s="210" t="s">
        <v>1532</v>
      </c>
      <c r="B2024">
        <v>8663</v>
      </c>
      <c r="C2024" s="100">
        <v>46121</v>
      </c>
      <c r="D2024" t="s">
        <v>49</v>
      </c>
      <c r="E2024" t="s">
        <v>26</v>
      </c>
      <c r="F2024" t="s">
        <v>788</v>
      </c>
      <c r="G2024">
        <v>3945</v>
      </c>
      <c r="I2024">
        <v>0</v>
      </c>
      <c r="K2024" t="s">
        <v>789</v>
      </c>
    </row>
    <row r="2025" spans="1:11" hidden="1" x14ac:dyDescent="0.25">
      <c r="A2025" s="210" t="s">
        <v>1532</v>
      </c>
      <c r="B2025">
        <v>8663</v>
      </c>
      <c r="C2025" s="100">
        <v>46121</v>
      </c>
      <c r="D2025" t="s">
        <v>49</v>
      </c>
      <c r="E2025" t="s">
        <v>301</v>
      </c>
      <c r="F2025" t="s">
        <v>466</v>
      </c>
      <c r="G2025">
        <v>1536</v>
      </c>
      <c r="I2025">
        <v>0</v>
      </c>
      <c r="K2025" t="s">
        <v>790</v>
      </c>
    </row>
    <row r="2026" spans="1:11" hidden="1" x14ac:dyDescent="0.25">
      <c r="A2026" s="210" t="s">
        <v>1476</v>
      </c>
      <c r="B2026">
        <v>8660</v>
      </c>
      <c r="C2026" s="100">
        <v>46121</v>
      </c>
      <c r="D2026" t="s">
        <v>49</v>
      </c>
      <c r="E2026" t="s">
        <v>109</v>
      </c>
      <c r="F2026" t="s">
        <v>73</v>
      </c>
      <c r="G2026">
        <v>858</v>
      </c>
      <c r="I2026">
        <v>0</v>
      </c>
      <c r="K2026" t="s">
        <v>66</v>
      </c>
    </row>
    <row r="2027" spans="1:11" hidden="1" x14ac:dyDescent="0.25">
      <c r="A2027" s="210" t="s">
        <v>1624</v>
      </c>
      <c r="B2027">
        <v>8659</v>
      </c>
      <c r="C2027" s="100">
        <v>46121</v>
      </c>
      <c r="D2027" t="s">
        <v>13</v>
      </c>
      <c r="E2027" t="s">
        <v>26</v>
      </c>
      <c r="F2027" t="s">
        <v>915</v>
      </c>
      <c r="G2027">
        <v>1224</v>
      </c>
      <c r="H2027">
        <v>35000</v>
      </c>
      <c r="I2027">
        <v>42840000</v>
      </c>
    </row>
    <row r="2028" spans="1:11" hidden="1" x14ac:dyDescent="0.25">
      <c r="A2028" s="210" t="s">
        <v>2016</v>
      </c>
      <c r="B2028">
        <v>8657</v>
      </c>
      <c r="C2028" s="100">
        <v>46085</v>
      </c>
      <c r="D2028" t="s">
        <v>692</v>
      </c>
      <c r="E2028" t="s">
        <v>26</v>
      </c>
      <c r="F2028" t="s">
        <v>1281</v>
      </c>
      <c r="G2028">
        <v>556</v>
      </c>
      <c r="H2028">
        <v>-33000</v>
      </c>
      <c r="I2028">
        <v>-18348000</v>
      </c>
    </row>
    <row r="2029" spans="1:11" hidden="1" x14ac:dyDescent="0.25">
      <c r="A2029" s="210" t="s">
        <v>1676</v>
      </c>
      <c r="B2029">
        <v>8656</v>
      </c>
      <c r="C2029" s="100">
        <v>46121</v>
      </c>
      <c r="D2029" t="s">
        <v>13</v>
      </c>
      <c r="E2029" t="s">
        <v>26</v>
      </c>
      <c r="F2029" t="s">
        <v>149</v>
      </c>
      <c r="G2029">
        <v>608</v>
      </c>
      <c r="H2029">
        <v>36000</v>
      </c>
      <c r="I2029">
        <v>21888000</v>
      </c>
    </row>
    <row r="2030" spans="1:11" hidden="1" x14ac:dyDescent="0.25">
      <c r="A2030" s="210" t="s">
        <v>1595</v>
      </c>
      <c r="B2030">
        <v>8655</v>
      </c>
      <c r="C2030" s="100">
        <v>46121</v>
      </c>
      <c r="D2030" t="s">
        <v>13</v>
      </c>
      <c r="E2030" t="s">
        <v>103</v>
      </c>
      <c r="F2030" t="s">
        <v>191</v>
      </c>
      <c r="G2030">
        <v>1050</v>
      </c>
      <c r="H2030">
        <v>35500</v>
      </c>
      <c r="I2030">
        <v>37275000</v>
      </c>
    </row>
    <row r="2031" spans="1:11" hidden="1" x14ac:dyDescent="0.25">
      <c r="A2031" s="210" t="s">
        <v>1595</v>
      </c>
      <c r="B2031">
        <v>8655</v>
      </c>
      <c r="C2031" s="100">
        <v>46121</v>
      </c>
      <c r="D2031" t="s">
        <v>13</v>
      </c>
      <c r="E2031" t="s">
        <v>103</v>
      </c>
      <c r="F2031" t="s">
        <v>228</v>
      </c>
      <c r="G2031">
        <v>1022</v>
      </c>
      <c r="H2031">
        <v>35500</v>
      </c>
      <c r="I2031">
        <v>36281000</v>
      </c>
    </row>
    <row r="2032" spans="1:11" hidden="1" x14ac:dyDescent="0.25">
      <c r="A2032" s="210" t="s">
        <v>1595</v>
      </c>
      <c r="B2032">
        <v>8655</v>
      </c>
      <c r="C2032" s="100">
        <v>46121</v>
      </c>
      <c r="D2032" t="s">
        <v>13</v>
      </c>
      <c r="E2032" t="s">
        <v>103</v>
      </c>
      <c r="F2032" t="s">
        <v>73</v>
      </c>
      <c r="G2032">
        <v>108</v>
      </c>
      <c r="H2032">
        <v>35500</v>
      </c>
      <c r="I2032">
        <v>3834000</v>
      </c>
    </row>
    <row r="2033" spans="1:11" hidden="1" x14ac:dyDescent="0.25">
      <c r="A2033" s="210" t="s">
        <v>1541</v>
      </c>
      <c r="B2033">
        <v>8654</v>
      </c>
      <c r="C2033" s="100">
        <v>46121</v>
      </c>
      <c r="D2033" t="s">
        <v>13</v>
      </c>
      <c r="E2033" t="s">
        <v>17</v>
      </c>
      <c r="F2033" t="s">
        <v>25</v>
      </c>
      <c r="G2033">
        <v>1470</v>
      </c>
      <c r="H2033">
        <v>61000</v>
      </c>
      <c r="I2033">
        <v>89670000</v>
      </c>
      <c r="K2033" t="s">
        <v>42</v>
      </c>
    </row>
    <row r="2034" spans="1:11" hidden="1" x14ac:dyDescent="0.25">
      <c r="A2034" s="210" t="s">
        <v>1541</v>
      </c>
      <c r="B2034">
        <v>8654</v>
      </c>
      <c r="C2034" s="100">
        <v>46121</v>
      </c>
      <c r="D2034" t="s">
        <v>13</v>
      </c>
      <c r="E2034" t="s">
        <v>17</v>
      </c>
      <c r="F2034" t="s">
        <v>31</v>
      </c>
      <c r="G2034">
        <v>1924</v>
      </c>
      <c r="H2034">
        <v>61000</v>
      </c>
      <c r="I2034">
        <v>117364000</v>
      </c>
      <c r="K2034" t="s">
        <v>42</v>
      </c>
    </row>
    <row r="2035" spans="1:11" hidden="1" x14ac:dyDescent="0.25">
      <c r="A2035" s="210" t="s">
        <v>1541</v>
      </c>
      <c r="B2035">
        <v>8654</v>
      </c>
      <c r="C2035" s="100">
        <v>46121</v>
      </c>
      <c r="D2035" t="s">
        <v>13</v>
      </c>
      <c r="E2035" t="s">
        <v>17</v>
      </c>
      <c r="F2035" t="s">
        <v>502</v>
      </c>
      <c r="G2035">
        <v>422</v>
      </c>
      <c r="H2035">
        <v>61000</v>
      </c>
      <c r="I2035">
        <v>25742000</v>
      </c>
      <c r="K2035" t="s">
        <v>42</v>
      </c>
    </row>
    <row r="2036" spans="1:11" hidden="1" x14ac:dyDescent="0.25">
      <c r="A2036" s="210" t="s">
        <v>1524</v>
      </c>
      <c r="B2036">
        <v>8653</v>
      </c>
      <c r="C2036" s="100">
        <v>46121</v>
      </c>
      <c r="D2036" t="s">
        <v>49</v>
      </c>
      <c r="E2036" t="s">
        <v>26</v>
      </c>
      <c r="F2036" t="s">
        <v>596</v>
      </c>
      <c r="G2036">
        <v>1216</v>
      </c>
      <c r="I2036">
        <v>0</v>
      </c>
      <c r="K2036" t="s">
        <v>597</v>
      </c>
    </row>
    <row r="2037" spans="1:11" hidden="1" x14ac:dyDescent="0.25">
      <c r="A2037" s="210" t="s">
        <v>1558</v>
      </c>
      <c r="B2037">
        <v>8652</v>
      </c>
      <c r="C2037" s="100">
        <v>46121</v>
      </c>
      <c r="D2037" t="s">
        <v>13</v>
      </c>
      <c r="E2037" t="s">
        <v>301</v>
      </c>
      <c r="F2037" t="s">
        <v>944</v>
      </c>
      <c r="G2037">
        <v>4070</v>
      </c>
      <c r="H2037">
        <v>24000</v>
      </c>
      <c r="I2037">
        <v>97680000</v>
      </c>
    </row>
    <row r="2038" spans="1:11" hidden="1" x14ac:dyDescent="0.25">
      <c r="A2038" s="210" t="s">
        <v>1716</v>
      </c>
      <c r="B2038">
        <v>8651</v>
      </c>
      <c r="C2038" s="100">
        <v>46121</v>
      </c>
      <c r="D2038" t="s">
        <v>13</v>
      </c>
      <c r="E2038" t="s">
        <v>1456</v>
      </c>
      <c r="F2038" t="s">
        <v>78</v>
      </c>
      <c r="G2038">
        <v>698</v>
      </c>
      <c r="H2038">
        <v>63000</v>
      </c>
      <c r="I2038">
        <v>43974000</v>
      </c>
      <c r="J2038">
        <v>4000</v>
      </c>
      <c r="K2038" t="s">
        <v>42</v>
      </c>
    </row>
    <row r="2039" spans="1:11" hidden="1" x14ac:dyDescent="0.25">
      <c r="A2039" s="210" t="s">
        <v>1524</v>
      </c>
      <c r="B2039">
        <v>8650</v>
      </c>
      <c r="C2039" s="100">
        <v>46121</v>
      </c>
      <c r="D2039" t="s">
        <v>49</v>
      </c>
      <c r="E2039" t="s">
        <v>270</v>
      </c>
      <c r="F2039" t="s">
        <v>134</v>
      </c>
      <c r="G2039">
        <v>2222</v>
      </c>
      <c r="I2039">
        <v>0</v>
      </c>
      <c r="K2039" t="s">
        <v>595</v>
      </c>
    </row>
    <row r="2040" spans="1:11" hidden="1" x14ac:dyDescent="0.25">
      <c r="A2040" s="210" t="s">
        <v>1618</v>
      </c>
      <c r="B2040">
        <v>8649</v>
      </c>
      <c r="C2040" s="100">
        <v>46121</v>
      </c>
      <c r="D2040" t="s">
        <v>13</v>
      </c>
      <c r="E2040" t="s">
        <v>301</v>
      </c>
      <c r="F2040" t="s">
        <v>1176</v>
      </c>
      <c r="G2040">
        <v>8542</v>
      </c>
      <c r="H2040">
        <v>26500</v>
      </c>
      <c r="I2040">
        <v>226363000</v>
      </c>
      <c r="J2040">
        <v>-1488</v>
      </c>
    </row>
    <row r="2041" spans="1:11" hidden="1" x14ac:dyDescent="0.25">
      <c r="A2041" s="210" t="s">
        <v>2016</v>
      </c>
      <c r="B2041">
        <v>8649</v>
      </c>
      <c r="C2041" s="100">
        <v>46085</v>
      </c>
      <c r="D2041" t="s">
        <v>692</v>
      </c>
      <c r="E2041" t="s">
        <v>54</v>
      </c>
      <c r="F2041" t="s">
        <v>1280</v>
      </c>
      <c r="G2041">
        <v>120</v>
      </c>
      <c r="H2041">
        <v>-33000</v>
      </c>
      <c r="I2041">
        <v>-3960000</v>
      </c>
    </row>
    <row r="2042" spans="1:11" hidden="1" x14ac:dyDescent="0.25">
      <c r="A2042" s="210" t="s">
        <v>1531</v>
      </c>
      <c r="B2042">
        <v>8648</v>
      </c>
      <c r="C2042" s="100">
        <v>46121</v>
      </c>
      <c r="D2042" t="s">
        <v>13</v>
      </c>
      <c r="E2042" t="s">
        <v>17</v>
      </c>
      <c r="F2042" t="s">
        <v>25</v>
      </c>
      <c r="G2042">
        <v>482</v>
      </c>
      <c r="H2042">
        <v>56000</v>
      </c>
      <c r="I2042">
        <v>26992000</v>
      </c>
    </row>
    <row r="2043" spans="1:11" hidden="1" x14ac:dyDescent="0.25">
      <c r="A2043" s="210" t="s">
        <v>1531</v>
      </c>
      <c r="B2043">
        <v>8648</v>
      </c>
      <c r="C2043" s="100">
        <v>46121</v>
      </c>
      <c r="D2043" t="s">
        <v>13</v>
      </c>
      <c r="E2043" t="s">
        <v>109</v>
      </c>
      <c r="F2043" t="s">
        <v>678</v>
      </c>
      <c r="G2043">
        <v>1488</v>
      </c>
      <c r="H2043">
        <v>55500</v>
      </c>
      <c r="I2043">
        <v>82584000</v>
      </c>
    </row>
    <row r="2044" spans="1:11" hidden="1" x14ac:dyDescent="0.25">
      <c r="A2044" s="210" t="s">
        <v>1717</v>
      </c>
      <c r="B2044">
        <v>8647</v>
      </c>
      <c r="C2044" s="100">
        <v>46121</v>
      </c>
      <c r="D2044" t="s">
        <v>13</v>
      </c>
      <c r="E2044" t="s">
        <v>27</v>
      </c>
      <c r="F2044" t="s">
        <v>1458</v>
      </c>
      <c r="G2044">
        <v>74</v>
      </c>
      <c r="H2044">
        <v>61000</v>
      </c>
      <c r="I2044">
        <v>4514000</v>
      </c>
    </row>
    <row r="2045" spans="1:11" hidden="1" x14ac:dyDescent="0.25">
      <c r="A2045" s="210" t="s">
        <v>1717</v>
      </c>
      <c r="B2045">
        <v>8647</v>
      </c>
      <c r="C2045" s="100">
        <v>46121</v>
      </c>
      <c r="D2045" t="s">
        <v>13</v>
      </c>
      <c r="E2045" t="s">
        <v>27</v>
      </c>
      <c r="F2045" t="s">
        <v>117</v>
      </c>
      <c r="G2045">
        <v>624</v>
      </c>
      <c r="H2045">
        <v>61000</v>
      </c>
      <c r="I2045">
        <v>38064000</v>
      </c>
    </row>
    <row r="2046" spans="1:11" hidden="1" x14ac:dyDescent="0.25">
      <c r="A2046" s="210" t="s">
        <v>1717</v>
      </c>
      <c r="B2046">
        <v>8647</v>
      </c>
      <c r="C2046" s="100">
        <v>46121</v>
      </c>
      <c r="D2046" t="s">
        <v>13</v>
      </c>
      <c r="E2046" t="s">
        <v>27</v>
      </c>
      <c r="F2046" t="s">
        <v>1459</v>
      </c>
      <c r="G2046">
        <v>145</v>
      </c>
      <c r="H2046">
        <v>61000</v>
      </c>
      <c r="I2046">
        <v>8845000</v>
      </c>
      <c r="J2046">
        <v>264</v>
      </c>
    </row>
    <row r="2047" spans="1:11" hidden="1" x14ac:dyDescent="0.25">
      <c r="A2047" s="210" t="s">
        <v>1509</v>
      </c>
      <c r="B2047">
        <v>8645</v>
      </c>
      <c r="C2047" s="100">
        <v>46121</v>
      </c>
      <c r="D2047" t="s">
        <v>13</v>
      </c>
      <c r="E2047" t="s">
        <v>43</v>
      </c>
      <c r="F2047" t="s">
        <v>134</v>
      </c>
      <c r="G2047">
        <v>706</v>
      </c>
      <c r="H2047">
        <v>0</v>
      </c>
      <c r="I2047">
        <v>0</v>
      </c>
      <c r="K2047" t="s">
        <v>373</v>
      </c>
    </row>
    <row r="2048" spans="1:11" hidden="1" x14ac:dyDescent="0.25">
      <c r="A2048" s="210" t="s">
        <v>1509</v>
      </c>
      <c r="B2048">
        <v>8645</v>
      </c>
      <c r="C2048" s="100">
        <v>46121</v>
      </c>
      <c r="D2048" t="s">
        <v>13</v>
      </c>
      <c r="E2048" t="s">
        <v>17</v>
      </c>
      <c r="F2048" t="s">
        <v>40</v>
      </c>
      <c r="G2048">
        <v>4986</v>
      </c>
      <c r="H2048">
        <v>66500</v>
      </c>
      <c r="I2048">
        <v>331569000</v>
      </c>
      <c r="K2048" t="s">
        <v>42</v>
      </c>
    </row>
    <row r="2049" spans="1:11" hidden="1" x14ac:dyDescent="0.25">
      <c r="A2049" s="210" t="s">
        <v>1509</v>
      </c>
      <c r="B2049">
        <v>8645</v>
      </c>
      <c r="C2049" s="100">
        <v>46121</v>
      </c>
      <c r="D2049" t="s">
        <v>13</v>
      </c>
      <c r="E2049" t="s">
        <v>17</v>
      </c>
      <c r="F2049" t="s">
        <v>136</v>
      </c>
      <c r="G2049">
        <v>713</v>
      </c>
      <c r="H2049">
        <v>59000</v>
      </c>
      <c r="I2049">
        <v>42067000</v>
      </c>
      <c r="K2049" t="s">
        <v>42</v>
      </c>
    </row>
    <row r="2050" spans="1:11" hidden="1" x14ac:dyDescent="0.25">
      <c r="A2050" s="210" t="s">
        <v>1509</v>
      </c>
      <c r="B2050">
        <v>8645</v>
      </c>
      <c r="C2050" s="100">
        <v>46121</v>
      </c>
      <c r="D2050" t="s">
        <v>13</v>
      </c>
      <c r="E2050" t="s">
        <v>17</v>
      </c>
      <c r="F2050" t="s">
        <v>146</v>
      </c>
      <c r="G2050">
        <v>358</v>
      </c>
      <c r="H2050">
        <v>59000</v>
      </c>
      <c r="I2050">
        <v>21122000</v>
      </c>
      <c r="K2050" t="s">
        <v>42</v>
      </c>
    </row>
    <row r="2051" spans="1:11" hidden="1" x14ac:dyDescent="0.25">
      <c r="A2051" s="210" t="s">
        <v>1596</v>
      </c>
      <c r="B2051">
        <v>8644</v>
      </c>
      <c r="C2051" s="100">
        <v>46121</v>
      </c>
      <c r="D2051" t="s">
        <v>49</v>
      </c>
      <c r="E2051" t="s">
        <v>45</v>
      </c>
      <c r="F2051" t="s">
        <v>215</v>
      </c>
      <c r="G2051">
        <v>966</v>
      </c>
      <c r="I2051">
        <v>0</v>
      </c>
      <c r="K2051" t="s">
        <v>1079</v>
      </c>
    </row>
    <row r="2052" spans="1:11" hidden="1" x14ac:dyDescent="0.25">
      <c r="A2052" s="210" t="s">
        <v>1524</v>
      </c>
      <c r="B2052">
        <v>8643</v>
      </c>
      <c r="C2052" s="100">
        <v>46121</v>
      </c>
      <c r="D2052" t="s">
        <v>49</v>
      </c>
      <c r="E2052" t="s">
        <v>17</v>
      </c>
      <c r="F2052" t="s">
        <v>40</v>
      </c>
      <c r="G2052">
        <v>688</v>
      </c>
      <c r="I2052">
        <v>0</v>
      </c>
      <c r="K2052" t="s">
        <v>592</v>
      </c>
    </row>
    <row r="2053" spans="1:11" hidden="1" x14ac:dyDescent="0.25">
      <c r="A2053" s="210" t="s">
        <v>1524</v>
      </c>
      <c r="B2053">
        <v>8643</v>
      </c>
      <c r="C2053" s="100">
        <v>46121</v>
      </c>
      <c r="D2053" t="s">
        <v>49</v>
      </c>
      <c r="E2053" t="s">
        <v>17</v>
      </c>
      <c r="F2053" t="s">
        <v>502</v>
      </c>
      <c r="G2053">
        <v>2120</v>
      </c>
      <c r="I2053">
        <v>0</v>
      </c>
      <c r="K2053" t="s">
        <v>593</v>
      </c>
    </row>
    <row r="2054" spans="1:11" hidden="1" x14ac:dyDescent="0.25">
      <c r="A2054" s="210" t="s">
        <v>1524</v>
      </c>
      <c r="B2054">
        <v>8643</v>
      </c>
      <c r="C2054" s="100">
        <v>46121</v>
      </c>
      <c r="D2054" t="s">
        <v>49</v>
      </c>
      <c r="E2054" t="s">
        <v>26</v>
      </c>
      <c r="F2054" t="s">
        <v>416</v>
      </c>
      <c r="G2054">
        <v>1754</v>
      </c>
      <c r="I2054">
        <v>0</v>
      </c>
      <c r="K2054" t="s">
        <v>594</v>
      </c>
    </row>
    <row r="2055" spans="1:11" hidden="1" x14ac:dyDescent="0.25">
      <c r="A2055" s="210" t="s">
        <v>1615</v>
      </c>
      <c r="B2055">
        <v>8642</v>
      </c>
      <c r="C2055" s="100">
        <v>46121</v>
      </c>
      <c r="D2055" t="s">
        <v>13</v>
      </c>
      <c r="E2055" t="s">
        <v>170</v>
      </c>
      <c r="F2055" t="s">
        <v>1172</v>
      </c>
      <c r="G2055">
        <v>1618</v>
      </c>
      <c r="H2055">
        <v>64000</v>
      </c>
      <c r="I2055">
        <v>103552000</v>
      </c>
    </row>
    <row r="2056" spans="1:11" hidden="1" x14ac:dyDescent="0.25">
      <c r="A2056" s="210" t="s">
        <v>1593</v>
      </c>
      <c r="B2056">
        <v>8641</v>
      </c>
      <c r="C2056" s="100">
        <v>46121</v>
      </c>
      <c r="D2056" t="s">
        <v>13</v>
      </c>
      <c r="E2056" t="s">
        <v>265</v>
      </c>
      <c r="F2056" t="s">
        <v>146</v>
      </c>
      <c r="G2056">
        <v>952</v>
      </c>
      <c r="H2056">
        <v>63500</v>
      </c>
      <c r="I2056">
        <v>60452000</v>
      </c>
    </row>
    <row r="2057" spans="1:11" hidden="1" x14ac:dyDescent="0.25">
      <c r="A2057" s="210" t="s">
        <v>1592</v>
      </c>
      <c r="B2057">
        <v>8640</v>
      </c>
      <c r="C2057" s="100">
        <v>46121</v>
      </c>
      <c r="D2057" t="s">
        <v>49</v>
      </c>
      <c r="E2057" t="s">
        <v>45</v>
      </c>
      <c r="F2057" t="s">
        <v>215</v>
      </c>
      <c r="G2057">
        <v>1178</v>
      </c>
      <c r="I2057">
        <v>0</v>
      </c>
      <c r="K2057" t="s">
        <v>1056</v>
      </c>
    </row>
    <row r="2058" spans="1:11" hidden="1" x14ac:dyDescent="0.25">
      <c r="A2058" s="210" t="s">
        <v>1689</v>
      </c>
      <c r="B2058">
        <v>8639</v>
      </c>
      <c r="C2058" s="100">
        <v>46121</v>
      </c>
      <c r="D2058" t="s">
        <v>13</v>
      </c>
      <c r="E2058" t="s">
        <v>43</v>
      </c>
      <c r="F2058" t="s">
        <v>44</v>
      </c>
      <c r="G2058">
        <v>3270</v>
      </c>
      <c r="H2058">
        <v>55000</v>
      </c>
      <c r="I2058">
        <v>179850000</v>
      </c>
    </row>
    <row r="2059" spans="1:11" hidden="1" x14ac:dyDescent="0.25">
      <c r="A2059" s="210" t="s">
        <v>1600</v>
      </c>
      <c r="B2059">
        <v>8638</v>
      </c>
      <c r="C2059" s="100">
        <v>46120</v>
      </c>
      <c r="D2059" t="s">
        <v>13</v>
      </c>
      <c r="E2059" t="s">
        <v>135</v>
      </c>
      <c r="F2059" t="s">
        <v>62</v>
      </c>
      <c r="G2059">
        <v>1462</v>
      </c>
      <c r="H2059">
        <v>38500</v>
      </c>
      <c r="I2059">
        <v>56287000</v>
      </c>
    </row>
    <row r="2060" spans="1:11" hidden="1" x14ac:dyDescent="0.25">
      <c r="A2060" s="210" t="s">
        <v>1623</v>
      </c>
      <c r="B2060">
        <v>8637</v>
      </c>
      <c r="C2060" s="100">
        <v>46120</v>
      </c>
      <c r="D2060" t="s">
        <v>13</v>
      </c>
      <c r="E2060" t="s">
        <v>43</v>
      </c>
      <c r="F2060" t="s">
        <v>254</v>
      </c>
      <c r="G2060">
        <v>5230</v>
      </c>
      <c r="H2060">
        <v>60000</v>
      </c>
      <c r="I2060">
        <v>313800000</v>
      </c>
    </row>
    <row r="2061" spans="1:11" hidden="1" x14ac:dyDescent="0.25">
      <c r="A2061" s="210" t="s">
        <v>2016</v>
      </c>
      <c r="B2061">
        <v>8637</v>
      </c>
      <c r="C2061" s="100">
        <v>46083</v>
      </c>
      <c r="D2061" t="s">
        <v>692</v>
      </c>
      <c r="E2061" t="s">
        <v>54</v>
      </c>
      <c r="F2061" t="s">
        <v>1279</v>
      </c>
      <c r="G2061">
        <v>444</v>
      </c>
      <c r="H2061">
        <v>-33000</v>
      </c>
      <c r="I2061">
        <v>-14652000</v>
      </c>
    </row>
    <row r="2062" spans="1:11" hidden="1" x14ac:dyDescent="0.25">
      <c r="A2062" s="210" t="s">
        <v>1541</v>
      </c>
      <c r="B2062">
        <v>8636</v>
      </c>
      <c r="C2062" s="100">
        <v>46120</v>
      </c>
      <c r="D2062" t="s">
        <v>13</v>
      </c>
      <c r="E2062" t="s">
        <v>17</v>
      </c>
      <c r="F2062" t="s">
        <v>25</v>
      </c>
      <c r="G2062">
        <v>968</v>
      </c>
      <c r="H2062">
        <v>61000</v>
      </c>
      <c r="I2062">
        <v>59048000</v>
      </c>
      <c r="K2062" t="s">
        <v>231</v>
      </c>
    </row>
    <row r="2063" spans="1:11" hidden="1" x14ac:dyDescent="0.25">
      <c r="A2063" s="210" t="s">
        <v>1541</v>
      </c>
      <c r="B2063">
        <v>8636</v>
      </c>
      <c r="C2063" s="100">
        <v>46120</v>
      </c>
      <c r="D2063" t="s">
        <v>13</v>
      </c>
      <c r="E2063" t="s">
        <v>17</v>
      </c>
      <c r="F2063" t="s">
        <v>31</v>
      </c>
      <c r="G2063">
        <v>2024</v>
      </c>
      <c r="H2063">
        <v>61000</v>
      </c>
      <c r="I2063">
        <v>123464000</v>
      </c>
      <c r="K2063" t="s">
        <v>231</v>
      </c>
    </row>
    <row r="2064" spans="1:11" hidden="1" x14ac:dyDescent="0.25">
      <c r="A2064" s="210" t="s">
        <v>1541</v>
      </c>
      <c r="B2064">
        <v>8636</v>
      </c>
      <c r="C2064" s="100">
        <v>46120</v>
      </c>
      <c r="D2064" t="s">
        <v>13</v>
      </c>
      <c r="E2064" t="s">
        <v>17</v>
      </c>
      <c r="F2064" t="s">
        <v>891</v>
      </c>
      <c r="G2064">
        <v>557</v>
      </c>
      <c r="H2064">
        <v>61000</v>
      </c>
      <c r="I2064">
        <v>33977000</v>
      </c>
      <c r="K2064" t="s">
        <v>231</v>
      </c>
    </row>
    <row r="2065" spans="1:11" hidden="1" x14ac:dyDescent="0.25">
      <c r="A2065" s="210" t="s">
        <v>1541</v>
      </c>
      <c r="B2065">
        <v>8636</v>
      </c>
      <c r="C2065" s="100">
        <v>46120</v>
      </c>
      <c r="D2065" t="s">
        <v>13</v>
      </c>
      <c r="E2065" t="s">
        <v>17</v>
      </c>
      <c r="F2065" t="s">
        <v>892</v>
      </c>
      <c r="G2065">
        <v>1526</v>
      </c>
      <c r="H2065">
        <v>61000</v>
      </c>
      <c r="I2065">
        <v>93086000</v>
      </c>
      <c r="K2065" t="s">
        <v>231</v>
      </c>
    </row>
    <row r="2066" spans="1:11" hidden="1" x14ac:dyDescent="0.25">
      <c r="A2066" s="210" t="s">
        <v>1541</v>
      </c>
      <c r="B2066">
        <v>8636</v>
      </c>
      <c r="C2066" s="100">
        <v>46120</v>
      </c>
      <c r="D2066" t="s">
        <v>13</v>
      </c>
      <c r="E2066" t="s">
        <v>50</v>
      </c>
      <c r="F2066" t="s">
        <v>848</v>
      </c>
      <c r="G2066">
        <v>696</v>
      </c>
      <c r="H2066">
        <v>57000</v>
      </c>
      <c r="I2066">
        <v>39672000</v>
      </c>
    </row>
    <row r="2067" spans="1:11" hidden="1" x14ac:dyDescent="0.25">
      <c r="A2067" s="210" t="s">
        <v>1566</v>
      </c>
      <c r="B2067">
        <v>8635</v>
      </c>
      <c r="C2067" s="100">
        <v>46120</v>
      </c>
      <c r="D2067" t="s">
        <v>13</v>
      </c>
      <c r="E2067" t="s">
        <v>50</v>
      </c>
      <c r="F2067" t="s">
        <v>1213</v>
      </c>
      <c r="G2067">
        <v>474</v>
      </c>
      <c r="H2067">
        <v>61000</v>
      </c>
      <c r="I2067">
        <v>28914000</v>
      </c>
    </row>
    <row r="2068" spans="1:11" hidden="1" x14ac:dyDescent="0.25">
      <c r="A2068" s="210" t="s">
        <v>1518</v>
      </c>
      <c r="B2068">
        <v>8634</v>
      </c>
      <c r="C2068" s="100">
        <v>46120</v>
      </c>
      <c r="D2068" t="s">
        <v>13</v>
      </c>
      <c r="E2068" t="s">
        <v>109</v>
      </c>
      <c r="F2068" t="s">
        <v>151</v>
      </c>
      <c r="G2068">
        <v>360</v>
      </c>
      <c r="H2068">
        <v>59000</v>
      </c>
      <c r="I2068">
        <v>21240000</v>
      </c>
    </row>
    <row r="2069" spans="1:11" hidden="1" x14ac:dyDescent="0.25">
      <c r="A2069" s="210" t="s">
        <v>1518</v>
      </c>
      <c r="B2069">
        <v>8634</v>
      </c>
      <c r="C2069" s="100">
        <v>46120</v>
      </c>
      <c r="D2069" t="s">
        <v>13</v>
      </c>
      <c r="E2069" t="s">
        <v>109</v>
      </c>
      <c r="F2069" t="s">
        <v>73</v>
      </c>
      <c r="G2069">
        <v>322</v>
      </c>
      <c r="H2069">
        <v>59000</v>
      </c>
      <c r="I2069">
        <v>18998000</v>
      </c>
    </row>
    <row r="2070" spans="1:11" hidden="1" x14ac:dyDescent="0.25">
      <c r="A2070" s="210" t="s">
        <v>1518</v>
      </c>
      <c r="B2070">
        <v>8634</v>
      </c>
      <c r="C2070" s="100">
        <v>46120</v>
      </c>
      <c r="D2070" t="s">
        <v>13</v>
      </c>
      <c r="E2070" t="s">
        <v>43</v>
      </c>
      <c r="F2070" t="s">
        <v>444</v>
      </c>
      <c r="G2070">
        <v>1076</v>
      </c>
      <c r="H2070">
        <v>55000</v>
      </c>
      <c r="I2070">
        <v>59180000</v>
      </c>
    </row>
    <row r="2071" spans="1:11" hidden="1" x14ac:dyDescent="0.25">
      <c r="A2071" s="210" t="s">
        <v>1518</v>
      </c>
      <c r="B2071">
        <v>8634</v>
      </c>
      <c r="C2071" s="100">
        <v>46120</v>
      </c>
      <c r="D2071" t="s">
        <v>13</v>
      </c>
      <c r="E2071" t="s">
        <v>43</v>
      </c>
      <c r="F2071" t="s">
        <v>78</v>
      </c>
      <c r="G2071">
        <v>303</v>
      </c>
      <c r="H2071">
        <v>63000</v>
      </c>
      <c r="I2071">
        <v>19089000</v>
      </c>
    </row>
    <row r="2072" spans="1:11" hidden="1" x14ac:dyDescent="0.25">
      <c r="A2072" s="210" t="s">
        <v>1580</v>
      </c>
      <c r="B2072">
        <v>8633</v>
      </c>
      <c r="C2072" s="100">
        <v>46120</v>
      </c>
      <c r="D2072" t="s">
        <v>13</v>
      </c>
      <c r="E2072" t="s">
        <v>17</v>
      </c>
      <c r="F2072" t="s">
        <v>1001</v>
      </c>
      <c r="G2072">
        <v>1484</v>
      </c>
      <c r="H2072">
        <v>61000</v>
      </c>
      <c r="I2072">
        <v>90524000</v>
      </c>
      <c r="K2072" t="s">
        <v>231</v>
      </c>
    </row>
    <row r="2073" spans="1:11" hidden="1" x14ac:dyDescent="0.25">
      <c r="A2073" s="210" t="s">
        <v>1545</v>
      </c>
      <c r="B2073">
        <v>8632</v>
      </c>
      <c r="C2073" s="100">
        <v>46120</v>
      </c>
      <c r="D2073" t="s">
        <v>13</v>
      </c>
      <c r="E2073" t="s">
        <v>43</v>
      </c>
      <c r="F2073" t="s">
        <v>136</v>
      </c>
      <c r="G2073">
        <v>1586</v>
      </c>
      <c r="H2073">
        <v>61000</v>
      </c>
      <c r="I2073">
        <v>96746000</v>
      </c>
    </row>
    <row r="2074" spans="1:11" hidden="1" x14ac:dyDescent="0.25">
      <c r="A2074" s="210" t="s">
        <v>1545</v>
      </c>
      <c r="B2074">
        <v>8632</v>
      </c>
      <c r="C2074" s="100">
        <v>46120</v>
      </c>
      <c r="D2074" t="s">
        <v>13</v>
      </c>
      <c r="E2074" t="s">
        <v>43</v>
      </c>
      <c r="F2074" t="s">
        <v>904</v>
      </c>
      <c r="G2074">
        <v>299</v>
      </c>
      <c r="H2074">
        <v>57500</v>
      </c>
      <c r="I2074">
        <v>17192500</v>
      </c>
    </row>
    <row r="2075" spans="1:11" hidden="1" x14ac:dyDescent="0.25">
      <c r="A2075" s="210" t="s">
        <v>1545</v>
      </c>
      <c r="B2075">
        <v>8632</v>
      </c>
      <c r="C2075" s="100">
        <v>46120</v>
      </c>
      <c r="D2075" t="s">
        <v>13</v>
      </c>
      <c r="E2075" t="s">
        <v>14</v>
      </c>
      <c r="F2075" t="s">
        <v>146</v>
      </c>
      <c r="G2075">
        <v>1076</v>
      </c>
      <c r="H2075">
        <v>41500</v>
      </c>
      <c r="I2075">
        <v>44654000</v>
      </c>
    </row>
    <row r="2076" spans="1:11" hidden="1" x14ac:dyDescent="0.25">
      <c r="A2076" s="210" t="s">
        <v>1650</v>
      </c>
      <c r="B2076">
        <v>8631</v>
      </c>
      <c r="C2076" s="100">
        <v>46120</v>
      </c>
      <c r="D2076" t="s">
        <v>13</v>
      </c>
      <c r="E2076" t="s">
        <v>442</v>
      </c>
      <c r="F2076" t="s">
        <v>678</v>
      </c>
      <c r="G2076">
        <v>216</v>
      </c>
      <c r="H2076">
        <v>59000</v>
      </c>
      <c r="I2076">
        <v>12744000</v>
      </c>
    </row>
    <row r="2077" spans="1:11" hidden="1" x14ac:dyDescent="0.25">
      <c r="A2077" s="210" t="s">
        <v>1650</v>
      </c>
      <c r="B2077">
        <v>8631</v>
      </c>
      <c r="C2077" s="100">
        <v>46120</v>
      </c>
      <c r="D2077" t="s">
        <v>13</v>
      </c>
      <c r="E2077" t="s">
        <v>442</v>
      </c>
      <c r="F2077" t="s">
        <v>946</v>
      </c>
      <c r="G2077">
        <v>290</v>
      </c>
      <c r="H2077">
        <v>59000</v>
      </c>
      <c r="I2077">
        <v>17110000</v>
      </c>
    </row>
    <row r="2078" spans="1:11" hidden="1" x14ac:dyDescent="0.25">
      <c r="A2078" s="210" t="s">
        <v>1650</v>
      </c>
      <c r="B2078">
        <v>8631</v>
      </c>
      <c r="C2078" s="100">
        <v>46120</v>
      </c>
      <c r="D2078" t="s">
        <v>13</v>
      </c>
      <c r="E2078" t="s">
        <v>442</v>
      </c>
      <c r="F2078" t="s">
        <v>1046</v>
      </c>
      <c r="G2078">
        <v>358</v>
      </c>
      <c r="H2078">
        <v>59000</v>
      </c>
      <c r="I2078">
        <v>21122000</v>
      </c>
    </row>
    <row r="2079" spans="1:11" hidden="1" x14ac:dyDescent="0.25">
      <c r="A2079" s="210" t="s">
        <v>1485</v>
      </c>
      <c r="B2079">
        <v>8630</v>
      </c>
      <c r="C2079" s="100">
        <v>46120</v>
      </c>
      <c r="D2079" t="s">
        <v>13</v>
      </c>
      <c r="E2079" t="s">
        <v>109</v>
      </c>
      <c r="F2079" t="s">
        <v>202</v>
      </c>
      <c r="G2079">
        <v>2566</v>
      </c>
      <c r="H2079">
        <v>58000</v>
      </c>
      <c r="I2079">
        <v>148828000</v>
      </c>
    </row>
    <row r="2080" spans="1:11" hidden="1" x14ac:dyDescent="0.25">
      <c r="A2080" s="210" t="s">
        <v>1485</v>
      </c>
      <c r="B2080">
        <v>8630</v>
      </c>
      <c r="C2080" s="100">
        <v>46120</v>
      </c>
      <c r="D2080" t="s">
        <v>13</v>
      </c>
      <c r="E2080" t="s">
        <v>50</v>
      </c>
      <c r="F2080" t="s">
        <v>203</v>
      </c>
      <c r="G2080">
        <v>3524</v>
      </c>
      <c r="H2080">
        <v>56000</v>
      </c>
      <c r="I2080">
        <v>197344000</v>
      </c>
    </row>
    <row r="2081" spans="1:11" hidden="1" x14ac:dyDescent="0.25">
      <c r="A2081" s="210" t="s">
        <v>1641</v>
      </c>
      <c r="B2081">
        <v>8629</v>
      </c>
      <c r="C2081" s="100">
        <v>46120</v>
      </c>
      <c r="D2081" t="s">
        <v>13</v>
      </c>
      <c r="E2081" t="s">
        <v>43</v>
      </c>
      <c r="F2081" t="s">
        <v>248</v>
      </c>
      <c r="G2081">
        <v>2934</v>
      </c>
      <c r="H2081">
        <v>59000</v>
      </c>
      <c r="I2081">
        <v>173106000</v>
      </c>
    </row>
    <row r="2082" spans="1:11" hidden="1" x14ac:dyDescent="0.25">
      <c r="A2082" s="210" t="s">
        <v>1506</v>
      </c>
      <c r="B2082">
        <v>8628</v>
      </c>
      <c r="C2082" s="100">
        <v>46120</v>
      </c>
      <c r="D2082" t="s">
        <v>13</v>
      </c>
      <c r="E2082" t="s">
        <v>265</v>
      </c>
      <c r="F2082" t="s">
        <v>146</v>
      </c>
      <c r="G2082">
        <v>1678</v>
      </c>
      <c r="H2082">
        <v>63500</v>
      </c>
      <c r="I2082">
        <v>106553000</v>
      </c>
    </row>
    <row r="2083" spans="1:11" hidden="1" x14ac:dyDescent="0.25">
      <c r="A2083" s="210" t="s">
        <v>1506</v>
      </c>
      <c r="B2083">
        <v>8628</v>
      </c>
      <c r="C2083" s="100">
        <v>46120</v>
      </c>
      <c r="D2083" t="s">
        <v>13</v>
      </c>
      <c r="E2083" t="s">
        <v>265</v>
      </c>
      <c r="F2083" t="s">
        <v>136</v>
      </c>
      <c r="G2083">
        <v>644</v>
      </c>
      <c r="H2083">
        <v>64000</v>
      </c>
      <c r="I2083">
        <v>41216000</v>
      </c>
    </row>
    <row r="2084" spans="1:11" hidden="1" x14ac:dyDescent="0.25">
      <c r="A2084" s="210" t="s">
        <v>1506</v>
      </c>
      <c r="B2084">
        <v>8628</v>
      </c>
      <c r="C2084" s="100">
        <v>46120</v>
      </c>
      <c r="D2084" t="s">
        <v>13</v>
      </c>
      <c r="E2084" t="s">
        <v>265</v>
      </c>
      <c r="F2084" t="s">
        <v>363</v>
      </c>
      <c r="G2084">
        <v>634</v>
      </c>
      <c r="H2084">
        <v>64000</v>
      </c>
      <c r="I2084">
        <v>40576000</v>
      </c>
    </row>
    <row r="2085" spans="1:11" hidden="1" x14ac:dyDescent="0.25">
      <c r="A2085" s="210" t="s">
        <v>1506</v>
      </c>
      <c r="B2085">
        <v>8628</v>
      </c>
      <c r="C2085" s="100">
        <v>46120</v>
      </c>
      <c r="D2085" t="s">
        <v>13</v>
      </c>
      <c r="E2085" t="s">
        <v>361</v>
      </c>
      <c r="F2085" t="s">
        <v>364</v>
      </c>
      <c r="G2085">
        <v>186</v>
      </c>
      <c r="H2085">
        <v>122000</v>
      </c>
      <c r="I2085">
        <v>22692000</v>
      </c>
    </row>
    <row r="2086" spans="1:11" hidden="1" x14ac:dyDescent="0.25">
      <c r="A2086" s="210" t="s">
        <v>1643</v>
      </c>
      <c r="B2086">
        <v>8627</v>
      </c>
      <c r="C2086" s="100">
        <v>46120</v>
      </c>
      <c r="D2086" t="s">
        <v>49</v>
      </c>
      <c r="E2086" t="s">
        <v>45</v>
      </c>
      <c r="F2086" t="s">
        <v>215</v>
      </c>
      <c r="G2086">
        <v>966</v>
      </c>
      <c r="I2086">
        <v>0</v>
      </c>
      <c r="K2086" t="s">
        <v>1037</v>
      </c>
    </row>
    <row r="2087" spans="1:11" hidden="1" x14ac:dyDescent="0.25">
      <c r="A2087" s="210" t="s">
        <v>1727</v>
      </c>
      <c r="B2087">
        <v>8626</v>
      </c>
      <c r="C2087" s="100">
        <v>46120</v>
      </c>
      <c r="D2087" t="s">
        <v>13</v>
      </c>
      <c r="E2087" t="s">
        <v>26</v>
      </c>
      <c r="F2087" t="s">
        <v>200</v>
      </c>
      <c r="G2087">
        <v>694</v>
      </c>
      <c r="H2087">
        <v>35000</v>
      </c>
      <c r="I2087">
        <v>24290000</v>
      </c>
    </row>
    <row r="2088" spans="1:11" hidden="1" x14ac:dyDescent="0.25">
      <c r="A2088" s="210" t="s">
        <v>1504</v>
      </c>
      <c r="B2088">
        <v>8625</v>
      </c>
      <c r="C2088" s="100">
        <v>46120</v>
      </c>
      <c r="D2088" t="s">
        <v>13</v>
      </c>
      <c r="E2088" t="s">
        <v>317</v>
      </c>
      <c r="F2088" t="s">
        <v>342</v>
      </c>
      <c r="G2088">
        <v>188</v>
      </c>
      <c r="H2088">
        <v>65000</v>
      </c>
      <c r="I2088">
        <v>12220000</v>
      </c>
    </row>
    <row r="2089" spans="1:11" hidden="1" x14ac:dyDescent="0.25">
      <c r="A2089" s="210" t="s">
        <v>1504</v>
      </c>
      <c r="B2089">
        <v>8625</v>
      </c>
      <c r="C2089" s="100">
        <v>46120</v>
      </c>
      <c r="D2089" t="s">
        <v>13</v>
      </c>
      <c r="E2089" t="s">
        <v>317</v>
      </c>
      <c r="F2089" t="s">
        <v>343</v>
      </c>
      <c r="G2089">
        <v>92</v>
      </c>
      <c r="H2089">
        <v>65000</v>
      </c>
      <c r="I2089">
        <v>5980000</v>
      </c>
    </row>
    <row r="2090" spans="1:11" hidden="1" x14ac:dyDescent="0.25">
      <c r="A2090" s="210" t="s">
        <v>1524</v>
      </c>
      <c r="B2090">
        <v>8624</v>
      </c>
      <c r="C2090" s="100">
        <v>46120</v>
      </c>
      <c r="D2090" t="s">
        <v>49</v>
      </c>
      <c r="E2090" t="s">
        <v>17</v>
      </c>
      <c r="F2090" t="s">
        <v>482</v>
      </c>
      <c r="G2090">
        <v>1534</v>
      </c>
      <c r="I2090">
        <v>0</v>
      </c>
      <c r="K2090" t="s">
        <v>591</v>
      </c>
    </row>
    <row r="2091" spans="1:11" hidden="1" x14ac:dyDescent="0.25">
      <c r="A2091" s="210" t="s">
        <v>1489</v>
      </c>
      <c r="B2091">
        <v>8623</v>
      </c>
      <c r="C2091" s="100">
        <v>46120</v>
      </c>
      <c r="D2091" t="s">
        <v>13</v>
      </c>
      <c r="E2091" t="s">
        <v>32</v>
      </c>
      <c r="F2091" t="s">
        <v>230</v>
      </c>
      <c r="G2091">
        <v>350</v>
      </c>
      <c r="H2091">
        <v>42000</v>
      </c>
      <c r="I2091">
        <v>14700000</v>
      </c>
      <c r="K2091" t="s">
        <v>231</v>
      </c>
    </row>
    <row r="2092" spans="1:11" hidden="1" x14ac:dyDescent="0.25">
      <c r="A2092" s="210" t="s">
        <v>1532</v>
      </c>
      <c r="B2092">
        <v>8622</v>
      </c>
      <c r="C2092" s="100">
        <v>46120</v>
      </c>
      <c r="D2092" t="s">
        <v>13</v>
      </c>
      <c r="E2092" t="s">
        <v>787</v>
      </c>
      <c r="F2092" t="s">
        <v>747</v>
      </c>
      <c r="G2092">
        <v>400</v>
      </c>
      <c r="H2092">
        <v>32000</v>
      </c>
      <c r="I2092">
        <v>12800000</v>
      </c>
    </row>
    <row r="2093" spans="1:11" hidden="1" x14ac:dyDescent="0.25">
      <c r="A2093" s="210" t="s">
        <v>1534</v>
      </c>
      <c r="B2093">
        <v>8621</v>
      </c>
      <c r="C2093" s="100">
        <v>46120</v>
      </c>
      <c r="D2093" t="s">
        <v>13</v>
      </c>
      <c r="E2093" t="s">
        <v>729</v>
      </c>
      <c r="F2093" t="s">
        <v>827</v>
      </c>
      <c r="G2093">
        <v>933</v>
      </c>
      <c r="H2093">
        <v>30000</v>
      </c>
      <c r="I2093">
        <v>27990000</v>
      </c>
    </row>
    <row r="2094" spans="1:11" hidden="1" x14ac:dyDescent="0.25">
      <c r="A2094" s="210" t="s">
        <v>1534</v>
      </c>
      <c r="B2094">
        <v>8621</v>
      </c>
      <c r="C2094" s="100">
        <v>46120</v>
      </c>
      <c r="D2094" t="s">
        <v>13</v>
      </c>
      <c r="E2094" t="s">
        <v>729</v>
      </c>
      <c r="F2094" t="s">
        <v>828</v>
      </c>
      <c r="G2094">
        <v>1805</v>
      </c>
      <c r="H2094">
        <v>30000</v>
      </c>
      <c r="I2094">
        <v>54150000</v>
      </c>
    </row>
    <row r="2095" spans="1:11" hidden="1" x14ac:dyDescent="0.25">
      <c r="A2095" s="210" t="s">
        <v>1692</v>
      </c>
      <c r="B2095">
        <v>8620</v>
      </c>
      <c r="C2095" s="100">
        <v>46120</v>
      </c>
      <c r="D2095" t="s">
        <v>13</v>
      </c>
      <c r="E2095" t="s">
        <v>17</v>
      </c>
      <c r="F2095" t="s">
        <v>78</v>
      </c>
      <c r="G2095">
        <v>6013</v>
      </c>
      <c r="H2095">
        <v>66500</v>
      </c>
      <c r="I2095">
        <v>399864500</v>
      </c>
    </row>
    <row r="2096" spans="1:11" hidden="1" x14ac:dyDescent="0.25">
      <c r="A2096" s="210" t="s">
        <v>1587</v>
      </c>
      <c r="B2096">
        <v>8619</v>
      </c>
      <c r="C2096" s="100">
        <v>46119</v>
      </c>
      <c r="D2096" t="s">
        <v>13</v>
      </c>
      <c r="E2096" t="s">
        <v>17</v>
      </c>
      <c r="F2096" t="s">
        <v>40</v>
      </c>
      <c r="G2096">
        <v>4980</v>
      </c>
      <c r="H2096">
        <v>0</v>
      </c>
      <c r="I2096">
        <v>0</v>
      </c>
    </row>
    <row r="2097" spans="1:11" hidden="1" x14ac:dyDescent="0.25">
      <c r="A2097" s="210" t="s">
        <v>1511</v>
      </c>
      <c r="B2097">
        <v>8618</v>
      </c>
      <c r="C2097" s="100">
        <v>46119</v>
      </c>
      <c r="D2097" t="s">
        <v>13</v>
      </c>
      <c r="E2097" t="s">
        <v>26</v>
      </c>
      <c r="F2097" t="s">
        <v>41</v>
      </c>
      <c r="G2097">
        <v>74</v>
      </c>
      <c r="H2097">
        <v>38000</v>
      </c>
      <c r="I2097">
        <v>2812000</v>
      </c>
      <c r="J2097">
        <v>2812000</v>
      </c>
    </row>
    <row r="2098" spans="1:11" hidden="1" x14ac:dyDescent="0.25">
      <c r="A2098" s="210" t="s">
        <v>1685</v>
      </c>
      <c r="B2098">
        <v>8617</v>
      </c>
      <c r="C2098" s="100">
        <v>46119</v>
      </c>
      <c r="D2098" t="s">
        <v>13</v>
      </c>
      <c r="E2098" t="s">
        <v>26</v>
      </c>
      <c r="F2098" t="s">
        <v>62</v>
      </c>
      <c r="G2098">
        <v>1080</v>
      </c>
      <c r="H2098">
        <v>35000</v>
      </c>
      <c r="I2098">
        <v>37800000</v>
      </c>
    </row>
    <row r="2099" spans="1:11" hidden="1" x14ac:dyDescent="0.25">
      <c r="A2099" s="210" t="s">
        <v>1685</v>
      </c>
      <c r="B2099">
        <v>8617</v>
      </c>
      <c r="C2099" s="100">
        <v>46119</v>
      </c>
      <c r="D2099" t="s">
        <v>13</v>
      </c>
      <c r="E2099" t="s">
        <v>26</v>
      </c>
      <c r="F2099" t="s">
        <v>40</v>
      </c>
      <c r="G2099">
        <v>276</v>
      </c>
      <c r="H2099">
        <v>36000</v>
      </c>
      <c r="I2099">
        <v>9936000</v>
      </c>
      <c r="J2099">
        <v>57</v>
      </c>
    </row>
    <row r="2100" spans="1:11" hidden="1" x14ac:dyDescent="0.25">
      <c r="A2100" s="210" t="s">
        <v>1511</v>
      </c>
      <c r="B2100">
        <v>8616</v>
      </c>
      <c r="C2100" s="100">
        <v>46119</v>
      </c>
      <c r="D2100" t="s">
        <v>13</v>
      </c>
      <c r="E2100" t="s">
        <v>50</v>
      </c>
      <c r="F2100" t="s">
        <v>401</v>
      </c>
      <c r="G2100">
        <v>59</v>
      </c>
      <c r="H2100">
        <v>65000</v>
      </c>
      <c r="I2100">
        <v>3835000</v>
      </c>
      <c r="J2100">
        <v>3835000</v>
      </c>
      <c r="K2100" t="s">
        <v>402</v>
      </c>
    </row>
    <row r="2101" spans="1:11" hidden="1" x14ac:dyDescent="0.25">
      <c r="A2101" s="210" t="s">
        <v>1525</v>
      </c>
      <c r="B2101">
        <v>8615</v>
      </c>
      <c r="C2101" s="100">
        <v>46119</v>
      </c>
      <c r="D2101" t="s">
        <v>13</v>
      </c>
      <c r="E2101" t="s">
        <v>17</v>
      </c>
      <c r="F2101" t="s">
        <v>41</v>
      </c>
      <c r="G2101">
        <v>763</v>
      </c>
      <c r="H2101">
        <v>61000</v>
      </c>
      <c r="I2101">
        <v>46543000</v>
      </c>
    </row>
    <row r="2102" spans="1:11" hidden="1" x14ac:dyDescent="0.25">
      <c r="A2102" s="210" t="s">
        <v>1608</v>
      </c>
      <c r="B2102">
        <v>8614</v>
      </c>
      <c r="C2102" s="100">
        <v>46119</v>
      </c>
      <c r="D2102" t="s">
        <v>13</v>
      </c>
      <c r="E2102" t="s">
        <v>195</v>
      </c>
      <c r="F2102" t="s">
        <v>1138</v>
      </c>
      <c r="G2102">
        <v>3798</v>
      </c>
      <c r="H2102">
        <v>20000</v>
      </c>
      <c r="I2102">
        <v>75960000</v>
      </c>
      <c r="K2102" t="s">
        <v>128</v>
      </c>
    </row>
    <row r="2103" spans="1:11" hidden="1" x14ac:dyDescent="0.25">
      <c r="A2103" s="210" t="s">
        <v>1608</v>
      </c>
      <c r="B2103">
        <v>8614</v>
      </c>
      <c r="C2103" s="100">
        <v>46119</v>
      </c>
      <c r="D2103" t="s">
        <v>13</v>
      </c>
      <c r="E2103" t="s">
        <v>103</v>
      </c>
      <c r="F2103" t="s">
        <v>122</v>
      </c>
      <c r="G2103">
        <v>1918</v>
      </c>
      <c r="H2103">
        <v>37000</v>
      </c>
      <c r="I2103">
        <v>70966000</v>
      </c>
    </row>
    <row r="2104" spans="1:11" hidden="1" x14ac:dyDescent="0.25">
      <c r="A2104" s="210" t="s">
        <v>1541</v>
      </c>
      <c r="B2104">
        <v>8613</v>
      </c>
      <c r="C2104" s="100">
        <v>46119</v>
      </c>
      <c r="D2104" t="s">
        <v>13</v>
      </c>
      <c r="E2104" t="s">
        <v>50</v>
      </c>
      <c r="F2104" t="s">
        <v>890</v>
      </c>
      <c r="G2104">
        <v>288</v>
      </c>
      <c r="H2104">
        <v>57000</v>
      </c>
      <c r="I2104">
        <v>16416000</v>
      </c>
    </row>
    <row r="2105" spans="1:11" hidden="1" x14ac:dyDescent="0.25">
      <c r="A2105" s="210" t="s">
        <v>1541</v>
      </c>
      <c r="B2105">
        <v>8613</v>
      </c>
      <c r="C2105" s="100">
        <v>46119</v>
      </c>
      <c r="D2105" t="s">
        <v>13</v>
      </c>
      <c r="E2105" t="s">
        <v>103</v>
      </c>
      <c r="F2105" t="s">
        <v>221</v>
      </c>
      <c r="G2105">
        <v>308</v>
      </c>
      <c r="H2105">
        <v>38000</v>
      </c>
      <c r="I2105">
        <v>11704000</v>
      </c>
    </row>
    <row r="2106" spans="1:11" hidden="1" x14ac:dyDescent="0.25">
      <c r="A2106" s="210" t="s">
        <v>1541</v>
      </c>
      <c r="B2106">
        <v>8613</v>
      </c>
      <c r="C2106" s="100">
        <v>46119</v>
      </c>
      <c r="D2106" t="s">
        <v>13</v>
      </c>
      <c r="E2106" t="s">
        <v>103</v>
      </c>
      <c r="F2106" t="s">
        <v>185</v>
      </c>
      <c r="G2106">
        <v>144</v>
      </c>
      <c r="H2106">
        <v>38000</v>
      </c>
      <c r="I2106">
        <v>5472000</v>
      </c>
    </row>
    <row r="2107" spans="1:11" hidden="1" x14ac:dyDescent="0.25">
      <c r="A2107" s="210" t="s">
        <v>1613</v>
      </c>
      <c r="B2107">
        <v>8612</v>
      </c>
      <c r="C2107" s="100">
        <v>46119</v>
      </c>
      <c r="D2107" t="s">
        <v>13</v>
      </c>
      <c r="E2107" t="s">
        <v>265</v>
      </c>
      <c r="F2107" t="s">
        <v>41</v>
      </c>
      <c r="G2107">
        <v>5110</v>
      </c>
      <c r="H2107">
        <v>65000</v>
      </c>
      <c r="I2107">
        <v>332150000</v>
      </c>
    </row>
    <row r="2108" spans="1:11" hidden="1" x14ac:dyDescent="0.25">
      <c r="A2108" s="210" t="s">
        <v>1727</v>
      </c>
      <c r="B2108">
        <v>8611</v>
      </c>
      <c r="C2108" s="100">
        <v>46119</v>
      </c>
      <c r="D2108" t="s">
        <v>13</v>
      </c>
      <c r="E2108" t="s">
        <v>43</v>
      </c>
      <c r="F2108" t="s">
        <v>1225</v>
      </c>
      <c r="G2108">
        <v>488</v>
      </c>
      <c r="H2108">
        <v>58000</v>
      </c>
      <c r="I2108">
        <v>28304000</v>
      </c>
    </row>
    <row r="2109" spans="1:11" hidden="1" x14ac:dyDescent="0.25">
      <c r="A2109" s="210" t="s">
        <v>1727</v>
      </c>
      <c r="B2109">
        <v>8611</v>
      </c>
      <c r="C2109" s="100">
        <v>46119</v>
      </c>
      <c r="D2109" t="s">
        <v>13</v>
      </c>
      <c r="E2109" t="s">
        <v>43</v>
      </c>
      <c r="F2109" t="s">
        <v>44</v>
      </c>
      <c r="G2109">
        <v>510</v>
      </c>
      <c r="H2109">
        <v>58000</v>
      </c>
      <c r="I2109">
        <v>29580000</v>
      </c>
    </row>
    <row r="2110" spans="1:11" hidden="1" x14ac:dyDescent="0.25">
      <c r="A2110" s="210" t="s">
        <v>1727</v>
      </c>
      <c r="B2110">
        <v>8611</v>
      </c>
      <c r="C2110" s="100">
        <v>46119</v>
      </c>
      <c r="D2110" t="s">
        <v>13</v>
      </c>
      <c r="E2110" t="s">
        <v>43</v>
      </c>
      <c r="F2110" t="s">
        <v>248</v>
      </c>
      <c r="G2110">
        <v>2269</v>
      </c>
      <c r="H2110">
        <v>58000</v>
      </c>
      <c r="I2110">
        <v>131602000</v>
      </c>
    </row>
    <row r="2111" spans="1:11" hidden="1" x14ac:dyDescent="0.25">
      <c r="A2111" s="210" t="s">
        <v>1547</v>
      </c>
      <c r="B2111">
        <v>8610</v>
      </c>
      <c r="C2111" s="100">
        <v>46119</v>
      </c>
      <c r="D2111" t="s">
        <v>13</v>
      </c>
      <c r="E2111" t="s">
        <v>43</v>
      </c>
      <c r="F2111" t="s">
        <v>283</v>
      </c>
      <c r="G2111">
        <v>3046</v>
      </c>
      <c r="H2111">
        <v>57000</v>
      </c>
      <c r="I2111">
        <v>173622000</v>
      </c>
    </row>
    <row r="2112" spans="1:11" hidden="1" x14ac:dyDescent="0.25">
      <c r="A2112" s="210" t="s">
        <v>1511</v>
      </c>
      <c r="B2112">
        <v>8608</v>
      </c>
      <c r="C2112" s="100">
        <v>46119</v>
      </c>
      <c r="D2112" t="s">
        <v>13</v>
      </c>
      <c r="E2112" t="s">
        <v>277</v>
      </c>
      <c r="F2112" t="s">
        <v>400</v>
      </c>
      <c r="G2112">
        <v>4</v>
      </c>
      <c r="H2112">
        <v>60000</v>
      </c>
      <c r="I2112">
        <v>240000</v>
      </c>
      <c r="J2112">
        <v>240000</v>
      </c>
    </row>
    <row r="2113" spans="1:11" hidden="1" x14ac:dyDescent="0.25">
      <c r="A2113" s="210" t="s">
        <v>1524</v>
      </c>
      <c r="B2113">
        <v>8607</v>
      </c>
      <c r="C2113" s="100">
        <v>46119</v>
      </c>
      <c r="D2113" t="s">
        <v>49</v>
      </c>
      <c r="E2113" t="s">
        <v>43</v>
      </c>
      <c r="F2113" t="s">
        <v>134</v>
      </c>
      <c r="G2113">
        <v>5040</v>
      </c>
      <c r="I2113">
        <v>0</v>
      </c>
      <c r="K2113" t="s">
        <v>584</v>
      </c>
    </row>
    <row r="2114" spans="1:11" hidden="1" x14ac:dyDescent="0.25">
      <c r="A2114" s="210" t="s">
        <v>1532</v>
      </c>
      <c r="B2114">
        <v>8605</v>
      </c>
      <c r="C2114" s="100">
        <v>46119</v>
      </c>
      <c r="D2114" t="s">
        <v>49</v>
      </c>
      <c r="E2114" t="s">
        <v>26</v>
      </c>
      <c r="F2114" t="s">
        <v>782</v>
      </c>
      <c r="G2114">
        <v>2473</v>
      </c>
      <c r="I2114">
        <v>0</v>
      </c>
      <c r="K2114" t="s">
        <v>783</v>
      </c>
    </row>
    <row r="2115" spans="1:11" hidden="1" x14ac:dyDescent="0.25">
      <c r="A2115" s="210" t="s">
        <v>1532</v>
      </c>
      <c r="B2115">
        <v>8605</v>
      </c>
      <c r="C2115" s="100">
        <v>46119</v>
      </c>
      <c r="D2115" t="s">
        <v>49</v>
      </c>
      <c r="E2115" t="s">
        <v>26</v>
      </c>
      <c r="F2115" t="s">
        <v>782</v>
      </c>
      <c r="G2115">
        <v>2251</v>
      </c>
      <c r="I2115">
        <v>0</v>
      </c>
      <c r="K2115" t="s">
        <v>784</v>
      </c>
    </row>
    <row r="2116" spans="1:11" hidden="1" x14ac:dyDescent="0.25">
      <c r="A2116" s="210" t="s">
        <v>1532</v>
      </c>
      <c r="B2116">
        <v>8605</v>
      </c>
      <c r="C2116" s="100">
        <v>46119</v>
      </c>
      <c r="D2116" t="s">
        <v>49</v>
      </c>
      <c r="E2116" t="s">
        <v>26</v>
      </c>
      <c r="F2116" t="s">
        <v>785</v>
      </c>
      <c r="G2116">
        <v>3319</v>
      </c>
      <c r="I2116">
        <v>0</v>
      </c>
      <c r="K2116" t="s">
        <v>786</v>
      </c>
    </row>
    <row r="2117" spans="1:11" hidden="1" x14ac:dyDescent="0.25">
      <c r="A2117" s="210" t="s">
        <v>1509</v>
      </c>
      <c r="B2117">
        <v>8604</v>
      </c>
      <c r="C2117" s="100">
        <v>46119</v>
      </c>
      <c r="D2117" t="s">
        <v>13</v>
      </c>
      <c r="E2117" t="s">
        <v>150</v>
      </c>
      <c r="F2117" t="s">
        <v>372</v>
      </c>
      <c r="G2117">
        <v>1548</v>
      </c>
      <c r="H2117">
        <v>37500</v>
      </c>
      <c r="I2117">
        <v>58050000</v>
      </c>
    </row>
    <row r="2118" spans="1:11" hidden="1" x14ac:dyDescent="0.25">
      <c r="A2118" s="210" t="s">
        <v>1493</v>
      </c>
      <c r="B2118">
        <v>8602</v>
      </c>
      <c r="C2118" s="100">
        <v>46119</v>
      </c>
      <c r="D2118" t="s">
        <v>13</v>
      </c>
      <c r="E2118" t="s">
        <v>150</v>
      </c>
      <c r="F2118" t="s">
        <v>275</v>
      </c>
      <c r="G2118">
        <v>164</v>
      </c>
      <c r="H2118">
        <v>35000</v>
      </c>
      <c r="I2118">
        <v>5740000</v>
      </c>
    </row>
    <row r="2119" spans="1:11" hidden="1" x14ac:dyDescent="0.25">
      <c r="A2119" s="210" t="s">
        <v>1493</v>
      </c>
      <c r="B2119">
        <v>8602</v>
      </c>
      <c r="C2119" s="100">
        <v>46119</v>
      </c>
      <c r="D2119" t="s">
        <v>13</v>
      </c>
      <c r="E2119" t="s">
        <v>75</v>
      </c>
      <c r="F2119" t="s">
        <v>276</v>
      </c>
      <c r="G2119">
        <v>946</v>
      </c>
      <c r="H2119">
        <v>38000</v>
      </c>
      <c r="I2119">
        <v>35948000</v>
      </c>
    </row>
    <row r="2120" spans="1:11" hidden="1" x14ac:dyDescent="0.25">
      <c r="A2120" s="210" t="s">
        <v>1479</v>
      </c>
      <c r="B2120">
        <v>8601</v>
      </c>
      <c r="C2120" s="100">
        <v>46119</v>
      </c>
      <c r="D2120" t="s">
        <v>13</v>
      </c>
      <c r="E2120" t="s">
        <v>26</v>
      </c>
      <c r="F2120" t="s">
        <v>146</v>
      </c>
      <c r="G2120">
        <v>1448</v>
      </c>
      <c r="H2120">
        <v>35000</v>
      </c>
      <c r="I2120">
        <v>50680000</v>
      </c>
    </row>
    <row r="2121" spans="1:11" hidden="1" x14ac:dyDescent="0.25">
      <c r="A2121" s="210" t="s">
        <v>1479</v>
      </c>
      <c r="B2121">
        <v>8601</v>
      </c>
      <c r="C2121" s="100">
        <v>46119</v>
      </c>
      <c r="D2121" t="s">
        <v>13</v>
      </c>
      <c r="E2121" t="s">
        <v>135</v>
      </c>
      <c r="F2121" t="s">
        <v>148</v>
      </c>
      <c r="G2121">
        <v>2035</v>
      </c>
      <c r="H2121">
        <v>37500</v>
      </c>
      <c r="I2121">
        <v>76312500</v>
      </c>
      <c r="K2121" t="s">
        <v>184</v>
      </c>
    </row>
    <row r="2122" spans="1:11" hidden="1" x14ac:dyDescent="0.25">
      <c r="A2122" s="210" t="s">
        <v>1479</v>
      </c>
      <c r="B2122">
        <v>8601</v>
      </c>
      <c r="C2122" s="100">
        <v>46119</v>
      </c>
      <c r="D2122" t="s">
        <v>13</v>
      </c>
      <c r="E2122" t="s">
        <v>43</v>
      </c>
      <c r="F2122" t="s">
        <v>148</v>
      </c>
      <c r="G2122">
        <v>2070</v>
      </c>
      <c r="H2122">
        <v>60000</v>
      </c>
      <c r="I2122">
        <v>124200000</v>
      </c>
    </row>
    <row r="2123" spans="1:11" hidden="1" x14ac:dyDescent="0.25">
      <c r="A2123" s="210" t="s">
        <v>1479</v>
      </c>
      <c r="B2123">
        <v>8601</v>
      </c>
      <c r="C2123" s="100">
        <v>46119</v>
      </c>
      <c r="D2123" t="s">
        <v>13</v>
      </c>
      <c r="E2123" t="s">
        <v>43</v>
      </c>
      <c r="F2123" t="s">
        <v>185</v>
      </c>
      <c r="G2123">
        <v>1452</v>
      </c>
      <c r="H2123">
        <v>60500</v>
      </c>
      <c r="I2123">
        <v>87846000</v>
      </c>
      <c r="K2123" t="s">
        <v>186</v>
      </c>
    </row>
    <row r="2124" spans="1:11" hidden="1" x14ac:dyDescent="0.25">
      <c r="A2124" s="210" t="s">
        <v>1524</v>
      </c>
      <c r="B2124">
        <v>8600</v>
      </c>
      <c r="C2124" s="100">
        <v>46119</v>
      </c>
      <c r="D2124" t="s">
        <v>49</v>
      </c>
      <c r="E2124" t="s">
        <v>135</v>
      </c>
      <c r="F2124" t="s">
        <v>62</v>
      </c>
      <c r="G2124">
        <v>5098</v>
      </c>
      <c r="I2124">
        <v>0</v>
      </c>
      <c r="K2124" t="s">
        <v>589</v>
      </c>
    </row>
    <row r="2125" spans="1:11" hidden="1" x14ac:dyDescent="0.25">
      <c r="A2125" s="210" t="s">
        <v>1524</v>
      </c>
      <c r="B2125">
        <v>8600</v>
      </c>
      <c r="C2125" s="100">
        <v>46119</v>
      </c>
      <c r="D2125" t="s">
        <v>49</v>
      </c>
      <c r="E2125" t="s">
        <v>17</v>
      </c>
      <c r="F2125" t="s">
        <v>482</v>
      </c>
      <c r="G2125">
        <v>1570</v>
      </c>
      <c r="I2125">
        <v>0</v>
      </c>
      <c r="K2125" t="s">
        <v>590</v>
      </c>
    </row>
    <row r="2126" spans="1:11" hidden="1" x14ac:dyDescent="0.25">
      <c r="A2126" s="210" t="s">
        <v>1572</v>
      </c>
      <c r="B2126">
        <v>8599</v>
      </c>
      <c r="C2126" s="100">
        <v>46119</v>
      </c>
      <c r="D2126" t="s">
        <v>13</v>
      </c>
      <c r="E2126" t="s">
        <v>854</v>
      </c>
      <c r="F2126" t="s">
        <v>117</v>
      </c>
      <c r="G2126">
        <v>8755</v>
      </c>
      <c r="H2126">
        <v>41200</v>
      </c>
      <c r="I2126">
        <v>360706000</v>
      </c>
    </row>
    <row r="2127" spans="1:11" hidden="1" x14ac:dyDescent="0.25">
      <c r="A2127" s="210" t="s">
        <v>1597</v>
      </c>
      <c r="B2127">
        <v>8598</v>
      </c>
      <c r="C2127" s="100">
        <v>46119</v>
      </c>
      <c r="D2127" t="s">
        <v>13</v>
      </c>
      <c r="E2127" t="s">
        <v>1096</v>
      </c>
      <c r="F2127" t="s">
        <v>119</v>
      </c>
      <c r="G2127">
        <v>126</v>
      </c>
      <c r="H2127">
        <v>40000</v>
      </c>
      <c r="I2127">
        <v>5040000</v>
      </c>
    </row>
    <row r="2128" spans="1:11" hidden="1" x14ac:dyDescent="0.25">
      <c r="A2128" s="210" t="s">
        <v>1597</v>
      </c>
      <c r="B2128">
        <v>8598</v>
      </c>
      <c r="C2128" s="100">
        <v>46119</v>
      </c>
      <c r="D2128" t="s">
        <v>13</v>
      </c>
      <c r="E2128" t="s">
        <v>1097</v>
      </c>
      <c r="F2128" t="s">
        <v>120</v>
      </c>
      <c r="G2128">
        <v>302</v>
      </c>
      <c r="H2128">
        <v>60000</v>
      </c>
      <c r="I2128">
        <v>18120000</v>
      </c>
    </row>
    <row r="2129" spans="1:11" hidden="1" x14ac:dyDescent="0.25">
      <c r="A2129" s="210" t="s">
        <v>1524</v>
      </c>
      <c r="B2129">
        <v>8597</v>
      </c>
      <c r="C2129" s="100">
        <v>46119</v>
      </c>
      <c r="D2129" t="s">
        <v>49</v>
      </c>
      <c r="E2129" t="s">
        <v>43</v>
      </c>
      <c r="F2129" t="s">
        <v>146</v>
      </c>
      <c r="G2129">
        <v>5396</v>
      </c>
      <c r="I2129">
        <v>0</v>
      </c>
      <c r="K2129" t="s">
        <v>588</v>
      </c>
    </row>
    <row r="2130" spans="1:11" hidden="1" x14ac:dyDescent="0.25">
      <c r="A2130" s="210" t="s">
        <v>1696</v>
      </c>
      <c r="B2130">
        <v>8596</v>
      </c>
      <c r="C2130" s="100">
        <v>46118</v>
      </c>
      <c r="D2130" t="s">
        <v>13</v>
      </c>
      <c r="E2130" t="s">
        <v>50</v>
      </c>
      <c r="F2130" t="s">
        <v>1395</v>
      </c>
      <c r="G2130">
        <v>140</v>
      </c>
      <c r="H2130">
        <v>62000</v>
      </c>
      <c r="I2130">
        <v>8680000</v>
      </c>
    </row>
    <row r="2131" spans="1:11" hidden="1" x14ac:dyDescent="0.25">
      <c r="A2131" s="210" t="s">
        <v>1696</v>
      </c>
      <c r="B2131">
        <v>8596</v>
      </c>
      <c r="C2131" s="100">
        <v>46118</v>
      </c>
      <c r="D2131" t="s">
        <v>13</v>
      </c>
      <c r="E2131" t="s">
        <v>50</v>
      </c>
      <c r="F2131" t="s">
        <v>1127</v>
      </c>
      <c r="G2131">
        <v>122</v>
      </c>
      <c r="H2131">
        <v>61000</v>
      </c>
      <c r="I2131">
        <v>7442000</v>
      </c>
    </row>
    <row r="2132" spans="1:11" hidden="1" x14ac:dyDescent="0.25">
      <c r="A2132" s="210" t="s">
        <v>1716</v>
      </c>
      <c r="B2132">
        <v>8595</v>
      </c>
      <c r="C2132" s="100">
        <v>46118</v>
      </c>
      <c r="D2132" t="s">
        <v>13</v>
      </c>
      <c r="E2132" t="s">
        <v>1456</v>
      </c>
      <c r="F2132" t="s">
        <v>65</v>
      </c>
      <c r="G2132">
        <v>698</v>
      </c>
      <c r="H2132">
        <v>63000</v>
      </c>
      <c r="I2132">
        <v>43974000</v>
      </c>
      <c r="K2132" t="s">
        <v>42</v>
      </c>
    </row>
    <row r="2133" spans="1:11" hidden="1" x14ac:dyDescent="0.25">
      <c r="A2133" s="210" t="s">
        <v>1716</v>
      </c>
      <c r="B2133">
        <v>8595</v>
      </c>
      <c r="C2133" s="100">
        <v>46118</v>
      </c>
      <c r="D2133" t="s">
        <v>166</v>
      </c>
      <c r="E2133" t="s">
        <v>1456</v>
      </c>
      <c r="F2133" t="s">
        <v>65</v>
      </c>
      <c r="G2133">
        <v>698</v>
      </c>
      <c r="H2133">
        <v>-63000</v>
      </c>
      <c r="I2133">
        <v>-43974000</v>
      </c>
    </row>
    <row r="2134" spans="1:11" hidden="1" x14ac:dyDescent="0.25">
      <c r="A2134" s="210" t="s">
        <v>1487</v>
      </c>
      <c r="B2134">
        <v>8594</v>
      </c>
      <c r="C2134" s="100">
        <v>46118</v>
      </c>
      <c r="D2134" t="s">
        <v>13</v>
      </c>
      <c r="E2134" t="s">
        <v>103</v>
      </c>
      <c r="F2134" t="s">
        <v>209</v>
      </c>
      <c r="G2134">
        <v>256</v>
      </c>
      <c r="H2134">
        <v>38000</v>
      </c>
      <c r="I2134">
        <v>9728000</v>
      </c>
    </row>
    <row r="2135" spans="1:11" hidden="1" x14ac:dyDescent="0.25">
      <c r="A2135" s="210" t="s">
        <v>1536</v>
      </c>
      <c r="B2135">
        <v>8593</v>
      </c>
      <c r="C2135" s="100">
        <v>46118</v>
      </c>
      <c r="D2135" t="s">
        <v>13</v>
      </c>
      <c r="E2135" t="s">
        <v>26</v>
      </c>
      <c r="F2135" t="s">
        <v>78</v>
      </c>
      <c r="G2135">
        <v>130</v>
      </c>
      <c r="H2135">
        <v>35500</v>
      </c>
      <c r="I2135">
        <v>4615000</v>
      </c>
    </row>
    <row r="2136" spans="1:11" hidden="1" x14ac:dyDescent="0.25">
      <c r="A2136" s="210" t="s">
        <v>1536</v>
      </c>
      <c r="B2136">
        <v>8593</v>
      </c>
      <c r="C2136" s="100">
        <v>46118</v>
      </c>
      <c r="D2136" t="s">
        <v>13</v>
      </c>
      <c r="E2136" t="s">
        <v>103</v>
      </c>
      <c r="F2136" t="s">
        <v>852</v>
      </c>
      <c r="G2136">
        <v>380</v>
      </c>
      <c r="H2136">
        <v>37000</v>
      </c>
      <c r="I2136">
        <v>14060000</v>
      </c>
    </row>
    <row r="2137" spans="1:11" hidden="1" x14ac:dyDescent="0.25">
      <c r="A2137" s="210" t="s">
        <v>1536</v>
      </c>
      <c r="B2137">
        <v>8593</v>
      </c>
      <c r="C2137" s="100">
        <v>46118</v>
      </c>
      <c r="D2137" t="s">
        <v>13</v>
      </c>
      <c r="E2137" t="s">
        <v>103</v>
      </c>
      <c r="F2137" t="s">
        <v>146</v>
      </c>
      <c r="G2137">
        <v>90</v>
      </c>
      <c r="H2137">
        <v>37000</v>
      </c>
      <c r="I2137">
        <v>3330000</v>
      </c>
    </row>
    <row r="2138" spans="1:11" hidden="1" x14ac:dyDescent="0.25">
      <c r="A2138" s="210" t="s">
        <v>1536</v>
      </c>
      <c r="B2138">
        <v>8593</v>
      </c>
      <c r="C2138" s="100">
        <v>46118</v>
      </c>
      <c r="D2138" t="s">
        <v>13</v>
      </c>
      <c r="E2138" t="s">
        <v>45</v>
      </c>
      <c r="F2138" t="s">
        <v>215</v>
      </c>
      <c r="G2138">
        <v>1180</v>
      </c>
      <c r="H2138">
        <v>34000</v>
      </c>
      <c r="I2138">
        <v>40120000</v>
      </c>
    </row>
    <row r="2139" spans="1:11" hidden="1" x14ac:dyDescent="0.25">
      <c r="A2139" s="210" t="s">
        <v>1610</v>
      </c>
      <c r="B2139">
        <v>8592</v>
      </c>
      <c r="C2139" s="100">
        <v>46118</v>
      </c>
      <c r="D2139" t="s">
        <v>13</v>
      </c>
      <c r="E2139" t="s">
        <v>26</v>
      </c>
      <c r="F2139" t="s">
        <v>254</v>
      </c>
      <c r="G2139">
        <v>2330</v>
      </c>
      <c r="H2139">
        <v>33000</v>
      </c>
      <c r="I2139">
        <v>76890000</v>
      </c>
      <c r="K2139" t="s">
        <v>42</v>
      </c>
    </row>
    <row r="2140" spans="1:11" hidden="1" x14ac:dyDescent="0.25">
      <c r="A2140" s="210" t="s">
        <v>1518</v>
      </c>
      <c r="B2140">
        <v>8591</v>
      </c>
      <c r="C2140" s="100">
        <v>46118</v>
      </c>
      <c r="D2140" t="s">
        <v>13</v>
      </c>
      <c r="E2140" t="s">
        <v>135</v>
      </c>
      <c r="F2140" t="s">
        <v>146</v>
      </c>
      <c r="G2140">
        <v>498</v>
      </c>
      <c r="H2140">
        <v>37000</v>
      </c>
      <c r="I2140">
        <v>18426000</v>
      </c>
    </row>
    <row r="2141" spans="1:11" hidden="1" x14ac:dyDescent="0.25">
      <c r="A2141" s="210" t="s">
        <v>1518</v>
      </c>
      <c r="B2141">
        <v>8591</v>
      </c>
      <c r="C2141" s="100">
        <v>46118</v>
      </c>
      <c r="D2141" t="s">
        <v>13</v>
      </c>
      <c r="E2141" t="s">
        <v>26</v>
      </c>
      <c r="F2141" t="s">
        <v>134</v>
      </c>
      <c r="G2141">
        <v>346</v>
      </c>
      <c r="H2141">
        <v>36000</v>
      </c>
      <c r="I2141">
        <v>12456000</v>
      </c>
    </row>
    <row r="2142" spans="1:11" hidden="1" x14ac:dyDescent="0.25">
      <c r="A2142" s="210" t="s">
        <v>1579</v>
      </c>
      <c r="B2142">
        <v>8590</v>
      </c>
      <c r="C2142" s="100">
        <v>46118</v>
      </c>
      <c r="D2142" t="s">
        <v>13</v>
      </c>
      <c r="E2142" t="s">
        <v>75</v>
      </c>
      <c r="F2142" t="s">
        <v>988</v>
      </c>
      <c r="G2142">
        <v>420</v>
      </c>
      <c r="H2142">
        <v>38000</v>
      </c>
      <c r="I2142">
        <v>15960000</v>
      </c>
    </row>
    <row r="2143" spans="1:11" hidden="1" x14ac:dyDescent="0.25">
      <c r="A2143" s="210" t="s">
        <v>1538</v>
      </c>
      <c r="B2143">
        <v>8589</v>
      </c>
      <c r="C2143" s="100">
        <v>46118</v>
      </c>
      <c r="D2143" t="s">
        <v>13</v>
      </c>
      <c r="E2143" t="s">
        <v>26</v>
      </c>
      <c r="F2143" t="s">
        <v>40</v>
      </c>
      <c r="G2143">
        <v>366</v>
      </c>
      <c r="H2143">
        <v>36000</v>
      </c>
      <c r="I2143">
        <v>13176000</v>
      </c>
    </row>
    <row r="2144" spans="1:11" hidden="1" x14ac:dyDescent="0.25">
      <c r="A2144" s="210" t="s">
        <v>1538</v>
      </c>
      <c r="B2144">
        <v>8589</v>
      </c>
      <c r="C2144" s="100">
        <v>46118</v>
      </c>
      <c r="D2144" t="s">
        <v>13</v>
      </c>
      <c r="E2144" t="s">
        <v>45</v>
      </c>
      <c r="F2144" t="s">
        <v>25</v>
      </c>
      <c r="G2144">
        <v>1248</v>
      </c>
      <c r="H2144">
        <v>34500</v>
      </c>
      <c r="I2144">
        <v>43056000</v>
      </c>
    </row>
    <row r="2145" spans="1:11" hidden="1" x14ac:dyDescent="0.25">
      <c r="A2145" s="210" t="s">
        <v>1530</v>
      </c>
      <c r="B2145">
        <v>8588</v>
      </c>
      <c r="C2145" s="100">
        <v>46118</v>
      </c>
      <c r="D2145" t="s">
        <v>13</v>
      </c>
      <c r="E2145" t="s">
        <v>135</v>
      </c>
      <c r="F2145" t="s">
        <v>148</v>
      </c>
      <c r="G2145">
        <v>1600</v>
      </c>
      <c r="H2145">
        <v>37000</v>
      </c>
      <c r="I2145">
        <v>59200000</v>
      </c>
    </row>
    <row r="2146" spans="1:11" hidden="1" x14ac:dyDescent="0.25">
      <c r="A2146" s="210" t="s">
        <v>1554</v>
      </c>
      <c r="B2146">
        <v>8587</v>
      </c>
      <c r="C2146" s="100">
        <v>46118</v>
      </c>
      <c r="D2146" t="s">
        <v>13</v>
      </c>
      <c r="E2146" t="s">
        <v>17</v>
      </c>
      <c r="F2146" t="s">
        <v>46</v>
      </c>
      <c r="G2146">
        <v>1760</v>
      </c>
      <c r="H2146">
        <v>60000</v>
      </c>
      <c r="I2146">
        <v>105600000</v>
      </c>
      <c r="K2146" t="s">
        <v>42</v>
      </c>
    </row>
    <row r="2147" spans="1:11" hidden="1" x14ac:dyDescent="0.25">
      <c r="A2147" s="210" t="s">
        <v>1592</v>
      </c>
      <c r="B2147">
        <v>8586</v>
      </c>
      <c r="C2147" s="100">
        <v>46118</v>
      </c>
      <c r="D2147" t="s">
        <v>13</v>
      </c>
      <c r="E2147" t="s">
        <v>135</v>
      </c>
      <c r="F2147" t="s">
        <v>214</v>
      </c>
      <c r="G2147">
        <v>2460</v>
      </c>
      <c r="H2147">
        <v>37500</v>
      </c>
      <c r="I2147">
        <v>92250000</v>
      </c>
    </row>
    <row r="2148" spans="1:11" hidden="1" x14ac:dyDescent="0.25">
      <c r="A2148" s="210" t="s">
        <v>1502</v>
      </c>
      <c r="B2148">
        <v>8584</v>
      </c>
      <c r="C2148" s="100">
        <v>46118</v>
      </c>
      <c r="D2148" t="s">
        <v>13</v>
      </c>
      <c r="E2148" t="s">
        <v>103</v>
      </c>
      <c r="F2148" t="s">
        <v>297</v>
      </c>
      <c r="G2148">
        <v>2016</v>
      </c>
      <c r="H2148">
        <v>37000</v>
      </c>
      <c r="I2148">
        <v>74592000</v>
      </c>
    </row>
    <row r="2149" spans="1:11" hidden="1" x14ac:dyDescent="0.25">
      <c r="A2149" s="210" t="s">
        <v>1577</v>
      </c>
      <c r="B2149">
        <v>8583</v>
      </c>
      <c r="C2149" s="100">
        <v>46118</v>
      </c>
      <c r="D2149" t="s">
        <v>13</v>
      </c>
      <c r="E2149" t="s">
        <v>192</v>
      </c>
      <c r="F2149" t="s">
        <v>258</v>
      </c>
      <c r="G2149">
        <v>7636</v>
      </c>
      <c r="H2149">
        <v>35500</v>
      </c>
      <c r="I2149">
        <v>271078000</v>
      </c>
    </row>
    <row r="2150" spans="1:11" hidden="1" x14ac:dyDescent="0.25">
      <c r="A2150" s="210" t="s">
        <v>1524</v>
      </c>
      <c r="B2150">
        <v>8579</v>
      </c>
      <c r="C2150" s="100">
        <v>46118</v>
      </c>
      <c r="D2150" t="s">
        <v>49</v>
      </c>
      <c r="E2150" t="s">
        <v>17</v>
      </c>
      <c r="F2150" t="s">
        <v>469</v>
      </c>
      <c r="G2150">
        <v>4004</v>
      </c>
      <c r="I2150">
        <v>0</v>
      </c>
      <c r="K2150" t="s">
        <v>587</v>
      </c>
    </row>
    <row r="2151" spans="1:11" hidden="1" x14ac:dyDescent="0.25">
      <c r="A2151" s="210" t="s">
        <v>1488</v>
      </c>
      <c r="B2151">
        <v>8578</v>
      </c>
      <c r="C2151" s="100">
        <v>46118</v>
      </c>
      <c r="D2151" t="s">
        <v>13</v>
      </c>
      <c r="E2151" t="s">
        <v>45</v>
      </c>
      <c r="F2151" t="s">
        <v>215</v>
      </c>
      <c r="G2151">
        <v>480</v>
      </c>
      <c r="H2151">
        <v>34000</v>
      </c>
      <c r="I2151">
        <v>16320000</v>
      </c>
    </row>
    <row r="2152" spans="1:11" hidden="1" x14ac:dyDescent="0.25">
      <c r="A2152" s="210" t="s">
        <v>1531</v>
      </c>
      <c r="B2152">
        <v>8576</v>
      </c>
      <c r="C2152" s="100">
        <v>46118</v>
      </c>
      <c r="D2152" t="s">
        <v>13</v>
      </c>
      <c r="E2152" t="s">
        <v>17</v>
      </c>
      <c r="F2152" t="s">
        <v>719</v>
      </c>
      <c r="G2152">
        <v>480</v>
      </c>
      <c r="H2152">
        <v>60000</v>
      </c>
      <c r="I2152">
        <v>28800000</v>
      </c>
    </row>
    <row r="2153" spans="1:11" hidden="1" x14ac:dyDescent="0.25">
      <c r="A2153" s="210" t="s">
        <v>1524</v>
      </c>
      <c r="B2153">
        <v>8575</v>
      </c>
      <c r="C2153" s="100">
        <v>46118</v>
      </c>
      <c r="D2153" t="s">
        <v>49</v>
      </c>
      <c r="E2153" t="s">
        <v>43</v>
      </c>
      <c r="F2153" t="s">
        <v>146</v>
      </c>
      <c r="G2153">
        <v>1674</v>
      </c>
      <c r="I2153">
        <v>0</v>
      </c>
      <c r="K2153" t="s">
        <v>584</v>
      </c>
    </row>
    <row r="2154" spans="1:11" hidden="1" x14ac:dyDescent="0.25">
      <c r="A2154" s="210" t="s">
        <v>1524</v>
      </c>
      <c r="B2154">
        <v>8575</v>
      </c>
      <c r="C2154" s="100">
        <v>46118</v>
      </c>
      <c r="D2154" t="s">
        <v>49</v>
      </c>
      <c r="E2154" t="s">
        <v>43</v>
      </c>
      <c r="F2154" t="s">
        <v>136</v>
      </c>
      <c r="G2154">
        <v>1386</v>
      </c>
      <c r="I2154">
        <v>0</v>
      </c>
      <c r="K2154" t="s">
        <v>585</v>
      </c>
    </row>
    <row r="2155" spans="1:11" hidden="1" x14ac:dyDescent="0.25">
      <c r="A2155" s="210" t="s">
        <v>1524</v>
      </c>
      <c r="B2155">
        <v>8575</v>
      </c>
      <c r="C2155" s="100">
        <v>46118</v>
      </c>
      <c r="D2155" t="s">
        <v>49</v>
      </c>
      <c r="E2155" t="s">
        <v>43</v>
      </c>
      <c r="F2155" t="s">
        <v>363</v>
      </c>
      <c r="G2155">
        <v>632</v>
      </c>
      <c r="I2155">
        <v>0</v>
      </c>
      <c r="K2155" t="s">
        <v>586</v>
      </c>
    </row>
    <row r="2156" spans="1:11" hidden="1" x14ac:dyDescent="0.25">
      <c r="A2156" s="210" t="s">
        <v>1524</v>
      </c>
      <c r="B2156">
        <v>8574</v>
      </c>
      <c r="C2156" s="100">
        <v>46118</v>
      </c>
      <c r="D2156" t="s">
        <v>49</v>
      </c>
      <c r="E2156" t="s">
        <v>169</v>
      </c>
      <c r="F2156" t="s">
        <v>148</v>
      </c>
      <c r="G2156">
        <v>9324</v>
      </c>
      <c r="I2156">
        <v>0</v>
      </c>
      <c r="K2156" t="s">
        <v>583</v>
      </c>
    </row>
    <row r="2157" spans="1:11" hidden="1" x14ac:dyDescent="0.25">
      <c r="A2157" s="210" t="s">
        <v>1512</v>
      </c>
      <c r="B2157">
        <v>8573</v>
      </c>
      <c r="C2157" s="100">
        <v>46118</v>
      </c>
      <c r="D2157" t="s">
        <v>13</v>
      </c>
      <c r="E2157" t="s">
        <v>103</v>
      </c>
      <c r="F2157" t="s">
        <v>422</v>
      </c>
      <c r="G2157">
        <v>100</v>
      </c>
      <c r="H2157">
        <v>38000</v>
      </c>
      <c r="I2157">
        <v>3800000</v>
      </c>
    </row>
    <row r="2158" spans="1:11" hidden="1" x14ac:dyDescent="0.25">
      <c r="A2158" s="210" t="s">
        <v>1512</v>
      </c>
      <c r="B2158">
        <v>8573</v>
      </c>
      <c r="C2158" s="100">
        <v>46118</v>
      </c>
      <c r="D2158" t="s">
        <v>13</v>
      </c>
      <c r="E2158" t="s">
        <v>103</v>
      </c>
      <c r="F2158" t="s">
        <v>423</v>
      </c>
      <c r="G2158">
        <v>104</v>
      </c>
      <c r="H2158">
        <v>38000</v>
      </c>
      <c r="I2158">
        <v>3952000</v>
      </c>
    </row>
    <row r="2159" spans="1:11" hidden="1" x14ac:dyDescent="0.25">
      <c r="A2159" s="210" t="s">
        <v>1476</v>
      </c>
      <c r="B2159">
        <v>8572</v>
      </c>
      <c r="C2159" s="100">
        <v>46118</v>
      </c>
      <c r="D2159" t="s">
        <v>49</v>
      </c>
      <c r="E2159" t="s">
        <v>103</v>
      </c>
      <c r="F2159" t="s">
        <v>106</v>
      </c>
      <c r="G2159">
        <v>126</v>
      </c>
      <c r="I2159">
        <v>0</v>
      </c>
      <c r="K2159" t="s">
        <v>64</v>
      </c>
    </row>
    <row r="2160" spans="1:11" hidden="1" x14ac:dyDescent="0.25">
      <c r="A2160" s="210" t="s">
        <v>1476</v>
      </c>
      <c r="B2160">
        <v>8572</v>
      </c>
      <c r="C2160" s="100">
        <v>46118</v>
      </c>
      <c r="D2160" t="s">
        <v>49</v>
      </c>
      <c r="E2160" t="s">
        <v>107</v>
      </c>
      <c r="F2160" t="s">
        <v>108</v>
      </c>
      <c r="G2160">
        <v>302</v>
      </c>
      <c r="I2160">
        <v>0</v>
      </c>
      <c r="K2160" t="s">
        <v>64</v>
      </c>
    </row>
    <row r="2161" spans="1:11" hidden="1" x14ac:dyDescent="0.25">
      <c r="A2161" s="210" t="s">
        <v>1624</v>
      </c>
      <c r="B2161">
        <v>8571</v>
      </c>
      <c r="C2161" s="100">
        <v>46118</v>
      </c>
      <c r="D2161" t="s">
        <v>13</v>
      </c>
      <c r="E2161" t="s">
        <v>26</v>
      </c>
      <c r="F2161" t="s">
        <v>162</v>
      </c>
      <c r="G2161">
        <v>2396</v>
      </c>
      <c r="H2161">
        <v>35000</v>
      </c>
      <c r="I2161">
        <v>83860000</v>
      </c>
    </row>
    <row r="2162" spans="1:11" hidden="1" x14ac:dyDescent="0.25">
      <c r="A2162" s="210" t="s">
        <v>1624</v>
      </c>
      <c r="B2162">
        <v>8571</v>
      </c>
      <c r="C2162" s="100">
        <v>46118</v>
      </c>
      <c r="D2162" t="s">
        <v>13</v>
      </c>
      <c r="E2162" t="s">
        <v>26</v>
      </c>
      <c r="F2162" t="s">
        <v>1188</v>
      </c>
      <c r="G2162">
        <v>2320</v>
      </c>
      <c r="H2162">
        <v>35000</v>
      </c>
      <c r="I2162">
        <v>81200000</v>
      </c>
    </row>
    <row r="2163" spans="1:11" hidden="1" x14ac:dyDescent="0.25">
      <c r="A2163" s="210" t="s">
        <v>1524</v>
      </c>
      <c r="B2163">
        <v>8570</v>
      </c>
      <c r="C2163" s="100">
        <v>46118</v>
      </c>
      <c r="D2163" t="s">
        <v>49</v>
      </c>
      <c r="E2163" t="s">
        <v>43</v>
      </c>
      <c r="F2163" t="s">
        <v>444</v>
      </c>
      <c r="G2163">
        <v>8048</v>
      </c>
      <c r="I2163">
        <v>0</v>
      </c>
      <c r="K2163" t="s">
        <v>582</v>
      </c>
    </row>
    <row r="2164" spans="1:11" hidden="1" x14ac:dyDescent="0.25">
      <c r="A2164" s="210" t="s">
        <v>1587</v>
      </c>
      <c r="B2164">
        <v>8568</v>
      </c>
      <c r="C2164" s="100">
        <v>46118</v>
      </c>
      <c r="D2164" t="s">
        <v>13</v>
      </c>
      <c r="E2164" t="s">
        <v>26</v>
      </c>
      <c r="F2164" t="s">
        <v>40</v>
      </c>
      <c r="G2164">
        <v>7534</v>
      </c>
      <c r="H2164">
        <v>36000</v>
      </c>
      <c r="I2164">
        <v>271224000</v>
      </c>
    </row>
    <row r="2165" spans="1:11" hidden="1" x14ac:dyDescent="0.25">
      <c r="A2165" s="210" t="s">
        <v>1511</v>
      </c>
      <c r="B2165">
        <v>8567</v>
      </c>
      <c r="C2165" s="100">
        <v>46116</v>
      </c>
      <c r="D2165" t="s">
        <v>13</v>
      </c>
      <c r="E2165" t="s">
        <v>27</v>
      </c>
      <c r="F2165" t="s">
        <v>399</v>
      </c>
      <c r="G2165">
        <v>30</v>
      </c>
      <c r="H2165">
        <v>70000</v>
      </c>
      <c r="I2165">
        <v>2100000</v>
      </c>
      <c r="J2165">
        <v>2100000</v>
      </c>
    </row>
    <row r="2166" spans="1:11" hidden="1" x14ac:dyDescent="0.25">
      <c r="A2166" s="210" t="s">
        <v>1715</v>
      </c>
      <c r="B2166">
        <v>8566</v>
      </c>
      <c r="C2166" s="100">
        <v>46116</v>
      </c>
      <c r="D2166" t="s">
        <v>13</v>
      </c>
      <c r="E2166" t="s">
        <v>17</v>
      </c>
      <c r="F2166" t="s">
        <v>136</v>
      </c>
      <c r="G2166">
        <v>176</v>
      </c>
      <c r="H2166">
        <v>67500</v>
      </c>
      <c r="I2166">
        <v>11880000</v>
      </c>
    </row>
    <row r="2167" spans="1:11" hidden="1" x14ac:dyDescent="0.25">
      <c r="A2167" s="210" t="s">
        <v>1715</v>
      </c>
      <c r="B2167">
        <v>8566</v>
      </c>
      <c r="C2167" s="100">
        <v>46116</v>
      </c>
      <c r="D2167" t="s">
        <v>13</v>
      </c>
      <c r="E2167" t="s">
        <v>17</v>
      </c>
      <c r="F2167" t="s">
        <v>162</v>
      </c>
      <c r="G2167">
        <v>106</v>
      </c>
      <c r="H2167">
        <v>67500</v>
      </c>
      <c r="I2167">
        <v>7155000</v>
      </c>
    </row>
    <row r="2168" spans="1:11" hidden="1" x14ac:dyDescent="0.25">
      <c r="A2168" s="210" t="s">
        <v>1591</v>
      </c>
      <c r="B2168">
        <v>8565</v>
      </c>
      <c r="C2168" s="100">
        <v>46116</v>
      </c>
      <c r="D2168" t="s">
        <v>13</v>
      </c>
      <c r="E2168" t="s">
        <v>265</v>
      </c>
      <c r="F2168" t="s">
        <v>41</v>
      </c>
      <c r="G2168">
        <v>2020</v>
      </c>
      <c r="H2168">
        <v>65000</v>
      </c>
      <c r="I2168">
        <v>131300000</v>
      </c>
    </row>
    <row r="2169" spans="1:11" hidden="1" x14ac:dyDescent="0.25">
      <c r="A2169" s="210" t="s">
        <v>1591</v>
      </c>
      <c r="B2169">
        <v>8565</v>
      </c>
      <c r="C2169" s="100">
        <v>46116</v>
      </c>
      <c r="D2169" t="s">
        <v>13</v>
      </c>
      <c r="E2169" t="s">
        <v>265</v>
      </c>
      <c r="F2169" t="s">
        <v>149</v>
      </c>
      <c r="G2169">
        <v>870</v>
      </c>
      <c r="H2169">
        <v>63500</v>
      </c>
      <c r="I2169">
        <v>55245000</v>
      </c>
    </row>
    <row r="2170" spans="1:11" hidden="1" x14ac:dyDescent="0.25">
      <c r="A2170" s="210" t="s">
        <v>1677</v>
      </c>
      <c r="B2170">
        <v>8564</v>
      </c>
      <c r="C2170" s="100">
        <v>46116</v>
      </c>
      <c r="D2170" t="s">
        <v>13</v>
      </c>
      <c r="E2170" t="s">
        <v>43</v>
      </c>
      <c r="F2170" t="s">
        <v>78</v>
      </c>
      <c r="G2170">
        <v>1534</v>
      </c>
      <c r="H2170">
        <v>62500</v>
      </c>
      <c r="I2170">
        <v>95875000</v>
      </c>
    </row>
    <row r="2171" spans="1:11" hidden="1" x14ac:dyDescent="0.25">
      <c r="A2171" s="210" t="s">
        <v>1523</v>
      </c>
      <c r="B2171">
        <v>8563</v>
      </c>
      <c r="C2171" s="100">
        <v>46116</v>
      </c>
      <c r="D2171" t="s">
        <v>13</v>
      </c>
      <c r="E2171" t="s">
        <v>50</v>
      </c>
      <c r="F2171" t="s">
        <v>456</v>
      </c>
      <c r="G2171">
        <v>812</v>
      </c>
      <c r="H2171">
        <v>61000</v>
      </c>
      <c r="I2171">
        <v>49532000</v>
      </c>
    </row>
    <row r="2172" spans="1:11" hidden="1" x14ac:dyDescent="0.25">
      <c r="A2172" s="210" t="s">
        <v>1714</v>
      </c>
      <c r="B2172">
        <v>8562</v>
      </c>
      <c r="C2172" s="100">
        <v>46116</v>
      </c>
      <c r="D2172" t="s">
        <v>13</v>
      </c>
      <c r="E2172" t="s">
        <v>26</v>
      </c>
      <c r="F2172" t="s">
        <v>230</v>
      </c>
      <c r="G2172">
        <v>7392</v>
      </c>
      <c r="H2172">
        <v>38000</v>
      </c>
      <c r="I2172">
        <v>280896000</v>
      </c>
      <c r="J2172">
        <v>3696</v>
      </c>
    </row>
    <row r="2173" spans="1:11" hidden="1" x14ac:dyDescent="0.25">
      <c r="A2173" s="210" t="s">
        <v>1478</v>
      </c>
      <c r="B2173">
        <v>8561</v>
      </c>
      <c r="C2173" s="100">
        <v>46116</v>
      </c>
      <c r="D2173" t="s">
        <v>13</v>
      </c>
      <c r="E2173" t="s">
        <v>150</v>
      </c>
      <c r="F2173" t="s">
        <v>151</v>
      </c>
      <c r="G2173">
        <v>682</v>
      </c>
      <c r="H2173">
        <v>33500</v>
      </c>
      <c r="I2173">
        <v>22847000</v>
      </c>
      <c r="K2173" t="s">
        <v>152</v>
      </c>
    </row>
    <row r="2174" spans="1:11" hidden="1" x14ac:dyDescent="0.25">
      <c r="A2174" s="210" t="s">
        <v>1713</v>
      </c>
      <c r="B2174">
        <v>8560</v>
      </c>
      <c r="C2174" s="100">
        <v>46116</v>
      </c>
      <c r="D2174" t="s">
        <v>13</v>
      </c>
      <c r="E2174" t="s">
        <v>1451</v>
      </c>
      <c r="F2174" t="s">
        <v>1452</v>
      </c>
      <c r="G2174">
        <v>870</v>
      </c>
      <c r="H2174">
        <v>68000</v>
      </c>
      <c r="I2174">
        <v>59160000</v>
      </c>
    </row>
    <row r="2175" spans="1:11" hidden="1" x14ac:dyDescent="0.25">
      <c r="A2175" s="210" t="s">
        <v>1574</v>
      </c>
      <c r="B2175">
        <v>8559</v>
      </c>
      <c r="C2175" s="100">
        <v>46116</v>
      </c>
      <c r="D2175" t="s">
        <v>13</v>
      </c>
      <c r="E2175" t="s">
        <v>50</v>
      </c>
      <c r="F2175" t="s">
        <v>896</v>
      </c>
      <c r="G2175">
        <v>500</v>
      </c>
      <c r="H2175">
        <v>55000</v>
      </c>
      <c r="I2175">
        <v>27500000</v>
      </c>
      <c r="K2175" t="s">
        <v>152</v>
      </c>
    </row>
    <row r="2176" spans="1:11" hidden="1" x14ac:dyDescent="0.25">
      <c r="A2176" s="210" t="s">
        <v>1574</v>
      </c>
      <c r="B2176">
        <v>8559</v>
      </c>
      <c r="C2176" s="100">
        <v>46116</v>
      </c>
      <c r="D2176" t="s">
        <v>897</v>
      </c>
      <c r="E2176" t="s">
        <v>50</v>
      </c>
      <c r="F2176" t="s">
        <v>896</v>
      </c>
      <c r="G2176">
        <v>500</v>
      </c>
      <c r="H2176">
        <v>600</v>
      </c>
      <c r="I2176">
        <v>300000</v>
      </c>
    </row>
    <row r="2177" spans="1:11" hidden="1" x14ac:dyDescent="0.25">
      <c r="A2177" s="210" t="s">
        <v>1534</v>
      </c>
      <c r="B2177">
        <v>8557</v>
      </c>
      <c r="C2177" s="100">
        <v>46116</v>
      </c>
      <c r="D2177" t="s">
        <v>49</v>
      </c>
      <c r="E2177" t="s">
        <v>26</v>
      </c>
      <c r="F2177" t="s">
        <v>825</v>
      </c>
      <c r="G2177">
        <v>1202</v>
      </c>
      <c r="I2177">
        <v>0</v>
      </c>
      <c r="K2177" t="s">
        <v>826</v>
      </c>
    </row>
    <row r="2178" spans="1:11" hidden="1" x14ac:dyDescent="0.25">
      <c r="A2178" s="210" t="s">
        <v>1532</v>
      </c>
      <c r="B2178">
        <v>8556</v>
      </c>
      <c r="C2178" s="100">
        <v>46116</v>
      </c>
      <c r="D2178" t="s">
        <v>49</v>
      </c>
      <c r="E2178" t="s">
        <v>26</v>
      </c>
      <c r="F2178" t="s">
        <v>776</v>
      </c>
      <c r="G2178">
        <v>686</v>
      </c>
      <c r="I2178">
        <v>0</v>
      </c>
      <c r="K2178" t="s">
        <v>777</v>
      </c>
    </row>
    <row r="2179" spans="1:11" hidden="1" x14ac:dyDescent="0.25">
      <c r="A2179" s="210" t="s">
        <v>1532</v>
      </c>
      <c r="B2179">
        <v>8556</v>
      </c>
      <c r="C2179" s="100">
        <v>46116</v>
      </c>
      <c r="D2179" t="s">
        <v>49</v>
      </c>
      <c r="E2179" t="s">
        <v>26</v>
      </c>
      <c r="F2179" t="s">
        <v>778</v>
      </c>
      <c r="G2179">
        <v>424</v>
      </c>
      <c r="I2179">
        <v>0</v>
      </c>
      <c r="K2179" t="s">
        <v>779</v>
      </c>
    </row>
    <row r="2180" spans="1:11" hidden="1" x14ac:dyDescent="0.25">
      <c r="A2180" s="210" t="s">
        <v>1532</v>
      </c>
      <c r="B2180">
        <v>8556</v>
      </c>
      <c r="C2180" s="100">
        <v>46116</v>
      </c>
      <c r="D2180" t="s">
        <v>49</v>
      </c>
      <c r="E2180" t="s">
        <v>26</v>
      </c>
      <c r="F2180" t="s">
        <v>780</v>
      </c>
      <c r="G2180">
        <v>1466</v>
      </c>
      <c r="I2180">
        <v>0</v>
      </c>
      <c r="K2180" t="s">
        <v>781</v>
      </c>
    </row>
    <row r="2181" spans="1:11" hidden="1" x14ac:dyDescent="0.25">
      <c r="A2181" s="210" t="s">
        <v>1538</v>
      </c>
      <c r="B2181">
        <v>8555</v>
      </c>
      <c r="C2181" s="100">
        <v>46116</v>
      </c>
      <c r="D2181" t="s">
        <v>13</v>
      </c>
      <c r="E2181" t="s">
        <v>32</v>
      </c>
      <c r="F2181" t="s">
        <v>25</v>
      </c>
      <c r="G2181">
        <v>354</v>
      </c>
      <c r="H2181">
        <v>43500</v>
      </c>
      <c r="I2181">
        <v>15399000</v>
      </c>
    </row>
    <row r="2182" spans="1:11" hidden="1" x14ac:dyDescent="0.25">
      <c r="A2182" s="210" t="s">
        <v>1686</v>
      </c>
      <c r="B2182">
        <v>8554</v>
      </c>
      <c r="C2182" s="100">
        <v>46116</v>
      </c>
      <c r="D2182" t="s">
        <v>13</v>
      </c>
      <c r="E2182" t="s">
        <v>135</v>
      </c>
      <c r="F2182" t="s">
        <v>148</v>
      </c>
      <c r="G2182">
        <v>5394</v>
      </c>
      <c r="H2182">
        <v>37500</v>
      </c>
      <c r="I2182">
        <v>202275000</v>
      </c>
      <c r="J2182">
        <v>-217</v>
      </c>
    </row>
    <row r="2183" spans="1:11" hidden="1" x14ac:dyDescent="0.25">
      <c r="A2183" s="210" t="s">
        <v>1579</v>
      </c>
      <c r="B2183">
        <v>8553</v>
      </c>
      <c r="C2183" s="100">
        <v>46116</v>
      </c>
      <c r="D2183" t="s">
        <v>13</v>
      </c>
      <c r="E2183" t="s">
        <v>14</v>
      </c>
      <c r="F2183" t="s">
        <v>146</v>
      </c>
      <c r="G2183">
        <v>614</v>
      </c>
      <c r="H2183">
        <v>41500</v>
      </c>
      <c r="I2183">
        <v>25481000</v>
      </c>
    </row>
    <row r="2184" spans="1:11" hidden="1" x14ac:dyDescent="0.25">
      <c r="A2184" s="210" t="s">
        <v>1579</v>
      </c>
      <c r="B2184">
        <v>8553</v>
      </c>
      <c r="C2184" s="100">
        <v>46116</v>
      </c>
      <c r="D2184" t="s">
        <v>13</v>
      </c>
      <c r="E2184" t="s">
        <v>135</v>
      </c>
      <c r="F2184" t="s">
        <v>141</v>
      </c>
      <c r="G2184">
        <v>628</v>
      </c>
      <c r="H2184">
        <v>37500</v>
      </c>
      <c r="I2184">
        <v>23550000</v>
      </c>
    </row>
    <row r="2185" spans="1:11" hidden="1" x14ac:dyDescent="0.25">
      <c r="A2185" s="210" t="s">
        <v>1579</v>
      </c>
      <c r="B2185">
        <v>8553</v>
      </c>
      <c r="C2185" s="100">
        <v>46116</v>
      </c>
      <c r="D2185" t="s">
        <v>13</v>
      </c>
      <c r="E2185" t="s">
        <v>43</v>
      </c>
      <c r="F2185" t="s">
        <v>44</v>
      </c>
      <c r="G2185">
        <v>980</v>
      </c>
      <c r="H2185">
        <v>60000</v>
      </c>
      <c r="I2185">
        <v>58800000</v>
      </c>
    </row>
    <row r="2186" spans="1:11" hidden="1" x14ac:dyDescent="0.25">
      <c r="A2186" s="210" t="s">
        <v>1579</v>
      </c>
      <c r="B2186">
        <v>8553</v>
      </c>
      <c r="C2186" s="100">
        <v>46116</v>
      </c>
      <c r="D2186" t="s">
        <v>13</v>
      </c>
      <c r="E2186" t="s">
        <v>43</v>
      </c>
      <c r="F2186" t="s">
        <v>33</v>
      </c>
      <c r="G2186">
        <v>1162</v>
      </c>
      <c r="H2186">
        <v>66500</v>
      </c>
      <c r="I2186">
        <v>77273000</v>
      </c>
    </row>
    <row r="2187" spans="1:11" hidden="1" x14ac:dyDescent="0.25">
      <c r="A2187" s="210" t="s">
        <v>1579</v>
      </c>
      <c r="B2187">
        <v>8553</v>
      </c>
      <c r="C2187" s="100">
        <v>46116</v>
      </c>
      <c r="D2187" t="s">
        <v>13</v>
      </c>
      <c r="E2187" t="s">
        <v>43</v>
      </c>
      <c r="F2187" t="s">
        <v>987</v>
      </c>
      <c r="G2187">
        <v>3012</v>
      </c>
      <c r="H2187">
        <v>57000</v>
      </c>
      <c r="I2187">
        <v>171684000</v>
      </c>
    </row>
    <row r="2188" spans="1:11" hidden="1" x14ac:dyDescent="0.25">
      <c r="A2188" s="210" t="s">
        <v>1580</v>
      </c>
      <c r="B2188">
        <v>8552</v>
      </c>
      <c r="C2188" s="100">
        <v>46116</v>
      </c>
      <c r="D2188" t="s">
        <v>13</v>
      </c>
      <c r="E2188" t="s">
        <v>17</v>
      </c>
      <c r="F2188" t="s">
        <v>1000</v>
      </c>
      <c r="G2188">
        <v>1968</v>
      </c>
      <c r="H2188">
        <v>61000</v>
      </c>
      <c r="I2188">
        <v>120048000</v>
      </c>
      <c r="K2188" t="s">
        <v>231</v>
      </c>
    </row>
    <row r="2189" spans="1:11" hidden="1" x14ac:dyDescent="0.25">
      <c r="A2189" s="210" t="s">
        <v>1580</v>
      </c>
      <c r="B2189">
        <v>8552</v>
      </c>
      <c r="C2189" s="100">
        <v>46116</v>
      </c>
      <c r="D2189" t="s">
        <v>13</v>
      </c>
      <c r="E2189" t="s">
        <v>17</v>
      </c>
      <c r="F2189" t="s">
        <v>234</v>
      </c>
      <c r="G2189">
        <v>686</v>
      </c>
      <c r="H2189">
        <v>61500</v>
      </c>
      <c r="I2189">
        <v>42189000</v>
      </c>
      <c r="K2189" t="s">
        <v>231</v>
      </c>
    </row>
    <row r="2190" spans="1:11" hidden="1" x14ac:dyDescent="0.25">
      <c r="A2190" s="210" t="s">
        <v>1524</v>
      </c>
      <c r="B2190">
        <v>8551</v>
      </c>
      <c r="C2190" s="100">
        <v>46116</v>
      </c>
      <c r="D2190" t="s">
        <v>49</v>
      </c>
      <c r="E2190" t="s">
        <v>17</v>
      </c>
      <c r="F2190" t="s">
        <v>78</v>
      </c>
      <c r="G2190">
        <v>691</v>
      </c>
      <c r="I2190">
        <v>0</v>
      </c>
      <c r="K2190" t="s">
        <v>580</v>
      </c>
    </row>
    <row r="2191" spans="1:11" hidden="1" x14ac:dyDescent="0.25">
      <c r="A2191" s="210" t="s">
        <v>1524</v>
      </c>
      <c r="B2191">
        <v>8551</v>
      </c>
      <c r="C2191" s="100">
        <v>46116</v>
      </c>
      <c r="D2191" t="s">
        <v>49</v>
      </c>
      <c r="E2191" t="s">
        <v>26</v>
      </c>
      <c r="F2191" t="s">
        <v>211</v>
      </c>
      <c r="G2191">
        <v>7559</v>
      </c>
      <c r="I2191">
        <v>0</v>
      </c>
      <c r="K2191" t="s">
        <v>581</v>
      </c>
    </row>
    <row r="2192" spans="1:11" hidden="1" x14ac:dyDescent="0.25">
      <c r="A2192" s="210" t="s">
        <v>1524</v>
      </c>
      <c r="B2192">
        <v>8550</v>
      </c>
      <c r="C2192" s="100">
        <v>46116</v>
      </c>
      <c r="D2192" t="s">
        <v>13</v>
      </c>
      <c r="E2192" t="s">
        <v>135</v>
      </c>
      <c r="F2192" t="s">
        <v>148</v>
      </c>
      <c r="G2192">
        <v>930</v>
      </c>
      <c r="H2192">
        <v>37500</v>
      </c>
      <c r="I2192">
        <v>34875000</v>
      </c>
    </row>
    <row r="2193" spans="1:11" hidden="1" x14ac:dyDescent="0.25">
      <c r="A2193" s="210" t="s">
        <v>1639</v>
      </c>
      <c r="B2193">
        <v>8549</v>
      </c>
      <c r="C2193" s="100">
        <v>46116</v>
      </c>
      <c r="D2193" t="s">
        <v>13</v>
      </c>
      <c r="E2193" t="s">
        <v>135</v>
      </c>
      <c r="F2193" t="s">
        <v>148</v>
      </c>
      <c r="G2193">
        <v>5321</v>
      </c>
      <c r="H2193">
        <v>36800</v>
      </c>
      <c r="I2193">
        <v>195812800</v>
      </c>
    </row>
    <row r="2194" spans="1:11" hidden="1" x14ac:dyDescent="0.25">
      <c r="A2194" s="210" t="s">
        <v>1643</v>
      </c>
      <c r="B2194">
        <v>8548</v>
      </c>
      <c r="C2194" s="100">
        <v>46116</v>
      </c>
      <c r="D2194" t="s">
        <v>49</v>
      </c>
      <c r="E2194" t="s">
        <v>45</v>
      </c>
      <c r="F2194" t="s">
        <v>462</v>
      </c>
      <c r="G2194">
        <v>5656</v>
      </c>
      <c r="I2194">
        <v>0</v>
      </c>
      <c r="K2194" t="s">
        <v>1036</v>
      </c>
    </row>
    <row r="2195" spans="1:11" hidden="1" x14ac:dyDescent="0.25">
      <c r="A2195" s="210" t="s">
        <v>1672</v>
      </c>
      <c r="B2195">
        <v>8547</v>
      </c>
      <c r="C2195" s="100">
        <v>46116</v>
      </c>
      <c r="D2195" t="s">
        <v>13</v>
      </c>
      <c r="E2195" t="s">
        <v>26</v>
      </c>
      <c r="F2195" t="s">
        <v>62</v>
      </c>
      <c r="G2195">
        <v>5427</v>
      </c>
      <c r="H2195">
        <v>34500</v>
      </c>
      <c r="I2195">
        <v>187231500</v>
      </c>
    </row>
    <row r="2196" spans="1:11" hidden="1" x14ac:dyDescent="0.25">
      <c r="A2196" s="210" t="s">
        <v>1538</v>
      </c>
      <c r="B2196">
        <v>8546</v>
      </c>
      <c r="C2196" s="100">
        <v>46116</v>
      </c>
      <c r="D2196" t="s">
        <v>13</v>
      </c>
      <c r="E2196" t="s">
        <v>32</v>
      </c>
      <c r="F2196" t="s">
        <v>40</v>
      </c>
      <c r="G2196">
        <v>237</v>
      </c>
      <c r="H2196">
        <v>43000</v>
      </c>
      <c r="I2196">
        <v>10191000</v>
      </c>
    </row>
    <row r="2197" spans="1:11" hidden="1" x14ac:dyDescent="0.25">
      <c r="A2197" s="210" t="s">
        <v>1538</v>
      </c>
      <c r="B2197">
        <v>8546</v>
      </c>
      <c r="C2197" s="100">
        <v>46116</v>
      </c>
      <c r="D2197" t="s">
        <v>13</v>
      </c>
      <c r="E2197" t="s">
        <v>32</v>
      </c>
      <c r="F2197" t="s">
        <v>46</v>
      </c>
      <c r="G2197">
        <v>1002</v>
      </c>
      <c r="H2197">
        <v>43500</v>
      </c>
      <c r="I2197">
        <v>43587000</v>
      </c>
    </row>
    <row r="2198" spans="1:11" hidden="1" x14ac:dyDescent="0.25">
      <c r="A2198" s="210" t="s">
        <v>1538</v>
      </c>
      <c r="B2198">
        <v>8546</v>
      </c>
      <c r="C2198" s="100">
        <v>46116</v>
      </c>
      <c r="D2198" t="s">
        <v>13</v>
      </c>
      <c r="E2198" t="s">
        <v>32</v>
      </c>
      <c r="F2198" t="s">
        <v>33</v>
      </c>
      <c r="G2198">
        <v>600</v>
      </c>
      <c r="H2198">
        <v>43500</v>
      </c>
      <c r="I2198">
        <v>26100000</v>
      </c>
    </row>
    <row r="2199" spans="1:11" hidden="1" x14ac:dyDescent="0.25">
      <c r="A2199" s="210" t="s">
        <v>1538</v>
      </c>
      <c r="B2199">
        <v>8546</v>
      </c>
      <c r="C2199" s="100">
        <v>46116</v>
      </c>
      <c r="D2199" t="s">
        <v>13</v>
      </c>
      <c r="E2199" t="s">
        <v>26</v>
      </c>
      <c r="F2199" t="s">
        <v>865</v>
      </c>
      <c r="G2199">
        <v>192</v>
      </c>
      <c r="H2199">
        <v>36500</v>
      </c>
      <c r="I2199">
        <v>7008000</v>
      </c>
    </row>
    <row r="2200" spans="1:11" hidden="1" x14ac:dyDescent="0.25">
      <c r="A2200" s="210" t="s">
        <v>1538</v>
      </c>
      <c r="B2200">
        <v>8546</v>
      </c>
      <c r="C2200" s="100">
        <v>46116</v>
      </c>
      <c r="D2200" t="s">
        <v>13</v>
      </c>
      <c r="E2200" t="s">
        <v>32</v>
      </c>
      <c r="F2200" t="s">
        <v>46</v>
      </c>
      <c r="G2200">
        <v>504</v>
      </c>
      <c r="H2200">
        <v>43500</v>
      </c>
      <c r="I2200">
        <v>21924000</v>
      </c>
    </row>
    <row r="2201" spans="1:11" hidden="1" x14ac:dyDescent="0.25">
      <c r="A2201" s="210" t="s">
        <v>1712</v>
      </c>
      <c r="B2201">
        <v>8545</v>
      </c>
      <c r="C2201" s="100">
        <v>46116</v>
      </c>
      <c r="D2201" t="s">
        <v>13</v>
      </c>
      <c r="E2201" t="s">
        <v>26</v>
      </c>
      <c r="F2201" t="s">
        <v>1449</v>
      </c>
      <c r="G2201">
        <v>3330</v>
      </c>
      <c r="H2201">
        <v>32500</v>
      </c>
      <c r="I2201">
        <v>108225000</v>
      </c>
    </row>
    <row r="2202" spans="1:11" hidden="1" x14ac:dyDescent="0.25">
      <c r="A2202" s="210" t="s">
        <v>1709</v>
      </c>
      <c r="B2202">
        <v>8544</v>
      </c>
      <c r="C2202" s="100">
        <v>46116</v>
      </c>
      <c r="D2202" t="s">
        <v>13</v>
      </c>
      <c r="E2202" t="s">
        <v>43</v>
      </c>
      <c r="F2202" t="s">
        <v>1446</v>
      </c>
      <c r="G2202">
        <v>528</v>
      </c>
      <c r="H2202">
        <v>64000</v>
      </c>
      <c r="I2202">
        <v>33792000</v>
      </c>
    </row>
    <row r="2203" spans="1:11" hidden="1" x14ac:dyDescent="0.25">
      <c r="A2203" s="210" t="s">
        <v>1709</v>
      </c>
      <c r="B2203">
        <v>8544</v>
      </c>
      <c r="C2203" s="100">
        <v>46116</v>
      </c>
      <c r="D2203" t="s">
        <v>13</v>
      </c>
      <c r="E2203" t="s">
        <v>43</v>
      </c>
      <c r="F2203" t="s">
        <v>1447</v>
      </c>
      <c r="G2203">
        <v>206</v>
      </c>
      <c r="H2203">
        <v>60500</v>
      </c>
      <c r="I2203">
        <v>12463000</v>
      </c>
    </row>
    <row r="2204" spans="1:11" hidden="1" x14ac:dyDescent="0.25">
      <c r="A2204" s="210" t="s">
        <v>1709</v>
      </c>
      <c r="B2204">
        <v>8544</v>
      </c>
      <c r="C2204" s="100">
        <v>46116</v>
      </c>
      <c r="D2204" t="s">
        <v>13</v>
      </c>
      <c r="E2204" t="s">
        <v>32</v>
      </c>
      <c r="F2204" t="s">
        <v>40</v>
      </c>
      <c r="G2204">
        <v>156</v>
      </c>
      <c r="H2204">
        <v>43500</v>
      </c>
      <c r="I2204">
        <v>6786000</v>
      </c>
      <c r="J2204">
        <v>329</v>
      </c>
    </row>
    <row r="2205" spans="1:11" hidden="1" x14ac:dyDescent="0.25">
      <c r="A2205" s="210" t="s">
        <v>1672</v>
      </c>
      <c r="B2205">
        <v>8543</v>
      </c>
      <c r="C2205" s="100">
        <v>46116</v>
      </c>
      <c r="D2205" t="s">
        <v>13</v>
      </c>
      <c r="E2205" t="s">
        <v>26</v>
      </c>
      <c r="F2205" t="s">
        <v>78</v>
      </c>
      <c r="G2205">
        <v>2285</v>
      </c>
      <c r="H2205">
        <v>35000</v>
      </c>
      <c r="I2205">
        <v>79975000</v>
      </c>
    </row>
    <row r="2206" spans="1:11" hidden="1" x14ac:dyDescent="0.25">
      <c r="A2206" s="210" t="s">
        <v>1524</v>
      </c>
      <c r="B2206">
        <v>8542</v>
      </c>
      <c r="C2206" s="100">
        <v>46116</v>
      </c>
      <c r="D2206" t="s">
        <v>49</v>
      </c>
      <c r="E2206" t="s">
        <v>135</v>
      </c>
      <c r="F2206" t="s">
        <v>148</v>
      </c>
      <c r="G2206">
        <v>9321</v>
      </c>
      <c r="I2206">
        <v>0</v>
      </c>
      <c r="K2206" t="s">
        <v>579</v>
      </c>
    </row>
    <row r="2207" spans="1:11" hidden="1" x14ac:dyDescent="0.25">
      <c r="A2207" s="210" t="s">
        <v>1531</v>
      </c>
      <c r="B2207">
        <v>8541</v>
      </c>
      <c r="C2207" s="100">
        <v>46115</v>
      </c>
      <c r="D2207" t="s">
        <v>13</v>
      </c>
      <c r="E2207" t="s">
        <v>17</v>
      </c>
      <c r="F2207" t="s">
        <v>46</v>
      </c>
      <c r="G2207">
        <v>766</v>
      </c>
      <c r="H2207">
        <v>60000</v>
      </c>
      <c r="I2207">
        <v>45960000</v>
      </c>
    </row>
    <row r="2208" spans="1:11" hidden="1" x14ac:dyDescent="0.25">
      <c r="A2208" s="210" t="s">
        <v>1583</v>
      </c>
      <c r="B2208">
        <v>8540</v>
      </c>
      <c r="C2208" s="100">
        <v>46115</v>
      </c>
      <c r="D2208" t="s">
        <v>13</v>
      </c>
      <c r="E2208" t="s">
        <v>103</v>
      </c>
      <c r="F2208" t="s">
        <v>117</v>
      </c>
      <c r="G2208">
        <v>656</v>
      </c>
      <c r="H2208">
        <v>38000</v>
      </c>
      <c r="I2208">
        <v>24928000</v>
      </c>
    </row>
    <row r="2209" spans="1:11" hidden="1" x14ac:dyDescent="0.25">
      <c r="A2209" s="210" t="s">
        <v>1524</v>
      </c>
      <c r="B2209">
        <v>8539</v>
      </c>
      <c r="C2209" s="100">
        <v>46115</v>
      </c>
      <c r="D2209" t="s">
        <v>49</v>
      </c>
      <c r="E2209" t="s">
        <v>32</v>
      </c>
      <c r="F2209" t="s">
        <v>40</v>
      </c>
      <c r="G2209">
        <v>1422</v>
      </c>
      <c r="I2209">
        <v>0</v>
      </c>
      <c r="K2209" t="s">
        <v>578</v>
      </c>
    </row>
    <row r="2210" spans="1:11" hidden="1" x14ac:dyDescent="0.25">
      <c r="A2210" s="210" t="s">
        <v>2016</v>
      </c>
      <c r="B2210">
        <v>8538</v>
      </c>
      <c r="C2210" s="100">
        <v>46115</v>
      </c>
      <c r="D2210" t="s">
        <v>13</v>
      </c>
      <c r="E2210" t="s">
        <v>32</v>
      </c>
      <c r="F2210" t="s">
        <v>211</v>
      </c>
      <c r="G2210">
        <v>4768</v>
      </c>
      <c r="H2210">
        <v>41500</v>
      </c>
      <c r="I2210">
        <v>197872000</v>
      </c>
    </row>
    <row r="2211" spans="1:11" hidden="1" x14ac:dyDescent="0.25">
      <c r="A2211" s="210" t="s">
        <v>2016</v>
      </c>
      <c r="B2211">
        <v>8538</v>
      </c>
      <c r="C2211" s="100">
        <v>46115</v>
      </c>
      <c r="D2211" t="s">
        <v>242</v>
      </c>
      <c r="E2211" t="s">
        <v>26</v>
      </c>
      <c r="F2211" t="s">
        <v>134</v>
      </c>
      <c r="G2211">
        <v>3502</v>
      </c>
      <c r="H2211">
        <v>35500</v>
      </c>
      <c r="I2211">
        <v>124321000</v>
      </c>
      <c r="K2211">
        <v>35500</v>
      </c>
    </row>
    <row r="2212" spans="1:11" hidden="1" x14ac:dyDescent="0.25">
      <c r="A2212" s="210" t="s">
        <v>1558</v>
      </c>
      <c r="B2212">
        <v>8537</v>
      </c>
      <c r="C2212" s="100">
        <v>46115</v>
      </c>
      <c r="D2212" t="s">
        <v>13</v>
      </c>
      <c r="E2212" t="s">
        <v>753</v>
      </c>
      <c r="F2212" t="s">
        <v>941</v>
      </c>
      <c r="G2212">
        <v>3219</v>
      </c>
      <c r="H2212">
        <v>29000</v>
      </c>
      <c r="I2212">
        <v>93351000</v>
      </c>
    </row>
    <row r="2213" spans="1:11" hidden="1" x14ac:dyDescent="0.25">
      <c r="A2213" s="210" t="s">
        <v>1524</v>
      </c>
      <c r="B2213">
        <v>8536</v>
      </c>
      <c r="C2213" s="100">
        <v>46115</v>
      </c>
      <c r="D2213" t="s">
        <v>49</v>
      </c>
      <c r="E2213" t="s">
        <v>43</v>
      </c>
      <c r="F2213" t="s">
        <v>574</v>
      </c>
      <c r="G2213">
        <v>1841</v>
      </c>
      <c r="I2213">
        <v>0</v>
      </c>
      <c r="K2213" t="s">
        <v>575</v>
      </c>
    </row>
    <row r="2214" spans="1:11" hidden="1" x14ac:dyDescent="0.25">
      <c r="A2214" s="210" t="s">
        <v>1524</v>
      </c>
      <c r="B2214">
        <v>8536</v>
      </c>
      <c r="C2214" s="100">
        <v>46115</v>
      </c>
      <c r="D2214" t="s">
        <v>49</v>
      </c>
      <c r="E2214" t="s">
        <v>17</v>
      </c>
      <c r="F2214" t="s">
        <v>576</v>
      </c>
      <c r="G2214">
        <v>1500</v>
      </c>
      <c r="I2214">
        <v>0</v>
      </c>
      <c r="K2214" t="s">
        <v>577</v>
      </c>
    </row>
    <row r="2215" spans="1:11" hidden="1" x14ac:dyDescent="0.25">
      <c r="A2215" s="210" t="s">
        <v>1524</v>
      </c>
      <c r="B2215">
        <v>8535</v>
      </c>
      <c r="C2215" s="100">
        <v>46115</v>
      </c>
      <c r="D2215" t="s">
        <v>49</v>
      </c>
      <c r="E2215" t="s">
        <v>43</v>
      </c>
      <c r="F2215" t="s">
        <v>243</v>
      </c>
      <c r="G2215">
        <v>5070</v>
      </c>
      <c r="I2215">
        <v>0</v>
      </c>
      <c r="K2215" t="s">
        <v>573</v>
      </c>
    </row>
    <row r="2216" spans="1:11" hidden="1" x14ac:dyDescent="0.25">
      <c r="A2216" s="210" t="s">
        <v>1515</v>
      </c>
      <c r="B2216">
        <v>8534</v>
      </c>
      <c r="C2216" s="100">
        <v>46115</v>
      </c>
      <c r="D2216" t="s">
        <v>13</v>
      </c>
      <c r="E2216" t="s">
        <v>26</v>
      </c>
      <c r="F2216" t="s">
        <v>78</v>
      </c>
      <c r="G2216">
        <v>1031</v>
      </c>
      <c r="H2216">
        <v>36000</v>
      </c>
      <c r="I2216">
        <v>37116000</v>
      </c>
    </row>
    <row r="2217" spans="1:11" hidden="1" x14ac:dyDescent="0.25">
      <c r="A2217" s="210" t="s">
        <v>1488</v>
      </c>
      <c r="B2217">
        <v>8533</v>
      </c>
      <c r="C2217" s="100">
        <v>46115</v>
      </c>
      <c r="D2217" t="s">
        <v>13</v>
      </c>
      <c r="E2217" t="s">
        <v>43</v>
      </c>
      <c r="F2217" t="s">
        <v>214</v>
      </c>
      <c r="G2217">
        <v>1480</v>
      </c>
      <c r="H2217">
        <v>57000</v>
      </c>
      <c r="I2217">
        <v>84360000</v>
      </c>
    </row>
    <row r="2218" spans="1:11" hidden="1" x14ac:dyDescent="0.25">
      <c r="A2218" s="210" t="s">
        <v>1592</v>
      </c>
      <c r="B2218">
        <v>8532</v>
      </c>
      <c r="C2218" s="100">
        <v>46115</v>
      </c>
      <c r="D2218" t="s">
        <v>49</v>
      </c>
      <c r="E2218" t="s">
        <v>77</v>
      </c>
      <c r="F2218" t="s">
        <v>78</v>
      </c>
      <c r="G2218">
        <v>550</v>
      </c>
      <c r="I2218">
        <v>0</v>
      </c>
      <c r="K2218" t="s">
        <v>1055</v>
      </c>
    </row>
    <row r="2219" spans="1:11" hidden="1" x14ac:dyDescent="0.25">
      <c r="A2219" s="210" t="s">
        <v>1592</v>
      </c>
      <c r="B2219">
        <v>8531</v>
      </c>
      <c r="C2219" s="100">
        <v>46115</v>
      </c>
      <c r="D2219" t="s">
        <v>13</v>
      </c>
      <c r="E2219" t="s">
        <v>135</v>
      </c>
      <c r="F2219" t="s">
        <v>148</v>
      </c>
      <c r="G2219">
        <v>5404</v>
      </c>
      <c r="H2219">
        <v>37500</v>
      </c>
      <c r="I2219">
        <v>202650000</v>
      </c>
    </row>
    <row r="2220" spans="1:11" hidden="1" x14ac:dyDescent="0.25">
      <c r="A2220" s="210" t="s">
        <v>1575</v>
      </c>
      <c r="B2220">
        <v>8530</v>
      </c>
      <c r="C2220" s="100">
        <v>46115</v>
      </c>
      <c r="D2220" t="s">
        <v>13</v>
      </c>
      <c r="E2220" t="s">
        <v>45</v>
      </c>
      <c r="F2220" t="s">
        <v>25</v>
      </c>
      <c r="G2220">
        <v>414</v>
      </c>
      <c r="H2220">
        <v>34500</v>
      </c>
      <c r="I2220">
        <v>14283000</v>
      </c>
    </row>
    <row r="2221" spans="1:11" hidden="1" x14ac:dyDescent="0.25">
      <c r="A2221" s="210" t="s">
        <v>1479</v>
      </c>
      <c r="B2221">
        <v>8529</v>
      </c>
      <c r="C2221" s="100">
        <v>46115</v>
      </c>
      <c r="D2221" t="s">
        <v>13</v>
      </c>
      <c r="E2221" t="s">
        <v>36</v>
      </c>
      <c r="F2221" t="s">
        <v>182</v>
      </c>
      <c r="G2221">
        <v>206</v>
      </c>
      <c r="H2221">
        <v>60000</v>
      </c>
      <c r="I2221">
        <v>12360000</v>
      </c>
      <c r="K2221" t="s">
        <v>183</v>
      </c>
    </row>
    <row r="2222" spans="1:11" hidden="1" x14ac:dyDescent="0.25">
      <c r="A2222" s="210" t="s">
        <v>1479</v>
      </c>
      <c r="B2222">
        <v>8529</v>
      </c>
      <c r="C2222" s="100">
        <v>46115</v>
      </c>
      <c r="D2222" t="s">
        <v>13</v>
      </c>
      <c r="E2222" t="s">
        <v>43</v>
      </c>
      <c r="F2222" t="s">
        <v>149</v>
      </c>
      <c r="G2222">
        <v>1444</v>
      </c>
      <c r="H2222">
        <v>60500</v>
      </c>
      <c r="I2222">
        <v>87362000</v>
      </c>
    </row>
    <row r="2223" spans="1:11" hidden="1" x14ac:dyDescent="0.25">
      <c r="A2223" s="210" t="s">
        <v>1664</v>
      </c>
      <c r="B2223">
        <v>8528</v>
      </c>
      <c r="C2223" s="100">
        <v>46115</v>
      </c>
      <c r="D2223" t="s">
        <v>13</v>
      </c>
      <c r="E2223" t="s">
        <v>32</v>
      </c>
      <c r="F2223" t="s">
        <v>40</v>
      </c>
      <c r="G2223">
        <v>525</v>
      </c>
      <c r="H2223">
        <v>43000</v>
      </c>
      <c r="I2223">
        <v>22575000</v>
      </c>
    </row>
    <row r="2224" spans="1:11" hidden="1" x14ac:dyDescent="0.25">
      <c r="A2224" s="210" t="s">
        <v>1664</v>
      </c>
      <c r="B2224">
        <v>8528</v>
      </c>
      <c r="C2224" s="100">
        <v>46115</v>
      </c>
      <c r="D2224" t="s">
        <v>13</v>
      </c>
      <c r="E2224" t="s">
        <v>17</v>
      </c>
      <c r="F2224" t="s">
        <v>136</v>
      </c>
      <c r="G2224">
        <v>643</v>
      </c>
      <c r="H2224">
        <v>61000</v>
      </c>
      <c r="I2224">
        <v>39223000</v>
      </c>
    </row>
    <row r="2225" spans="1:11" hidden="1" x14ac:dyDescent="0.25">
      <c r="A2225" s="210" t="s">
        <v>1541</v>
      </c>
      <c r="B2225">
        <v>8527</v>
      </c>
      <c r="C2225" s="100">
        <v>46115</v>
      </c>
      <c r="D2225" t="s">
        <v>13</v>
      </c>
      <c r="E2225" t="s">
        <v>109</v>
      </c>
      <c r="F2225" t="s">
        <v>390</v>
      </c>
      <c r="G2225">
        <v>3958</v>
      </c>
      <c r="H2225">
        <v>58000</v>
      </c>
      <c r="I2225">
        <v>229564000</v>
      </c>
    </row>
    <row r="2226" spans="1:11" hidden="1" x14ac:dyDescent="0.25">
      <c r="A2226" s="210" t="s">
        <v>1541</v>
      </c>
      <c r="B2226">
        <v>8527</v>
      </c>
      <c r="C2226" s="100">
        <v>46115</v>
      </c>
      <c r="D2226" t="s">
        <v>13</v>
      </c>
      <c r="E2226" t="s">
        <v>109</v>
      </c>
      <c r="F2226" t="s">
        <v>682</v>
      </c>
      <c r="G2226">
        <v>2037</v>
      </c>
      <c r="H2226">
        <v>58000</v>
      </c>
      <c r="I2226">
        <v>118146000</v>
      </c>
    </row>
    <row r="2227" spans="1:11" hidden="1" x14ac:dyDescent="0.25">
      <c r="A2227" s="210" t="s">
        <v>1489</v>
      </c>
      <c r="B2227">
        <v>8526</v>
      </c>
      <c r="C2227" s="100">
        <v>46115</v>
      </c>
      <c r="D2227" t="s">
        <v>13</v>
      </c>
      <c r="E2227" t="s">
        <v>103</v>
      </c>
      <c r="F2227" t="s">
        <v>179</v>
      </c>
      <c r="G2227">
        <v>44</v>
      </c>
      <c r="H2227">
        <v>38000</v>
      </c>
      <c r="I2227">
        <v>1672000</v>
      </c>
      <c r="K2227" t="s">
        <v>42</v>
      </c>
    </row>
    <row r="2228" spans="1:11" hidden="1" x14ac:dyDescent="0.25">
      <c r="A2228" s="210" t="s">
        <v>1681</v>
      </c>
      <c r="B2228">
        <v>8525</v>
      </c>
      <c r="C2228" s="100">
        <v>46115</v>
      </c>
      <c r="D2228" t="s">
        <v>13</v>
      </c>
      <c r="E2228" t="s">
        <v>150</v>
      </c>
      <c r="F2228" t="s">
        <v>151</v>
      </c>
      <c r="G2228">
        <v>172</v>
      </c>
      <c r="H2228">
        <v>36000</v>
      </c>
      <c r="I2228">
        <v>6192000</v>
      </c>
    </row>
    <row r="2229" spans="1:11" hidden="1" x14ac:dyDescent="0.25">
      <c r="A2229" s="210" t="s">
        <v>1681</v>
      </c>
      <c r="B2229">
        <v>8525</v>
      </c>
      <c r="C2229" s="100">
        <v>46115</v>
      </c>
      <c r="D2229" t="s">
        <v>13</v>
      </c>
      <c r="E2229" t="s">
        <v>17</v>
      </c>
      <c r="F2229" t="s">
        <v>873</v>
      </c>
      <c r="G2229">
        <v>318</v>
      </c>
      <c r="H2229">
        <v>66500</v>
      </c>
      <c r="I2229">
        <v>21147000</v>
      </c>
      <c r="J2229">
        <v>-178</v>
      </c>
    </row>
    <row r="2230" spans="1:11" hidden="1" x14ac:dyDescent="0.25">
      <c r="A2230" s="210" t="s">
        <v>1504</v>
      </c>
      <c r="B2230">
        <v>8524</v>
      </c>
      <c r="C2230" s="100">
        <v>46115</v>
      </c>
      <c r="D2230" t="s">
        <v>13</v>
      </c>
      <c r="E2230" t="s">
        <v>103</v>
      </c>
      <c r="F2230" t="s">
        <v>340</v>
      </c>
      <c r="G2230">
        <v>62</v>
      </c>
      <c r="H2230">
        <v>40000</v>
      </c>
      <c r="I2230">
        <v>2480000</v>
      </c>
    </row>
    <row r="2231" spans="1:11" hidden="1" x14ac:dyDescent="0.25">
      <c r="A2231" s="210" t="s">
        <v>1504</v>
      </c>
      <c r="B2231">
        <v>8524</v>
      </c>
      <c r="C2231" s="100">
        <v>46115</v>
      </c>
      <c r="D2231" t="s">
        <v>13</v>
      </c>
      <c r="E2231" t="s">
        <v>54</v>
      </c>
      <c r="F2231" t="s">
        <v>341</v>
      </c>
      <c r="G2231">
        <v>678</v>
      </c>
      <c r="H2231">
        <v>37000</v>
      </c>
      <c r="I2231">
        <v>25086000</v>
      </c>
    </row>
    <row r="2232" spans="1:11" hidden="1" x14ac:dyDescent="0.25">
      <c r="A2232" s="210" t="s">
        <v>1727</v>
      </c>
      <c r="B2232">
        <v>8523</v>
      </c>
      <c r="C2232" s="100">
        <v>46115</v>
      </c>
      <c r="D2232" t="s">
        <v>13</v>
      </c>
      <c r="E2232" t="s">
        <v>45</v>
      </c>
      <c r="F2232" t="s">
        <v>215</v>
      </c>
      <c r="G2232">
        <v>1932.5</v>
      </c>
      <c r="H2232">
        <v>34000</v>
      </c>
      <c r="I2232">
        <v>65705000</v>
      </c>
    </row>
    <row r="2233" spans="1:11" hidden="1" x14ac:dyDescent="0.25">
      <c r="A2233" s="210" t="s">
        <v>1708</v>
      </c>
      <c r="B2233">
        <v>8522</v>
      </c>
      <c r="C2233" s="100">
        <v>46115</v>
      </c>
      <c r="D2233" t="s">
        <v>13</v>
      </c>
      <c r="E2233" t="s">
        <v>45</v>
      </c>
      <c r="F2233" t="s">
        <v>215</v>
      </c>
      <c r="G2233">
        <v>5389</v>
      </c>
      <c r="H2233">
        <v>34000</v>
      </c>
      <c r="I2233">
        <v>183226000</v>
      </c>
    </row>
    <row r="2234" spans="1:11" hidden="1" x14ac:dyDescent="0.25">
      <c r="A2234" s="210" t="s">
        <v>1487</v>
      </c>
      <c r="B2234">
        <v>8521</v>
      </c>
      <c r="C2234" s="100">
        <v>46115</v>
      </c>
      <c r="D2234" t="s">
        <v>13</v>
      </c>
      <c r="E2234" t="s">
        <v>26</v>
      </c>
      <c r="F2234" t="s">
        <v>148</v>
      </c>
      <c r="G2234">
        <v>6281</v>
      </c>
      <c r="H2234">
        <v>35000</v>
      </c>
      <c r="I2234">
        <v>219835000</v>
      </c>
    </row>
    <row r="2235" spans="1:11" hidden="1" x14ac:dyDescent="0.25">
      <c r="A2235" s="210" t="s">
        <v>1524</v>
      </c>
      <c r="B2235">
        <v>8520</v>
      </c>
      <c r="C2235" s="100">
        <v>46115</v>
      </c>
      <c r="D2235" t="s">
        <v>49</v>
      </c>
      <c r="E2235" t="s">
        <v>43</v>
      </c>
      <c r="F2235" t="s">
        <v>148</v>
      </c>
      <c r="G2235">
        <v>4540</v>
      </c>
      <c r="I2235">
        <v>0</v>
      </c>
      <c r="K2235" t="s">
        <v>572</v>
      </c>
    </row>
    <row r="2236" spans="1:11" hidden="1" x14ac:dyDescent="0.25">
      <c r="A2236" s="210" t="s">
        <v>1524</v>
      </c>
      <c r="B2236">
        <v>8520</v>
      </c>
      <c r="C2236" s="100">
        <v>46115</v>
      </c>
      <c r="D2236" t="s">
        <v>49</v>
      </c>
      <c r="E2236" t="s">
        <v>135</v>
      </c>
      <c r="F2236" t="s">
        <v>148</v>
      </c>
      <c r="G2236">
        <v>5202</v>
      </c>
      <c r="I2236">
        <v>0</v>
      </c>
      <c r="K2236" t="s">
        <v>572</v>
      </c>
    </row>
    <row r="2237" spans="1:11" hidden="1" x14ac:dyDescent="0.25">
      <c r="A2237" s="210" t="s">
        <v>1626</v>
      </c>
      <c r="B2237">
        <v>8518</v>
      </c>
      <c r="C2237" s="100">
        <v>46114</v>
      </c>
      <c r="D2237" t="s">
        <v>13</v>
      </c>
      <c r="E2237" t="s">
        <v>50</v>
      </c>
      <c r="F2237" t="s">
        <v>1197</v>
      </c>
      <c r="G2237">
        <v>266</v>
      </c>
      <c r="H2237">
        <v>58500</v>
      </c>
      <c r="I2237">
        <v>15561000</v>
      </c>
    </row>
    <row r="2238" spans="1:11" hidden="1" x14ac:dyDescent="0.25">
      <c r="A2238" s="210" t="s">
        <v>1511</v>
      </c>
      <c r="B2238">
        <v>8517</v>
      </c>
      <c r="C2238" s="100">
        <v>46114</v>
      </c>
      <c r="D2238" t="s">
        <v>13</v>
      </c>
      <c r="E2238" t="s">
        <v>195</v>
      </c>
      <c r="F2238" t="s">
        <v>397</v>
      </c>
      <c r="G2238">
        <v>148</v>
      </c>
      <c r="H2238">
        <v>37000</v>
      </c>
      <c r="I2238">
        <v>5476000</v>
      </c>
      <c r="J2238">
        <v>5476000</v>
      </c>
      <c r="K2238" t="s">
        <v>398</v>
      </c>
    </row>
    <row r="2239" spans="1:11" hidden="1" x14ac:dyDescent="0.25">
      <c r="A2239" s="210" t="s">
        <v>1556</v>
      </c>
      <c r="B2239">
        <v>8516</v>
      </c>
      <c r="C2239" s="100">
        <v>46114</v>
      </c>
      <c r="D2239" t="s">
        <v>13</v>
      </c>
      <c r="E2239" t="s">
        <v>103</v>
      </c>
      <c r="F2239" t="s">
        <v>852</v>
      </c>
      <c r="G2239">
        <v>16</v>
      </c>
      <c r="H2239">
        <v>38000</v>
      </c>
      <c r="I2239">
        <v>608000</v>
      </c>
    </row>
    <row r="2240" spans="1:11" hidden="1" x14ac:dyDescent="0.25">
      <c r="A2240" s="210" t="s">
        <v>1556</v>
      </c>
      <c r="B2240">
        <v>8515</v>
      </c>
      <c r="C2240" s="100">
        <v>46114</v>
      </c>
      <c r="D2240" t="s">
        <v>13</v>
      </c>
      <c r="E2240" t="s">
        <v>26</v>
      </c>
      <c r="F2240" t="s">
        <v>937</v>
      </c>
      <c r="G2240">
        <v>1532</v>
      </c>
      <c r="H2240">
        <v>31500</v>
      </c>
      <c r="I2240">
        <v>48258000</v>
      </c>
    </row>
    <row r="2241" spans="1:11" hidden="1" x14ac:dyDescent="0.25">
      <c r="A2241" s="210" t="s">
        <v>1478</v>
      </c>
      <c r="B2241">
        <v>8514</v>
      </c>
      <c r="C2241" s="100">
        <v>46114</v>
      </c>
      <c r="D2241" t="s">
        <v>13</v>
      </c>
      <c r="E2241" t="s">
        <v>43</v>
      </c>
      <c r="F2241" t="s">
        <v>148</v>
      </c>
      <c r="G2241">
        <v>437</v>
      </c>
      <c r="H2241">
        <v>55000</v>
      </c>
      <c r="I2241">
        <v>24035000</v>
      </c>
      <c r="J2241">
        <v>27500</v>
      </c>
      <c r="K2241" t="s">
        <v>42</v>
      </c>
    </row>
    <row r="2242" spans="1:11" hidden="1" x14ac:dyDescent="0.25">
      <c r="A2242" s="210" t="s">
        <v>1478</v>
      </c>
      <c r="B2242">
        <v>8514</v>
      </c>
      <c r="C2242" s="100">
        <v>46114</v>
      </c>
      <c r="D2242" t="s">
        <v>13</v>
      </c>
      <c r="E2242" t="s">
        <v>14</v>
      </c>
      <c r="F2242" t="s">
        <v>149</v>
      </c>
      <c r="G2242">
        <v>1588</v>
      </c>
      <c r="H2242">
        <v>40000</v>
      </c>
      <c r="I2242">
        <v>63520000</v>
      </c>
      <c r="K2242" t="s">
        <v>42</v>
      </c>
    </row>
    <row r="2243" spans="1:11" hidden="1" x14ac:dyDescent="0.25">
      <c r="A2243" s="210" t="s">
        <v>1524</v>
      </c>
      <c r="B2243">
        <v>8513</v>
      </c>
      <c r="C2243" s="100">
        <v>46114</v>
      </c>
      <c r="D2243" t="s">
        <v>49</v>
      </c>
      <c r="E2243" t="s">
        <v>32</v>
      </c>
      <c r="F2243" t="s">
        <v>211</v>
      </c>
      <c r="G2243">
        <v>4362</v>
      </c>
      <c r="I2243">
        <v>0</v>
      </c>
      <c r="K2243" t="s">
        <v>571</v>
      </c>
    </row>
    <row r="2244" spans="1:11" hidden="1" x14ac:dyDescent="0.25">
      <c r="A2244" s="210" t="s">
        <v>1566</v>
      </c>
      <c r="B2244">
        <v>8512</v>
      </c>
      <c r="C2244" s="100">
        <v>46114</v>
      </c>
      <c r="D2244" t="s">
        <v>13</v>
      </c>
      <c r="E2244" t="s">
        <v>68</v>
      </c>
      <c r="F2244" t="s">
        <v>1172</v>
      </c>
      <c r="G2244">
        <v>88</v>
      </c>
      <c r="H2244">
        <v>42000</v>
      </c>
      <c r="I2244">
        <v>3696000</v>
      </c>
    </row>
    <row r="2245" spans="1:11" hidden="1" x14ac:dyDescent="0.25">
      <c r="A2245" s="210" t="s">
        <v>1566</v>
      </c>
      <c r="B2245">
        <v>8512</v>
      </c>
      <c r="C2245" s="100">
        <v>46114</v>
      </c>
      <c r="D2245" t="s">
        <v>13</v>
      </c>
      <c r="E2245" t="s">
        <v>103</v>
      </c>
      <c r="F2245" t="s">
        <v>1212</v>
      </c>
      <c r="G2245">
        <v>146</v>
      </c>
      <c r="H2245">
        <v>37500</v>
      </c>
      <c r="I2245">
        <v>5475000</v>
      </c>
    </row>
    <row r="2246" spans="1:11" hidden="1" x14ac:dyDescent="0.25">
      <c r="A2246" s="210" t="s">
        <v>1672</v>
      </c>
      <c r="B2246">
        <v>8511</v>
      </c>
      <c r="C2246" s="100">
        <v>46104</v>
      </c>
      <c r="D2246" t="s">
        <v>692</v>
      </c>
      <c r="E2246" t="s">
        <v>1319</v>
      </c>
      <c r="F2246" t="s">
        <v>1320</v>
      </c>
      <c r="G2246">
        <v>113</v>
      </c>
      <c r="H2246">
        <v>-41500</v>
      </c>
      <c r="I2246">
        <v>-4689500</v>
      </c>
    </row>
    <row r="2247" spans="1:11" hidden="1" x14ac:dyDescent="0.25">
      <c r="A2247" s="210" t="s">
        <v>1672</v>
      </c>
      <c r="B2247">
        <v>8511</v>
      </c>
      <c r="C2247" s="100">
        <v>46104</v>
      </c>
      <c r="D2247" t="s">
        <v>692</v>
      </c>
      <c r="E2247" t="s">
        <v>1319</v>
      </c>
      <c r="F2247" t="s">
        <v>1321</v>
      </c>
      <c r="G2247">
        <v>440</v>
      </c>
      <c r="H2247">
        <v>-41500</v>
      </c>
      <c r="I2247">
        <v>-18260000</v>
      </c>
    </row>
    <row r="2248" spans="1:11" hidden="1" x14ac:dyDescent="0.25">
      <c r="A2248" s="210" t="s">
        <v>1676</v>
      </c>
      <c r="B2248">
        <v>8511</v>
      </c>
      <c r="C2248" s="100">
        <v>46114</v>
      </c>
      <c r="D2248" t="s">
        <v>13</v>
      </c>
      <c r="E2248" t="s">
        <v>26</v>
      </c>
      <c r="F2248" t="s">
        <v>65</v>
      </c>
      <c r="G2248">
        <v>545</v>
      </c>
      <c r="H2248">
        <v>36500</v>
      </c>
      <c r="I2248">
        <v>19892500</v>
      </c>
    </row>
    <row r="2249" spans="1:11" hidden="1" x14ac:dyDescent="0.25">
      <c r="A2249" s="210" t="s">
        <v>1676</v>
      </c>
      <c r="B2249">
        <v>8511</v>
      </c>
      <c r="C2249" s="100">
        <v>46114</v>
      </c>
      <c r="D2249" t="s">
        <v>13</v>
      </c>
      <c r="E2249" t="s">
        <v>26</v>
      </c>
      <c r="F2249" t="s">
        <v>136</v>
      </c>
      <c r="G2249">
        <v>630</v>
      </c>
      <c r="H2249">
        <v>36000</v>
      </c>
      <c r="I2249">
        <v>22680000</v>
      </c>
    </row>
    <row r="2250" spans="1:11" hidden="1" x14ac:dyDescent="0.25">
      <c r="A2250" s="210" t="s">
        <v>1676</v>
      </c>
      <c r="B2250">
        <v>8511</v>
      </c>
      <c r="C2250" s="100">
        <v>46114</v>
      </c>
      <c r="D2250" t="s">
        <v>13</v>
      </c>
      <c r="E2250" t="s">
        <v>17</v>
      </c>
      <c r="F2250" t="s">
        <v>25</v>
      </c>
      <c r="G2250">
        <v>1688</v>
      </c>
      <c r="H2250">
        <v>66500</v>
      </c>
      <c r="I2250">
        <v>112252000</v>
      </c>
    </row>
    <row r="2251" spans="1:11" hidden="1" x14ac:dyDescent="0.25">
      <c r="A2251" s="210" t="s">
        <v>1676</v>
      </c>
      <c r="B2251">
        <v>8511</v>
      </c>
      <c r="C2251" s="100">
        <v>46114</v>
      </c>
      <c r="D2251" t="s">
        <v>13</v>
      </c>
      <c r="E2251" t="s">
        <v>17</v>
      </c>
      <c r="F2251" t="s">
        <v>31</v>
      </c>
      <c r="G2251">
        <v>1362</v>
      </c>
      <c r="H2251">
        <v>66500</v>
      </c>
      <c r="I2251">
        <v>90573000</v>
      </c>
    </row>
    <row r="2252" spans="1:11" hidden="1" x14ac:dyDescent="0.25">
      <c r="A2252" s="210" t="s">
        <v>1676</v>
      </c>
      <c r="B2252">
        <v>8511</v>
      </c>
      <c r="C2252" s="100">
        <v>46114</v>
      </c>
      <c r="D2252" t="s">
        <v>13</v>
      </c>
      <c r="E2252" t="s">
        <v>17</v>
      </c>
      <c r="F2252" t="s">
        <v>429</v>
      </c>
      <c r="G2252">
        <v>2084</v>
      </c>
      <c r="H2252">
        <v>58000</v>
      </c>
      <c r="I2252">
        <v>120872000</v>
      </c>
      <c r="K2252" t="s">
        <v>184</v>
      </c>
    </row>
    <row r="2253" spans="1:11" hidden="1" x14ac:dyDescent="0.25">
      <c r="A2253" s="210" t="s">
        <v>1541</v>
      </c>
      <c r="B2253">
        <v>8510</v>
      </c>
      <c r="C2253" s="100">
        <v>46114</v>
      </c>
      <c r="D2253" t="s">
        <v>13</v>
      </c>
      <c r="E2253" t="s">
        <v>45</v>
      </c>
      <c r="F2253" t="s">
        <v>888</v>
      </c>
      <c r="G2253">
        <v>284</v>
      </c>
      <c r="H2253">
        <v>32500</v>
      </c>
      <c r="I2253">
        <v>9230000</v>
      </c>
      <c r="K2253" t="s">
        <v>889</v>
      </c>
    </row>
    <row r="2254" spans="1:11" hidden="1" x14ac:dyDescent="0.25">
      <c r="A2254" s="210" t="s">
        <v>1475</v>
      </c>
      <c r="B2254">
        <v>8508</v>
      </c>
      <c r="C2254" s="100">
        <v>46114</v>
      </c>
      <c r="D2254" t="s">
        <v>13</v>
      </c>
      <c r="E2254" t="s">
        <v>17</v>
      </c>
      <c r="F2254" t="s">
        <v>38</v>
      </c>
      <c r="G2254">
        <v>2022</v>
      </c>
      <c r="H2254">
        <v>60500</v>
      </c>
      <c r="I2254">
        <v>122331000</v>
      </c>
    </row>
    <row r="2255" spans="1:11" hidden="1" x14ac:dyDescent="0.25">
      <c r="A2255" s="210" t="s">
        <v>1475</v>
      </c>
      <c r="B2255">
        <v>8508</v>
      </c>
      <c r="C2255" s="100">
        <v>46114</v>
      </c>
      <c r="D2255" t="s">
        <v>13</v>
      </c>
      <c r="E2255" t="s">
        <v>17</v>
      </c>
      <c r="F2255" t="s">
        <v>39</v>
      </c>
      <c r="G2255">
        <v>2110</v>
      </c>
      <c r="H2255">
        <v>60500</v>
      </c>
      <c r="I2255">
        <v>127655000</v>
      </c>
    </row>
    <row r="2256" spans="1:11" hidden="1" x14ac:dyDescent="0.25">
      <c r="A2256" s="210" t="s">
        <v>1475</v>
      </c>
      <c r="B2256">
        <v>8508</v>
      </c>
      <c r="C2256" s="100">
        <v>46114</v>
      </c>
      <c r="D2256" t="s">
        <v>13</v>
      </c>
      <c r="E2256" t="s">
        <v>17</v>
      </c>
      <c r="F2256" t="s">
        <v>40</v>
      </c>
      <c r="G2256">
        <v>487</v>
      </c>
      <c r="H2256">
        <v>60500</v>
      </c>
      <c r="I2256">
        <v>29463500</v>
      </c>
    </row>
    <row r="2257" spans="1:11" hidden="1" x14ac:dyDescent="0.25">
      <c r="A2257" s="210" t="s">
        <v>1475</v>
      </c>
      <c r="B2257">
        <v>8508</v>
      </c>
      <c r="C2257" s="100">
        <v>46114</v>
      </c>
      <c r="D2257" t="s">
        <v>13</v>
      </c>
      <c r="E2257" t="s">
        <v>17</v>
      </c>
      <c r="F2257" t="s">
        <v>41</v>
      </c>
      <c r="G2257">
        <v>624</v>
      </c>
      <c r="H2257">
        <v>60500</v>
      </c>
      <c r="I2257">
        <v>37752000</v>
      </c>
    </row>
    <row r="2258" spans="1:11" hidden="1" x14ac:dyDescent="0.25">
      <c r="A2258" s="210" t="s">
        <v>1689</v>
      </c>
      <c r="B2258">
        <v>8507</v>
      </c>
      <c r="C2258" s="100">
        <v>46114</v>
      </c>
      <c r="D2258" t="s">
        <v>13</v>
      </c>
      <c r="E2258" t="s">
        <v>50</v>
      </c>
      <c r="F2258" t="s">
        <v>1384</v>
      </c>
      <c r="G2258">
        <v>778</v>
      </c>
      <c r="H2258">
        <v>55000</v>
      </c>
      <c r="I2258">
        <v>42790000</v>
      </c>
    </row>
    <row r="2259" spans="1:11" hidden="1" x14ac:dyDescent="0.25">
      <c r="A2259" s="210" t="s">
        <v>1524</v>
      </c>
      <c r="B2259">
        <v>8506</v>
      </c>
      <c r="C2259" s="100">
        <v>46114</v>
      </c>
      <c r="D2259" t="s">
        <v>49</v>
      </c>
      <c r="E2259" t="s">
        <v>26</v>
      </c>
      <c r="F2259" t="s">
        <v>148</v>
      </c>
      <c r="G2259">
        <v>6294</v>
      </c>
      <c r="I2259">
        <v>0</v>
      </c>
      <c r="K2259" t="s">
        <v>570</v>
      </c>
    </row>
    <row r="2260" spans="1:11" hidden="1" x14ac:dyDescent="0.25">
      <c r="A2260" s="210" t="s">
        <v>1487</v>
      </c>
      <c r="B2260">
        <v>8505</v>
      </c>
      <c r="C2260" s="100">
        <v>46114</v>
      </c>
      <c r="D2260" t="s">
        <v>13</v>
      </c>
      <c r="E2260" t="s">
        <v>26</v>
      </c>
      <c r="F2260" t="s">
        <v>208</v>
      </c>
      <c r="G2260">
        <v>964</v>
      </c>
      <c r="H2260">
        <v>35000</v>
      </c>
      <c r="I2260">
        <v>33740000</v>
      </c>
    </row>
    <row r="2261" spans="1:11" hidden="1" x14ac:dyDescent="0.25">
      <c r="A2261" s="210" t="s">
        <v>1548</v>
      </c>
      <c r="B2261">
        <v>8504</v>
      </c>
      <c r="C2261" s="100">
        <v>46114</v>
      </c>
      <c r="D2261" t="s">
        <v>13</v>
      </c>
      <c r="E2261" t="s">
        <v>103</v>
      </c>
      <c r="F2261" t="s">
        <v>909</v>
      </c>
      <c r="G2261">
        <v>240</v>
      </c>
      <c r="H2261">
        <v>38000</v>
      </c>
      <c r="I2261">
        <v>9120000</v>
      </c>
    </row>
    <row r="2262" spans="1:11" hidden="1" x14ac:dyDescent="0.25">
      <c r="A2262" s="210" t="s">
        <v>1643</v>
      </c>
      <c r="B2262">
        <v>8503</v>
      </c>
      <c r="C2262" s="100">
        <v>46114</v>
      </c>
      <c r="D2262" t="s">
        <v>13</v>
      </c>
      <c r="E2262" t="s">
        <v>17</v>
      </c>
      <c r="F2262" t="s">
        <v>46</v>
      </c>
      <c r="G2262">
        <v>812</v>
      </c>
      <c r="H2262">
        <v>61000</v>
      </c>
      <c r="I2262">
        <v>49532000</v>
      </c>
      <c r="K2262" t="s">
        <v>42</v>
      </c>
    </row>
    <row r="2263" spans="1:11" hidden="1" x14ac:dyDescent="0.25">
      <c r="A2263" s="210" t="s">
        <v>1524</v>
      </c>
      <c r="B2263">
        <v>8502</v>
      </c>
      <c r="C2263" s="100">
        <v>46114</v>
      </c>
      <c r="D2263" t="s">
        <v>49</v>
      </c>
      <c r="E2263" t="s">
        <v>26</v>
      </c>
      <c r="F2263" t="s">
        <v>148</v>
      </c>
      <c r="G2263">
        <v>4560</v>
      </c>
      <c r="I2263">
        <v>0</v>
      </c>
      <c r="K2263" t="s">
        <v>569</v>
      </c>
    </row>
    <row r="2264" spans="1:11" hidden="1" x14ac:dyDescent="0.25">
      <c r="A2264" s="210" t="s">
        <v>1511</v>
      </c>
      <c r="B2264">
        <v>8501</v>
      </c>
      <c r="C2264" s="100">
        <v>46114</v>
      </c>
      <c r="D2264" t="s">
        <v>13</v>
      </c>
      <c r="E2264" t="s">
        <v>103</v>
      </c>
      <c r="F2264" t="s">
        <v>395</v>
      </c>
      <c r="G2264">
        <v>150</v>
      </c>
      <c r="H2264">
        <v>38500</v>
      </c>
      <c r="I2264">
        <v>5775000</v>
      </c>
      <c r="J2264">
        <v>5775000</v>
      </c>
      <c r="K2264" t="s">
        <v>396</v>
      </c>
    </row>
    <row r="2265" spans="1:11" hidden="1" x14ac:dyDescent="0.25">
      <c r="A2265" s="210" t="s">
        <v>1600</v>
      </c>
      <c r="B2265">
        <v>8500</v>
      </c>
      <c r="C2265" s="100">
        <v>46114</v>
      </c>
      <c r="D2265" t="s">
        <v>13</v>
      </c>
      <c r="E2265" t="s">
        <v>252</v>
      </c>
      <c r="F2265" t="s">
        <v>176</v>
      </c>
      <c r="G2265">
        <v>1102</v>
      </c>
      <c r="H2265">
        <v>39000</v>
      </c>
      <c r="I2265">
        <v>42978000</v>
      </c>
    </row>
    <row r="2266" spans="1:11" hidden="1" x14ac:dyDescent="0.25">
      <c r="A2266" s="210" t="s">
        <v>1479</v>
      </c>
      <c r="B2266">
        <v>8499</v>
      </c>
      <c r="C2266" s="100">
        <v>46114</v>
      </c>
      <c r="D2266" t="s">
        <v>13</v>
      </c>
      <c r="E2266" t="s">
        <v>50</v>
      </c>
      <c r="F2266" t="s">
        <v>177</v>
      </c>
      <c r="G2266">
        <v>1080</v>
      </c>
      <c r="H2266">
        <v>60000</v>
      </c>
      <c r="I2266">
        <v>64800000</v>
      </c>
    </row>
    <row r="2267" spans="1:11" hidden="1" x14ac:dyDescent="0.25">
      <c r="A2267" s="210" t="s">
        <v>1479</v>
      </c>
      <c r="B2267">
        <v>8499</v>
      </c>
      <c r="C2267" s="100">
        <v>46114</v>
      </c>
      <c r="D2267" t="s">
        <v>13</v>
      </c>
      <c r="E2267" t="s">
        <v>178</v>
      </c>
      <c r="F2267" t="s">
        <v>41</v>
      </c>
      <c r="G2267">
        <v>1048</v>
      </c>
      <c r="H2267">
        <v>33500</v>
      </c>
      <c r="I2267">
        <v>35108000</v>
      </c>
    </row>
    <row r="2268" spans="1:11" hidden="1" x14ac:dyDescent="0.25">
      <c r="A2268" s="210" t="s">
        <v>1479</v>
      </c>
      <c r="B2268">
        <v>8499</v>
      </c>
      <c r="C2268" s="100">
        <v>46114</v>
      </c>
      <c r="D2268" t="s">
        <v>13</v>
      </c>
      <c r="E2268" t="s">
        <v>36</v>
      </c>
      <c r="F2268" t="s">
        <v>179</v>
      </c>
      <c r="G2268">
        <v>1757</v>
      </c>
      <c r="H2268">
        <v>59000</v>
      </c>
      <c r="I2268">
        <v>103663000</v>
      </c>
    </row>
    <row r="2269" spans="1:11" hidden="1" x14ac:dyDescent="0.25">
      <c r="A2269" s="210" t="s">
        <v>1479</v>
      </c>
      <c r="B2269">
        <v>8499</v>
      </c>
      <c r="C2269" s="100">
        <v>46114</v>
      </c>
      <c r="D2269" t="s">
        <v>13</v>
      </c>
      <c r="E2269" t="s">
        <v>36</v>
      </c>
      <c r="F2269" t="s">
        <v>116</v>
      </c>
      <c r="G2269">
        <v>1063</v>
      </c>
      <c r="H2269">
        <v>59500</v>
      </c>
      <c r="I2269">
        <v>63248500</v>
      </c>
    </row>
    <row r="2270" spans="1:11" hidden="1" x14ac:dyDescent="0.25">
      <c r="A2270" s="210" t="s">
        <v>1479</v>
      </c>
      <c r="B2270">
        <v>8499</v>
      </c>
      <c r="C2270" s="100">
        <v>46114</v>
      </c>
      <c r="D2270" t="s">
        <v>13</v>
      </c>
      <c r="E2270" t="s">
        <v>36</v>
      </c>
      <c r="F2270" t="s">
        <v>110</v>
      </c>
      <c r="G2270">
        <v>956</v>
      </c>
      <c r="H2270">
        <v>60000</v>
      </c>
      <c r="I2270">
        <v>57360000</v>
      </c>
    </row>
    <row r="2271" spans="1:11" hidden="1" x14ac:dyDescent="0.25">
      <c r="A2271" s="210" t="s">
        <v>1479</v>
      </c>
      <c r="B2271">
        <v>8499</v>
      </c>
      <c r="C2271" s="100">
        <v>46114</v>
      </c>
      <c r="D2271" t="s">
        <v>13</v>
      </c>
      <c r="E2271" t="s">
        <v>180</v>
      </c>
      <c r="F2271" t="s">
        <v>181</v>
      </c>
      <c r="G2271">
        <v>204</v>
      </c>
      <c r="H2271">
        <v>57000</v>
      </c>
      <c r="I2271">
        <v>11628000</v>
      </c>
    </row>
    <row r="2272" spans="1:11" hidden="1" x14ac:dyDescent="0.25">
      <c r="A2272" s="210" t="s">
        <v>1518</v>
      </c>
      <c r="B2272">
        <v>8498</v>
      </c>
      <c r="C2272" s="100">
        <v>46114</v>
      </c>
      <c r="D2272" t="s">
        <v>13</v>
      </c>
      <c r="E2272" t="s">
        <v>54</v>
      </c>
      <c r="F2272" t="s">
        <v>117</v>
      </c>
      <c r="G2272">
        <v>200</v>
      </c>
      <c r="H2272">
        <v>36000</v>
      </c>
      <c r="I2272">
        <v>7200000</v>
      </c>
    </row>
    <row r="2273" spans="1:11" hidden="1" x14ac:dyDescent="0.25">
      <c r="A2273" s="210" t="s">
        <v>1518</v>
      </c>
      <c r="B2273">
        <v>8498</v>
      </c>
      <c r="C2273" s="100">
        <v>46114</v>
      </c>
      <c r="D2273" t="s">
        <v>13</v>
      </c>
      <c r="E2273" t="s">
        <v>17</v>
      </c>
      <c r="F2273" t="s">
        <v>41</v>
      </c>
      <c r="G2273">
        <v>650</v>
      </c>
      <c r="H2273">
        <v>61000</v>
      </c>
      <c r="I2273">
        <v>39650000</v>
      </c>
    </row>
    <row r="2274" spans="1:11" hidden="1" x14ac:dyDescent="0.25">
      <c r="A2274" s="210" t="s">
        <v>1580</v>
      </c>
      <c r="B2274">
        <v>8497</v>
      </c>
      <c r="C2274" s="100">
        <v>46114</v>
      </c>
      <c r="D2274" t="s">
        <v>13</v>
      </c>
      <c r="E2274" t="s">
        <v>17</v>
      </c>
      <c r="F2274" t="s">
        <v>251</v>
      </c>
      <c r="G2274">
        <v>649</v>
      </c>
      <c r="H2274">
        <v>65000</v>
      </c>
      <c r="I2274">
        <v>42185000</v>
      </c>
      <c r="K2274" t="s">
        <v>42</v>
      </c>
    </row>
    <row r="2275" spans="1:11" hidden="1" x14ac:dyDescent="0.25">
      <c r="A2275" s="210" t="s">
        <v>1580</v>
      </c>
      <c r="B2275">
        <v>8497</v>
      </c>
      <c r="C2275" s="100">
        <v>46114</v>
      </c>
      <c r="D2275" t="s">
        <v>13</v>
      </c>
      <c r="E2275" t="s">
        <v>43</v>
      </c>
      <c r="F2275" t="s">
        <v>136</v>
      </c>
      <c r="G2275">
        <v>650</v>
      </c>
      <c r="H2275">
        <v>61000</v>
      </c>
      <c r="I2275">
        <v>39650000</v>
      </c>
      <c r="K2275" t="s">
        <v>42</v>
      </c>
    </row>
    <row r="2276" spans="1:11" hidden="1" x14ac:dyDescent="0.25">
      <c r="A2276" s="210" t="s">
        <v>1580</v>
      </c>
      <c r="B2276">
        <v>8497</v>
      </c>
      <c r="C2276" s="100">
        <v>46114</v>
      </c>
      <c r="D2276" t="s">
        <v>13</v>
      </c>
      <c r="E2276" t="s">
        <v>17</v>
      </c>
      <c r="F2276" t="s">
        <v>33</v>
      </c>
      <c r="G2276">
        <v>1152</v>
      </c>
      <c r="H2276">
        <v>61000</v>
      </c>
      <c r="I2276">
        <v>70272000</v>
      </c>
      <c r="K2276" t="s">
        <v>42</v>
      </c>
    </row>
    <row r="2277" spans="1:11" hidden="1" x14ac:dyDescent="0.25">
      <c r="A2277" s="210" t="s">
        <v>1694</v>
      </c>
      <c r="B2277">
        <v>8495</v>
      </c>
      <c r="C2277" s="100">
        <v>46114</v>
      </c>
      <c r="D2277" t="s">
        <v>13</v>
      </c>
      <c r="E2277" t="s">
        <v>103</v>
      </c>
      <c r="F2277" t="s">
        <v>1392</v>
      </c>
      <c r="G2277">
        <v>1556</v>
      </c>
      <c r="H2277">
        <v>37500</v>
      </c>
      <c r="I2277">
        <v>58350000</v>
      </c>
      <c r="J2277">
        <v>559</v>
      </c>
    </row>
    <row r="2278" spans="1:11" hidden="1" x14ac:dyDescent="0.25">
      <c r="A2278" s="210" t="s">
        <v>1524</v>
      </c>
      <c r="B2278">
        <v>8494</v>
      </c>
      <c r="C2278" s="100">
        <v>46114</v>
      </c>
      <c r="D2278" t="s">
        <v>49</v>
      </c>
      <c r="E2278" t="s">
        <v>43</v>
      </c>
      <c r="F2278" t="s">
        <v>141</v>
      </c>
      <c r="G2278">
        <v>4546</v>
      </c>
      <c r="I2278">
        <v>0</v>
      </c>
      <c r="K2278" t="s">
        <v>567</v>
      </c>
    </row>
    <row r="2279" spans="1:11" hidden="1" x14ac:dyDescent="0.25">
      <c r="A2279" s="210" t="s">
        <v>1524</v>
      </c>
      <c r="B2279">
        <v>8494</v>
      </c>
      <c r="C2279" s="100">
        <v>46114</v>
      </c>
      <c r="D2279" t="s">
        <v>49</v>
      </c>
      <c r="E2279" t="s">
        <v>26</v>
      </c>
      <c r="F2279" t="s">
        <v>141</v>
      </c>
      <c r="G2279">
        <v>4560</v>
      </c>
      <c r="I2279">
        <v>0</v>
      </c>
      <c r="K2279" t="s">
        <v>568</v>
      </c>
    </row>
    <row r="2280" spans="1:11" hidden="1" x14ac:dyDescent="0.25">
      <c r="A2280" s="210" t="s">
        <v>1502</v>
      </c>
      <c r="B2280">
        <v>8493</v>
      </c>
      <c r="C2280" s="100">
        <v>46114</v>
      </c>
      <c r="D2280" t="s">
        <v>13</v>
      </c>
      <c r="E2280" t="s">
        <v>103</v>
      </c>
      <c r="F2280" t="s">
        <v>297</v>
      </c>
      <c r="G2280">
        <v>2956</v>
      </c>
      <c r="H2280">
        <v>37000</v>
      </c>
      <c r="I2280">
        <v>109372000</v>
      </c>
    </row>
    <row r="2281" spans="1:11" hidden="1" x14ac:dyDescent="0.25">
      <c r="A2281" s="210" t="s">
        <v>1502</v>
      </c>
      <c r="B2281">
        <v>8493</v>
      </c>
      <c r="C2281" s="100">
        <v>46114</v>
      </c>
      <c r="D2281" t="s">
        <v>13</v>
      </c>
      <c r="E2281" t="s">
        <v>103</v>
      </c>
      <c r="F2281" t="s">
        <v>300</v>
      </c>
      <c r="G2281">
        <v>2038</v>
      </c>
      <c r="H2281">
        <v>37000</v>
      </c>
      <c r="I2281">
        <v>75406000</v>
      </c>
    </row>
    <row r="2282" spans="1:11" hidden="1" x14ac:dyDescent="0.25">
      <c r="A2282" s="210" t="s">
        <v>1672</v>
      </c>
      <c r="B2282">
        <v>8493</v>
      </c>
      <c r="C2282" s="100">
        <v>46102</v>
      </c>
      <c r="D2282" t="s">
        <v>692</v>
      </c>
      <c r="E2282" t="s">
        <v>68</v>
      </c>
      <c r="F2282" t="s">
        <v>1317</v>
      </c>
      <c r="G2282">
        <v>464</v>
      </c>
      <c r="H2282">
        <v>-41500</v>
      </c>
      <c r="I2282">
        <v>-19256000</v>
      </c>
    </row>
    <row r="2283" spans="1:11" hidden="1" x14ac:dyDescent="0.25">
      <c r="A2283" s="210" t="s">
        <v>1524</v>
      </c>
      <c r="B2283">
        <v>8492</v>
      </c>
      <c r="C2283" s="100">
        <v>46114</v>
      </c>
      <c r="D2283" t="s">
        <v>49</v>
      </c>
      <c r="E2283" t="s">
        <v>17</v>
      </c>
      <c r="F2283" t="s">
        <v>469</v>
      </c>
      <c r="G2283">
        <v>4064</v>
      </c>
      <c r="I2283">
        <v>0</v>
      </c>
      <c r="K2283" t="s">
        <v>566</v>
      </c>
    </row>
    <row r="2284" spans="1:11" hidden="1" x14ac:dyDescent="0.25">
      <c r="A2284" s="210" t="s">
        <v>1532</v>
      </c>
      <c r="B2284">
        <v>8491</v>
      </c>
      <c r="C2284" s="100">
        <v>46114</v>
      </c>
      <c r="D2284" t="s">
        <v>49</v>
      </c>
      <c r="E2284" t="s">
        <v>301</v>
      </c>
      <c r="F2284" t="s">
        <v>466</v>
      </c>
      <c r="G2284">
        <v>2544</v>
      </c>
      <c r="I2284">
        <v>0</v>
      </c>
      <c r="K2284" t="s">
        <v>775</v>
      </c>
    </row>
    <row r="2285" spans="1:11" hidden="1" x14ac:dyDescent="0.25">
      <c r="A2285" s="210" t="s">
        <v>1613</v>
      </c>
      <c r="B2285">
        <v>8490</v>
      </c>
      <c r="C2285" s="100">
        <v>46114</v>
      </c>
      <c r="D2285" t="s">
        <v>13</v>
      </c>
      <c r="E2285" t="s">
        <v>265</v>
      </c>
      <c r="F2285" t="s">
        <v>149</v>
      </c>
      <c r="G2285">
        <v>3094</v>
      </c>
      <c r="H2285">
        <v>63000</v>
      </c>
      <c r="I2285">
        <v>194922000</v>
      </c>
    </row>
    <row r="2286" spans="1:11" hidden="1" x14ac:dyDescent="0.25">
      <c r="A2286" s="210" t="s">
        <v>1488</v>
      </c>
      <c r="B2286">
        <v>8489</v>
      </c>
      <c r="C2286" s="100">
        <v>46114</v>
      </c>
      <c r="D2286" t="s">
        <v>13</v>
      </c>
      <c r="E2286" t="s">
        <v>77</v>
      </c>
      <c r="F2286" t="s">
        <v>212</v>
      </c>
      <c r="G2286">
        <v>1106</v>
      </c>
      <c r="H2286">
        <v>28500</v>
      </c>
      <c r="I2286">
        <v>31521000</v>
      </c>
    </row>
    <row r="2287" spans="1:11" hidden="1" x14ac:dyDescent="0.25">
      <c r="A2287" s="210" t="s">
        <v>1488</v>
      </c>
      <c r="B2287">
        <v>8489</v>
      </c>
      <c r="C2287" s="100">
        <v>46114</v>
      </c>
      <c r="D2287" t="s">
        <v>13</v>
      </c>
      <c r="E2287" t="s">
        <v>77</v>
      </c>
      <c r="F2287" t="s">
        <v>213</v>
      </c>
      <c r="G2287">
        <v>2890</v>
      </c>
      <c r="H2287">
        <v>28000</v>
      </c>
      <c r="I2287">
        <v>80920000</v>
      </c>
    </row>
    <row r="2288" spans="1:11" hidden="1" x14ac:dyDescent="0.25">
      <c r="A2288" s="210" t="s">
        <v>1552</v>
      </c>
      <c r="B2288">
        <v>8488</v>
      </c>
      <c r="C2288" s="100">
        <v>46114</v>
      </c>
      <c r="D2288" t="s">
        <v>13</v>
      </c>
      <c r="E2288" t="s">
        <v>265</v>
      </c>
      <c r="F2288" t="s">
        <v>488</v>
      </c>
      <c r="G2288">
        <v>5614</v>
      </c>
      <c r="H2288">
        <v>63500</v>
      </c>
      <c r="I2288">
        <v>356489000</v>
      </c>
    </row>
    <row r="2289" spans="1:11" hidden="1" x14ac:dyDescent="0.25">
      <c r="A2289" s="210" t="s">
        <v>1592</v>
      </c>
      <c r="B2289">
        <v>8487</v>
      </c>
      <c r="C2289" s="100">
        <v>46114</v>
      </c>
      <c r="D2289" t="s">
        <v>49</v>
      </c>
      <c r="E2289" t="s">
        <v>77</v>
      </c>
      <c r="F2289" t="s">
        <v>65</v>
      </c>
      <c r="G2289">
        <v>610</v>
      </c>
      <c r="H2289">
        <v>0</v>
      </c>
      <c r="I2289">
        <v>0</v>
      </c>
      <c r="K2289" t="s">
        <v>1054</v>
      </c>
    </row>
    <row r="2290" spans="1:11" hidden="1" x14ac:dyDescent="0.25">
      <c r="A2290" s="210" t="s">
        <v>1592</v>
      </c>
      <c r="B2290">
        <v>8486</v>
      </c>
      <c r="C2290" s="100">
        <v>46114</v>
      </c>
      <c r="D2290" t="s">
        <v>13</v>
      </c>
      <c r="E2290" t="s">
        <v>135</v>
      </c>
      <c r="F2290" t="s">
        <v>148</v>
      </c>
      <c r="G2290">
        <v>5668</v>
      </c>
      <c r="H2290">
        <v>37500</v>
      </c>
      <c r="I2290">
        <v>212550000</v>
      </c>
    </row>
    <row r="2291" spans="1:11" hidden="1" x14ac:dyDescent="0.25">
      <c r="A2291" s="210" t="s">
        <v>1622</v>
      </c>
      <c r="B2291">
        <v>8485</v>
      </c>
      <c r="C2291" s="100">
        <v>46113</v>
      </c>
      <c r="D2291" t="s">
        <v>13</v>
      </c>
      <c r="E2291" t="s">
        <v>252</v>
      </c>
      <c r="F2291" t="s">
        <v>62</v>
      </c>
      <c r="G2291">
        <v>910</v>
      </c>
      <c r="H2291">
        <v>40000</v>
      </c>
      <c r="I2291">
        <v>36400000</v>
      </c>
    </row>
    <row r="2292" spans="1:11" hidden="1" x14ac:dyDescent="0.25">
      <c r="A2292" s="210" t="s">
        <v>1622</v>
      </c>
      <c r="B2292">
        <v>8485</v>
      </c>
      <c r="C2292" s="100">
        <v>46113</v>
      </c>
      <c r="D2292" t="s">
        <v>13</v>
      </c>
      <c r="E2292" t="s">
        <v>32</v>
      </c>
      <c r="F2292" t="s">
        <v>40</v>
      </c>
      <c r="G2292">
        <v>846</v>
      </c>
      <c r="H2292">
        <v>43000</v>
      </c>
      <c r="I2292">
        <v>36378000</v>
      </c>
    </row>
    <row r="2293" spans="1:11" hidden="1" x14ac:dyDescent="0.25">
      <c r="A2293" s="210" t="s">
        <v>1622</v>
      </c>
      <c r="B2293">
        <v>8485</v>
      </c>
      <c r="C2293" s="100">
        <v>46113</v>
      </c>
      <c r="D2293" t="s">
        <v>13</v>
      </c>
      <c r="E2293" t="s">
        <v>135</v>
      </c>
      <c r="F2293" t="s">
        <v>1181</v>
      </c>
      <c r="G2293">
        <v>438</v>
      </c>
      <c r="H2293">
        <v>37500</v>
      </c>
      <c r="I2293">
        <v>16425000</v>
      </c>
    </row>
    <row r="2294" spans="1:11" hidden="1" x14ac:dyDescent="0.25">
      <c r="A2294" s="210" t="s">
        <v>1524</v>
      </c>
      <c r="B2294">
        <v>8484</v>
      </c>
      <c r="C2294" s="100">
        <v>46113</v>
      </c>
      <c r="D2294" t="s">
        <v>49</v>
      </c>
      <c r="E2294" t="s">
        <v>43</v>
      </c>
      <c r="F2294" t="s">
        <v>148</v>
      </c>
      <c r="G2294">
        <v>4546</v>
      </c>
      <c r="I2294">
        <v>0</v>
      </c>
      <c r="K2294" t="s">
        <v>564</v>
      </c>
    </row>
    <row r="2295" spans="1:11" hidden="1" x14ac:dyDescent="0.25">
      <c r="A2295" s="210" t="s">
        <v>1524</v>
      </c>
      <c r="B2295">
        <v>8484</v>
      </c>
      <c r="C2295" s="100">
        <v>46113</v>
      </c>
      <c r="D2295" t="s">
        <v>49</v>
      </c>
      <c r="E2295" t="s">
        <v>17</v>
      </c>
      <c r="F2295" t="s">
        <v>469</v>
      </c>
      <c r="G2295">
        <v>560</v>
      </c>
      <c r="I2295">
        <v>0</v>
      </c>
      <c r="K2295" t="s">
        <v>565</v>
      </c>
    </row>
    <row r="2296" spans="1:11" hidden="1" x14ac:dyDescent="0.25">
      <c r="A2296" s="210" t="s">
        <v>1539</v>
      </c>
      <c r="B2296">
        <v>8483</v>
      </c>
      <c r="C2296" s="100">
        <v>46113</v>
      </c>
      <c r="D2296" t="s">
        <v>13</v>
      </c>
      <c r="E2296" t="s">
        <v>50</v>
      </c>
      <c r="F2296" t="s">
        <v>877</v>
      </c>
      <c r="G2296">
        <v>1850</v>
      </c>
      <c r="H2296">
        <v>57000</v>
      </c>
      <c r="I2296">
        <v>105450000</v>
      </c>
    </row>
    <row r="2297" spans="1:11" hidden="1" x14ac:dyDescent="0.25">
      <c r="A2297" s="210" t="s">
        <v>1596</v>
      </c>
      <c r="B2297">
        <v>8482</v>
      </c>
      <c r="C2297" s="100">
        <v>46113</v>
      </c>
      <c r="D2297" t="s">
        <v>49</v>
      </c>
      <c r="E2297" t="s">
        <v>26</v>
      </c>
      <c r="F2297" t="s">
        <v>65</v>
      </c>
      <c r="G2297">
        <v>4984</v>
      </c>
      <c r="I2297">
        <v>0</v>
      </c>
      <c r="K2297" t="s">
        <v>1078</v>
      </c>
    </row>
    <row r="2298" spans="1:11" hidden="1" x14ac:dyDescent="0.25">
      <c r="A2298" s="210" t="s">
        <v>1573</v>
      </c>
      <c r="B2298">
        <v>8481</v>
      </c>
      <c r="C2298" s="100">
        <v>46113</v>
      </c>
      <c r="D2298" t="s">
        <v>13</v>
      </c>
      <c r="E2298" t="s">
        <v>68</v>
      </c>
      <c r="F2298" t="s">
        <v>146</v>
      </c>
      <c r="G2298">
        <v>568</v>
      </c>
      <c r="H2298">
        <v>42000</v>
      </c>
      <c r="I2298">
        <v>23856000</v>
      </c>
    </row>
    <row r="2299" spans="1:11" hidden="1" x14ac:dyDescent="0.25">
      <c r="A2299" s="210" t="s">
        <v>1573</v>
      </c>
      <c r="B2299">
        <v>8481</v>
      </c>
      <c r="C2299" s="100">
        <v>46113</v>
      </c>
      <c r="D2299" t="s">
        <v>13</v>
      </c>
      <c r="E2299" t="s">
        <v>317</v>
      </c>
      <c r="F2299" t="s">
        <v>146</v>
      </c>
      <c r="G2299">
        <v>280</v>
      </c>
      <c r="H2299">
        <v>62000</v>
      </c>
      <c r="I2299">
        <v>17360000</v>
      </c>
    </row>
    <row r="2300" spans="1:11" hidden="1" x14ac:dyDescent="0.25">
      <c r="A2300" s="210" t="s">
        <v>1511</v>
      </c>
      <c r="B2300">
        <v>8480</v>
      </c>
      <c r="C2300" s="100">
        <v>46113</v>
      </c>
      <c r="D2300" t="s">
        <v>13</v>
      </c>
      <c r="E2300" t="s">
        <v>54</v>
      </c>
      <c r="F2300" t="s">
        <v>116</v>
      </c>
      <c r="G2300">
        <v>14</v>
      </c>
      <c r="H2300">
        <v>35000</v>
      </c>
      <c r="I2300">
        <v>490000</v>
      </c>
      <c r="J2300">
        <v>490000</v>
      </c>
    </row>
    <row r="2301" spans="1:11" hidden="1" x14ac:dyDescent="0.25">
      <c r="A2301" s="210" t="s">
        <v>1479</v>
      </c>
      <c r="B2301">
        <v>8479</v>
      </c>
      <c r="C2301" s="100">
        <v>46113</v>
      </c>
      <c r="D2301" t="s">
        <v>13</v>
      </c>
      <c r="E2301" t="s">
        <v>14</v>
      </c>
      <c r="F2301" t="s">
        <v>176</v>
      </c>
      <c r="G2301">
        <v>1976</v>
      </c>
      <c r="H2301">
        <v>43000</v>
      </c>
      <c r="I2301">
        <v>84968000</v>
      </c>
    </row>
    <row r="2302" spans="1:11" hidden="1" x14ac:dyDescent="0.25">
      <c r="A2302" s="210" t="s">
        <v>1479</v>
      </c>
      <c r="B2302">
        <v>8479</v>
      </c>
      <c r="C2302" s="100">
        <v>46113</v>
      </c>
      <c r="D2302" t="s">
        <v>13</v>
      </c>
      <c r="E2302" t="s">
        <v>26</v>
      </c>
      <c r="F2302" t="s">
        <v>41</v>
      </c>
      <c r="G2302">
        <v>724</v>
      </c>
      <c r="H2302">
        <v>33500</v>
      </c>
      <c r="I2302">
        <v>24254000</v>
      </c>
    </row>
    <row r="2303" spans="1:11" hidden="1" x14ac:dyDescent="0.25">
      <c r="A2303" s="210" t="s">
        <v>1592</v>
      </c>
      <c r="B2303">
        <v>8478</v>
      </c>
      <c r="C2303" s="100">
        <v>46113</v>
      </c>
      <c r="D2303" t="s">
        <v>49</v>
      </c>
      <c r="E2303" t="s">
        <v>43</v>
      </c>
      <c r="F2303" t="s">
        <v>136</v>
      </c>
      <c r="G2303">
        <v>5547</v>
      </c>
      <c r="I2303">
        <v>0</v>
      </c>
      <c r="K2303" t="s">
        <v>1053</v>
      </c>
    </row>
    <row r="2304" spans="1:11" hidden="1" x14ac:dyDescent="0.25">
      <c r="A2304" s="210" t="s">
        <v>1552</v>
      </c>
      <c r="B2304">
        <v>8477</v>
      </c>
      <c r="C2304" s="100">
        <v>46113</v>
      </c>
      <c r="D2304" t="s">
        <v>13</v>
      </c>
      <c r="E2304" t="s">
        <v>103</v>
      </c>
      <c r="F2304" t="s">
        <v>122</v>
      </c>
      <c r="G2304">
        <v>1094</v>
      </c>
      <c r="H2304">
        <v>39000</v>
      </c>
      <c r="I2304">
        <v>42666000</v>
      </c>
    </row>
    <row r="2305" spans="1:9" hidden="1" x14ac:dyDescent="0.25">
      <c r="A2305" s="210" t="s">
        <v>1672</v>
      </c>
      <c r="B2305">
        <v>8477</v>
      </c>
      <c r="C2305" s="100">
        <v>46101</v>
      </c>
      <c r="D2305" t="s">
        <v>692</v>
      </c>
      <c r="E2305" t="s">
        <v>68</v>
      </c>
      <c r="F2305" t="s">
        <v>1318</v>
      </c>
      <c r="G2305">
        <v>586</v>
      </c>
      <c r="H2305">
        <v>-41500</v>
      </c>
      <c r="I2305">
        <v>-24319000</v>
      </c>
    </row>
    <row r="2306" spans="1:9" hidden="1" x14ac:dyDescent="0.25">
      <c r="A2306" s="210" t="s">
        <v>1485</v>
      </c>
      <c r="B2306">
        <v>8476</v>
      </c>
      <c r="C2306" s="100">
        <v>46113</v>
      </c>
      <c r="D2306" t="s">
        <v>13</v>
      </c>
      <c r="E2306" t="s">
        <v>43</v>
      </c>
      <c r="F2306" t="s">
        <v>201</v>
      </c>
      <c r="G2306">
        <v>1990</v>
      </c>
      <c r="H2306">
        <v>55000</v>
      </c>
      <c r="I2306">
        <v>109450000</v>
      </c>
    </row>
    <row r="2307" spans="1:9" hidden="1" x14ac:dyDescent="0.25">
      <c r="A2307" s="210" t="s">
        <v>1493</v>
      </c>
      <c r="B2307">
        <v>8475</v>
      </c>
      <c r="C2307" s="100">
        <v>46113</v>
      </c>
      <c r="D2307" t="s">
        <v>13</v>
      </c>
      <c r="E2307" t="s">
        <v>17</v>
      </c>
      <c r="F2307" t="s">
        <v>274</v>
      </c>
      <c r="G2307">
        <v>407</v>
      </c>
      <c r="H2307">
        <v>63000</v>
      </c>
      <c r="I2307">
        <v>25641000</v>
      </c>
    </row>
    <row r="2308" spans="1:9" hidden="1" x14ac:dyDescent="0.25">
      <c r="A2308" s="210" t="s">
        <v>1641</v>
      </c>
      <c r="B2308">
        <v>8474</v>
      </c>
      <c r="C2308" s="100">
        <v>46113</v>
      </c>
      <c r="D2308" t="s">
        <v>13</v>
      </c>
      <c r="E2308" t="s">
        <v>43</v>
      </c>
      <c r="F2308" t="s">
        <v>1241</v>
      </c>
      <c r="G2308">
        <v>2472</v>
      </c>
      <c r="H2308">
        <v>56000</v>
      </c>
      <c r="I2308">
        <v>138432000</v>
      </c>
    </row>
    <row r="2309" spans="1:9" hidden="1" x14ac:dyDescent="0.25">
      <c r="A2309" s="210" t="s">
        <v>1575</v>
      </c>
      <c r="B2309">
        <v>8473</v>
      </c>
      <c r="C2309" s="100">
        <v>46113</v>
      </c>
      <c r="D2309" t="s">
        <v>13</v>
      </c>
      <c r="E2309" t="s">
        <v>17</v>
      </c>
      <c r="F2309" t="s">
        <v>363</v>
      </c>
      <c r="G2309">
        <v>1274</v>
      </c>
      <c r="H2309">
        <v>60000</v>
      </c>
      <c r="I2309">
        <v>76440000</v>
      </c>
    </row>
    <row r="2310" spans="1:9" hidden="1" x14ac:dyDescent="0.25">
      <c r="A2310" s="210" t="s">
        <v>1575</v>
      </c>
      <c r="B2310">
        <v>8473</v>
      </c>
      <c r="C2310" s="100">
        <v>46113</v>
      </c>
      <c r="D2310" t="s">
        <v>13</v>
      </c>
      <c r="E2310" t="s">
        <v>109</v>
      </c>
      <c r="F2310" t="s">
        <v>678</v>
      </c>
      <c r="G2310">
        <v>432</v>
      </c>
      <c r="H2310">
        <v>58500</v>
      </c>
      <c r="I2310">
        <v>25272000</v>
      </c>
    </row>
    <row r="2311" spans="1:9" hidden="1" x14ac:dyDescent="0.25">
      <c r="A2311" s="210" t="s">
        <v>1672</v>
      </c>
      <c r="B2311">
        <v>8471</v>
      </c>
      <c r="C2311" s="100">
        <v>46101</v>
      </c>
      <c r="D2311" t="s">
        <v>84</v>
      </c>
      <c r="E2311" t="s">
        <v>1105</v>
      </c>
      <c r="F2311" t="s">
        <v>1316</v>
      </c>
      <c r="G2311">
        <v>220</v>
      </c>
      <c r="H2311">
        <v>-1800</v>
      </c>
      <c r="I2311">
        <v>-396000</v>
      </c>
    </row>
    <row r="2312" spans="1:9" hidden="1" x14ac:dyDescent="0.25">
      <c r="A2312" s="210" t="s">
        <v>1707</v>
      </c>
      <c r="B2312">
        <v>8471</v>
      </c>
      <c r="C2312" s="100">
        <v>46113</v>
      </c>
      <c r="D2312" t="s">
        <v>13</v>
      </c>
      <c r="E2312" t="s">
        <v>26</v>
      </c>
      <c r="F2312" t="s">
        <v>1443</v>
      </c>
      <c r="G2312">
        <v>2864</v>
      </c>
      <c r="H2312">
        <v>38500</v>
      </c>
      <c r="I2312">
        <v>110264000</v>
      </c>
    </row>
    <row r="2313" spans="1:9" hidden="1" x14ac:dyDescent="0.25">
      <c r="A2313" s="210" t="s">
        <v>1707</v>
      </c>
      <c r="B2313">
        <v>8471</v>
      </c>
      <c r="C2313" s="100">
        <v>46113</v>
      </c>
      <c r="D2313" t="s">
        <v>13</v>
      </c>
      <c r="E2313" t="s">
        <v>26</v>
      </c>
      <c r="F2313" t="s">
        <v>78</v>
      </c>
      <c r="G2313">
        <v>2216</v>
      </c>
      <c r="H2313">
        <v>38500</v>
      </c>
      <c r="I2313">
        <v>85316000</v>
      </c>
    </row>
    <row r="2314" spans="1:9" hidden="1" x14ac:dyDescent="0.25">
      <c r="A2314" s="210" t="s">
        <v>1490</v>
      </c>
      <c r="B2314">
        <v>8470</v>
      </c>
      <c r="C2314" s="100">
        <v>46113</v>
      </c>
      <c r="D2314" t="s">
        <v>13</v>
      </c>
      <c r="E2314" t="s">
        <v>26</v>
      </c>
      <c r="F2314" t="s">
        <v>25</v>
      </c>
      <c r="G2314">
        <v>416</v>
      </c>
      <c r="H2314">
        <v>34500</v>
      </c>
      <c r="I2314">
        <v>14352000</v>
      </c>
    </row>
    <row r="2315" spans="1:9" hidden="1" x14ac:dyDescent="0.25">
      <c r="A2315" s="210" t="s">
        <v>1567</v>
      </c>
      <c r="B2315">
        <v>8469</v>
      </c>
      <c r="C2315" s="100">
        <v>46113</v>
      </c>
      <c r="D2315" t="s">
        <v>13</v>
      </c>
      <c r="E2315" t="s">
        <v>17</v>
      </c>
      <c r="F2315" t="s">
        <v>953</v>
      </c>
      <c r="G2315">
        <v>1282</v>
      </c>
      <c r="H2315">
        <v>60000</v>
      </c>
      <c r="I2315">
        <v>76920000</v>
      </c>
    </row>
    <row r="2316" spans="1:9" hidden="1" x14ac:dyDescent="0.25">
      <c r="A2316" s="210" t="s">
        <v>1567</v>
      </c>
      <c r="B2316">
        <v>8469</v>
      </c>
      <c r="C2316" s="100">
        <v>46113</v>
      </c>
      <c r="D2316" t="s">
        <v>13</v>
      </c>
      <c r="E2316" t="s">
        <v>17</v>
      </c>
      <c r="F2316" t="s">
        <v>33</v>
      </c>
      <c r="G2316">
        <v>1284</v>
      </c>
      <c r="H2316">
        <v>59500</v>
      </c>
      <c r="I2316">
        <v>76398000</v>
      </c>
    </row>
    <row r="2317" spans="1:9" hidden="1" x14ac:dyDescent="0.25">
      <c r="A2317" s="210" t="s">
        <v>1567</v>
      </c>
      <c r="B2317">
        <v>8469</v>
      </c>
      <c r="C2317" s="100">
        <v>46113</v>
      </c>
      <c r="D2317" t="s">
        <v>13</v>
      </c>
      <c r="E2317" t="s">
        <v>17</v>
      </c>
      <c r="F2317" t="s">
        <v>46</v>
      </c>
      <c r="G2317">
        <v>608</v>
      </c>
      <c r="H2317">
        <v>59500</v>
      </c>
      <c r="I2317">
        <v>36176000</v>
      </c>
    </row>
    <row r="2318" spans="1:9" hidden="1" x14ac:dyDescent="0.25">
      <c r="A2318" s="210" t="s">
        <v>1672</v>
      </c>
      <c r="B2318">
        <v>8468</v>
      </c>
      <c r="C2318" s="100">
        <v>46113</v>
      </c>
      <c r="D2318" t="s">
        <v>13</v>
      </c>
      <c r="E2318" t="s">
        <v>26</v>
      </c>
      <c r="F2318" t="s">
        <v>62</v>
      </c>
      <c r="G2318">
        <v>7198</v>
      </c>
      <c r="H2318">
        <v>34500</v>
      </c>
      <c r="I2318">
        <v>248331000</v>
      </c>
    </row>
    <row r="2319" spans="1:9" hidden="1" x14ac:dyDescent="0.25">
      <c r="A2319" s="210" t="s">
        <v>1595</v>
      </c>
      <c r="B2319">
        <v>8467</v>
      </c>
      <c r="C2319" s="100">
        <v>46113</v>
      </c>
      <c r="D2319" t="s">
        <v>13</v>
      </c>
      <c r="E2319" t="s">
        <v>50</v>
      </c>
      <c r="F2319" t="s">
        <v>122</v>
      </c>
      <c r="G2319">
        <v>1020</v>
      </c>
      <c r="H2319">
        <v>55000</v>
      </c>
      <c r="I2319">
        <v>56100000</v>
      </c>
    </row>
    <row r="2320" spans="1:9" hidden="1" x14ac:dyDescent="0.25">
      <c r="A2320" s="210" t="s">
        <v>1633</v>
      </c>
      <c r="B2320">
        <v>8466</v>
      </c>
      <c r="C2320" s="100">
        <v>46113</v>
      </c>
      <c r="D2320" t="s">
        <v>13</v>
      </c>
      <c r="E2320" t="s">
        <v>26</v>
      </c>
      <c r="F2320" t="s">
        <v>62</v>
      </c>
      <c r="G2320">
        <v>4382</v>
      </c>
      <c r="H2320">
        <v>34000</v>
      </c>
      <c r="I2320">
        <v>148988000</v>
      </c>
    </row>
    <row r="2321" spans="1:11" hidden="1" x14ac:dyDescent="0.25">
      <c r="A2321" s="210" t="s">
        <v>1689</v>
      </c>
      <c r="B2321">
        <v>8465</v>
      </c>
      <c r="C2321" s="100">
        <v>46113</v>
      </c>
      <c r="D2321" t="s">
        <v>13</v>
      </c>
      <c r="E2321" t="s">
        <v>50</v>
      </c>
      <c r="F2321" t="s">
        <v>1383</v>
      </c>
      <c r="G2321">
        <v>1794</v>
      </c>
      <c r="H2321">
        <v>55000</v>
      </c>
      <c r="I2321">
        <v>98670000</v>
      </c>
    </row>
    <row r="2322" spans="1:11" hidden="1" x14ac:dyDescent="0.25">
      <c r="A2322" s="210" t="s">
        <v>1489</v>
      </c>
      <c r="B2322">
        <v>8464</v>
      </c>
      <c r="C2322" s="100">
        <v>46113</v>
      </c>
      <c r="D2322" t="s">
        <v>13</v>
      </c>
      <c r="E2322" t="s">
        <v>229</v>
      </c>
      <c r="F2322" t="s">
        <v>62</v>
      </c>
      <c r="G2322">
        <v>48</v>
      </c>
      <c r="H2322">
        <v>48000</v>
      </c>
      <c r="I2322">
        <v>2304000</v>
      </c>
      <c r="K2322" t="s">
        <v>128</v>
      </c>
    </row>
    <row r="2323" spans="1:11" hidden="1" x14ac:dyDescent="0.25">
      <c r="A2323" s="210" t="s">
        <v>1638</v>
      </c>
      <c r="B2323">
        <v>8463</v>
      </c>
      <c r="C2323" s="100">
        <v>46113</v>
      </c>
      <c r="D2323" t="s">
        <v>13</v>
      </c>
      <c r="E2323" t="s">
        <v>854</v>
      </c>
      <c r="F2323" t="s">
        <v>1231</v>
      </c>
      <c r="G2323">
        <v>636</v>
      </c>
      <c r="H2323">
        <v>38000</v>
      </c>
      <c r="I2323">
        <v>24168000</v>
      </c>
    </row>
    <row r="2324" spans="1:11" hidden="1" x14ac:dyDescent="0.25">
      <c r="A2324" s="210" t="s">
        <v>1638</v>
      </c>
      <c r="B2324">
        <v>8463</v>
      </c>
      <c r="C2324" s="100">
        <v>46113</v>
      </c>
      <c r="D2324" t="s">
        <v>13</v>
      </c>
      <c r="E2324" t="s">
        <v>150</v>
      </c>
      <c r="F2324" t="s">
        <v>151</v>
      </c>
      <c r="G2324">
        <v>170</v>
      </c>
      <c r="H2324">
        <v>36000</v>
      </c>
      <c r="I2324">
        <v>6120000</v>
      </c>
    </row>
    <row r="2325" spans="1:11" hidden="1" x14ac:dyDescent="0.25">
      <c r="A2325" s="210" t="s">
        <v>1524</v>
      </c>
      <c r="B2325">
        <v>8462</v>
      </c>
      <c r="C2325" s="100">
        <v>46113</v>
      </c>
      <c r="D2325" t="s">
        <v>49</v>
      </c>
      <c r="E2325" t="s">
        <v>17</v>
      </c>
      <c r="F2325" t="s">
        <v>562</v>
      </c>
      <c r="G2325">
        <v>5480</v>
      </c>
      <c r="I2325">
        <v>0</v>
      </c>
      <c r="K2325" t="s">
        <v>563</v>
      </c>
    </row>
    <row r="2326" spans="1:11" hidden="1" x14ac:dyDescent="0.25">
      <c r="A2326" s="210" t="s">
        <v>1609</v>
      </c>
      <c r="B2326">
        <v>8461</v>
      </c>
      <c r="C2326" s="100">
        <v>46113</v>
      </c>
      <c r="D2326" t="s">
        <v>13</v>
      </c>
      <c r="E2326" t="s">
        <v>1085</v>
      </c>
      <c r="F2326" t="s">
        <v>62</v>
      </c>
      <c r="G2326">
        <v>3061</v>
      </c>
      <c r="H2326">
        <v>38000</v>
      </c>
      <c r="I2326">
        <v>116318000</v>
      </c>
      <c r="K2326" t="s">
        <v>1144</v>
      </c>
    </row>
    <row r="2327" spans="1:11" hidden="1" x14ac:dyDescent="0.25">
      <c r="A2327" s="210" t="s">
        <v>1494</v>
      </c>
      <c r="B2327">
        <v>8460</v>
      </c>
      <c r="C2327" s="100">
        <v>46113</v>
      </c>
      <c r="D2327" t="s">
        <v>13</v>
      </c>
      <c r="E2327" t="s">
        <v>135</v>
      </c>
      <c r="F2327" t="s">
        <v>148</v>
      </c>
      <c r="G2327">
        <v>5278</v>
      </c>
      <c r="H2327">
        <v>37000</v>
      </c>
      <c r="I2327">
        <v>195286000</v>
      </c>
    </row>
    <row r="2328" spans="1:11" hidden="1" x14ac:dyDescent="0.25">
      <c r="A2328" s="210" t="s">
        <v>1530</v>
      </c>
      <c r="B2328">
        <v>8458</v>
      </c>
      <c r="C2328" s="100">
        <v>46113</v>
      </c>
      <c r="D2328" t="s">
        <v>13</v>
      </c>
      <c r="E2328" t="s">
        <v>691</v>
      </c>
      <c r="F2328" t="s">
        <v>148</v>
      </c>
      <c r="G2328">
        <v>5330</v>
      </c>
      <c r="H2328">
        <v>37000</v>
      </c>
      <c r="I2328">
        <v>197210000</v>
      </c>
    </row>
    <row r="2329" spans="1:11" hidden="1" x14ac:dyDescent="0.25">
      <c r="A2329" s="210" t="s">
        <v>1564</v>
      </c>
      <c r="B2329">
        <v>8457</v>
      </c>
      <c r="C2329" s="100">
        <v>46113</v>
      </c>
      <c r="D2329" t="s">
        <v>13</v>
      </c>
      <c r="E2329" t="s">
        <v>43</v>
      </c>
      <c r="F2329" t="s">
        <v>40</v>
      </c>
      <c r="G2329">
        <v>532</v>
      </c>
      <c r="H2329">
        <v>64000</v>
      </c>
      <c r="I2329">
        <v>34048000</v>
      </c>
    </row>
    <row r="2330" spans="1:11" hidden="1" x14ac:dyDescent="0.25">
      <c r="A2330" s="210" t="s">
        <v>1564</v>
      </c>
      <c r="B2330">
        <v>8457</v>
      </c>
      <c r="C2330" s="100">
        <v>46113</v>
      </c>
      <c r="D2330" t="s">
        <v>13</v>
      </c>
      <c r="E2330" t="s">
        <v>43</v>
      </c>
      <c r="F2330" t="s">
        <v>230</v>
      </c>
      <c r="G2330">
        <v>756</v>
      </c>
      <c r="H2330">
        <v>66500</v>
      </c>
      <c r="I2330">
        <v>50274000</v>
      </c>
    </row>
    <row r="2331" spans="1:11" hidden="1" x14ac:dyDescent="0.25">
      <c r="A2331" s="210" t="s">
        <v>1552</v>
      </c>
      <c r="B2331">
        <v>8456</v>
      </c>
      <c r="C2331" s="100">
        <v>46113</v>
      </c>
      <c r="D2331" t="s">
        <v>13</v>
      </c>
      <c r="E2331" t="s">
        <v>265</v>
      </c>
      <c r="F2331" t="s">
        <v>220</v>
      </c>
      <c r="G2331">
        <v>1954</v>
      </c>
      <c r="H2331">
        <v>65000</v>
      </c>
      <c r="I2331">
        <v>127010000</v>
      </c>
    </row>
    <row r="2332" spans="1:11" hidden="1" x14ac:dyDescent="0.25">
      <c r="A2332" s="210" t="s">
        <v>1593</v>
      </c>
      <c r="B2332">
        <v>8455</v>
      </c>
      <c r="C2332" s="100">
        <v>46113</v>
      </c>
      <c r="D2332" t="s">
        <v>13</v>
      </c>
      <c r="E2332" t="s">
        <v>169</v>
      </c>
      <c r="F2332" t="s">
        <v>41</v>
      </c>
      <c r="G2332">
        <v>2254</v>
      </c>
      <c r="H2332">
        <v>38500</v>
      </c>
      <c r="I2332">
        <v>86779000</v>
      </c>
    </row>
    <row r="2333" spans="1:11" hidden="1" x14ac:dyDescent="0.25">
      <c r="A2333" s="210" t="s">
        <v>1587</v>
      </c>
      <c r="B2333">
        <v>8454</v>
      </c>
      <c r="C2333" s="100">
        <v>46113</v>
      </c>
      <c r="D2333" t="s">
        <v>13</v>
      </c>
      <c r="E2333" t="s">
        <v>26</v>
      </c>
      <c r="F2333" t="s">
        <v>148</v>
      </c>
      <c r="G2333">
        <v>7084</v>
      </c>
      <c r="H2333">
        <v>35000</v>
      </c>
      <c r="I2333">
        <v>247940000</v>
      </c>
    </row>
    <row r="2334" spans="1:11" hidden="1" x14ac:dyDescent="0.25">
      <c r="A2334" s="210" t="s">
        <v>1587</v>
      </c>
      <c r="B2334">
        <v>8454</v>
      </c>
      <c r="C2334" s="100">
        <v>46113</v>
      </c>
      <c r="D2334" t="s">
        <v>13</v>
      </c>
      <c r="E2334" t="s">
        <v>17</v>
      </c>
      <c r="F2334" t="s">
        <v>33</v>
      </c>
      <c r="G2334">
        <v>808</v>
      </c>
      <c r="H2334">
        <v>66000</v>
      </c>
      <c r="I2334">
        <v>53328000</v>
      </c>
    </row>
    <row r="2335" spans="1:11" hidden="1" x14ac:dyDescent="0.25">
      <c r="A2335" s="210" t="s">
        <v>1476</v>
      </c>
      <c r="B2335">
        <v>8453</v>
      </c>
      <c r="C2335" s="100">
        <v>46113</v>
      </c>
      <c r="D2335" t="s">
        <v>49</v>
      </c>
      <c r="E2335" t="s">
        <v>50</v>
      </c>
      <c r="F2335" t="s">
        <v>2005</v>
      </c>
      <c r="G2335">
        <v>1126</v>
      </c>
      <c r="I2335">
        <v>0</v>
      </c>
      <c r="K2335" t="s">
        <v>85</v>
      </c>
    </row>
    <row r="2336" spans="1:11" hidden="1" x14ac:dyDescent="0.25">
      <c r="A2336" s="210" t="s">
        <v>1646</v>
      </c>
      <c r="B2336">
        <v>8452</v>
      </c>
      <c r="C2336" s="100">
        <v>46112</v>
      </c>
      <c r="D2336" t="s">
        <v>13</v>
      </c>
      <c r="E2336" t="s">
        <v>50</v>
      </c>
      <c r="F2336" t="s">
        <v>380</v>
      </c>
      <c r="G2336">
        <v>650</v>
      </c>
      <c r="H2336">
        <v>60000</v>
      </c>
      <c r="I2336">
        <v>39000000</v>
      </c>
    </row>
    <row r="2337" spans="1:11" hidden="1" x14ac:dyDescent="0.25">
      <c r="A2337" s="210" t="s">
        <v>1511</v>
      </c>
      <c r="B2337">
        <v>8451</v>
      </c>
      <c r="C2337" s="100">
        <v>46112</v>
      </c>
      <c r="D2337" t="s">
        <v>13</v>
      </c>
      <c r="E2337" t="s">
        <v>103</v>
      </c>
      <c r="F2337" t="s">
        <v>41</v>
      </c>
      <c r="G2337">
        <v>42</v>
      </c>
      <c r="H2337">
        <v>38000</v>
      </c>
      <c r="I2337">
        <v>1596000</v>
      </c>
      <c r="J2337">
        <v>1596000</v>
      </c>
    </row>
    <row r="2338" spans="1:11" hidden="1" x14ac:dyDescent="0.25">
      <c r="A2338" s="210" t="s">
        <v>1620</v>
      </c>
      <c r="B2338">
        <v>8450</v>
      </c>
      <c r="C2338" s="100">
        <v>46112</v>
      </c>
      <c r="D2338" t="s">
        <v>13</v>
      </c>
      <c r="E2338" t="s">
        <v>43</v>
      </c>
      <c r="F2338" t="s">
        <v>251</v>
      </c>
      <c r="G2338">
        <v>850</v>
      </c>
      <c r="H2338">
        <v>62000</v>
      </c>
      <c r="I2338">
        <v>52700000</v>
      </c>
    </row>
    <row r="2339" spans="1:11" hidden="1" x14ac:dyDescent="0.25">
      <c r="A2339" s="210" t="s">
        <v>1536</v>
      </c>
      <c r="B2339">
        <v>8449</v>
      </c>
      <c r="C2339" s="100">
        <v>46112</v>
      </c>
      <c r="D2339" t="s">
        <v>13</v>
      </c>
      <c r="E2339" t="s">
        <v>109</v>
      </c>
      <c r="F2339" t="s">
        <v>846</v>
      </c>
      <c r="G2339">
        <v>1256</v>
      </c>
      <c r="H2339">
        <v>57500</v>
      </c>
      <c r="I2339">
        <v>72220000</v>
      </c>
    </row>
    <row r="2340" spans="1:11" hidden="1" x14ac:dyDescent="0.25">
      <c r="A2340" s="210" t="s">
        <v>1536</v>
      </c>
      <c r="B2340">
        <v>8449</v>
      </c>
      <c r="C2340" s="100">
        <v>46112</v>
      </c>
      <c r="D2340" t="s">
        <v>13</v>
      </c>
      <c r="E2340" t="s">
        <v>109</v>
      </c>
      <c r="F2340" t="s">
        <v>847</v>
      </c>
      <c r="G2340">
        <v>1788</v>
      </c>
      <c r="H2340">
        <v>57500</v>
      </c>
      <c r="I2340">
        <v>102810000</v>
      </c>
    </row>
    <row r="2341" spans="1:11" hidden="1" x14ac:dyDescent="0.25">
      <c r="A2341" s="210" t="s">
        <v>1536</v>
      </c>
      <c r="B2341">
        <v>8449</v>
      </c>
      <c r="C2341" s="100">
        <v>46112</v>
      </c>
      <c r="D2341" t="s">
        <v>13</v>
      </c>
      <c r="E2341" t="s">
        <v>109</v>
      </c>
      <c r="F2341" t="s">
        <v>848</v>
      </c>
      <c r="G2341">
        <v>136</v>
      </c>
      <c r="H2341">
        <v>57000</v>
      </c>
      <c r="I2341">
        <v>7752000</v>
      </c>
    </row>
    <row r="2342" spans="1:11" hidden="1" x14ac:dyDescent="0.25">
      <c r="A2342" s="210" t="s">
        <v>1536</v>
      </c>
      <c r="B2342">
        <v>8449</v>
      </c>
      <c r="C2342" s="100">
        <v>46112</v>
      </c>
      <c r="D2342" t="s">
        <v>13</v>
      </c>
      <c r="E2342" t="s">
        <v>26</v>
      </c>
      <c r="F2342" t="s">
        <v>230</v>
      </c>
      <c r="G2342">
        <v>228</v>
      </c>
      <c r="H2342">
        <v>36000</v>
      </c>
      <c r="I2342">
        <v>8208000</v>
      </c>
    </row>
    <row r="2343" spans="1:11" hidden="1" x14ac:dyDescent="0.25">
      <c r="A2343" s="210" t="s">
        <v>1536</v>
      </c>
      <c r="B2343">
        <v>8449</v>
      </c>
      <c r="C2343" s="100">
        <v>46112</v>
      </c>
      <c r="D2343" t="s">
        <v>13</v>
      </c>
      <c r="E2343" t="s">
        <v>17</v>
      </c>
      <c r="F2343" t="s">
        <v>40</v>
      </c>
      <c r="G2343">
        <v>226</v>
      </c>
      <c r="H2343">
        <v>65000</v>
      </c>
      <c r="I2343">
        <v>14690000</v>
      </c>
    </row>
    <row r="2344" spans="1:11" hidden="1" x14ac:dyDescent="0.25">
      <c r="A2344" s="210" t="s">
        <v>1536</v>
      </c>
      <c r="B2344">
        <v>8449</v>
      </c>
      <c r="C2344" s="100">
        <v>46112</v>
      </c>
      <c r="D2344" t="s">
        <v>13</v>
      </c>
      <c r="E2344" t="s">
        <v>43</v>
      </c>
      <c r="F2344" t="s">
        <v>148</v>
      </c>
      <c r="G2344">
        <v>593</v>
      </c>
      <c r="H2344">
        <v>56500</v>
      </c>
      <c r="I2344">
        <v>33504500</v>
      </c>
    </row>
    <row r="2345" spans="1:11" hidden="1" x14ac:dyDescent="0.25">
      <c r="A2345" s="210" t="s">
        <v>1692</v>
      </c>
      <c r="B2345">
        <v>8448</v>
      </c>
      <c r="C2345" s="100">
        <v>46112</v>
      </c>
      <c r="D2345" t="s">
        <v>13</v>
      </c>
      <c r="E2345" t="s">
        <v>17</v>
      </c>
      <c r="F2345" t="s">
        <v>78</v>
      </c>
      <c r="G2345">
        <v>3968</v>
      </c>
      <c r="H2345">
        <v>66500</v>
      </c>
      <c r="I2345">
        <v>263872000</v>
      </c>
    </row>
    <row r="2346" spans="1:11" hidden="1" x14ac:dyDescent="0.25">
      <c r="A2346" s="210" t="s">
        <v>1701</v>
      </c>
      <c r="B2346">
        <v>8447</v>
      </c>
      <c r="C2346" s="100">
        <v>46112</v>
      </c>
      <c r="D2346" t="s">
        <v>13</v>
      </c>
      <c r="E2346" t="s">
        <v>26</v>
      </c>
      <c r="F2346" t="s">
        <v>148</v>
      </c>
      <c r="G2346">
        <v>2014</v>
      </c>
      <c r="H2346">
        <v>35000</v>
      </c>
      <c r="I2346">
        <v>70490000</v>
      </c>
    </row>
    <row r="2347" spans="1:11" hidden="1" x14ac:dyDescent="0.25">
      <c r="A2347" s="210" t="s">
        <v>1909</v>
      </c>
      <c r="B2347">
        <v>8446</v>
      </c>
      <c r="C2347" s="100">
        <v>46112</v>
      </c>
      <c r="D2347" t="s">
        <v>13</v>
      </c>
      <c r="E2347" t="s">
        <v>17</v>
      </c>
      <c r="F2347" t="s">
        <v>46</v>
      </c>
      <c r="G2347">
        <v>210</v>
      </c>
      <c r="H2347">
        <v>68000</v>
      </c>
      <c r="I2347">
        <v>14280000</v>
      </c>
      <c r="K2347" t="s">
        <v>1903</v>
      </c>
    </row>
    <row r="2348" spans="1:11" hidden="1" x14ac:dyDescent="0.25">
      <c r="A2348" s="210" t="s">
        <v>1504</v>
      </c>
      <c r="B2348">
        <v>8445</v>
      </c>
      <c r="C2348" s="100">
        <v>46112</v>
      </c>
      <c r="D2348" t="s">
        <v>13</v>
      </c>
      <c r="E2348" t="s">
        <v>338</v>
      </c>
      <c r="F2348" t="s">
        <v>339</v>
      </c>
      <c r="G2348">
        <v>1377</v>
      </c>
      <c r="H2348">
        <v>39000</v>
      </c>
      <c r="I2348">
        <v>53703000</v>
      </c>
    </row>
    <row r="2349" spans="1:11" hidden="1" x14ac:dyDescent="0.25">
      <c r="A2349" s="210" t="s">
        <v>1699</v>
      </c>
      <c r="B2349">
        <v>8444</v>
      </c>
      <c r="C2349" s="100">
        <v>46112</v>
      </c>
      <c r="D2349" t="s">
        <v>13</v>
      </c>
      <c r="E2349" t="s">
        <v>45</v>
      </c>
      <c r="F2349" t="s">
        <v>888</v>
      </c>
      <c r="G2349">
        <v>5558</v>
      </c>
      <c r="H2349">
        <v>34000</v>
      </c>
      <c r="I2349">
        <v>188972000</v>
      </c>
    </row>
    <row r="2350" spans="1:11" hidden="1" x14ac:dyDescent="0.25">
      <c r="A2350" s="210" t="s">
        <v>1524</v>
      </c>
      <c r="B2350">
        <v>8443</v>
      </c>
      <c r="C2350" s="100">
        <v>46112</v>
      </c>
      <c r="D2350" t="s">
        <v>49</v>
      </c>
      <c r="E2350" t="s">
        <v>26</v>
      </c>
      <c r="F2350" t="s">
        <v>78</v>
      </c>
      <c r="G2350">
        <v>5078</v>
      </c>
      <c r="I2350">
        <v>0</v>
      </c>
    </row>
    <row r="2351" spans="1:11" hidden="1" x14ac:dyDescent="0.25">
      <c r="A2351" s="210" t="s">
        <v>1568</v>
      </c>
      <c r="B2351">
        <v>8442</v>
      </c>
      <c r="C2351" s="100">
        <v>46112</v>
      </c>
      <c r="D2351" t="s">
        <v>13</v>
      </c>
      <c r="E2351" t="s">
        <v>26</v>
      </c>
      <c r="F2351" t="s">
        <v>127</v>
      </c>
      <c r="G2351">
        <v>954</v>
      </c>
      <c r="H2351">
        <v>33000</v>
      </c>
      <c r="I2351">
        <v>31482000</v>
      </c>
    </row>
    <row r="2352" spans="1:11" hidden="1" x14ac:dyDescent="0.25">
      <c r="A2352" s="210" t="s">
        <v>1568</v>
      </c>
      <c r="B2352">
        <v>8442</v>
      </c>
      <c r="C2352" s="100">
        <v>46112</v>
      </c>
      <c r="D2352" t="s">
        <v>13</v>
      </c>
      <c r="E2352" t="s">
        <v>26</v>
      </c>
      <c r="F2352" t="s">
        <v>46</v>
      </c>
      <c r="G2352">
        <v>650</v>
      </c>
      <c r="H2352">
        <v>33000</v>
      </c>
      <c r="I2352">
        <v>21450000</v>
      </c>
    </row>
    <row r="2353" spans="1:11" hidden="1" x14ac:dyDescent="0.25">
      <c r="A2353" s="210" t="s">
        <v>1568</v>
      </c>
      <c r="B2353">
        <v>8442</v>
      </c>
      <c r="C2353" s="100">
        <v>46112</v>
      </c>
      <c r="D2353" t="s">
        <v>13</v>
      </c>
      <c r="E2353" t="s">
        <v>17</v>
      </c>
      <c r="F2353" t="s">
        <v>25</v>
      </c>
      <c r="G2353">
        <v>1024</v>
      </c>
      <c r="H2353">
        <v>59000</v>
      </c>
      <c r="I2353">
        <v>60416000</v>
      </c>
    </row>
    <row r="2354" spans="1:11" hidden="1" x14ac:dyDescent="0.25">
      <c r="A2354" s="210" t="s">
        <v>1596</v>
      </c>
      <c r="B2354">
        <v>8441</v>
      </c>
      <c r="C2354" s="100">
        <v>46112</v>
      </c>
      <c r="D2354" t="s">
        <v>49</v>
      </c>
      <c r="E2354" t="s">
        <v>26</v>
      </c>
      <c r="F2354" t="s">
        <v>62</v>
      </c>
      <c r="G2354">
        <v>7397</v>
      </c>
      <c r="I2354">
        <v>0</v>
      </c>
    </row>
    <row r="2355" spans="1:11" hidden="1" x14ac:dyDescent="0.25">
      <c r="A2355" s="210" t="s">
        <v>1689</v>
      </c>
      <c r="B2355">
        <v>8439</v>
      </c>
      <c r="C2355" s="100">
        <v>46112</v>
      </c>
      <c r="D2355" t="s">
        <v>13</v>
      </c>
      <c r="E2355" t="s">
        <v>50</v>
      </c>
      <c r="F2355" t="s">
        <v>1382</v>
      </c>
      <c r="G2355">
        <v>1230</v>
      </c>
      <c r="H2355">
        <v>55000</v>
      </c>
      <c r="I2355">
        <v>67650000</v>
      </c>
    </row>
    <row r="2356" spans="1:11" hidden="1" x14ac:dyDescent="0.25">
      <c r="A2356" s="210" t="s">
        <v>1524</v>
      </c>
      <c r="B2356">
        <v>8438</v>
      </c>
      <c r="C2356" s="100">
        <v>46112</v>
      </c>
      <c r="D2356" t="s">
        <v>49</v>
      </c>
      <c r="E2356" t="s">
        <v>26</v>
      </c>
      <c r="F2356" t="s">
        <v>148</v>
      </c>
      <c r="G2356">
        <v>7433</v>
      </c>
      <c r="I2356">
        <v>0</v>
      </c>
    </row>
    <row r="2357" spans="1:11" hidden="1" x14ac:dyDescent="0.25">
      <c r="A2357" s="210" t="s">
        <v>1487</v>
      </c>
      <c r="B2357">
        <v>8437</v>
      </c>
      <c r="C2357" s="100">
        <v>46112</v>
      </c>
      <c r="D2357" t="s">
        <v>13</v>
      </c>
      <c r="E2357" t="s">
        <v>17</v>
      </c>
      <c r="F2357" t="s">
        <v>40</v>
      </c>
      <c r="G2357">
        <v>10278</v>
      </c>
      <c r="H2357">
        <v>66500</v>
      </c>
      <c r="I2357">
        <v>683487000</v>
      </c>
    </row>
    <row r="2358" spans="1:11" hidden="1" x14ac:dyDescent="0.25">
      <c r="A2358" s="210" t="s">
        <v>1697</v>
      </c>
      <c r="B2358">
        <v>8436</v>
      </c>
      <c r="C2358" s="100">
        <v>46112</v>
      </c>
      <c r="D2358" t="s">
        <v>49</v>
      </c>
      <c r="E2358" t="s">
        <v>192</v>
      </c>
      <c r="F2358" t="s">
        <v>40</v>
      </c>
      <c r="G2358">
        <v>8052</v>
      </c>
      <c r="I2358">
        <v>0</v>
      </c>
    </row>
    <row r="2359" spans="1:11" hidden="1" x14ac:dyDescent="0.25">
      <c r="A2359" s="210" t="s">
        <v>1600</v>
      </c>
      <c r="B2359">
        <v>8433</v>
      </c>
      <c r="C2359" s="100">
        <v>46112</v>
      </c>
      <c r="D2359" t="s">
        <v>13</v>
      </c>
      <c r="E2359" t="s">
        <v>270</v>
      </c>
      <c r="F2359" t="s">
        <v>78</v>
      </c>
      <c r="G2359">
        <v>534</v>
      </c>
      <c r="H2359">
        <v>64000</v>
      </c>
      <c r="I2359">
        <v>34176000</v>
      </c>
    </row>
    <row r="2360" spans="1:11" hidden="1" x14ac:dyDescent="0.25">
      <c r="A2360" s="210" t="s">
        <v>1600</v>
      </c>
      <c r="B2360">
        <v>8433</v>
      </c>
      <c r="C2360" s="100">
        <v>46112</v>
      </c>
      <c r="D2360" t="s">
        <v>13</v>
      </c>
      <c r="E2360" t="s">
        <v>270</v>
      </c>
      <c r="F2360" t="s">
        <v>1109</v>
      </c>
      <c r="G2360">
        <v>130</v>
      </c>
      <c r="H2360">
        <v>62500</v>
      </c>
      <c r="I2360">
        <v>8125000</v>
      </c>
    </row>
    <row r="2361" spans="1:11" hidden="1" x14ac:dyDescent="0.25">
      <c r="A2361" s="210" t="s">
        <v>1600</v>
      </c>
      <c r="B2361">
        <v>8433</v>
      </c>
      <c r="C2361" s="100">
        <v>46112</v>
      </c>
      <c r="D2361" t="s">
        <v>13</v>
      </c>
      <c r="E2361" t="s">
        <v>43</v>
      </c>
      <c r="F2361" t="s">
        <v>246</v>
      </c>
      <c r="G2361">
        <v>1050</v>
      </c>
      <c r="H2361">
        <v>60000</v>
      </c>
      <c r="I2361">
        <v>63000000</v>
      </c>
    </row>
    <row r="2362" spans="1:11" hidden="1" x14ac:dyDescent="0.25">
      <c r="A2362" s="210" t="s">
        <v>1600</v>
      </c>
      <c r="B2362">
        <v>8433</v>
      </c>
      <c r="C2362" s="100">
        <v>46112</v>
      </c>
      <c r="D2362" t="s">
        <v>13</v>
      </c>
      <c r="E2362" t="s">
        <v>252</v>
      </c>
      <c r="F2362" t="s">
        <v>1110</v>
      </c>
      <c r="G2362">
        <v>132</v>
      </c>
      <c r="H2362">
        <v>37000</v>
      </c>
      <c r="I2362">
        <v>4884000</v>
      </c>
    </row>
    <row r="2363" spans="1:11" hidden="1" x14ac:dyDescent="0.25">
      <c r="A2363" s="210" t="s">
        <v>1600</v>
      </c>
      <c r="B2363">
        <v>8433</v>
      </c>
      <c r="C2363" s="100">
        <v>46112</v>
      </c>
      <c r="D2363" t="s">
        <v>13</v>
      </c>
      <c r="E2363" t="s">
        <v>252</v>
      </c>
      <c r="F2363" t="s">
        <v>41</v>
      </c>
      <c r="G2363">
        <v>524</v>
      </c>
      <c r="H2363">
        <v>38000</v>
      </c>
      <c r="I2363">
        <v>19912000</v>
      </c>
    </row>
    <row r="2364" spans="1:11" hidden="1" x14ac:dyDescent="0.25">
      <c r="A2364" s="210" t="s">
        <v>1600</v>
      </c>
      <c r="B2364">
        <v>8433</v>
      </c>
      <c r="C2364" s="100">
        <v>46112</v>
      </c>
      <c r="D2364" t="s">
        <v>13</v>
      </c>
      <c r="E2364" t="s">
        <v>252</v>
      </c>
      <c r="F2364" t="s">
        <v>136</v>
      </c>
      <c r="G2364">
        <v>1088</v>
      </c>
      <c r="H2364">
        <v>38000</v>
      </c>
      <c r="I2364">
        <v>41344000</v>
      </c>
    </row>
    <row r="2365" spans="1:11" hidden="1" x14ac:dyDescent="0.25">
      <c r="A2365" s="210" t="s">
        <v>1600</v>
      </c>
      <c r="B2365">
        <v>8433</v>
      </c>
      <c r="C2365" s="100">
        <v>46112</v>
      </c>
      <c r="D2365" t="s">
        <v>13</v>
      </c>
      <c r="E2365" t="s">
        <v>270</v>
      </c>
      <c r="F2365" t="s">
        <v>41</v>
      </c>
      <c r="G2365">
        <v>638</v>
      </c>
      <c r="H2365">
        <v>64000</v>
      </c>
      <c r="I2365">
        <v>40832000</v>
      </c>
    </row>
    <row r="2366" spans="1:11" hidden="1" x14ac:dyDescent="0.25">
      <c r="A2366" s="210" t="s">
        <v>1511</v>
      </c>
      <c r="B2366">
        <v>8432</v>
      </c>
      <c r="C2366" s="100">
        <v>46112</v>
      </c>
      <c r="D2366" t="s">
        <v>13</v>
      </c>
      <c r="E2366" t="s">
        <v>26</v>
      </c>
      <c r="F2366" t="s">
        <v>393</v>
      </c>
      <c r="G2366">
        <v>426</v>
      </c>
      <c r="H2366">
        <v>34000</v>
      </c>
      <c r="I2366">
        <v>14484000</v>
      </c>
      <c r="J2366">
        <v>14484000</v>
      </c>
      <c r="K2366" t="s">
        <v>394</v>
      </c>
    </row>
    <row r="2367" spans="1:11" hidden="1" x14ac:dyDescent="0.25">
      <c r="A2367" s="210" t="s">
        <v>1615</v>
      </c>
      <c r="B2367">
        <v>8431</v>
      </c>
      <c r="C2367" s="100">
        <v>46112</v>
      </c>
      <c r="D2367" t="s">
        <v>13</v>
      </c>
      <c r="E2367" t="s">
        <v>170</v>
      </c>
      <c r="F2367" t="s">
        <v>1172</v>
      </c>
      <c r="G2367">
        <v>2114</v>
      </c>
      <c r="H2367">
        <v>63500</v>
      </c>
      <c r="I2367">
        <v>134239000</v>
      </c>
    </row>
    <row r="2368" spans="1:11" hidden="1" x14ac:dyDescent="0.25">
      <c r="A2368" s="210" t="s">
        <v>1592</v>
      </c>
      <c r="B2368">
        <v>8430</v>
      </c>
      <c r="C2368" s="100">
        <v>46112</v>
      </c>
      <c r="D2368" t="s">
        <v>49</v>
      </c>
      <c r="E2368" t="s">
        <v>77</v>
      </c>
      <c r="F2368" t="s">
        <v>78</v>
      </c>
      <c r="G2368">
        <v>1374</v>
      </c>
      <c r="I2368">
        <v>0</v>
      </c>
    </row>
    <row r="2369" spans="1:9" hidden="1" x14ac:dyDescent="0.25">
      <c r="A2369" s="210" t="s">
        <v>1524</v>
      </c>
      <c r="B2369">
        <v>8429</v>
      </c>
      <c r="C2369" s="100">
        <v>46112</v>
      </c>
      <c r="D2369" t="s">
        <v>49</v>
      </c>
      <c r="E2369" t="s">
        <v>45</v>
      </c>
      <c r="F2369" t="s">
        <v>462</v>
      </c>
      <c r="G2369">
        <v>5706</v>
      </c>
      <c r="I2369">
        <v>0</v>
      </c>
    </row>
    <row r="2370" spans="1:9" hidden="1" x14ac:dyDescent="0.25">
      <c r="A2370" s="210" t="s">
        <v>2547</v>
      </c>
      <c r="B2370">
        <v>8427</v>
      </c>
      <c r="C2370" s="100">
        <v>46112</v>
      </c>
      <c r="D2370" t="s">
        <v>13</v>
      </c>
      <c r="E2370" t="s">
        <v>17</v>
      </c>
      <c r="F2370" t="s">
        <v>416</v>
      </c>
      <c r="G2370">
        <v>560</v>
      </c>
      <c r="H2370">
        <v>62000</v>
      </c>
      <c r="I2370">
        <v>34720000</v>
      </c>
    </row>
    <row r="2371" spans="1:9" hidden="1" x14ac:dyDescent="0.25">
      <c r="A2371" s="210" t="s">
        <v>1538</v>
      </c>
      <c r="B2371">
        <v>8424</v>
      </c>
      <c r="C2371" s="100">
        <v>46111</v>
      </c>
      <c r="D2371" t="s">
        <v>13</v>
      </c>
      <c r="E2371" t="s">
        <v>54</v>
      </c>
      <c r="F2371" t="s">
        <v>862</v>
      </c>
      <c r="G2371">
        <v>1546</v>
      </c>
      <c r="H2371">
        <v>36000</v>
      </c>
      <c r="I2371">
        <v>55656000</v>
      </c>
    </row>
    <row r="2372" spans="1:9" hidden="1" x14ac:dyDescent="0.25">
      <c r="A2372" s="210" t="s">
        <v>1538</v>
      </c>
      <c r="B2372">
        <v>8424</v>
      </c>
      <c r="C2372" s="100">
        <v>46111</v>
      </c>
      <c r="D2372" t="s">
        <v>13</v>
      </c>
      <c r="E2372" t="s">
        <v>54</v>
      </c>
      <c r="F2372" t="s">
        <v>863</v>
      </c>
      <c r="G2372">
        <v>420</v>
      </c>
      <c r="H2372">
        <v>28000</v>
      </c>
      <c r="I2372">
        <v>11760000</v>
      </c>
    </row>
    <row r="2373" spans="1:9" hidden="1" x14ac:dyDescent="0.25">
      <c r="A2373" s="210" t="s">
        <v>1538</v>
      </c>
      <c r="B2373">
        <v>8424</v>
      </c>
      <c r="C2373" s="100">
        <v>46111</v>
      </c>
      <c r="D2373" t="s">
        <v>13</v>
      </c>
      <c r="E2373" t="s">
        <v>54</v>
      </c>
      <c r="F2373" t="s">
        <v>864</v>
      </c>
      <c r="G2373">
        <v>980</v>
      </c>
      <c r="H2373">
        <v>28000</v>
      </c>
      <c r="I2373">
        <v>27440000</v>
      </c>
    </row>
    <row r="2374" spans="1:9" hidden="1" x14ac:dyDescent="0.25">
      <c r="A2374" s="210" t="s">
        <v>1727</v>
      </c>
      <c r="B2374">
        <v>8423</v>
      </c>
      <c r="C2374" s="100">
        <v>46111</v>
      </c>
      <c r="D2374" t="s">
        <v>13</v>
      </c>
      <c r="E2374" t="s">
        <v>43</v>
      </c>
      <c r="F2374" t="s">
        <v>246</v>
      </c>
      <c r="G2374">
        <v>2170</v>
      </c>
      <c r="H2374">
        <v>55000</v>
      </c>
      <c r="I2374">
        <v>119350000</v>
      </c>
    </row>
    <row r="2375" spans="1:9" hidden="1" x14ac:dyDescent="0.25">
      <c r="A2375" s="210" t="s">
        <v>1558</v>
      </c>
      <c r="B2375">
        <v>8422</v>
      </c>
      <c r="C2375" s="100">
        <v>46111</v>
      </c>
      <c r="D2375" t="s">
        <v>13</v>
      </c>
      <c r="E2375" t="s">
        <v>301</v>
      </c>
      <c r="F2375" t="s">
        <v>941</v>
      </c>
      <c r="G2375">
        <v>1943</v>
      </c>
      <c r="H2375">
        <v>29000</v>
      </c>
      <c r="I2375">
        <v>56347000</v>
      </c>
    </row>
    <row r="2376" spans="1:9" hidden="1" x14ac:dyDescent="0.25">
      <c r="A2376" s="210" t="s">
        <v>1683</v>
      </c>
      <c r="B2376">
        <v>8421</v>
      </c>
      <c r="C2376" s="100">
        <v>46111</v>
      </c>
      <c r="D2376" t="s">
        <v>13</v>
      </c>
      <c r="E2376" t="s">
        <v>50</v>
      </c>
      <c r="F2376" t="s">
        <v>1362</v>
      </c>
      <c r="G2376">
        <v>210</v>
      </c>
      <c r="H2376">
        <v>61000</v>
      </c>
      <c r="I2376">
        <v>12810000</v>
      </c>
    </row>
    <row r="2377" spans="1:9" hidden="1" x14ac:dyDescent="0.25">
      <c r="A2377" s="210" t="s">
        <v>1683</v>
      </c>
      <c r="B2377">
        <v>8421</v>
      </c>
      <c r="C2377" s="100">
        <v>46111</v>
      </c>
      <c r="D2377" t="s">
        <v>13</v>
      </c>
      <c r="E2377" t="s">
        <v>50</v>
      </c>
      <c r="F2377" t="s">
        <v>1363</v>
      </c>
      <c r="G2377">
        <v>290</v>
      </c>
      <c r="H2377">
        <v>59000</v>
      </c>
      <c r="I2377">
        <v>17110000</v>
      </c>
    </row>
    <row r="2378" spans="1:9" hidden="1" x14ac:dyDescent="0.25">
      <c r="A2378" s="210" t="s">
        <v>1683</v>
      </c>
      <c r="B2378">
        <v>8421</v>
      </c>
      <c r="C2378" s="100">
        <v>46111</v>
      </c>
      <c r="D2378" t="s">
        <v>13</v>
      </c>
      <c r="E2378" t="s">
        <v>50</v>
      </c>
      <c r="F2378" t="s">
        <v>1364</v>
      </c>
      <c r="G2378">
        <v>60</v>
      </c>
      <c r="H2378">
        <v>64000</v>
      </c>
      <c r="I2378">
        <v>3840000</v>
      </c>
    </row>
    <row r="2379" spans="1:9" hidden="1" x14ac:dyDescent="0.25">
      <c r="A2379" s="210" t="s">
        <v>1683</v>
      </c>
      <c r="B2379">
        <v>8421</v>
      </c>
      <c r="C2379" s="100">
        <v>46111</v>
      </c>
      <c r="D2379" t="s">
        <v>13</v>
      </c>
      <c r="E2379" t="s">
        <v>50</v>
      </c>
      <c r="F2379" t="s">
        <v>1365</v>
      </c>
      <c r="G2379">
        <v>588</v>
      </c>
      <c r="H2379">
        <v>61000</v>
      </c>
      <c r="I2379">
        <v>35868000</v>
      </c>
    </row>
    <row r="2380" spans="1:9" hidden="1" x14ac:dyDescent="0.25">
      <c r="A2380" s="210" t="s">
        <v>1683</v>
      </c>
      <c r="B2380">
        <v>8421</v>
      </c>
      <c r="C2380" s="100">
        <v>46111</v>
      </c>
      <c r="D2380" t="s">
        <v>13</v>
      </c>
      <c r="E2380" t="s">
        <v>1263</v>
      </c>
      <c r="F2380" t="s">
        <v>1366</v>
      </c>
      <c r="G2380">
        <v>140</v>
      </c>
      <c r="H2380">
        <v>64000</v>
      </c>
      <c r="I2380">
        <v>8960000</v>
      </c>
    </row>
    <row r="2381" spans="1:9" hidden="1" x14ac:dyDescent="0.25">
      <c r="A2381" s="210" t="s">
        <v>1683</v>
      </c>
      <c r="B2381">
        <v>8421</v>
      </c>
      <c r="C2381" s="100">
        <v>46111</v>
      </c>
      <c r="D2381" t="s">
        <v>84</v>
      </c>
      <c r="E2381" t="s">
        <v>1263</v>
      </c>
      <c r="F2381" t="s">
        <v>1366</v>
      </c>
      <c r="G2381">
        <v>140</v>
      </c>
      <c r="H2381">
        <v>2000</v>
      </c>
      <c r="I2381">
        <v>280000</v>
      </c>
    </row>
    <row r="2382" spans="1:9" hidden="1" x14ac:dyDescent="0.25">
      <c r="A2382" s="210" t="s">
        <v>2016</v>
      </c>
      <c r="B2382">
        <v>8420</v>
      </c>
      <c r="C2382" s="100">
        <v>46111</v>
      </c>
      <c r="D2382" t="s">
        <v>13</v>
      </c>
      <c r="E2382" t="s">
        <v>17</v>
      </c>
      <c r="F2382" t="s">
        <v>230</v>
      </c>
      <c r="G2382">
        <v>504</v>
      </c>
      <c r="H2382">
        <v>65000</v>
      </c>
      <c r="I2382">
        <v>32760000</v>
      </c>
    </row>
    <row r="2383" spans="1:9" hidden="1" x14ac:dyDescent="0.25">
      <c r="A2383" s="210" t="s">
        <v>2016</v>
      </c>
      <c r="B2383">
        <v>8420</v>
      </c>
      <c r="C2383" s="100">
        <v>46111</v>
      </c>
      <c r="D2383" t="s">
        <v>13</v>
      </c>
      <c r="E2383" t="s">
        <v>17</v>
      </c>
      <c r="F2383" t="s">
        <v>40</v>
      </c>
      <c r="G2383">
        <v>188</v>
      </c>
      <c r="H2383">
        <v>63000</v>
      </c>
      <c r="I2383">
        <v>11844000</v>
      </c>
    </row>
    <row r="2384" spans="1:9" hidden="1" x14ac:dyDescent="0.25">
      <c r="A2384" s="210" t="s">
        <v>2016</v>
      </c>
      <c r="B2384">
        <v>8420</v>
      </c>
      <c r="C2384" s="100">
        <v>46111</v>
      </c>
      <c r="D2384" t="s">
        <v>13</v>
      </c>
      <c r="E2384" t="s">
        <v>17</v>
      </c>
      <c r="F2384" t="s">
        <v>40</v>
      </c>
      <c r="G2384">
        <v>146</v>
      </c>
      <c r="H2384">
        <v>66000</v>
      </c>
      <c r="I2384">
        <v>9636000</v>
      </c>
    </row>
    <row r="2385" spans="1:10" hidden="1" x14ac:dyDescent="0.25">
      <c r="A2385" s="210" t="s">
        <v>1524</v>
      </c>
      <c r="B2385">
        <v>8419</v>
      </c>
      <c r="C2385" s="100">
        <v>46111</v>
      </c>
      <c r="D2385" t="s">
        <v>49</v>
      </c>
      <c r="E2385" t="s">
        <v>17</v>
      </c>
      <c r="F2385" t="s">
        <v>502</v>
      </c>
      <c r="G2385">
        <v>1900</v>
      </c>
      <c r="I2385">
        <v>0</v>
      </c>
    </row>
    <row r="2386" spans="1:10" hidden="1" x14ac:dyDescent="0.25">
      <c r="A2386" s="210" t="s">
        <v>1524</v>
      </c>
      <c r="B2386">
        <v>8419</v>
      </c>
      <c r="C2386" s="100">
        <v>46111</v>
      </c>
      <c r="D2386" t="s">
        <v>49</v>
      </c>
      <c r="E2386" t="s">
        <v>192</v>
      </c>
      <c r="F2386" t="s">
        <v>134</v>
      </c>
      <c r="G2386">
        <v>5160</v>
      </c>
      <c r="I2386">
        <v>0</v>
      </c>
    </row>
    <row r="2387" spans="1:10" hidden="1" x14ac:dyDescent="0.25">
      <c r="A2387" s="210" t="s">
        <v>1531</v>
      </c>
      <c r="B2387">
        <v>8418</v>
      </c>
      <c r="C2387" s="100">
        <v>46111</v>
      </c>
      <c r="D2387" t="s">
        <v>13</v>
      </c>
      <c r="E2387" t="s">
        <v>43</v>
      </c>
      <c r="F2387" t="s">
        <v>688</v>
      </c>
      <c r="G2387">
        <v>232</v>
      </c>
      <c r="H2387">
        <v>55000</v>
      </c>
      <c r="I2387">
        <v>12760000</v>
      </c>
    </row>
    <row r="2388" spans="1:10" hidden="1" x14ac:dyDescent="0.25">
      <c r="A2388" s="210" t="s">
        <v>1531</v>
      </c>
      <c r="B2388">
        <v>8418</v>
      </c>
      <c r="C2388" s="100">
        <v>46111</v>
      </c>
      <c r="D2388" t="s">
        <v>13</v>
      </c>
      <c r="E2388" t="s">
        <v>43</v>
      </c>
      <c r="F2388" t="s">
        <v>717</v>
      </c>
      <c r="G2388">
        <v>288</v>
      </c>
      <c r="H2388">
        <v>55500</v>
      </c>
      <c r="I2388">
        <v>15984000</v>
      </c>
    </row>
    <row r="2389" spans="1:10" hidden="1" x14ac:dyDescent="0.25">
      <c r="A2389" s="210" t="s">
        <v>1531</v>
      </c>
      <c r="B2389">
        <v>8418</v>
      </c>
      <c r="C2389" s="100">
        <v>46111</v>
      </c>
      <c r="D2389" t="s">
        <v>13</v>
      </c>
      <c r="E2389" t="s">
        <v>442</v>
      </c>
      <c r="F2389" t="s">
        <v>73</v>
      </c>
      <c r="G2389">
        <v>430</v>
      </c>
      <c r="H2389">
        <v>55500</v>
      </c>
      <c r="I2389">
        <v>23865000</v>
      </c>
    </row>
    <row r="2390" spans="1:10" hidden="1" x14ac:dyDescent="0.25">
      <c r="A2390" s="210" t="s">
        <v>1506</v>
      </c>
      <c r="B2390">
        <v>8417</v>
      </c>
      <c r="C2390" s="100">
        <v>46111</v>
      </c>
      <c r="D2390" t="s">
        <v>13</v>
      </c>
      <c r="E2390" t="s">
        <v>43</v>
      </c>
      <c r="F2390" t="s">
        <v>246</v>
      </c>
      <c r="G2390">
        <v>880</v>
      </c>
      <c r="H2390">
        <v>61000</v>
      </c>
      <c r="I2390">
        <v>53680000</v>
      </c>
    </row>
    <row r="2391" spans="1:10" hidden="1" x14ac:dyDescent="0.25">
      <c r="A2391" s="210" t="s">
        <v>1532</v>
      </c>
      <c r="B2391">
        <v>8416</v>
      </c>
      <c r="C2391" s="100">
        <v>46111</v>
      </c>
      <c r="D2391" t="s">
        <v>49</v>
      </c>
      <c r="E2391" t="s">
        <v>301</v>
      </c>
      <c r="F2391" t="s">
        <v>501</v>
      </c>
      <c r="G2391">
        <v>6416</v>
      </c>
      <c r="I2391">
        <v>0</v>
      </c>
    </row>
    <row r="2392" spans="1:10" hidden="1" x14ac:dyDescent="0.25">
      <c r="A2392" s="210" t="s">
        <v>1532</v>
      </c>
      <c r="B2392">
        <v>8416</v>
      </c>
      <c r="C2392" s="100">
        <v>46111</v>
      </c>
      <c r="D2392" t="s">
        <v>49</v>
      </c>
      <c r="E2392" t="s">
        <v>43</v>
      </c>
      <c r="F2392" t="s">
        <v>748</v>
      </c>
      <c r="G2392">
        <v>1710</v>
      </c>
      <c r="I2392">
        <v>0</v>
      </c>
    </row>
    <row r="2393" spans="1:10" hidden="1" x14ac:dyDescent="0.25">
      <c r="A2393" s="210" t="s">
        <v>1532</v>
      </c>
      <c r="B2393">
        <v>8415</v>
      </c>
      <c r="C2393" s="100">
        <v>46111</v>
      </c>
      <c r="D2393" t="s">
        <v>13</v>
      </c>
      <c r="E2393" t="s">
        <v>746</v>
      </c>
      <c r="F2393" t="s">
        <v>747</v>
      </c>
      <c r="G2393">
        <v>1190</v>
      </c>
      <c r="H2393">
        <v>32000</v>
      </c>
      <c r="I2393">
        <v>38080000</v>
      </c>
    </row>
    <row r="2394" spans="1:10" hidden="1" x14ac:dyDescent="0.25">
      <c r="A2394" s="210" t="s">
        <v>1476</v>
      </c>
      <c r="B2394">
        <v>8414</v>
      </c>
      <c r="C2394" s="100">
        <v>46111</v>
      </c>
      <c r="D2394" t="s">
        <v>49</v>
      </c>
      <c r="E2394" t="s">
        <v>50</v>
      </c>
      <c r="F2394" t="s">
        <v>82</v>
      </c>
      <c r="G2394">
        <v>2636</v>
      </c>
      <c r="I2394">
        <v>0</v>
      </c>
    </row>
    <row r="2395" spans="1:10" hidden="1" x14ac:dyDescent="0.25">
      <c r="A2395" s="210" t="s">
        <v>1476</v>
      </c>
      <c r="B2395">
        <v>8414</v>
      </c>
      <c r="C2395" s="100">
        <v>46111</v>
      </c>
      <c r="D2395" t="s">
        <v>49</v>
      </c>
      <c r="E2395" t="s">
        <v>14</v>
      </c>
      <c r="F2395" t="s">
        <v>62</v>
      </c>
      <c r="G2395">
        <v>48</v>
      </c>
      <c r="I2395">
        <v>0</v>
      </c>
    </row>
    <row r="2396" spans="1:10" hidden="1" x14ac:dyDescent="0.25">
      <c r="A2396" s="210" t="s">
        <v>1689</v>
      </c>
      <c r="B2396">
        <v>8413</v>
      </c>
      <c r="C2396" s="100">
        <v>46111</v>
      </c>
      <c r="D2396" t="s">
        <v>13</v>
      </c>
      <c r="E2396" t="s">
        <v>75</v>
      </c>
      <c r="F2396" t="s">
        <v>1381</v>
      </c>
      <c r="G2396">
        <v>1962</v>
      </c>
      <c r="H2396">
        <v>38000</v>
      </c>
      <c r="I2396">
        <v>74556000</v>
      </c>
    </row>
    <row r="2397" spans="1:10" hidden="1" x14ac:dyDescent="0.25">
      <c r="A2397" s="210" t="s">
        <v>1698</v>
      </c>
      <c r="B2397">
        <v>8412</v>
      </c>
      <c r="C2397" s="100">
        <v>46111</v>
      </c>
      <c r="D2397" t="s">
        <v>13</v>
      </c>
      <c r="E2397" t="s">
        <v>77</v>
      </c>
      <c r="F2397" t="s">
        <v>1414</v>
      </c>
      <c r="G2397">
        <v>3384</v>
      </c>
      <c r="H2397">
        <v>28500</v>
      </c>
      <c r="I2397">
        <v>96444000</v>
      </c>
    </row>
    <row r="2398" spans="1:10" hidden="1" x14ac:dyDescent="0.25">
      <c r="A2398" s="210" t="s">
        <v>1698</v>
      </c>
      <c r="B2398">
        <v>8411</v>
      </c>
      <c r="C2398" s="100">
        <v>46111</v>
      </c>
      <c r="D2398" t="s">
        <v>13</v>
      </c>
      <c r="E2398" t="s">
        <v>26</v>
      </c>
      <c r="F2398" t="s">
        <v>1412</v>
      </c>
      <c r="G2398">
        <v>3352</v>
      </c>
      <c r="H2398">
        <v>28500</v>
      </c>
      <c r="I2398">
        <v>95532000</v>
      </c>
    </row>
    <row r="2399" spans="1:10" hidden="1" x14ac:dyDescent="0.25">
      <c r="A2399" s="210" t="s">
        <v>1698</v>
      </c>
      <c r="B2399">
        <v>8411</v>
      </c>
      <c r="C2399" s="100">
        <v>46111</v>
      </c>
      <c r="D2399" t="s">
        <v>13</v>
      </c>
      <c r="E2399" t="s">
        <v>26</v>
      </c>
      <c r="F2399" t="s">
        <v>1413</v>
      </c>
      <c r="G2399">
        <v>5918</v>
      </c>
      <c r="H2399">
        <v>26500</v>
      </c>
      <c r="I2399">
        <v>156827000</v>
      </c>
    </row>
    <row r="2400" spans="1:10" hidden="1" x14ac:dyDescent="0.25">
      <c r="A2400" s="210" t="s">
        <v>1511</v>
      </c>
      <c r="B2400">
        <v>8410</v>
      </c>
      <c r="C2400" s="100">
        <v>46111</v>
      </c>
      <c r="D2400" t="s">
        <v>13</v>
      </c>
      <c r="E2400" t="s">
        <v>50</v>
      </c>
      <c r="F2400" t="s">
        <v>392</v>
      </c>
      <c r="G2400">
        <v>36</v>
      </c>
      <c r="H2400">
        <v>65000</v>
      </c>
      <c r="I2400">
        <v>2340000</v>
      </c>
      <c r="J2400">
        <v>2340000</v>
      </c>
    </row>
    <row r="2401" spans="1:10" hidden="1" x14ac:dyDescent="0.25">
      <c r="A2401" s="210" t="s">
        <v>1697</v>
      </c>
      <c r="B2401">
        <v>8409</v>
      </c>
      <c r="C2401" s="100">
        <v>46111</v>
      </c>
      <c r="D2401" t="s">
        <v>49</v>
      </c>
      <c r="E2401" t="s">
        <v>442</v>
      </c>
      <c r="F2401" t="s">
        <v>1397</v>
      </c>
      <c r="G2401">
        <v>12000</v>
      </c>
      <c r="I2401">
        <v>0</v>
      </c>
    </row>
    <row r="2402" spans="1:10" hidden="1" x14ac:dyDescent="0.25">
      <c r="A2402" s="210" t="s">
        <v>1507</v>
      </c>
      <c r="B2402">
        <v>8408</v>
      </c>
      <c r="C2402" s="100">
        <v>46111</v>
      </c>
      <c r="D2402" t="s">
        <v>13</v>
      </c>
      <c r="E2402" t="s">
        <v>195</v>
      </c>
      <c r="F2402" t="s">
        <v>367</v>
      </c>
      <c r="G2402">
        <v>10738</v>
      </c>
      <c r="H2402">
        <v>27000</v>
      </c>
      <c r="I2402">
        <v>289926000</v>
      </c>
    </row>
    <row r="2403" spans="1:10" hidden="1" x14ac:dyDescent="0.25">
      <c r="A2403" s="210" t="s">
        <v>1524</v>
      </c>
      <c r="B2403">
        <v>8407</v>
      </c>
      <c r="C2403" s="100">
        <v>46111</v>
      </c>
      <c r="D2403" t="s">
        <v>49</v>
      </c>
      <c r="E2403" t="s">
        <v>43</v>
      </c>
      <c r="F2403" t="s">
        <v>146</v>
      </c>
      <c r="G2403">
        <v>5117</v>
      </c>
      <c r="I2403">
        <v>0</v>
      </c>
    </row>
    <row r="2404" spans="1:10" hidden="1" x14ac:dyDescent="0.25">
      <c r="A2404" s="210" t="s">
        <v>1512</v>
      </c>
      <c r="B2404">
        <v>8406</v>
      </c>
      <c r="C2404" s="100">
        <v>46111</v>
      </c>
      <c r="D2404" t="s">
        <v>13</v>
      </c>
      <c r="E2404" t="s">
        <v>17</v>
      </c>
      <c r="F2404" t="s">
        <v>78</v>
      </c>
      <c r="G2404">
        <v>2422</v>
      </c>
      <c r="H2404">
        <v>63000</v>
      </c>
      <c r="I2404">
        <v>152586000</v>
      </c>
    </row>
    <row r="2405" spans="1:10" hidden="1" x14ac:dyDescent="0.25">
      <c r="A2405" s="210" t="s">
        <v>1524</v>
      </c>
      <c r="B2405">
        <v>8405</v>
      </c>
      <c r="C2405" s="100">
        <v>46111</v>
      </c>
      <c r="D2405" t="s">
        <v>49</v>
      </c>
      <c r="E2405" t="s">
        <v>17</v>
      </c>
      <c r="F2405" t="s">
        <v>502</v>
      </c>
      <c r="G2405">
        <v>6740</v>
      </c>
      <c r="I2405">
        <v>0</v>
      </c>
    </row>
    <row r="2406" spans="1:10" hidden="1" x14ac:dyDescent="0.25">
      <c r="A2406" s="210" t="s">
        <v>1524</v>
      </c>
      <c r="B2406">
        <v>8404</v>
      </c>
      <c r="C2406" s="100">
        <v>46109</v>
      </c>
      <c r="D2406" t="s">
        <v>49</v>
      </c>
      <c r="E2406" t="s">
        <v>43</v>
      </c>
      <c r="F2406" t="s">
        <v>146</v>
      </c>
      <c r="G2406">
        <v>1444</v>
      </c>
      <c r="I2406">
        <v>0</v>
      </c>
    </row>
    <row r="2407" spans="1:10" hidden="1" x14ac:dyDescent="0.25">
      <c r="A2407" s="210" t="s">
        <v>1524</v>
      </c>
      <c r="B2407">
        <v>8404</v>
      </c>
      <c r="C2407" s="100">
        <v>46109</v>
      </c>
      <c r="D2407" t="s">
        <v>49</v>
      </c>
      <c r="E2407" t="s">
        <v>43</v>
      </c>
      <c r="F2407" t="s">
        <v>41</v>
      </c>
      <c r="G2407">
        <v>4796</v>
      </c>
      <c r="I2407">
        <v>0</v>
      </c>
    </row>
    <row r="2408" spans="1:10" hidden="1" x14ac:dyDescent="0.25">
      <c r="A2408" s="210" t="s">
        <v>1511</v>
      </c>
      <c r="B2408">
        <v>8403</v>
      </c>
      <c r="C2408" s="100">
        <v>46109</v>
      </c>
      <c r="D2408" t="s">
        <v>13</v>
      </c>
      <c r="E2408" t="s">
        <v>50</v>
      </c>
      <c r="F2408" t="s">
        <v>379</v>
      </c>
      <c r="G2408">
        <v>46</v>
      </c>
      <c r="H2408">
        <v>65000</v>
      </c>
      <c r="I2408">
        <v>2990000</v>
      </c>
      <c r="J2408">
        <v>2990000</v>
      </c>
    </row>
    <row r="2409" spans="1:10" hidden="1" x14ac:dyDescent="0.25">
      <c r="A2409" s="210" t="s">
        <v>1597</v>
      </c>
      <c r="B2409">
        <v>8402</v>
      </c>
      <c r="C2409" s="100">
        <v>46109</v>
      </c>
      <c r="D2409" t="s">
        <v>13</v>
      </c>
      <c r="E2409" t="s">
        <v>50</v>
      </c>
      <c r="F2409" t="s">
        <v>379</v>
      </c>
      <c r="G2409">
        <v>310</v>
      </c>
      <c r="H2409">
        <v>58000</v>
      </c>
      <c r="I2409">
        <v>17980000</v>
      </c>
    </row>
    <row r="2410" spans="1:10" hidden="1" x14ac:dyDescent="0.25">
      <c r="A2410" s="210" t="s">
        <v>1597</v>
      </c>
      <c r="B2410">
        <v>8402</v>
      </c>
      <c r="C2410" s="100">
        <v>46109</v>
      </c>
      <c r="D2410" t="s">
        <v>13</v>
      </c>
      <c r="E2410" t="s">
        <v>317</v>
      </c>
      <c r="F2410" t="s">
        <v>1095</v>
      </c>
      <c r="G2410">
        <v>2556</v>
      </c>
      <c r="H2410">
        <v>59000</v>
      </c>
      <c r="I2410">
        <v>150804000</v>
      </c>
    </row>
    <row r="2411" spans="1:10" hidden="1" x14ac:dyDescent="0.25">
      <c r="A2411" s="210" t="s">
        <v>1580</v>
      </c>
      <c r="B2411">
        <v>8399</v>
      </c>
      <c r="C2411" s="100">
        <v>46109</v>
      </c>
      <c r="D2411" t="s">
        <v>13</v>
      </c>
      <c r="E2411" t="s">
        <v>17</v>
      </c>
      <c r="F2411" t="s">
        <v>999</v>
      </c>
      <c r="G2411">
        <v>2766</v>
      </c>
      <c r="H2411">
        <v>57500</v>
      </c>
      <c r="I2411">
        <v>159045000</v>
      </c>
    </row>
    <row r="2412" spans="1:10" hidden="1" x14ac:dyDescent="0.25">
      <c r="A2412" s="210" t="s">
        <v>1580</v>
      </c>
      <c r="B2412">
        <v>8399</v>
      </c>
      <c r="C2412" s="100">
        <v>46109</v>
      </c>
      <c r="D2412" t="s">
        <v>972</v>
      </c>
      <c r="E2412" t="s">
        <v>17</v>
      </c>
      <c r="F2412" t="s">
        <v>999</v>
      </c>
      <c r="G2412">
        <v>2767</v>
      </c>
      <c r="H2412">
        <v>500</v>
      </c>
      <c r="I2412">
        <v>1383500</v>
      </c>
    </row>
    <row r="2413" spans="1:10" hidden="1" x14ac:dyDescent="0.25">
      <c r="A2413" s="210" t="s">
        <v>1610</v>
      </c>
      <c r="B2413">
        <v>8398</v>
      </c>
      <c r="C2413" s="100">
        <v>46109</v>
      </c>
      <c r="D2413" t="s">
        <v>13</v>
      </c>
      <c r="E2413" t="s">
        <v>1149</v>
      </c>
      <c r="F2413" t="s">
        <v>1150</v>
      </c>
      <c r="G2413">
        <v>1538</v>
      </c>
      <c r="H2413">
        <v>34000</v>
      </c>
      <c r="I2413">
        <v>52292000</v>
      </c>
    </row>
    <row r="2414" spans="1:10" hidden="1" x14ac:dyDescent="0.25">
      <c r="A2414" s="210" t="s">
        <v>1504</v>
      </c>
      <c r="B2414">
        <v>8397</v>
      </c>
      <c r="C2414" s="100">
        <v>46109</v>
      </c>
      <c r="D2414" t="s">
        <v>13</v>
      </c>
      <c r="E2414" t="s">
        <v>334</v>
      </c>
      <c r="F2414" t="s">
        <v>335</v>
      </c>
      <c r="G2414">
        <v>744</v>
      </c>
      <c r="H2414">
        <v>46000</v>
      </c>
      <c r="I2414">
        <v>34224000</v>
      </c>
    </row>
    <row r="2415" spans="1:10" hidden="1" x14ac:dyDescent="0.25">
      <c r="A2415" s="210" t="s">
        <v>1504</v>
      </c>
      <c r="B2415">
        <v>8397</v>
      </c>
      <c r="C2415" s="100">
        <v>46109</v>
      </c>
      <c r="D2415" t="s">
        <v>13</v>
      </c>
      <c r="E2415" t="s">
        <v>336</v>
      </c>
      <c r="F2415" t="s">
        <v>337</v>
      </c>
      <c r="G2415">
        <v>136</v>
      </c>
      <c r="H2415">
        <v>50000</v>
      </c>
      <c r="I2415">
        <v>6800000</v>
      </c>
    </row>
    <row r="2416" spans="1:10" hidden="1" x14ac:dyDescent="0.25">
      <c r="A2416" s="210" t="s">
        <v>1532</v>
      </c>
      <c r="B2416">
        <v>8395</v>
      </c>
      <c r="C2416" s="100">
        <v>46109</v>
      </c>
      <c r="D2416" t="s">
        <v>49</v>
      </c>
      <c r="E2416" t="s">
        <v>26</v>
      </c>
      <c r="F2416" t="s">
        <v>744</v>
      </c>
      <c r="G2416">
        <v>7325</v>
      </c>
      <c r="I2416">
        <v>0</v>
      </c>
    </row>
    <row r="2417" spans="1:11" hidden="1" x14ac:dyDescent="0.25">
      <c r="A2417" s="210" t="s">
        <v>1532</v>
      </c>
      <c r="B2417">
        <v>8395</v>
      </c>
      <c r="C2417" s="100">
        <v>46109</v>
      </c>
      <c r="D2417" t="s">
        <v>49</v>
      </c>
      <c r="E2417" t="s">
        <v>26</v>
      </c>
      <c r="F2417" t="s">
        <v>745</v>
      </c>
      <c r="G2417">
        <v>2077</v>
      </c>
      <c r="I2417">
        <v>0</v>
      </c>
    </row>
    <row r="2418" spans="1:11" hidden="1" x14ac:dyDescent="0.25">
      <c r="A2418" s="210" t="s">
        <v>1696</v>
      </c>
      <c r="B2418">
        <v>8393</v>
      </c>
      <c r="C2418" s="100">
        <v>46109</v>
      </c>
      <c r="D2418" t="s">
        <v>13</v>
      </c>
      <c r="E2418" t="s">
        <v>50</v>
      </c>
      <c r="F2418" t="s">
        <v>1394</v>
      </c>
      <c r="G2418">
        <v>90</v>
      </c>
      <c r="H2418">
        <v>58000</v>
      </c>
      <c r="I2418">
        <v>5220000</v>
      </c>
    </row>
    <row r="2419" spans="1:11" hidden="1" x14ac:dyDescent="0.25">
      <c r="A2419" s="210" t="s">
        <v>1491</v>
      </c>
      <c r="B2419">
        <v>8392</v>
      </c>
      <c r="C2419" s="100">
        <v>46109</v>
      </c>
      <c r="D2419" t="s">
        <v>13</v>
      </c>
      <c r="E2419" t="s">
        <v>17</v>
      </c>
      <c r="F2419" t="s">
        <v>46</v>
      </c>
      <c r="G2419">
        <v>820</v>
      </c>
      <c r="H2419">
        <v>65000</v>
      </c>
      <c r="I2419">
        <v>53300000</v>
      </c>
    </row>
    <row r="2420" spans="1:11" hidden="1" x14ac:dyDescent="0.25">
      <c r="A2420" s="210" t="s">
        <v>1485</v>
      </c>
      <c r="B2420">
        <v>8391</v>
      </c>
      <c r="C2420" s="100">
        <v>46109</v>
      </c>
      <c r="D2420" t="s">
        <v>13</v>
      </c>
      <c r="E2420" t="s">
        <v>26</v>
      </c>
      <c r="F2420" t="s">
        <v>199</v>
      </c>
      <c r="G2420">
        <v>478</v>
      </c>
      <c r="H2420">
        <v>31000</v>
      </c>
      <c r="I2420">
        <v>14818000</v>
      </c>
    </row>
    <row r="2421" spans="1:11" hidden="1" x14ac:dyDescent="0.25">
      <c r="A2421" s="210" t="s">
        <v>1485</v>
      </c>
      <c r="B2421">
        <v>8391</v>
      </c>
      <c r="C2421" s="100">
        <v>46109</v>
      </c>
      <c r="D2421" t="s">
        <v>13</v>
      </c>
      <c r="E2421" t="s">
        <v>26</v>
      </c>
      <c r="F2421" t="s">
        <v>200</v>
      </c>
      <c r="G2421">
        <v>1032</v>
      </c>
      <c r="H2421">
        <v>31000</v>
      </c>
      <c r="I2421">
        <v>31992000</v>
      </c>
    </row>
    <row r="2422" spans="1:11" hidden="1" x14ac:dyDescent="0.25">
      <c r="A2422" s="210" t="s">
        <v>1479</v>
      </c>
      <c r="B2422">
        <v>8390</v>
      </c>
      <c r="C2422" s="100">
        <v>46109</v>
      </c>
      <c r="D2422" t="s">
        <v>13</v>
      </c>
      <c r="E2422" t="s">
        <v>43</v>
      </c>
      <c r="F2422" t="s">
        <v>175</v>
      </c>
      <c r="G2422">
        <v>1018</v>
      </c>
      <c r="H2422">
        <v>57000</v>
      </c>
      <c r="I2422">
        <v>58026000</v>
      </c>
    </row>
    <row r="2423" spans="1:11" hidden="1" x14ac:dyDescent="0.25">
      <c r="A2423" s="210" t="s">
        <v>1575</v>
      </c>
      <c r="B2423">
        <v>8389</v>
      </c>
      <c r="C2423" s="100">
        <v>46109</v>
      </c>
      <c r="D2423" t="s">
        <v>13</v>
      </c>
      <c r="E2423" t="s">
        <v>17</v>
      </c>
      <c r="F2423" t="s">
        <v>971</v>
      </c>
      <c r="G2423">
        <v>2946</v>
      </c>
      <c r="H2423">
        <v>60500</v>
      </c>
      <c r="I2423">
        <v>178233000</v>
      </c>
    </row>
    <row r="2424" spans="1:11" hidden="1" x14ac:dyDescent="0.25">
      <c r="A2424" s="210" t="s">
        <v>1575</v>
      </c>
      <c r="B2424">
        <v>8389</v>
      </c>
      <c r="C2424" s="100">
        <v>46109</v>
      </c>
      <c r="D2424" t="s">
        <v>972</v>
      </c>
      <c r="E2424" t="s">
        <v>17</v>
      </c>
      <c r="F2424" t="s">
        <v>971</v>
      </c>
      <c r="G2424">
        <v>2946</v>
      </c>
      <c r="H2424">
        <v>500</v>
      </c>
      <c r="I2424">
        <v>1473000</v>
      </c>
    </row>
    <row r="2425" spans="1:11" hidden="1" x14ac:dyDescent="0.25">
      <c r="A2425" s="210" t="s">
        <v>1694</v>
      </c>
      <c r="B2425">
        <v>8388</v>
      </c>
      <c r="C2425" s="100">
        <v>46109</v>
      </c>
      <c r="D2425" t="s">
        <v>13</v>
      </c>
      <c r="E2425" t="s">
        <v>26</v>
      </c>
      <c r="F2425" t="s">
        <v>146</v>
      </c>
      <c r="G2425">
        <v>2384</v>
      </c>
      <c r="H2425">
        <v>36000</v>
      </c>
      <c r="I2425">
        <v>85824000</v>
      </c>
    </row>
    <row r="2426" spans="1:11" hidden="1" x14ac:dyDescent="0.25">
      <c r="A2426" s="210" t="s">
        <v>1511</v>
      </c>
      <c r="B2426">
        <v>8387</v>
      </c>
      <c r="C2426" s="100">
        <v>46109</v>
      </c>
      <c r="D2426" t="s">
        <v>13</v>
      </c>
      <c r="E2426" t="s">
        <v>54</v>
      </c>
      <c r="F2426" t="s">
        <v>391</v>
      </c>
      <c r="G2426">
        <v>178</v>
      </c>
      <c r="H2426">
        <v>38000</v>
      </c>
      <c r="I2426">
        <v>6764000</v>
      </c>
      <c r="J2426">
        <v>6764000</v>
      </c>
    </row>
    <row r="2427" spans="1:11" hidden="1" x14ac:dyDescent="0.25">
      <c r="A2427" s="210" t="s">
        <v>1524</v>
      </c>
      <c r="B2427">
        <v>8386</v>
      </c>
      <c r="C2427" s="100">
        <v>46109</v>
      </c>
      <c r="D2427" t="s">
        <v>49</v>
      </c>
      <c r="E2427" t="s">
        <v>17</v>
      </c>
      <c r="F2427" t="s">
        <v>134</v>
      </c>
      <c r="G2427">
        <v>2776</v>
      </c>
      <c r="I2427">
        <v>0</v>
      </c>
    </row>
    <row r="2428" spans="1:11" hidden="1" x14ac:dyDescent="0.25">
      <c r="A2428" s="210" t="s">
        <v>1524</v>
      </c>
      <c r="B2428">
        <v>8386</v>
      </c>
      <c r="C2428" s="100">
        <v>46109</v>
      </c>
      <c r="D2428" t="s">
        <v>49</v>
      </c>
      <c r="E2428" t="s">
        <v>17</v>
      </c>
      <c r="F2428" t="s">
        <v>211</v>
      </c>
      <c r="G2428">
        <v>1242</v>
      </c>
      <c r="I2428">
        <v>0</v>
      </c>
    </row>
    <row r="2429" spans="1:11" hidden="1" x14ac:dyDescent="0.25">
      <c r="A2429" s="210" t="s">
        <v>1524</v>
      </c>
      <c r="B2429">
        <v>8386</v>
      </c>
      <c r="C2429" s="100">
        <v>46109</v>
      </c>
      <c r="D2429" t="s">
        <v>49</v>
      </c>
      <c r="E2429" t="s">
        <v>500</v>
      </c>
      <c r="F2429" t="s">
        <v>501</v>
      </c>
      <c r="G2429">
        <v>1688</v>
      </c>
      <c r="I2429">
        <v>0</v>
      </c>
    </row>
    <row r="2430" spans="1:11" hidden="1" x14ac:dyDescent="0.25">
      <c r="A2430" s="210" t="s">
        <v>1564</v>
      </c>
      <c r="B2430">
        <v>8385</v>
      </c>
      <c r="C2430" s="100">
        <v>46109</v>
      </c>
      <c r="D2430" t="s">
        <v>13</v>
      </c>
      <c r="E2430" t="s">
        <v>43</v>
      </c>
      <c r="F2430" t="s">
        <v>148</v>
      </c>
      <c r="G2430">
        <v>451</v>
      </c>
      <c r="H2430">
        <v>57000</v>
      </c>
      <c r="I2430">
        <v>25707000</v>
      </c>
    </row>
    <row r="2431" spans="1:11" hidden="1" x14ac:dyDescent="0.25">
      <c r="A2431" s="210" t="s">
        <v>1554</v>
      </c>
      <c r="B2431">
        <v>8384</v>
      </c>
      <c r="C2431" s="100">
        <v>46109</v>
      </c>
      <c r="D2431" t="s">
        <v>13</v>
      </c>
      <c r="E2431" t="s">
        <v>17</v>
      </c>
      <c r="F2431" t="s">
        <v>926</v>
      </c>
      <c r="G2431">
        <v>1538</v>
      </c>
      <c r="H2431">
        <v>58500</v>
      </c>
      <c r="I2431">
        <v>89973000</v>
      </c>
      <c r="K2431" t="s">
        <v>231</v>
      </c>
    </row>
    <row r="2432" spans="1:11" hidden="1" x14ac:dyDescent="0.25">
      <c r="A2432" s="210" t="s">
        <v>1554</v>
      </c>
      <c r="B2432">
        <v>8384</v>
      </c>
      <c r="C2432" s="100">
        <v>46109</v>
      </c>
      <c r="D2432" t="s">
        <v>13</v>
      </c>
      <c r="E2432" t="s">
        <v>17</v>
      </c>
      <c r="F2432" t="s">
        <v>251</v>
      </c>
      <c r="G2432">
        <v>263</v>
      </c>
      <c r="H2432">
        <v>63000</v>
      </c>
      <c r="I2432">
        <v>16569000</v>
      </c>
      <c r="K2432" t="s">
        <v>231</v>
      </c>
    </row>
    <row r="2433" spans="1:11" hidden="1" x14ac:dyDescent="0.25">
      <c r="A2433" s="210" t="s">
        <v>1554</v>
      </c>
      <c r="B2433">
        <v>8384</v>
      </c>
      <c r="C2433" s="100">
        <v>46109</v>
      </c>
      <c r="D2433" t="s">
        <v>13</v>
      </c>
      <c r="E2433" t="s">
        <v>43</v>
      </c>
      <c r="F2433" t="s">
        <v>927</v>
      </c>
      <c r="G2433">
        <v>268</v>
      </c>
      <c r="H2433">
        <v>56000</v>
      </c>
      <c r="I2433">
        <v>15008000</v>
      </c>
      <c r="K2433" t="s">
        <v>231</v>
      </c>
    </row>
    <row r="2434" spans="1:11" hidden="1" x14ac:dyDescent="0.25">
      <c r="A2434" s="210" t="s">
        <v>1593</v>
      </c>
      <c r="B2434">
        <v>8383</v>
      </c>
      <c r="C2434" s="100">
        <v>46109</v>
      </c>
      <c r="D2434" t="s">
        <v>13</v>
      </c>
      <c r="E2434" t="s">
        <v>169</v>
      </c>
      <c r="F2434" t="s">
        <v>136</v>
      </c>
      <c r="G2434">
        <v>1164</v>
      </c>
      <c r="H2434">
        <v>38500</v>
      </c>
      <c r="I2434">
        <v>44814000</v>
      </c>
    </row>
    <row r="2435" spans="1:11" hidden="1" x14ac:dyDescent="0.25">
      <c r="A2435" s="210" t="s">
        <v>1692</v>
      </c>
      <c r="B2435">
        <v>8382</v>
      </c>
      <c r="C2435" s="100">
        <v>46109</v>
      </c>
      <c r="D2435" t="s">
        <v>13</v>
      </c>
      <c r="E2435" t="s">
        <v>43</v>
      </c>
      <c r="F2435" t="s">
        <v>146</v>
      </c>
      <c r="G2435">
        <v>5584</v>
      </c>
      <c r="H2435">
        <v>62500</v>
      </c>
      <c r="I2435">
        <v>349000000</v>
      </c>
    </row>
    <row r="2436" spans="1:11" hidden="1" x14ac:dyDescent="0.25">
      <c r="A2436" s="210" t="s">
        <v>1692</v>
      </c>
      <c r="B2436">
        <v>8382</v>
      </c>
      <c r="C2436" s="100">
        <v>46109</v>
      </c>
      <c r="D2436" t="s">
        <v>13</v>
      </c>
      <c r="E2436" t="s">
        <v>43</v>
      </c>
      <c r="F2436" t="s">
        <v>273</v>
      </c>
      <c r="G2436">
        <v>1090</v>
      </c>
      <c r="H2436">
        <v>61500</v>
      </c>
      <c r="I2436">
        <v>67035000</v>
      </c>
    </row>
    <row r="2437" spans="1:11" hidden="1" x14ac:dyDescent="0.25">
      <c r="A2437" s="210" t="s">
        <v>1622</v>
      </c>
      <c r="B2437">
        <v>8381</v>
      </c>
      <c r="C2437" s="100">
        <v>46108</v>
      </c>
      <c r="D2437" t="s">
        <v>13</v>
      </c>
      <c r="E2437" t="s">
        <v>17</v>
      </c>
      <c r="F2437" t="s">
        <v>146</v>
      </c>
      <c r="G2437">
        <v>854</v>
      </c>
      <c r="H2437">
        <v>63000</v>
      </c>
      <c r="I2437">
        <v>53802000</v>
      </c>
    </row>
    <row r="2438" spans="1:11" hidden="1" x14ac:dyDescent="0.25">
      <c r="A2438" s="210" t="s">
        <v>1499</v>
      </c>
      <c r="B2438">
        <v>8380</v>
      </c>
      <c r="C2438" s="100">
        <v>46108</v>
      </c>
      <c r="D2438" t="s">
        <v>13</v>
      </c>
      <c r="E2438" t="s">
        <v>43</v>
      </c>
      <c r="F2438" t="s">
        <v>230</v>
      </c>
      <c r="G2438">
        <v>902</v>
      </c>
      <c r="H2438">
        <v>64500</v>
      </c>
      <c r="I2438">
        <v>58179000</v>
      </c>
    </row>
    <row r="2439" spans="1:11" hidden="1" x14ac:dyDescent="0.25">
      <c r="A2439" s="210" t="s">
        <v>1499</v>
      </c>
      <c r="B2439">
        <v>8380</v>
      </c>
      <c r="C2439" s="100">
        <v>46108</v>
      </c>
      <c r="D2439" t="s">
        <v>13</v>
      </c>
      <c r="E2439" t="s">
        <v>43</v>
      </c>
      <c r="F2439" t="s">
        <v>40</v>
      </c>
      <c r="G2439">
        <v>1859</v>
      </c>
      <c r="H2439">
        <v>62000</v>
      </c>
      <c r="I2439">
        <v>115258000</v>
      </c>
    </row>
    <row r="2440" spans="1:11" hidden="1" x14ac:dyDescent="0.25">
      <c r="A2440" s="210" t="s">
        <v>1499</v>
      </c>
      <c r="B2440">
        <v>8380</v>
      </c>
      <c r="C2440" s="100">
        <v>46108</v>
      </c>
      <c r="D2440" t="s">
        <v>13</v>
      </c>
      <c r="E2440" t="s">
        <v>43</v>
      </c>
      <c r="F2440" t="s">
        <v>136</v>
      </c>
      <c r="G2440">
        <v>1794</v>
      </c>
      <c r="H2440">
        <v>60500</v>
      </c>
      <c r="I2440">
        <v>108537000</v>
      </c>
    </row>
    <row r="2441" spans="1:11" hidden="1" x14ac:dyDescent="0.25">
      <c r="A2441" s="210" t="s">
        <v>1499</v>
      </c>
      <c r="B2441">
        <v>8380</v>
      </c>
      <c r="C2441" s="100">
        <v>46108</v>
      </c>
      <c r="D2441" t="s">
        <v>13</v>
      </c>
      <c r="E2441" t="s">
        <v>43</v>
      </c>
      <c r="F2441" t="s">
        <v>41</v>
      </c>
      <c r="G2441">
        <v>946</v>
      </c>
      <c r="H2441">
        <v>61000</v>
      </c>
      <c r="I2441">
        <v>57706000</v>
      </c>
    </row>
    <row r="2442" spans="1:11" hidden="1" x14ac:dyDescent="0.25">
      <c r="A2442" s="210" t="s">
        <v>1566</v>
      </c>
      <c r="B2442">
        <v>8379</v>
      </c>
      <c r="C2442" s="100">
        <v>46108</v>
      </c>
      <c r="D2442" t="s">
        <v>13</v>
      </c>
      <c r="E2442" t="s">
        <v>109</v>
      </c>
      <c r="F2442" t="s">
        <v>151</v>
      </c>
      <c r="G2442">
        <v>179.5</v>
      </c>
      <c r="H2442">
        <v>58000</v>
      </c>
      <c r="I2442">
        <v>10411000</v>
      </c>
    </row>
    <row r="2443" spans="1:11" hidden="1" x14ac:dyDescent="0.25">
      <c r="A2443" s="210" t="s">
        <v>1566</v>
      </c>
      <c r="B2443">
        <v>8379</v>
      </c>
      <c r="C2443" s="100">
        <v>46108</v>
      </c>
      <c r="D2443" t="s">
        <v>13</v>
      </c>
      <c r="E2443" t="s">
        <v>14</v>
      </c>
      <c r="F2443" t="s">
        <v>62</v>
      </c>
      <c r="G2443">
        <v>239</v>
      </c>
      <c r="H2443">
        <v>43000</v>
      </c>
      <c r="I2443">
        <v>10277000</v>
      </c>
    </row>
    <row r="2444" spans="1:11" hidden="1" x14ac:dyDescent="0.25">
      <c r="A2444" s="210" t="s">
        <v>1597</v>
      </c>
      <c r="B2444">
        <v>8378</v>
      </c>
      <c r="C2444" s="100">
        <v>46108</v>
      </c>
      <c r="D2444" t="s">
        <v>13</v>
      </c>
      <c r="E2444" t="s">
        <v>17</v>
      </c>
      <c r="F2444" t="s">
        <v>146</v>
      </c>
      <c r="G2444">
        <v>642</v>
      </c>
      <c r="H2444">
        <v>60500</v>
      </c>
      <c r="I2444">
        <v>38841000</v>
      </c>
    </row>
    <row r="2445" spans="1:11" hidden="1" x14ac:dyDescent="0.25">
      <c r="A2445" s="210" t="s">
        <v>1597</v>
      </c>
      <c r="B2445">
        <v>8378</v>
      </c>
      <c r="C2445" s="100">
        <v>46108</v>
      </c>
      <c r="D2445" t="s">
        <v>13</v>
      </c>
      <c r="E2445" t="s">
        <v>17</v>
      </c>
      <c r="F2445" t="s">
        <v>134</v>
      </c>
      <c r="G2445">
        <v>644</v>
      </c>
      <c r="H2445">
        <v>60500</v>
      </c>
      <c r="I2445">
        <v>38962000</v>
      </c>
    </row>
    <row r="2446" spans="1:11" hidden="1" x14ac:dyDescent="0.25">
      <c r="A2446" s="210" t="s">
        <v>1541</v>
      </c>
      <c r="B2446">
        <v>8377</v>
      </c>
      <c r="C2446" s="100">
        <v>46108</v>
      </c>
      <c r="D2446" t="s">
        <v>13</v>
      </c>
      <c r="E2446" t="s">
        <v>109</v>
      </c>
      <c r="F2446" t="s">
        <v>886</v>
      </c>
      <c r="G2446">
        <v>146</v>
      </c>
      <c r="H2446">
        <v>58000</v>
      </c>
      <c r="I2446">
        <v>8468000</v>
      </c>
    </row>
    <row r="2447" spans="1:11" hidden="1" x14ac:dyDescent="0.25">
      <c r="A2447" s="210" t="s">
        <v>1541</v>
      </c>
      <c r="B2447">
        <v>8377</v>
      </c>
      <c r="C2447" s="100">
        <v>46108</v>
      </c>
      <c r="D2447" t="s">
        <v>13</v>
      </c>
      <c r="E2447" t="s">
        <v>109</v>
      </c>
      <c r="F2447" t="s">
        <v>73</v>
      </c>
      <c r="G2447">
        <v>538</v>
      </c>
      <c r="H2447">
        <v>58000</v>
      </c>
      <c r="I2447">
        <v>31204000</v>
      </c>
    </row>
    <row r="2448" spans="1:11" hidden="1" x14ac:dyDescent="0.25">
      <c r="A2448" s="210" t="s">
        <v>1541</v>
      </c>
      <c r="B2448">
        <v>8377</v>
      </c>
      <c r="C2448" s="100">
        <v>46108</v>
      </c>
      <c r="D2448" t="s">
        <v>13</v>
      </c>
      <c r="E2448" t="s">
        <v>109</v>
      </c>
      <c r="F2448" t="s">
        <v>887</v>
      </c>
      <c r="G2448">
        <v>312</v>
      </c>
      <c r="H2448">
        <v>57000</v>
      </c>
      <c r="I2448">
        <v>17784000</v>
      </c>
    </row>
    <row r="2449" spans="1:11" hidden="1" x14ac:dyDescent="0.25">
      <c r="A2449" s="210" t="s">
        <v>1568</v>
      </c>
      <c r="B2449">
        <v>8376</v>
      </c>
      <c r="C2449" s="100">
        <v>46108</v>
      </c>
      <c r="D2449" t="s">
        <v>13</v>
      </c>
      <c r="E2449" t="s">
        <v>17</v>
      </c>
      <c r="F2449" t="s">
        <v>959</v>
      </c>
      <c r="G2449">
        <v>1326</v>
      </c>
      <c r="H2449">
        <v>60000</v>
      </c>
      <c r="I2449">
        <v>79560000</v>
      </c>
      <c r="K2449" t="s">
        <v>128</v>
      </c>
    </row>
    <row r="2450" spans="1:11" hidden="1" x14ac:dyDescent="0.25">
      <c r="A2450" s="210" t="s">
        <v>1568</v>
      </c>
      <c r="B2450">
        <v>8376</v>
      </c>
      <c r="C2450" s="100">
        <v>46108</v>
      </c>
      <c r="D2450" t="s">
        <v>13</v>
      </c>
      <c r="E2450" t="s">
        <v>17</v>
      </c>
      <c r="F2450" t="s">
        <v>960</v>
      </c>
      <c r="G2450">
        <v>174</v>
      </c>
      <c r="H2450">
        <v>60000</v>
      </c>
      <c r="I2450">
        <v>10440000</v>
      </c>
      <c r="K2450" t="s">
        <v>128</v>
      </c>
    </row>
    <row r="2451" spans="1:11" hidden="1" x14ac:dyDescent="0.25">
      <c r="A2451" s="210" t="s">
        <v>1568</v>
      </c>
      <c r="B2451">
        <v>8376</v>
      </c>
      <c r="C2451" s="100">
        <v>46108</v>
      </c>
      <c r="D2451" t="s">
        <v>13</v>
      </c>
      <c r="E2451" t="s">
        <v>17</v>
      </c>
      <c r="F2451" t="s">
        <v>127</v>
      </c>
      <c r="G2451">
        <v>900</v>
      </c>
      <c r="H2451">
        <v>59000</v>
      </c>
      <c r="I2451">
        <v>53100000</v>
      </c>
      <c r="K2451" t="s">
        <v>128</v>
      </c>
    </row>
    <row r="2452" spans="1:11" hidden="1" x14ac:dyDescent="0.25">
      <c r="A2452" s="210" t="s">
        <v>1518</v>
      </c>
      <c r="B2452">
        <v>8375</v>
      </c>
      <c r="C2452" s="100">
        <v>46108</v>
      </c>
      <c r="D2452" t="s">
        <v>13</v>
      </c>
      <c r="E2452" t="s">
        <v>17</v>
      </c>
      <c r="F2452" t="s">
        <v>443</v>
      </c>
      <c r="G2452">
        <v>1058</v>
      </c>
      <c r="H2452">
        <v>60000</v>
      </c>
      <c r="I2452">
        <v>63480000</v>
      </c>
    </row>
    <row r="2453" spans="1:11" hidden="1" x14ac:dyDescent="0.25">
      <c r="A2453" s="210" t="s">
        <v>1518</v>
      </c>
      <c r="B2453">
        <v>8375</v>
      </c>
      <c r="C2453" s="100">
        <v>46108</v>
      </c>
      <c r="D2453" t="s">
        <v>13</v>
      </c>
      <c r="E2453" t="s">
        <v>43</v>
      </c>
      <c r="F2453" t="s">
        <v>211</v>
      </c>
      <c r="G2453">
        <v>272</v>
      </c>
      <c r="H2453">
        <v>60000</v>
      </c>
      <c r="I2453">
        <v>16320000</v>
      </c>
    </row>
    <row r="2454" spans="1:11" hidden="1" x14ac:dyDescent="0.25">
      <c r="A2454" s="210" t="s">
        <v>1538</v>
      </c>
      <c r="B2454">
        <v>8373</v>
      </c>
      <c r="C2454" s="100">
        <v>46108</v>
      </c>
      <c r="D2454" t="s">
        <v>13</v>
      </c>
      <c r="E2454" t="s">
        <v>17</v>
      </c>
      <c r="F2454" t="s">
        <v>861</v>
      </c>
      <c r="G2454">
        <v>291</v>
      </c>
      <c r="H2454">
        <v>65000</v>
      </c>
      <c r="I2454">
        <v>18915000</v>
      </c>
    </row>
    <row r="2455" spans="1:11" hidden="1" x14ac:dyDescent="0.25">
      <c r="A2455" s="210" t="s">
        <v>1512</v>
      </c>
      <c r="B2455">
        <v>8372</v>
      </c>
      <c r="C2455" s="100">
        <v>46108</v>
      </c>
      <c r="D2455" t="s">
        <v>13</v>
      </c>
      <c r="E2455" t="s">
        <v>43</v>
      </c>
      <c r="F2455" t="s">
        <v>416</v>
      </c>
      <c r="G2455">
        <v>534</v>
      </c>
      <c r="H2455">
        <v>59000</v>
      </c>
      <c r="I2455">
        <v>31506000</v>
      </c>
    </row>
    <row r="2456" spans="1:11" hidden="1" x14ac:dyDescent="0.25">
      <c r="A2456" s="210" t="s">
        <v>1475</v>
      </c>
      <c r="B2456">
        <v>8371</v>
      </c>
      <c r="C2456" s="100">
        <v>46108</v>
      </c>
      <c r="D2456" t="s">
        <v>13</v>
      </c>
      <c r="E2456" t="s">
        <v>32</v>
      </c>
      <c r="F2456" t="s">
        <v>30</v>
      </c>
      <c r="G2456">
        <v>278</v>
      </c>
      <c r="H2456">
        <v>41000</v>
      </c>
      <c r="I2456">
        <v>11398000</v>
      </c>
    </row>
    <row r="2457" spans="1:11" hidden="1" x14ac:dyDescent="0.25">
      <c r="A2457" s="210" t="s">
        <v>1475</v>
      </c>
      <c r="B2457">
        <v>8371</v>
      </c>
      <c r="C2457" s="100">
        <v>46108</v>
      </c>
      <c r="D2457" t="s">
        <v>13</v>
      </c>
      <c r="E2457" t="s">
        <v>17</v>
      </c>
      <c r="F2457" t="s">
        <v>31</v>
      </c>
      <c r="G2457">
        <v>2204</v>
      </c>
      <c r="H2457">
        <v>59000</v>
      </c>
      <c r="I2457">
        <v>130036000</v>
      </c>
    </row>
    <row r="2458" spans="1:11" hidden="1" x14ac:dyDescent="0.25">
      <c r="A2458" s="210" t="s">
        <v>1475</v>
      </c>
      <c r="B2458">
        <v>8371</v>
      </c>
      <c r="C2458" s="100">
        <v>46108</v>
      </c>
      <c r="D2458" t="s">
        <v>13</v>
      </c>
      <c r="E2458" t="s">
        <v>36</v>
      </c>
      <c r="F2458" t="s">
        <v>37</v>
      </c>
      <c r="G2458">
        <v>78</v>
      </c>
      <c r="H2458">
        <v>64000</v>
      </c>
      <c r="I2458">
        <v>4992000</v>
      </c>
    </row>
    <row r="2459" spans="1:11" hidden="1" x14ac:dyDescent="0.25">
      <c r="A2459" s="210" t="s">
        <v>1577</v>
      </c>
      <c r="B2459">
        <v>8371</v>
      </c>
      <c r="C2459" s="100">
        <v>46108</v>
      </c>
      <c r="D2459" t="s">
        <v>13</v>
      </c>
      <c r="E2459" t="s">
        <v>109</v>
      </c>
      <c r="F2459" t="s">
        <v>984</v>
      </c>
      <c r="G2459">
        <v>756</v>
      </c>
      <c r="H2459">
        <v>57500</v>
      </c>
      <c r="I2459">
        <v>43470000</v>
      </c>
    </row>
    <row r="2460" spans="1:11" hidden="1" x14ac:dyDescent="0.25">
      <c r="A2460" s="210" t="s">
        <v>1577</v>
      </c>
      <c r="B2460">
        <v>8371</v>
      </c>
      <c r="C2460" s="100">
        <v>46108</v>
      </c>
      <c r="D2460" t="s">
        <v>13</v>
      </c>
      <c r="E2460" t="s">
        <v>192</v>
      </c>
      <c r="F2460" t="s">
        <v>477</v>
      </c>
      <c r="G2460">
        <v>2790</v>
      </c>
      <c r="H2460">
        <v>34500</v>
      </c>
      <c r="I2460">
        <v>96255000</v>
      </c>
    </row>
    <row r="2461" spans="1:11" hidden="1" x14ac:dyDescent="0.25">
      <c r="A2461" s="210" t="s">
        <v>1527</v>
      </c>
      <c r="B2461">
        <v>8370</v>
      </c>
      <c r="C2461" s="100">
        <v>46108</v>
      </c>
      <c r="D2461" t="s">
        <v>13</v>
      </c>
      <c r="E2461" t="s">
        <v>50</v>
      </c>
      <c r="F2461" t="s">
        <v>28</v>
      </c>
      <c r="G2461">
        <v>1810</v>
      </c>
      <c r="H2461">
        <v>56000</v>
      </c>
      <c r="I2461">
        <v>101360000</v>
      </c>
    </row>
    <row r="2462" spans="1:11" hidden="1" x14ac:dyDescent="0.25">
      <c r="A2462" s="210" t="s">
        <v>1527</v>
      </c>
      <c r="B2462">
        <v>8370</v>
      </c>
      <c r="C2462" s="100">
        <v>46108</v>
      </c>
      <c r="D2462" t="s">
        <v>13</v>
      </c>
      <c r="E2462" t="s">
        <v>27</v>
      </c>
      <c r="F2462" t="s">
        <v>681</v>
      </c>
      <c r="G2462">
        <v>1166</v>
      </c>
      <c r="H2462">
        <v>58000</v>
      </c>
      <c r="I2462">
        <v>67628000</v>
      </c>
    </row>
    <row r="2463" spans="1:11" hidden="1" x14ac:dyDescent="0.25">
      <c r="A2463" s="210" t="s">
        <v>1527</v>
      </c>
      <c r="B2463">
        <v>8370</v>
      </c>
      <c r="C2463" s="100">
        <v>46108</v>
      </c>
      <c r="D2463" t="s">
        <v>13</v>
      </c>
      <c r="E2463" t="s">
        <v>27</v>
      </c>
      <c r="F2463" t="s">
        <v>682</v>
      </c>
      <c r="G2463">
        <v>582</v>
      </c>
      <c r="H2463">
        <v>58000</v>
      </c>
      <c r="I2463">
        <v>33756000</v>
      </c>
    </row>
    <row r="2464" spans="1:11" hidden="1" x14ac:dyDescent="0.25">
      <c r="A2464" s="210" t="s">
        <v>1476</v>
      </c>
      <c r="B2464">
        <v>8369</v>
      </c>
      <c r="C2464" s="100">
        <v>46108</v>
      </c>
      <c r="D2464" t="s">
        <v>49</v>
      </c>
      <c r="E2464" t="s">
        <v>26</v>
      </c>
      <c r="F2464" t="s">
        <v>81</v>
      </c>
      <c r="G2464">
        <v>744</v>
      </c>
      <c r="I2464">
        <v>0</v>
      </c>
    </row>
    <row r="2465" spans="1:10" hidden="1" x14ac:dyDescent="0.25">
      <c r="A2465" s="210" t="s">
        <v>1691</v>
      </c>
      <c r="B2465">
        <v>8367</v>
      </c>
      <c r="C2465" s="100">
        <v>46108</v>
      </c>
      <c r="D2465" t="s">
        <v>13</v>
      </c>
      <c r="E2465" t="s">
        <v>43</v>
      </c>
      <c r="F2465" t="s">
        <v>273</v>
      </c>
      <c r="G2465">
        <v>486</v>
      </c>
      <c r="H2465">
        <v>58000</v>
      </c>
      <c r="I2465">
        <v>28188000</v>
      </c>
    </row>
    <row r="2466" spans="1:10" hidden="1" x14ac:dyDescent="0.25">
      <c r="A2466" s="210" t="s">
        <v>1691</v>
      </c>
      <c r="B2466">
        <v>8367</v>
      </c>
      <c r="C2466" s="100">
        <v>46108</v>
      </c>
      <c r="D2466" t="s">
        <v>13</v>
      </c>
      <c r="E2466" t="s">
        <v>26</v>
      </c>
      <c r="F2466" t="s">
        <v>1388</v>
      </c>
      <c r="G2466">
        <v>552</v>
      </c>
      <c r="H2466">
        <v>34000</v>
      </c>
      <c r="I2466">
        <v>18768000</v>
      </c>
    </row>
    <row r="2467" spans="1:10" hidden="1" x14ac:dyDescent="0.25">
      <c r="A2467" s="210" t="s">
        <v>1691</v>
      </c>
      <c r="B2467">
        <v>8367</v>
      </c>
      <c r="C2467" s="100">
        <v>46108</v>
      </c>
      <c r="D2467" t="s">
        <v>13</v>
      </c>
      <c r="E2467" t="s">
        <v>26</v>
      </c>
      <c r="F2467" t="s">
        <v>258</v>
      </c>
      <c r="G2467">
        <v>260</v>
      </c>
      <c r="H2467">
        <v>34000</v>
      </c>
      <c r="I2467">
        <v>8840000</v>
      </c>
    </row>
    <row r="2468" spans="1:10" hidden="1" x14ac:dyDescent="0.25">
      <c r="A2468" s="210" t="s">
        <v>1691</v>
      </c>
      <c r="B2468">
        <v>8367</v>
      </c>
      <c r="C2468" s="100">
        <v>46108</v>
      </c>
      <c r="D2468" t="s">
        <v>13</v>
      </c>
      <c r="E2468" t="s">
        <v>26</v>
      </c>
      <c r="F2468" t="s">
        <v>62</v>
      </c>
      <c r="G2468">
        <v>430</v>
      </c>
      <c r="H2468">
        <v>34000</v>
      </c>
      <c r="I2468">
        <v>14620000</v>
      </c>
    </row>
    <row r="2469" spans="1:10" hidden="1" x14ac:dyDescent="0.25">
      <c r="A2469" s="210" t="s">
        <v>1512</v>
      </c>
      <c r="B2469">
        <v>8366</v>
      </c>
      <c r="C2469" s="100">
        <v>46108</v>
      </c>
      <c r="D2469" t="s">
        <v>13</v>
      </c>
      <c r="E2469" t="s">
        <v>26</v>
      </c>
      <c r="F2469" t="s">
        <v>416</v>
      </c>
      <c r="G2469">
        <v>1824</v>
      </c>
      <c r="H2469">
        <v>34000</v>
      </c>
      <c r="I2469">
        <v>62016000</v>
      </c>
    </row>
    <row r="2470" spans="1:10" hidden="1" x14ac:dyDescent="0.25">
      <c r="A2470" s="210" t="s">
        <v>1689</v>
      </c>
      <c r="B2470">
        <v>8365</v>
      </c>
      <c r="C2470" s="100">
        <v>46108</v>
      </c>
      <c r="D2470" t="s">
        <v>13</v>
      </c>
      <c r="E2470" t="s">
        <v>43</v>
      </c>
      <c r="F2470" t="s">
        <v>1380</v>
      </c>
      <c r="G2470">
        <v>7774</v>
      </c>
      <c r="H2470">
        <v>55000</v>
      </c>
      <c r="I2470">
        <v>427570000</v>
      </c>
    </row>
    <row r="2471" spans="1:10" hidden="1" x14ac:dyDescent="0.25">
      <c r="A2471" s="210" t="s">
        <v>1524</v>
      </c>
      <c r="B2471">
        <v>8364</v>
      </c>
      <c r="C2471" s="100">
        <v>46108</v>
      </c>
      <c r="D2471" t="s">
        <v>49</v>
      </c>
      <c r="E2471" t="s">
        <v>17</v>
      </c>
      <c r="F2471" t="s">
        <v>499</v>
      </c>
      <c r="G2471">
        <v>1323</v>
      </c>
      <c r="I2471">
        <v>0</v>
      </c>
    </row>
    <row r="2472" spans="1:10" hidden="1" x14ac:dyDescent="0.25">
      <c r="A2472" s="210" t="s">
        <v>1524</v>
      </c>
      <c r="B2472">
        <v>8364</v>
      </c>
      <c r="C2472" s="100">
        <v>46108</v>
      </c>
      <c r="D2472" t="s">
        <v>49</v>
      </c>
      <c r="E2472" t="s">
        <v>17</v>
      </c>
      <c r="F2472" t="s">
        <v>243</v>
      </c>
      <c r="G2472">
        <v>2149</v>
      </c>
      <c r="I2472">
        <v>0</v>
      </c>
    </row>
    <row r="2473" spans="1:10" hidden="1" x14ac:dyDescent="0.25">
      <c r="A2473" s="210" t="s">
        <v>1512</v>
      </c>
      <c r="B2473">
        <v>8363</v>
      </c>
      <c r="C2473" s="100">
        <v>46108</v>
      </c>
      <c r="D2473" t="s">
        <v>13</v>
      </c>
      <c r="E2473" t="s">
        <v>17</v>
      </c>
      <c r="F2473" t="s">
        <v>33</v>
      </c>
      <c r="G2473">
        <v>146</v>
      </c>
      <c r="H2473">
        <v>65000</v>
      </c>
      <c r="I2473">
        <v>9490000</v>
      </c>
    </row>
    <row r="2474" spans="1:10" hidden="1" x14ac:dyDescent="0.25">
      <c r="A2474" s="210" t="s">
        <v>1606</v>
      </c>
      <c r="B2474">
        <v>8362</v>
      </c>
      <c r="C2474" s="100">
        <v>46107</v>
      </c>
      <c r="D2474" t="s">
        <v>13</v>
      </c>
      <c r="E2474" t="s">
        <v>14</v>
      </c>
      <c r="F2474" t="s">
        <v>146</v>
      </c>
      <c r="G2474">
        <v>178</v>
      </c>
      <c r="H2474">
        <v>42000</v>
      </c>
      <c r="I2474">
        <v>7476000</v>
      </c>
    </row>
    <row r="2475" spans="1:10" hidden="1" x14ac:dyDescent="0.25">
      <c r="A2475" s="210" t="s">
        <v>1511</v>
      </c>
      <c r="B2475">
        <v>8361</v>
      </c>
      <c r="C2475" s="100">
        <v>46107</v>
      </c>
      <c r="D2475" t="s">
        <v>13</v>
      </c>
      <c r="E2475" t="s">
        <v>109</v>
      </c>
      <c r="F2475" t="s">
        <v>390</v>
      </c>
      <c r="G2475">
        <v>80</v>
      </c>
      <c r="H2475">
        <v>60000</v>
      </c>
      <c r="I2475">
        <v>4800000</v>
      </c>
      <c r="J2475">
        <v>4800000</v>
      </c>
    </row>
    <row r="2476" spans="1:10" hidden="1" x14ac:dyDescent="0.25">
      <c r="A2476" s="210" t="s">
        <v>1689</v>
      </c>
      <c r="B2476">
        <v>8360</v>
      </c>
      <c r="C2476" s="100">
        <v>46107</v>
      </c>
      <c r="D2476" t="s">
        <v>13</v>
      </c>
      <c r="E2476" t="s">
        <v>43</v>
      </c>
      <c r="F2476" t="s">
        <v>1241</v>
      </c>
      <c r="G2476">
        <v>6272</v>
      </c>
      <c r="H2476">
        <v>55000</v>
      </c>
      <c r="I2476">
        <v>344960000</v>
      </c>
    </row>
    <row r="2477" spans="1:10" hidden="1" x14ac:dyDescent="0.25">
      <c r="A2477" s="210" t="s">
        <v>1689</v>
      </c>
      <c r="B2477">
        <v>8360</v>
      </c>
      <c r="C2477" s="100">
        <v>46107</v>
      </c>
      <c r="D2477" t="s">
        <v>13</v>
      </c>
      <c r="E2477" t="s">
        <v>43</v>
      </c>
      <c r="F2477" t="s">
        <v>1379</v>
      </c>
      <c r="G2477">
        <v>3168</v>
      </c>
      <c r="H2477">
        <v>55000</v>
      </c>
      <c r="I2477">
        <v>174240000</v>
      </c>
    </row>
    <row r="2478" spans="1:10" hidden="1" x14ac:dyDescent="0.25">
      <c r="A2478" s="210" t="s">
        <v>1582</v>
      </c>
      <c r="B2478">
        <v>8359</v>
      </c>
      <c r="C2478" s="100">
        <v>46107</v>
      </c>
      <c r="D2478" t="s">
        <v>13</v>
      </c>
      <c r="E2478" t="s">
        <v>17</v>
      </c>
      <c r="F2478" t="s">
        <v>1007</v>
      </c>
      <c r="G2478">
        <v>1808</v>
      </c>
      <c r="H2478">
        <v>66000</v>
      </c>
      <c r="I2478">
        <v>119328000</v>
      </c>
    </row>
    <row r="2479" spans="1:10" hidden="1" x14ac:dyDescent="0.25">
      <c r="A2479" s="210" t="s">
        <v>1582</v>
      </c>
      <c r="B2479">
        <v>8359</v>
      </c>
      <c r="C2479" s="100">
        <v>46107</v>
      </c>
      <c r="D2479" t="s">
        <v>13</v>
      </c>
      <c r="E2479" t="s">
        <v>17</v>
      </c>
      <c r="F2479" t="s">
        <v>40</v>
      </c>
      <c r="G2479">
        <v>509</v>
      </c>
      <c r="H2479">
        <v>66000</v>
      </c>
      <c r="I2479">
        <v>33594000</v>
      </c>
    </row>
    <row r="2480" spans="1:10" hidden="1" x14ac:dyDescent="0.25">
      <c r="A2480" s="210" t="s">
        <v>1490</v>
      </c>
      <c r="B2480">
        <v>8358</v>
      </c>
      <c r="C2480" s="100">
        <v>46107</v>
      </c>
      <c r="D2480" t="s">
        <v>13</v>
      </c>
      <c r="E2480" t="s">
        <v>17</v>
      </c>
      <c r="F2480" t="s">
        <v>33</v>
      </c>
      <c r="G2480">
        <v>554</v>
      </c>
      <c r="H2480">
        <v>60000</v>
      </c>
      <c r="I2480">
        <v>33240000</v>
      </c>
    </row>
    <row r="2481" spans="1:11" hidden="1" x14ac:dyDescent="0.25">
      <c r="A2481" s="210" t="s">
        <v>1624</v>
      </c>
      <c r="B2481">
        <v>8357</v>
      </c>
      <c r="C2481" s="100">
        <v>46107</v>
      </c>
      <c r="D2481" t="s">
        <v>49</v>
      </c>
      <c r="E2481" t="s">
        <v>1185</v>
      </c>
      <c r="F2481" t="s">
        <v>1186</v>
      </c>
      <c r="G2481">
        <v>158</v>
      </c>
      <c r="I2481">
        <v>0</v>
      </c>
    </row>
    <row r="2482" spans="1:11" hidden="1" x14ac:dyDescent="0.25">
      <c r="A2482" s="210" t="s">
        <v>1509</v>
      </c>
      <c r="B2482">
        <v>8356</v>
      </c>
      <c r="C2482" s="100">
        <v>46107</v>
      </c>
      <c r="D2482" t="s">
        <v>13</v>
      </c>
      <c r="E2482" t="s">
        <v>17</v>
      </c>
      <c r="F2482" t="s">
        <v>273</v>
      </c>
      <c r="G2482">
        <v>393</v>
      </c>
      <c r="H2482">
        <v>59000</v>
      </c>
      <c r="I2482">
        <v>23187000</v>
      </c>
    </row>
    <row r="2483" spans="1:11" hidden="1" x14ac:dyDescent="0.25">
      <c r="A2483" s="210" t="s">
        <v>1596</v>
      </c>
      <c r="B2483">
        <v>8355</v>
      </c>
      <c r="C2483" s="100">
        <v>46107</v>
      </c>
      <c r="D2483" t="s">
        <v>49</v>
      </c>
      <c r="E2483" t="s">
        <v>17</v>
      </c>
      <c r="F2483" t="s">
        <v>78</v>
      </c>
      <c r="G2483">
        <v>470</v>
      </c>
      <c r="I2483">
        <v>0</v>
      </c>
    </row>
    <row r="2484" spans="1:11" hidden="1" x14ac:dyDescent="0.25">
      <c r="A2484" s="210" t="s">
        <v>1596</v>
      </c>
      <c r="B2484">
        <v>8355</v>
      </c>
      <c r="C2484" s="100">
        <v>46107</v>
      </c>
      <c r="D2484" t="s">
        <v>49</v>
      </c>
      <c r="E2484" t="s">
        <v>17</v>
      </c>
      <c r="F2484" t="s">
        <v>416</v>
      </c>
      <c r="G2484">
        <v>560</v>
      </c>
      <c r="I2484">
        <v>0</v>
      </c>
    </row>
    <row r="2485" spans="1:11" hidden="1" x14ac:dyDescent="0.25">
      <c r="A2485" s="210" t="s">
        <v>1580</v>
      </c>
      <c r="B2485">
        <v>8354</v>
      </c>
      <c r="C2485" s="100">
        <v>46107</v>
      </c>
      <c r="D2485" t="s">
        <v>13</v>
      </c>
      <c r="E2485" t="s">
        <v>43</v>
      </c>
      <c r="F2485" t="s">
        <v>248</v>
      </c>
      <c r="G2485">
        <v>1240</v>
      </c>
      <c r="H2485">
        <v>61000</v>
      </c>
      <c r="I2485">
        <v>75640000</v>
      </c>
    </row>
    <row r="2486" spans="1:11" hidden="1" x14ac:dyDescent="0.25">
      <c r="A2486" s="210" t="s">
        <v>1491</v>
      </c>
      <c r="B2486">
        <v>8353</v>
      </c>
      <c r="C2486" s="100">
        <v>46107</v>
      </c>
      <c r="D2486" t="s">
        <v>13</v>
      </c>
      <c r="E2486" t="s">
        <v>43</v>
      </c>
      <c r="F2486" t="s">
        <v>259</v>
      </c>
      <c r="G2486">
        <v>821</v>
      </c>
      <c r="H2486">
        <v>60500</v>
      </c>
      <c r="I2486">
        <v>49670500</v>
      </c>
    </row>
    <row r="2487" spans="1:11" hidden="1" x14ac:dyDescent="0.25">
      <c r="A2487" s="210" t="s">
        <v>1491</v>
      </c>
      <c r="B2487">
        <v>8353</v>
      </c>
      <c r="C2487" s="100">
        <v>46107</v>
      </c>
      <c r="D2487" t="s">
        <v>13</v>
      </c>
      <c r="E2487" t="s">
        <v>17</v>
      </c>
      <c r="F2487" t="s">
        <v>33</v>
      </c>
      <c r="G2487">
        <v>1510</v>
      </c>
      <c r="H2487">
        <v>65000</v>
      </c>
      <c r="I2487">
        <v>98150000</v>
      </c>
    </row>
    <row r="2488" spans="1:11" hidden="1" x14ac:dyDescent="0.25">
      <c r="A2488" s="210" t="s">
        <v>1545</v>
      </c>
      <c r="B2488">
        <v>8352</v>
      </c>
      <c r="C2488" s="100">
        <v>46107</v>
      </c>
      <c r="D2488" t="s">
        <v>13</v>
      </c>
      <c r="E2488" t="s">
        <v>43</v>
      </c>
      <c r="F2488" t="s">
        <v>154</v>
      </c>
      <c r="G2488">
        <v>1069</v>
      </c>
      <c r="H2488">
        <v>60000</v>
      </c>
      <c r="I2488">
        <v>64140000</v>
      </c>
    </row>
    <row r="2489" spans="1:11" hidden="1" x14ac:dyDescent="0.25">
      <c r="A2489" s="210" t="s">
        <v>1545</v>
      </c>
      <c r="B2489">
        <v>8352</v>
      </c>
      <c r="C2489" s="100">
        <v>46107</v>
      </c>
      <c r="D2489" t="s">
        <v>13</v>
      </c>
      <c r="E2489" t="s">
        <v>43</v>
      </c>
      <c r="F2489" t="s">
        <v>246</v>
      </c>
      <c r="G2489">
        <v>944</v>
      </c>
      <c r="H2489">
        <v>59000</v>
      </c>
      <c r="I2489">
        <v>55696000</v>
      </c>
    </row>
    <row r="2490" spans="1:11" hidden="1" x14ac:dyDescent="0.25">
      <c r="A2490" s="210" t="s">
        <v>1575</v>
      </c>
      <c r="B2490">
        <v>8351</v>
      </c>
      <c r="C2490" s="100">
        <v>46107</v>
      </c>
      <c r="D2490" t="s">
        <v>13</v>
      </c>
      <c r="E2490" t="s">
        <v>265</v>
      </c>
      <c r="F2490" t="s">
        <v>62</v>
      </c>
      <c r="G2490">
        <v>546</v>
      </c>
      <c r="H2490">
        <v>64500</v>
      </c>
      <c r="I2490">
        <v>35217000</v>
      </c>
    </row>
    <row r="2491" spans="1:11" hidden="1" x14ac:dyDescent="0.25">
      <c r="A2491" s="210" t="s">
        <v>1568</v>
      </c>
      <c r="B2491">
        <v>8350</v>
      </c>
      <c r="C2491" s="100">
        <v>46107</v>
      </c>
      <c r="D2491" t="s">
        <v>13</v>
      </c>
      <c r="E2491" t="s">
        <v>50</v>
      </c>
      <c r="F2491" t="s">
        <v>71</v>
      </c>
      <c r="G2491">
        <v>678</v>
      </c>
      <c r="H2491">
        <v>55000</v>
      </c>
      <c r="I2491">
        <v>37290000</v>
      </c>
    </row>
    <row r="2492" spans="1:11" hidden="1" x14ac:dyDescent="0.25">
      <c r="A2492" s="210" t="s">
        <v>1568</v>
      </c>
      <c r="B2492">
        <v>8350</v>
      </c>
      <c r="C2492" s="100">
        <v>46107</v>
      </c>
      <c r="D2492" t="s">
        <v>13</v>
      </c>
      <c r="E2492" t="s">
        <v>50</v>
      </c>
      <c r="F2492" t="s">
        <v>958</v>
      </c>
      <c r="G2492">
        <v>182</v>
      </c>
      <c r="H2492">
        <v>60000</v>
      </c>
      <c r="I2492">
        <v>10920000</v>
      </c>
    </row>
    <row r="2493" spans="1:11" hidden="1" x14ac:dyDescent="0.25">
      <c r="A2493" s="210" t="s">
        <v>1531</v>
      </c>
      <c r="B2493">
        <v>8349</v>
      </c>
      <c r="C2493" s="100">
        <v>46107</v>
      </c>
      <c r="D2493" t="s">
        <v>13</v>
      </c>
      <c r="E2493" t="s">
        <v>17</v>
      </c>
      <c r="F2493" t="s">
        <v>46</v>
      </c>
      <c r="G2493">
        <v>1020</v>
      </c>
      <c r="H2493">
        <v>59500</v>
      </c>
      <c r="I2493">
        <v>60690000</v>
      </c>
    </row>
    <row r="2494" spans="1:11" hidden="1" x14ac:dyDescent="0.25">
      <c r="A2494" s="210" t="s">
        <v>1531</v>
      </c>
      <c r="B2494">
        <v>8349</v>
      </c>
      <c r="C2494" s="100">
        <v>46107</v>
      </c>
      <c r="D2494" t="s">
        <v>13</v>
      </c>
      <c r="E2494" t="s">
        <v>109</v>
      </c>
      <c r="F2494" t="s">
        <v>716</v>
      </c>
      <c r="G2494">
        <v>650</v>
      </c>
      <c r="H2494">
        <v>55500</v>
      </c>
      <c r="I2494">
        <v>36075000</v>
      </c>
    </row>
    <row r="2495" spans="1:11" hidden="1" x14ac:dyDescent="0.25">
      <c r="A2495" s="210" t="s">
        <v>1689</v>
      </c>
      <c r="B2495">
        <v>8348</v>
      </c>
      <c r="C2495" s="100">
        <v>46107</v>
      </c>
      <c r="D2495" t="s">
        <v>13</v>
      </c>
      <c r="E2495" t="s">
        <v>43</v>
      </c>
      <c r="F2495" t="s">
        <v>1378</v>
      </c>
      <c r="G2495">
        <v>9640</v>
      </c>
      <c r="H2495">
        <v>55000</v>
      </c>
      <c r="I2495">
        <v>530200000</v>
      </c>
    </row>
    <row r="2496" spans="1:11" hidden="1" x14ac:dyDescent="0.25">
      <c r="A2496" s="210" t="s">
        <v>1511</v>
      </c>
      <c r="B2496">
        <v>8347</v>
      </c>
      <c r="C2496" s="100">
        <v>46107</v>
      </c>
      <c r="D2496" t="s">
        <v>13</v>
      </c>
      <c r="E2496" t="s">
        <v>17</v>
      </c>
      <c r="F2496" t="s">
        <v>30</v>
      </c>
      <c r="G2496">
        <v>1174</v>
      </c>
      <c r="H2496">
        <v>60000</v>
      </c>
      <c r="I2496">
        <v>70440000</v>
      </c>
      <c r="J2496">
        <v>70440000</v>
      </c>
      <c r="K2496" t="s">
        <v>389</v>
      </c>
    </row>
    <row r="2497" spans="1:11" hidden="1" x14ac:dyDescent="0.25">
      <c r="A2497" s="210" t="s">
        <v>1511</v>
      </c>
      <c r="B2497">
        <v>8347</v>
      </c>
      <c r="C2497" s="100">
        <v>46107</v>
      </c>
      <c r="D2497" t="s">
        <v>13</v>
      </c>
      <c r="E2497" t="s">
        <v>17</v>
      </c>
      <c r="F2497" t="s">
        <v>127</v>
      </c>
      <c r="G2497">
        <v>1030</v>
      </c>
      <c r="H2497">
        <v>60000</v>
      </c>
      <c r="I2497">
        <v>61800000</v>
      </c>
      <c r="J2497">
        <v>61800000</v>
      </c>
      <c r="K2497" t="s">
        <v>389</v>
      </c>
    </row>
    <row r="2498" spans="1:11" hidden="1" x14ac:dyDescent="0.25">
      <c r="A2498" s="210" t="s">
        <v>1490</v>
      </c>
      <c r="B2498">
        <v>8345</v>
      </c>
      <c r="C2498" s="100">
        <v>46107</v>
      </c>
      <c r="D2498" t="s">
        <v>13</v>
      </c>
      <c r="E2498" t="s">
        <v>17</v>
      </c>
      <c r="F2498" t="s">
        <v>33</v>
      </c>
      <c r="G2498">
        <v>406</v>
      </c>
      <c r="H2498">
        <v>60000</v>
      </c>
      <c r="I2498">
        <v>24360000</v>
      </c>
    </row>
    <row r="2499" spans="1:11" hidden="1" x14ac:dyDescent="0.25">
      <c r="A2499" s="210" t="s">
        <v>1524</v>
      </c>
      <c r="B2499">
        <v>8344</v>
      </c>
      <c r="C2499" s="100">
        <v>46107</v>
      </c>
      <c r="D2499" t="s">
        <v>49</v>
      </c>
      <c r="E2499" t="s">
        <v>17</v>
      </c>
      <c r="F2499" t="s">
        <v>497</v>
      </c>
      <c r="G2499">
        <v>1570</v>
      </c>
      <c r="I2499">
        <v>0</v>
      </c>
    </row>
    <row r="2500" spans="1:11" hidden="1" x14ac:dyDescent="0.25">
      <c r="A2500" s="210" t="s">
        <v>1524</v>
      </c>
      <c r="B2500">
        <v>8344</v>
      </c>
      <c r="C2500" s="100">
        <v>46107</v>
      </c>
      <c r="D2500" t="s">
        <v>49</v>
      </c>
      <c r="E2500" t="s">
        <v>77</v>
      </c>
      <c r="F2500" t="s">
        <v>498</v>
      </c>
      <c r="G2500">
        <v>858</v>
      </c>
      <c r="I2500">
        <v>0</v>
      </c>
    </row>
    <row r="2501" spans="1:11" hidden="1" x14ac:dyDescent="0.25">
      <c r="A2501" s="210" t="s">
        <v>1496</v>
      </c>
      <c r="B2501">
        <v>8343</v>
      </c>
      <c r="C2501" s="100">
        <v>46107</v>
      </c>
      <c r="D2501" t="s">
        <v>13</v>
      </c>
      <c r="E2501" t="s">
        <v>26</v>
      </c>
      <c r="F2501" t="s">
        <v>33</v>
      </c>
      <c r="G2501">
        <v>398</v>
      </c>
      <c r="H2501">
        <v>34500</v>
      </c>
      <c r="I2501">
        <v>13731000</v>
      </c>
    </row>
    <row r="2502" spans="1:11" hidden="1" x14ac:dyDescent="0.25">
      <c r="A2502" s="210" t="s">
        <v>1627</v>
      </c>
      <c r="B2502">
        <v>8342</v>
      </c>
      <c r="C2502" s="100">
        <v>46107</v>
      </c>
      <c r="D2502" t="s">
        <v>13</v>
      </c>
      <c r="E2502" t="s">
        <v>26</v>
      </c>
      <c r="F2502" t="s">
        <v>1202</v>
      </c>
      <c r="G2502">
        <v>770</v>
      </c>
      <c r="H2502">
        <v>36000</v>
      </c>
      <c r="I2502">
        <v>27720000</v>
      </c>
    </row>
    <row r="2503" spans="1:11" hidden="1" x14ac:dyDescent="0.25">
      <c r="A2503" s="210" t="s">
        <v>1627</v>
      </c>
      <c r="B2503">
        <v>8342</v>
      </c>
      <c r="C2503" s="100">
        <v>46107</v>
      </c>
      <c r="D2503" t="s">
        <v>13</v>
      </c>
      <c r="E2503" t="s">
        <v>26</v>
      </c>
      <c r="F2503" t="s">
        <v>40</v>
      </c>
      <c r="G2503">
        <v>260</v>
      </c>
      <c r="H2503">
        <v>35000</v>
      </c>
      <c r="I2503">
        <v>9100000</v>
      </c>
    </row>
    <row r="2504" spans="1:11" hidden="1" x14ac:dyDescent="0.25">
      <c r="A2504" s="210" t="s">
        <v>1627</v>
      </c>
      <c r="B2504">
        <v>8342</v>
      </c>
      <c r="C2504" s="100">
        <v>46107</v>
      </c>
      <c r="D2504" t="s">
        <v>13</v>
      </c>
      <c r="E2504" t="s">
        <v>252</v>
      </c>
      <c r="F2504" t="s">
        <v>1203</v>
      </c>
      <c r="G2504">
        <v>1260</v>
      </c>
      <c r="H2504">
        <v>40000</v>
      </c>
      <c r="I2504">
        <v>50400000</v>
      </c>
    </row>
    <row r="2505" spans="1:11" hidden="1" x14ac:dyDescent="0.25">
      <c r="A2505" s="210" t="s">
        <v>1532</v>
      </c>
      <c r="B2505">
        <v>8341</v>
      </c>
      <c r="C2505" s="100">
        <v>46107</v>
      </c>
      <c r="D2505" t="s">
        <v>49</v>
      </c>
      <c r="E2505" t="s">
        <v>301</v>
      </c>
      <c r="F2505" t="s">
        <v>501</v>
      </c>
      <c r="G2505">
        <v>7102</v>
      </c>
      <c r="I2505">
        <v>0</v>
      </c>
    </row>
    <row r="2506" spans="1:11" hidden="1" x14ac:dyDescent="0.25">
      <c r="A2506" s="210" t="s">
        <v>1476</v>
      </c>
      <c r="B2506">
        <v>8340</v>
      </c>
      <c r="C2506" s="100">
        <v>46107</v>
      </c>
      <c r="D2506" t="s">
        <v>49</v>
      </c>
      <c r="E2506" t="s">
        <v>54</v>
      </c>
      <c r="F2506" t="s">
        <v>79</v>
      </c>
      <c r="I2506">
        <v>0</v>
      </c>
      <c r="K2506" t="s">
        <v>80</v>
      </c>
    </row>
    <row r="2507" spans="1:11" hidden="1" x14ac:dyDescent="0.25">
      <c r="A2507" s="210" t="s">
        <v>1504</v>
      </c>
      <c r="B2507">
        <v>8339</v>
      </c>
      <c r="C2507" s="100">
        <v>46107</v>
      </c>
      <c r="D2507" t="s">
        <v>13</v>
      </c>
      <c r="E2507" t="s">
        <v>330</v>
      </c>
      <c r="F2507" t="s">
        <v>331</v>
      </c>
      <c r="G2507">
        <v>735</v>
      </c>
      <c r="H2507">
        <v>46000</v>
      </c>
      <c r="I2507">
        <v>33810000</v>
      </c>
    </row>
    <row r="2508" spans="1:11" hidden="1" x14ac:dyDescent="0.25">
      <c r="A2508" s="210" t="s">
        <v>1504</v>
      </c>
      <c r="B2508">
        <v>8339</v>
      </c>
      <c r="C2508" s="100">
        <v>46107</v>
      </c>
      <c r="D2508" t="s">
        <v>13</v>
      </c>
      <c r="E2508" t="s">
        <v>26</v>
      </c>
      <c r="F2508" t="s">
        <v>332</v>
      </c>
      <c r="G2508">
        <v>208</v>
      </c>
      <c r="H2508">
        <v>37000</v>
      </c>
      <c r="I2508">
        <v>7696000</v>
      </c>
    </row>
    <row r="2509" spans="1:11" hidden="1" x14ac:dyDescent="0.25">
      <c r="A2509" s="210" t="s">
        <v>1504</v>
      </c>
      <c r="B2509">
        <v>8339</v>
      </c>
      <c r="C2509" s="100">
        <v>46107</v>
      </c>
      <c r="D2509" t="s">
        <v>13</v>
      </c>
      <c r="E2509" t="s">
        <v>26</v>
      </c>
      <c r="F2509" t="s">
        <v>333</v>
      </c>
      <c r="G2509">
        <v>258</v>
      </c>
      <c r="H2509">
        <v>34000</v>
      </c>
      <c r="I2509">
        <v>8772000</v>
      </c>
    </row>
    <row r="2510" spans="1:11" hidden="1" x14ac:dyDescent="0.25">
      <c r="A2510" s="210" t="s">
        <v>1511</v>
      </c>
      <c r="B2510">
        <v>8337</v>
      </c>
      <c r="C2510" s="100">
        <v>46107</v>
      </c>
      <c r="D2510" t="s">
        <v>13</v>
      </c>
      <c r="E2510" t="s">
        <v>26</v>
      </c>
      <c r="F2510" t="s">
        <v>386</v>
      </c>
      <c r="G2510">
        <v>688</v>
      </c>
      <c r="H2510">
        <v>34000</v>
      </c>
      <c r="I2510">
        <v>23392000</v>
      </c>
      <c r="J2510">
        <v>23392000</v>
      </c>
    </row>
    <row r="2511" spans="1:11" hidden="1" x14ac:dyDescent="0.25">
      <c r="A2511" s="210" t="s">
        <v>1511</v>
      </c>
      <c r="B2511">
        <v>8337</v>
      </c>
      <c r="C2511" s="100">
        <v>46107</v>
      </c>
      <c r="D2511" t="s">
        <v>13</v>
      </c>
      <c r="E2511" t="s">
        <v>26</v>
      </c>
      <c r="F2511" t="s">
        <v>387</v>
      </c>
      <c r="G2511">
        <v>490</v>
      </c>
      <c r="H2511">
        <v>34000</v>
      </c>
      <c r="I2511">
        <v>16660000</v>
      </c>
      <c r="J2511">
        <v>16660000</v>
      </c>
      <c r="K2511" t="s">
        <v>388</v>
      </c>
    </row>
    <row r="2512" spans="1:11" hidden="1" x14ac:dyDescent="0.25">
      <c r="A2512" s="210" t="s">
        <v>1960</v>
      </c>
      <c r="B2512">
        <v>8336</v>
      </c>
      <c r="C2512" s="100">
        <v>46106</v>
      </c>
      <c r="D2512" t="s">
        <v>13</v>
      </c>
      <c r="E2512" t="s">
        <v>26</v>
      </c>
      <c r="F2512" t="s">
        <v>416</v>
      </c>
      <c r="G2512">
        <v>299</v>
      </c>
      <c r="H2512">
        <v>34000</v>
      </c>
      <c r="I2512">
        <v>10166000</v>
      </c>
    </row>
    <row r="2513" spans="1:11" hidden="1" x14ac:dyDescent="0.25">
      <c r="A2513" s="210" t="s">
        <v>1960</v>
      </c>
      <c r="B2513">
        <v>8336</v>
      </c>
      <c r="C2513" s="100">
        <v>46106</v>
      </c>
      <c r="D2513" t="s">
        <v>13</v>
      </c>
      <c r="E2513" t="s">
        <v>26</v>
      </c>
      <c r="F2513" t="s">
        <v>41</v>
      </c>
      <c r="G2513">
        <v>534</v>
      </c>
      <c r="H2513">
        <v>34000</v>
      </c>
      <c r="I2513">
        <v>18156000</v>
      </c>
    </row>
    <row r="2514" spans="1:11" hidden="1" x14ac:dyDescent="0.25">
      <c r="A2514" s="210" t="s">
        <v>1511</v>
      </c>
      <c r="B2514">
        <v>8335</v>
      </c>
      <c r="C2514" s="100">
        <v>46106</v>
      </c>
      <c r="D2514" t="s">
        <v>13</v>
      </c>
      <c r="E2514" t="s">
        <v>317</v>
      </c>
      <c r="F2514" t="s">
        <v>288</v>
      </c>
      <c r="G2514">
        <v>96</v>
      </c>
      <c r="H2514">
        <v>67000</v>
      </c>
      <c r="I2514">
        <v>6432000</v>
      </c>
      <c r="J2514">
        <v>6432000</v>
      </c>
      <c r="K2514" t="s">
        <v>385</v>
      </c>
    </row>
    <row r="2515" spans="1:11" hidden="1" x14ac:dyDescent="0.25">
      <c r="A2515" s="210" t="s">
        <v>1538</v>
      </c>
      <c r="B2515">
        <v>8334</v>
      </c>
      <c r="C2515" s="100">
        <v>46106</v>
      </c>
      <c r="D2515" t="s">
        <v>13</v>
      </c>
      <c r="E2515" t="s">
        <v>17</v>
      </c>
      <c r="F2515" t="s">
        <v>230</v>
      </c>
      <c r="G2515">
        <v>106</v>
      </c>
      <c r="H2515">
        <v>67000</v>
      </c>
      <c r="I2515">
        <v>7102000</v>
      </c>
    </row>
    <row r="2516" spans="1:11" hidden="1" x14ac:dyDescent="0.25">
      <c r="A2516" s="210" t="s">
        <v>1538</v>
      </c>
      <c r="B2516">
        <v>8334</v>
      </c>
      <c r="C2516" s="100">
        <v>46106</v>
      </c>
      <c r="D2516" t="s">
        <v>13</v>
      </c>
      <c r="E2516" t="s">
        <v>54</v>
      </c>
      <c r="F2516" t="s">
        <v>860</v>
      </c>
      <c r="G2516">
        <v>2434</v>
      </c>
      <c r="H2516">
        <v>33500</v>
      </c>
      <c r="I2516">
        <v>81539000</v>
      </c>
    </row>
    <row r="2517" spans="1:11" hidden="1" x14ac:dyDescent="0.25">
      <c r="A2517" s="210" t="s">
        <v>1538</v>
      </c>
      <c r="B2517">
        <v>8334</v>
      </c>
      <c r="C2517" s="100">
        <v>46106</v>
      </c>
      <c r="D2517" t="s">
        <v>13</v>
      </c>
      <c r="E2517" t="s">
        <v>54</v>
      </c>
      <c r="F2517" t="s">
        <v>214</v>
      </c>
      <c r="G2517">
        <v>1860</v>
      </c>
      <c r="H2517">
        <v>33500</v>
      </c>
      <c r="I2517">
        <v>62310000</v>
      </c>
    </row>
    <row r="2518" spans="1:11" hidden="1" x14ac:dyDescent="0.25">
      <c r="A2518" s="210" t="s">
        <v>1541</v>
      </c>
      <c r="B2518">
        <v>8333</v>
      </c>
      <c r="C2518" s="100">
        <v>46106</v>
      </c>
      <c r="D2518" t="s">
        <v>13</v>
      </c>
      <c r="E2518" t="s">
        <v>36</v>
      </c>
      <c r="F2518" t="s">
        <v>228</v>
      </c>
      <c r="G2518">
        <v>234</v>
      </c>
      <c r="H2518">
        <v>60000</v>
      </c>
      <c r="I2518">
        <v>14040000</v>
      </c>
    </row>
    <row r="2519" spans="1:11" hidden="1" x14ac:dyDescent="0.25">
      <c r="A2519" s="210" t="s">
        <v>1541</v>
      </c>
      <c r="B2519">
        <v>8333</v>
      </c>
      <c r="C2519" s="100">
        <v>46106</v>
      </c>
      <c r="D2519" t="s">
        <v>13</v>
      </c>
      <c r="E2519" t="s">
        <v>36</v>
      </c>
      <c r="F2519" t="s">
        <v>73</v>
      </c>
      <c r="G2519">
        <v>522</v>
      </c>
      <c r="H2519">
        <v>59000</v>
      </c>
      <c r="I2519">
        <v>30798000</v>
      </c>
    </row>
    <row r="2520" spans="1:11" hidden="1" x14ac:dyDescent="0.25">
      <c r="A2520" s="210" t="s">
        <v>1541</v>
      </c>
      <c r="B2520">
        <v>8333</v>
      </c>
      <c r="C2520" s="100">
        <v>46106</v>
      </c>
      <c r="D2520" t="s">
        <v>13</v>
      </c>
      <c r="E2520" t="s">
        <v>36</v>
      </c>
      <c r="F2520" t="s">
        <v>74</v>
      </c>
      <c r="G2520">
        <v>100</v>
      </c>
      <c r="H2520">
        <v>60000</v>
      </c>
      <c r="I2520">
        <v>6000000</v>
      </c>
    </row>
    <row r="2521" spans="1:11" hidden="1" x14ac:dyDescent="0.25">
      <c r="A2521" s="210" t="s">
        <v>1541</v>
      </c>
      <c r="B2521">
        <v>8333</v>
      </c>
      <c r="C2521" s="100">
        <v>46106</v>
      </c>
      <c r="D2521" t="s">
        <v>13</v>
      </c>
      <c r="E2521" t="s">
        <v>328</v>
      </c>
      <c r="F2521" t="s">
        <v>76</v>
      </c>
      <c r="G2521">
        <v>116</v>
      </c>
      <c r="H2521">
        <v>41500</v>
      </c>
      <c r="I2521">
        <v>4814000</v>
      </c>
    </row>
    <row r="2522" spans="1:11" hidden="1" x14ac:dyDescent="0.25">
      <c r="A2522" s="210" t="s">
        <v>1490</v>
      </c>
      <c r="B2522">
        <v>8332</v>
      </c>
      <c r="C2522" s="100">
        <v>46106</v>
      </c>
      <c r="D2522" t="s">
        <v>13</v>
      </c>
      <c r="E2522" t="s">
        <v>17</v>
      </c>
      <c r="F2522" t="s">
        <v>33</v>
      </c>
      <c r="G2522">
        <v>698</v>
      </c>
      <c r="H2522">
        <v>60000</v>
      </c>
      <c r="I2522">
        <v>41880000</v>
      </c>
    </row>
    <row r="2523" spans="1:11" hidden="1" x14ac:dyDescent="0.25">
      <c r="A2523" s="210" t="s">
        <v>1493</v>
      </c>
      <c r="B2523">
        <v>8331</v>
      </c>
      <c r="C2523" s="100">
        <v>46106</v>
      </c>
      <c r="D2523" t="s">
        <v>13</v>
      </c>
      <c r="E2523" t="s">
        <v>265</v>
      </c>
      <c r="F2523" t="s">
        <v>273</v>
      </c>
      <c r="G2523">
        <v>2132</v>
      </c>
      <c r="H2523">
        <v>63500</v>
      </c>
      <c r="I2523">
        <v>135382000</v>
      </c>
    </row>
    <row r="2524" spans="1:11" hidden="1" x14ac:dyDescent="0.25">
      <c r="A2524" s="210" t="s">
        <v>1545</v>
      </c>
      <c r="B2524">
        <v>8330</v>
      </c>
      <c r="C2524" s="100">
        <v>46106</v>
      </c>
      <c r="D2524" t="s">
        <v>13</v>
      </c>
      <c r="E2524" t="s">
        <v>278</v>
      </c>
      <c r="F2524" t="s">
        <v>41</v>
      </c>
      <c r="G2524">
        <v>542</v>
      </c>
      <c r="H2524">
        <v>65000</v>
      </c>
      <c r="I2524">
        <v>35230000</v>
      </c>
    </row>
    <row r="2525" spans="1:11" hidden="1" x14ac:dyDescent="0.25">
      <c r="A2525" s="210" t="s">
        <v>1491</v>
      </c>
      <c r="B2525">
        <v>8329</v>
      </c>
      <c r="C2525" s="100">
        <v>46106</v>
      </c>
      <c r="D2525" t="s">
        <v>13</v>
      </c>
      <c r="E2525" t="s">
        <v>17</v>
      </c>
      <c r="F2525" t="s">
        <v>78</v>
      </c>
      <c r="G2525">
        <v>1309</v>
      </c>
      <c r="H2525">
        <v>63000</v>
      </c>
      <c r="I2525">
        <v>82467000</v>
      </c>
    </row>
    <row r="2526" spans="1:11" hidden="1" x14ac:dyDescent="0.25">
      <c r="A2526" s="210" t="s">
        <v>1491</v>
      </c>
      <c r="B2526">
        <v>8329</v>
      </c>
      <c r="C2526" s="100">
        <v>46106</v>
      </c>
      <c r="D2526" t="s">
        <v>13</v>
      </c>
      <c r="E2526" t="s">
        <v>17</v>
      </c>
      <c r="F2526" t="s">
        <v>62</v>
      </c>
      <c r="G2526">
        <v>1064</v>
      </c>
      <c r="H2526">
        <v>62500</v>
      </c>
      <c r="I2526">
        <v>66500000</v>
      </c>
    </row>
    <row r="2527" spans="1:11" hidden="1" x14ac:dyDescent="0.25">
      <c r="A2527" s="210" t="s">
        <v>1491</v>
      </c>
      <c r="B2527">
        <v>8329</v>
      </c>
      <c r="C2527" s="100">
        <v>46106</v>
      </c>
      <c r="D2527" t="s">
        <v>13</v>
      </c>
      <c r="E2527" t="s">
        <v>17</v>
      </c>
      <c r="F2527" t="s">
        <v>41</v>
      </c>
      <c r="G2527">
        <v>828</v>
      </c>
      <c r="H2527">
        <v>61000</v>
      </c>
      <c r="I2527">
        <v>50508000</v>
      </c>
    </row>
    <row r="2528" spans="1:11" hidden="1" x14ac:dyDescent="0.25">
      <c r="A2528" s="210" t="s">
        <v>1606</v>
      </c>
      <c r="B2528">
        <v>8328</v>
      </c>
      <c r="C2528" s="100">
        <v>46106</v>
      </c>
      <c r="D2528" t="s">
        <v>13</v>
      </c>
      <c r="E2528" t="s">
        <v>14</v>
      </c>
      <c r="F2528" t="s">
        <v>146</v>
      </c>
      <c r="G2528">
        <v>176</v>
      </c>
      <c r="H2528">
        <v>42000</v>
      </c>
      <c r="I2528">
        <v>7392000</v>
      </c>
    </row>
    <row r="2529" spans="1:11" hidden="1" x14ac:dyDescent="0.25">
      <c r="A2529" s="210" t="s">
        <v>1606</v>
      </c>
      <c r="B2529">
        <v>8328</v>
      </c>
      <c r="C2529" s="100">
        <v>46106</v>
      </c>
      <c r="D2529" t="s">
        <v>13</v>
      </c>
      <c r="E2529" t="s">
        <v>14</v>
      </c>
      <c r="F2529" t="s">
        <v>1120</v>
      </c>
      <c r="G2529">
        <v>228</v>
      </c>
      <c r="H2529">
        <v>42000</v>
      </c>
      <c r="I2529">
        <v>9576000</v>
      </c>
    </row>
    <row r="2530" spans="1:11" hidden="1" x14ac:dyDescent="0.25">
      <c r="A2530" s="210" t="s">
        <v>1606</v>
      </c>
      <c r="B2530">
        <v>8328</v>
      </c>
      <c r="C2530" s="100">
        <v>46106</v>
      </c>
      <c r="D2530" t="s">
        <v>13</v>
      </c>
      <c r="E2530" t="s">
        <v>14</v>
      </c>
      <c r="F2530" t="s">
        <v>176</v>
      </c>
      <c r="G2530">
        <v>382</v>
      </c>
      <c r="H2530">
        <v>43000</v>
      </c>
      <c r="I2530">
        <v>16426000</v>
      </c>
    </row>
    <row r="2531" spans="1:11" hidden="1" x14ac:dyDescent="0.25">
      <c r="A2531" s="210" t="s">
        <v>1688</v>
      </c>
      <c r="B2531">
        <v>8327</v>
      </c>
      <c r="C2531" s="100">
        <v>46106</v>
      </c>
      <c r="D2531" t="s">
        <v>13</v>
      </c>
      <c r="E2531" t="s">
        <v>195</v>
      </c>
      <c r="F2531" t="s">
        <v>1374</v>
      </c>
      <c r="G2531">
        <v>1108</v>
      </c>
      <c r="H2531">
        <v>28500</v>
      </c>
      <c r="I2531">
        <v>31578000</v>
      </c>
    </row>
    <row r="2532" spans="1:11" hidden="1" x14ac:dyDescent="0.25">
      <c r="A2532" s="210" t="s">
        <v>1688</v>
      </c>
      <c r="B2532">
        <v>8327</v>
      </c>
      <c r="C2532" s="100">
        <v>46106</v>
      </c>
      <c r="D2532" t="s">
        <v>13</v>
      </c>
      <c r="E2532" t="s">
        <v>195</v>
      </c>
      <c r="F2532" t="s">
        <v>1375</v>
      </c>
      <c r="G2532">
        <v>160</v>
      </c>
      <c r="H2532">
        <v>28500</v>
      </c>
      <c r="I2532">
        <v>4560000</v>
      </c>
    </row>
    <row r="2533" spans="1:11" hidden="1" x14ac:dyDescent="0.25">
      <c r="A2533" s="210" t="s">
        <v>1688</v>
      </c>
      <c r="B2533">
        <v>8327</v>
      </c>
      <c r="C2533" s="100">
        <v>46106</v>
      </c>
      <c r="D2533" t="s">
        <v>13</v>
      </c>
      <c r="E2533" t="s">
        <v>195</v>
      </c>
      <c r="F2533" t="s">
        <v>1376</v>
      </c>
      <c r="G2533">
        <v>238</v>
      </c>
      <c r="H2533">
        <v>32000</v>
      </c>
      <c r="I2533">
        <v>7616000</v>
      </c>
      <c r="J2533">
        <v>43750000</v>
      </c>
    </row>
    <row r="2534" spans="1:11" hidden="1" x14ac:dyDescent="0.25">
      <c r="A2534" s="210" t="s">
        <v>1703</v>
      </c>
      <c r="B2534">
        <v>8326</v>
      </c>
      <c r="C2534" s="100">
        <v>46106</v>
      </c>
      <c r="D2534" t="s">
        <v>13</v>
      </c>
      <c r="E2534" t="s">
        <v>50</v>
      </c>
      <c r="F2534" t="s">
        <v>1236</v>
      </c>
      <c r="G2534">
        <v>539</v>
      </c>
      <c r="H2534">
        <v>60000</v>
      </c>
      <c r="I2534">
        <v>32340000</v>
      </c>
      <c r="K2534" t="s">
        <v>42</v>
      </c>
    </row>
    <row r="2535" spans="1:11" hidden="1" x14ac:dyDescent="0.25">
      <c r="A2535" s="210" t="s">
        <v>1703</v>
      </c>
      <c r="B2535">
        <v>8326</v>
      </c>
      <c r="C2535" s="100">
        <v>46106</v>
      </c>
      <c r="D2535" t="s">
        <v>13</v>
      </c>
      <c r="E2535" t="s">
        <v>50</v>
      </c>
      <c r="F2535" t="s">
        <v>1237</v>
      </c>
      <c r="G2535">
        <v>222</v>
      </c>
      <c r="H2535">
        <v>62000</v>
      </c>
      <c r="I2535">
        <v>13764000</v>
      </c>
    </row>
    <row r="2536" spans="1:11" hidden="1" x14ac:dyDescent="0.25">
      <c r="A2536" s="210" t="s">
        <v>1552</v>
      </c>
      <c r="B2536">
        <v>8324</v>
      </c>
      <c r="C2536" s="100">
        <v>46106</v>
      </c>
      <c r="D2536" t="s">
        <v>13</v>
      </c>
      <c r="E2536" t="s">
        <v>43</v>
      </c>
      <c r="F2536" t="s">
        <v>915</v>
      </c>
      <c r="G2536">
        <v>2412</v>
      </c>
      <c r="H2536">
        <v>60500</v>
      </c>
      <c r="I2536">
        <v>145926000</v>
      </c>
    </row>
    <row r="2537" spans="1:11" hidden="1" x14ac:dyDescent="0.25">
      <c r="A2537" s="210" t="s">
        <v>1552</v>
      </c>
      <c r="B2537">
        <v>8324</v>
      </c>
      <c r="C2537" s="100">
        <v>46106</v>
      </c>
      <c r="D2537" t="s">
        <v>13</v>
      </c>
      <c r="E2537" t="s">
        <v>135</v>
      </c>
      <c r="F2537" t="s">
        <v>148</v>
      </c>
      <c r="G2537">
        <v>414</v>
      </c>
      <c r="H2537">
        <v>39000</v>
      </c>
      <c r="I2537">
        <v>16146000</v>
      </c>
    </row>
    <row r="2538" spans="1:11" hidden="1" x14ac:dyDescent="0.25">
      <c r="A2538" s="210" t="s">
        <v>1554</v>
      </c>
      <c r="B2538">
        <v>8323</v>
      </c>
      <c r="C2538" s="100">
        <v>46106</v>
      </c>
      <c r="D2538" t="s">
        <v>13</v>
      </c>
      <c r="E2538" t="s">
        <v>17</v>
      </c>
      <c r="F2538" t="s">
        <v>33</v>
      </c>
      <c r="G2538">
        <v>3758</v>
      </c>
      <c r="H2538">
        <v>59000</v>
      </c>
      <c r="I2538">
        <v>221722000</v>
      </c>
      <c r="K2538" t="s">
        <v>231</v>
      </c>
    </row>
    <row r="2539" spans="1:11" hidden="1" x14ac:dyDescent="0.25">
      <c r="A2539" s="210" t="s">
        <v>1554</v>
      </c>
      <c r="B2539">
        <v>8323</v>
      </c>
      <c r="C2539" s="100">
        <v>46106</v>
      </c>
      <c r="D2539" t="s">
        <v>13</v>
      </c>
      <c r="E2539" t="s">
        <v>17</v>
      </c>
      <c r="F2539" t="s">
        <v>46</v>
      </c>
      <c r="G2539">
        <v>970</v>
      </c>
      <c r="H2539">
        <v>59000</v>
      </c>
      <c r="I2539">
        <v>57230000</v>
      </c>
      <c r="K2539" t="s">
        <v>231</v>
      </c>
    </row>
    <row r="2540" spans="1:11" hidden="1" x14ac:dyDescent="0.25">
      <c r="A2540" s="210" t="s">
        <v>1554</v>
      </c>
      <c r="B2540">
        <v>8323</v>
      </c>
      <c r="C2540" s="100">
        <v>46106</v>
      </c>
      <c r="D2540" t="s">
        <v>13</v>
      </c>
      <c r="E2540" t="s">
        <v>17</v>
      </c>
      <c r="F2540" t="s">
        <v>40</v>
      </c>
      <c r="G2540">
        <v>712</v>
      </c>
      <c r="H2540">
        <v>60000</v>
      </c>
      <c r="I2540">
        <v>42720000</v>
      </c>
      <c r="K2540" t="s">
        <v>231</v>
      </c>
    </row>
    <row r="2541" spans="1:11" hidden="1" x14ac:dyDescent="0.25">
      <c r="A2541" s="210" t="s">
        <v>1524</v>
      </c>
      <c r="B2541">
        <v>8322</v>
      </c>
      <c r="C2541" s="100">
        <v>46106</v>
      </c>
      <c r="D2541" t="s">
        <v>49</v>
      </c>
      <c r="E2541" t="s">
        <v>17</v>
      </c>
      <c r="F2541" t="s">
        <v>469</v>
      </c>
      <c r="G2541">
        <v>4104</v>
      </c>
      <c r="I2541">
        <v>0</v>
      </c>
    </row>
    <row r="2542" spans="1:11" hidden="1" x14ac:dyDescent="0.25">
      <c r="A2542" s="210" t="s">
        <v>1834</v>
      </c>
      <c r="B2542">
        <v>8321</v>
      </c>
      <c r="C2542" s="100">
        <v>46106</v>
      </c>
      <c r="D2542" t="s">
        <v>13</v>
      </c>
      <c r="E2542" t="s">
        <v>170</v>
      </c>
      <c r="F2542" t="s">
        <v>1372</v>
      </c>
      <c r="G2542">
        <v>2338</v>
      </c>
      <c r="H2542">
        <v>63000</v>
      </c>
      <c r="I2542">
        <v>147294000</v>
      </c>
    </row>
    <row r="2543" spans="1:11" hidden="1" x14ac:dyDescent="0.25">
      <c r="A2543" s="210" t="s">
        <v>1504</v>
      </c>
      <c r="B2543">
        <v>8320</v>
      </c>
      <c r="C2543" s="100">
        <v>46106</v>
      </c>
      <c r="D2543" t="s">
        <v>13</v>
      </c>
      <c r="E2543" t="s">
        <v>328</v>
      </c>
      <c r="F2543" t="s">
        <v>329</v>
      </c>
      <c r="G2543">
        <v>623</v>
      </c>
      <c r="H2543">
        <v>43000</v>
      </c>
      <c r="I2543">
        <v>26789000</v>
      </c>
    </row>
    <row r="2544" spans="1:11" hidden="1" x14ac:dyDescent="0.25">
      <c r="A2544" s="210" t="s">
        <v>1524</v>
      </c>
      <c r="B2544">
        <v>8318</v>
      </c>
      <c r="C2544" s="100">
        <v>46106</v>
      </c>
      <c r="D2544" t="s">
        <v>49</v>
      </c>
      <c r="E2544" t="s">
        <v>17</v>
      </c>
      <c r="F2544" t="s">
        <v>415</v>
      </c>
      <c r="G2544">
        <v>5480</v>
      </c>
      <c r="I2544">
        <v>0</v>
      </c>
    </row>
    <row r="2545" spans="1:11" hidden="1" x14ac:dyDescent="0.25">
      <c r="A2545" s="210" t="s">
        <v>1524</v>
      </c>
      <c r="B2545">
        <v>8318</v>
      </c>
      <c r="C2545" s="100">
        <v>46106</v>
      </c>
      <c r="D2545" t="s">
        <v>49</v>
      </c>
      <c r="E2545" t="s">
        <v>17</v>
      </c>
      <c r="F2545" t="s">
        <v>492</v>
      </c>
      <c r="G2545">
        <v>5320</v>
      </c>
      <c r="I2545">
        <v>0</v>
      </c>
    </row>
    <row r="2546" spans="1:11" hidden="1" x14ac:dyDescent="0.25">
      <c r="A2546" s="210" t="s">
        <v>1490</v>
      </c>
      <c r="B2546">
        <v>8317</v>
      </c>
      <c r="C2546" s="100">
        <v>46106</v>
      </c>
      <c r="D2546" t="s">
        <v>13</v>
      </c>
      <c r="E2546" t="s">
        <v>17</v>
      </c>
      <c r="F2546" t="s">
        <v>238</v>
      </c>
      <c r="G2546">
        <v>6522</v>
      </c>
      <c r="H2546">
        <v>60500</v>
      </c>
      <c r="I2546">
        <v>394581000</v>
      </c>
      <c r="K2546" t="s">
        <v>239</v>
      </c>
    </row>
    <row r="2547" spans="1:11" hidden="1" x14ac:dyDescent="0.25">
      <c r="A2547" s="210" t="s">
        <v>1476</v>
      </c>
      <c r="B2547">
        <v>8316</v>
      </c>
      <c r="C2547" s="100">
        <v>46106</v>
      </c>
      <c r="D2547" t="s">
        <v>49</v>
      </c>
      <c r="E2547" t="s">
        <v>77</v>
      </c>
      <c r="F2547" t="s">
        <v>78</v>
      </c>
      <c r="G2547">
        <v>735</v>
      </c>
      <c r="I2547">
        <v>0</v>
      </c>
    </row>
    <row r="2548" spans="1:11" hidden="1" x14ac:dyDescent="0.25">
      <c r="A2548" s="210" t="s">
        <v>1686</v>
      </c>
      <c r="B2548">
        <v>8314</v>
      </c>
      <c r="C2548" s="100">
        <v>46106</v>
      </c>
      <c r="D2548" t="s">
        <v>13</v>
      </c>
      <c r="E2548" t="s">
        <v>26</v>
      </c>
      <c r="F2548" t="s">
        <v>1371</v>
      </c>
      <c r="G2548">
        <v>1609</v>
      </c>
      <c r="H2548">
        <v>35000</v>
      </c>
      <c r="I2548">
        <v>56315000</v>
      </c>
    </row>
    <row r="2549" spans="1:11" hidden="1" x14ac:dyDescent="0.25">
      <c r="A2549" s="210" t="s">
        <v>1573</v>
      </c>
      <c r="B2549">
        <v>8313</v>
      </c>
      <c r="C2549" s="100">
        <v>46106</v>
      </c>
      <c r="D2549" t="s">
        <v>13</v>
      </c>
      <c r="E2549" t="s">
        <v>26</v>
      </c>
      <c r="F2549" t="s">
        <v>40</v>
      </c>
      <c r="G2549">
        <v>98</v>
      </c>
      <c r="H2549">
        <v>36500</v>
      </c>
      <c r="I2549">
        <v>3577000</v>
      </c>
    </row>
    <row r="2550" spans="1:11" hidden="1" x14ac:dyDescent="0.25">
      <c r="A2550" s="210" t="s">
        <v>1524</v>
      </c>
      <c r="B2550">
        <v>8312</v>
      </c>
      <c r="C2550" s="100">
        <v>46105</v>
      </c>
      <c r="D2550" t="s">
        <v>49</v>
      </c>
      <c r="E2550" t="s">
        <v>17</v>
      </c>
      <c r="F2550" t="s">
        <v>161</v>
      </c>
      <c r="G2550">
        <v>886</v>
      </c>
      <c r="I2550">
        <v>0</v>
      </c>
    </row>
    <row r="2551" spans="1:11" hidden="1" x14ac:dyDescent="0.25">
      <c r="A2551" s="210" t="s">
        <v>1658</v>
      </c>
      <c r="B2551">
        <v>8311</v>
      </c>
      <c r="C2551" s="100">
        <v>46105</v>
      </c>
      <c r="D2551" t="s">
        <v>13</v>
      </c>
      <c r="E2551" t="s">
        <v>50</v>
      </c>
      <c r="F2551" t="s">
        <v>111</v>
      </c>
      <c r="G2551">
        <v>374</v>
      </c>
      <c r="H2551">
        <v>61000</v>
      </c>
      <c r="I2551">
        <v>22814000</v>
      </c>
    </row>
    <row r="2552" spans="1:11" hidden="1" x14ac:dyDescent="0.25">
      <c r="A2552" s="210" t="s">
        <v>1677</v>
      </c>
      <c r="B2552">
        <v>8310</v>
      </c>
      <c r="C2552" s="100">
        <v>46105</v>
      </c>
      <c r="D2552" t="s">
        <v>13</v>
      </c>
      <c r="E2552" t="s">
        <v>50</v>
      </c>
      <c r="F2552" t="s">
        <v>1351</v>
      </c>
      <c r="G2552">
        <v>316</v>
      </c>
      <c r="H2552">
        <v>58000</v>
      </c>
      <c r="I2552">
        <v>18328000</v>
      </c>
    </row>
    <row r="2553" spans="1:11" hidden="1" x14ac:dyDescent="0.25">
      <c r="A2553" s="210" t="s">
        <v>1487</v>
      </c>
      <c r="B2553">
        <v>8309</v>
      </c>
      <c r="C2553" s="100">
        <v>46105</v>
      </c>
      <c r="D2553" t="s">
        <v>13</v>
      </c>
      <c r="E2553" t="s">
        <v>43</v>
      </c>
      <c r="F2553" t="s">
        <v>207</v>
      </c>
      <c r="G2553">
        <v>624</v>
      </c>
      <c r="H2553">
        <v>63000</v>
      </c>
      <c r="I2553">
        <v>39312000</v>
      </c>
    </row>
    <row r="2554" spans="1:11" hidden="1" x14ac:dyDescent="0.25">
      <c r="A2554" s="210" t="s">
        <v>1531</v>
      </c>
      <c r="B2554">
        <v>8308</v>
      </c>
      <c r="C2554" s="100">
        <v>46105</v>
      </c>
      <c r="D2554" t="s">
        <v>13</v>
      </c>
      <c r="E2554" t="s">
        <v>17</v>
      </c>
      <c r="F2554" t="s">
        <v>46</v>
      </c>
      <c r="G2554">
        <v>1022</v>
      </c>
      <c r="H2554">
        <v>58500</v>
      </c>
      <c r="I2554">
        <v>59787000</v>
      </c>
    </row>
    <row r="2555" spans="1:11" hidden="1" x14ac:dyDescent="0.25">
      <c r="A2555" s="210" t="s">
        <v>1600</v>
      </c>
      <c r="B2555">
        <v>8306</v>
      </c>
      <c r="C2555" s="100">
        <v>46105</v>
      </c>
      <c r="D2555" t="s">
        <v>13</v>
      </c>
      <c r="E2555" t="s">
        <v>50</v>
      </c>
      <c r="F2555" t="s">
        <v>1106</v>
      </c>
      <c r="G2555">
        <v>294</v>
      </c>
      <c r="H2555">
        <v>60000</v>
      </c>
      <c r="I2555">
        <v>17640000</v>
      </c>
    </row>
    <row r="2556" spans="1:11" hidden="1" x14ac:dyDescent="0.25">
      <c r="A2556" s="210" t="s">
        <v>1600</v>
      </c>
      <c r="B2556">
        <v>8306</v>
      </c>
      <c r="C2556" s="100">
        <v>46105</v>
      </c>
      <c r="D2556" t="s">
        <v>13</v>
      </c>
      <c r="E2556" t="s">
        <v>270</v>
      </c>
      <c r="F2556" t="s">
        <v>1107</v>
      </c>
      <c r="G2556">
        <v>474</v>
      </c>
      <c r="H2556">
        <v>64000</v>
      </c>
      <c r="I2556">
        <v>30336000</v>
      </c>
    </row>
    <row r="2557" spans="1:11" hidden="1" x14ac:dyDescent="0.25">
      <c r="A2557" s="210" t="s">
        <v>1600</v>
      </c>
      <c r="B2557">
        <v>8306</v>
      </c>
      <c r="C2557" s="100">
        <v>46105</v>
      </c>
      <c r="D2557" t="s">
        <v>13</v>
      </c>
      <c r="E2557" t="s">
        <v>252</v>
      </c>
      <c r="F2557" t="s">
        <v>1108</v>
      </c>
      <c r="G2557">
        <v>882</v>
      </c>
      <c r="H2557">
        <v>37000</v>
      </c>
      <c r="I2557">
        <v>32634000</v>
      </c>
    </row>
    <row r="2558" spans="1:11" hidden="1" x14ac:dyDescent="0.25">
      <c r="A2558" s="210" t="s">
        <v>1685</v>
      </c>
      <c r="B2558">
        <v>8305</v>
      </c>
      <c r="C2558" s="100">
        <v>46105</v>
      </c>
      <c r="D2558" t="s">
        <v>13</v>
      </c>
      <c r="E2558" t="s">
        <v>169</v>
      </c>
      <c r="F2558" t="s">
        <v>1368</v>
      </c>
      <c r="G2558">
        <v>414</v>
      </c>
      <c r="H2558">
        <v>38000</v>
      </c>
      <c r="I2558">
        <v>15732000</v>
      </c>
    </row>
    <row r="2559" spans="1:11" hidden="1" x14ac:dyDescent="0.25">
      <c r="A2559" s="210" t="s">
        <v>1685</v>
      </c>
      <c r="B2559">
        <v>8305</v>
      </c>
      <c r="C2559" s="100">
        <v>46105</v>
      </c>
      <c r="D2559" t="s">
        <v>13</v>
      </c>
      <c r="E2559" t="s">
        <v>17</v>
      </c>
      <c r="F2559" t="s">
        <v>1369</v>
      </c>
      <c r="G2559">
        <v>374</v>
      </c>
      <c r="H2559">
        <v>62000</v>
      </c>
      <c r="I2559">
        <v>23188000</v>
      </c>
    </row>
    <row r="2560" spans="1:11" hidden="1" x14ac:dyDescent="0.25">
      <c r="A2560" s="210" t="s">
        <v>1536</v>
      </c>
      <c r="B2560">
        <v>8304</v>
      </c>
      <c r="C2560" s="100">
        <v>46105</v>
      </c>
      <c r="D2560" t="s">
        <v>13</v>
      </c>
      <c r="E2560" t="s">
        <v>50</v>
      </c>
      <c r="F2560" t="s">
        <v>122</v>
      </c>
      <c r="G2560">
        <v>228</v>
      </c>
      <c r="H2560">
        <v>56000</v>
      </c>
      <c r="I2560">
        <v>12768000</v>
      </c>
    </row>
    <row r="2561" spans="1:11" hidden="1" x14ac:dyDescent="0.25">
      <c r="A2561" s="210" t="s">
        <v>1536</v>
      </c>
      <c r="B2561">
        <v>8304</v>
      </c>
      <c r="C2561" s="100">
        <v>46105</v>
      </c>
      <c r="D2561" t="s">
        <v>13</v>
      </c>
      <c r="E2561" t="s">
        <v>50</v>
      </c>
      <c r="F2561" t="s">
        <v>837</v>
      </c>
      <c r="G2561">
        <v>1080</v>
      </c>
      <c r="H2561">
        <v>57000</v>
      </c>
      <c r="I2561">
        <v>61560000</v>
      </c>
    </row>
    <row r="2562" spans="1:11" hidden="1" x14ac:dyDescent="0.25">
      <c r="A2562" s="210" t="s">
        <v>1536</v>
      </c>
      <c r="B2562">
        <v>8304</v>
      </c>
      <c r="C2562" s="100">
        <v>46105</v>
      </c>
      <c r="D2562" t="s">
        <v>13</v>
      </c>
      <c r="E2562" t="s">
        <v>17</v>
      </c>
      <c r="F2562" t="s">
        <v>40</v>
      </c>
      <c r="G2562">
        <v>1046</v>
      </c>
      <c r="H2562">
        <v>65000</v>
      </c>
      <c r="I2562">
        <v>67990000</v>
      </c>
    </row>
    <row r="2563" spans="1:11" hidden="1" x14ac:dyDescent="0.25">
      <c r="A2563" s="210" t="s">
        <v>1536</v>
      </c>
      <c r="B2563">
        <v>8304</v>
      </c>
      <c r="C2563" s="100">
        <v>46105</v>
      </c>
      <c r="D2563" t="s">
        <v>13</v>
      </c>
      <c r="E2563" t="s">
        <v>17</v>
      </c>
      <c r="F2563" t="s">
        <v>40</v>
      </c>
      <c r="G2563">
        <v>1046</v>
      </c>
      <c r="H2563">
        <v>500</v>
      </c>
      <c r="I2563">
        <v>523000</v>
      </c>
      <c r="K2563" t="s">
        <v>84</v>
      </c>
    </row>
    <row r="2564" spans="1:11" hidden="1" x14ac:dyDescent="0.25">
      <c r="A2564" s="210" t="s">
        <v>1536</v>
      </c>
      <c r="B2564">
        <v>8304</v>
      </c>
      <c r="C2564" s="100">
        <v>46105</v>
      </c>
      <c r="D2564" t="s">
        <v>13</v>
      </c>
      <c r="E2564" t="s">
        <v>103</v>
      </c>
      <c r="F2564" t="s">
        <v>117</v>
      </c>
      <c r="G2564">
        <v>208</v>
      </c>
      <c r="H2564">
        <v>38000</v>
      </c>
      <c r="I2564">
        <v>7904000</v>
      </c>
    </row>
    <row r="2565" spans="1:11" hidden="1" x14ac:dyDescent="0.25">
      <c r="A2565" s="210" t="s">
        <v>1536</v>
      </c>
      <c r="B2565">
        <v>8304</v>
      </c>
      <c r="C2565" s="100">
        <v>46105</v>
      </c>
      <c r="D2565" t="s">
        <v>13</v>
      </c>
      <c r="E2565" t="s">
        <v>75</v>
      </c>
      <c r="F2565" t="s">
        <v>380</v>
      </c>
      <c r="G2565">
        <v>32</v>
      </c>
      <c r="H2565">
        <v>38000</v>
      </c>
      <c r="I2565">
        <v>1216000</v>
      </c>
    </row>
    <row r="2566" spans="1:11" hidden="1" x14ac:dyDescent="0.25">
      <c r="A2566" s="210" t="s">
        <v>1536</v>
      </c>
      <c r="B2566">
        <v>8304</v>
      </c>
      <c r="C2566" s="100">
        <v>46105</v>
      </c>
      <c r="D2566" t="s">
        <v>13</v>
      </c>
      <c r="E2566" t="s">
        <v>270</v>
      </c>
      <c r="F2566" t="s">
        <v>41</v>
      </c>
      <c r="G2566">
        <v>24</v>
      </c>
      <c r="H2566">
        <v>64000</v>
      </c>
      <c r="I2566">
        <v>1536000</v>
      </c>
    </row>
    <row r="2567" spans="1:11" hidden="1" x14ac:dyDescent="0.25">
      <c r="A2567" s="210" t="s">
        <v>1538</v>
      </c>
      <c r="B2567">
        <v>8303</v>
      </c>
      <c r="C2567" s="100">
        <v>46105</v>
      </c>
      <c r="D2567" t="s">
        <v>13</v>
      </c>
      <c r="E2567" t="s">
        <v>858</v>
      </c>
      <c r="F2567" t="s">
        <v>859</v>
      </c>
      <c r="G2567">
        <v>764</v>
      </c>
      <c r="H2567">
        <v>43000</v>
      </c>
      <c r="I2567">
        <v>32852000</v>
      </c>
    </row>
    <row r="2568" spans="1:11" hidden="1" x14ac:dyDescent="0.25">
      <c r="A2568" s="210" t="s">
        <v>1478</v>
      </c>
      <c r="B2568">
        <v>8301</v>
      </c>
      <c r="C2568" s="100">
        <v>46105</v>
      </c>
      <c r="D2568" t="s">
        <v>13</v>
      </c>
      <c r="E2568" t="s">
        <v>14</v>
      </c>
      <c r="F2568" t="s">
        <v>146</v>
      </c>
      <c r="G2568">
        <v>1040</v>
      </c>
      <c r="H2568">
        <v>41500</v>
      </c>
      <c r="I2568">
        <v>43160000</v>
      </c>
    </row>
    <row r="2569" spans="1:11" hidden="1" x14ac:dyDescent="0.25">
      <c r="A2569" s="210" t="s">
        <v>1478</v>
      </c>
      <c r="B2569">
        <v>8301</v>
      </c>
      <c r="C2569" s="100">
        <v>46105</v>
      </c>
      <c r="D2569" t="s">
        <v>13</v>
      </c>
      <c r="E2569" t="s">
        <v>43</v>
      </c>
      <c r="F2569" t="s">
        <v>141</v>
      </c>
      <c r="G2569">
        <v>521</v>
      </c>
      <c r="H2569">
        <v>56500</v>
      </c>
      <c r="I2569">
        <v>29436500</v>
      </c>
    </row>
    <row r="2570" spans="1:11" hidden="1" x14ac:dyDescent="0.25">
      <c r="A2570" s="210" t="s">
        <v>1628</v>
      </c>
      <c r="B2570">
        <v>8300</v>
      </c>
      <c r="C2570" s="100">
        <v>46102</v>
      </c>
      <c r="D2570" t="s">
        <v>13</v>
      </c>
      <c r="E2570" t="s">
        <v>195</v>
      </c>
      <c r="F2570" t="s">
        <v>1206</v>
      </c>
      <c r="G2570">
        <v>988</v>
      </c>
      <c r="H2570">
        <v>26000</v>
      </c>
      <c r="I2570">
        <v>25688000</v>
      </c>
    </row>
    <row r="2571" spans="1:11" hidden="1" x14ac:dyDescent="0.25">
      <c r="A2571" s="210" t="s">
        <v>1606</v>
      </c>
      <c r="B2571">
        <v>8299</v>
      </c>
      <c r="C2571" s="100">
        <v>46102</v>
      </c>
      <c r="D2571" t="s">
        <v>13</v>
      </c>
      <c r="E2571" t="s">
        <v>252</v>
      </c>
      <c r="F2571" t="s">
        <v>1119</v>
      </c>
      <c r="G2571">
        <v>496</v>
      </c>
      <c r="H2571">
        <v>37000</v>
      </c>
      <c r="I2571">
        <v>18352000</v>
      </c>
    </row>
    <row r="2572" spans="1:11" hidden="1" x14ac:dyDescent="0.25">
      <c r="A2572" s="210" t="s">
        <v>1548</v>
      </c>
      <c r="B2572">
        <v>8298</v>
      </c>
      <c r="C2572" s="100">
        <v>46102</v>
      </c>
      <c r="D2572" t="s">
        <v>13</v>
      </c>
      <c r="E2572" t="s">
        <v>43</v>
      </c>
      <c r="F2572" t="s">
        <v>908</v>
      </c>
      <c r="G2572">
        <v>860</v>
      </c>
      <c r="H2572">
        <v>55000</v>
      </c>
      <c r="I2572">
        <v>47300000</v>
      </c>
    </row>
    <row r="2573" spans="1:11" hidden="1" x14ac:dyDescent="0.25">
      <c r="A2573" s="210" t="s">
        <v>1548</v>
      </c>
      <c r="B2573">
        <v>8298</v>
      </c>
      <c r="C2573" s="100">
        <v>46102</v>
      </c>
      <c r="D2573" t="s">
        <v>13</v>
      </c>
      <c r="E2573" t="s">
        <v>43</v>
      </c>
      <c r="F2573" t="s">
        <v>78</v>
      </c>
      <c r="G2573">
        <v>120</v>
      </c>
      <c r="H2573">
        <v>64000</v>
      </c>
      <c r="I2573">
        <v>7680000</v>
      </c>
    </row>
    <row r="2574" spans="1:11" hidden="1" x14ac:dyDescent="0.25">
      <c r="A2574" s="210" t="s">
        <v>1548</v>
      </c>
      <c r="B2574">
        <v>8298</v>
      </c>
      <c r="C2574" s="100">
        <v>46102</v>
      </c>
      <c r="D2574" t="s">
        <v>13</v>
      </c>
      <c r="E2574" t="s">
        <v>43</v>
      </c>
      <c r="F2574" t="s">
        <v>41</v>
      </c>
      <c r="G2574">
        <v>110</v>
      </c>
      <c r="H2574">
        <v>63000</v>
      </c>
      <c r="I2574">
        <v>6930000</v>
      </c>
    </row>
    <row r="2575" spans="1:11" hidden="1" x14ac:dyDescent="0.25">
      <c r="A2575" s="210" t="s">
        <v>1675</v>
      </c>
      <c r="B2575">
        <v>8297</v>
      </c>
      <c r="C2575" s="100">
        <v>46102</v>
      </c>
      <c r="D2575" t="s">
        <v>13</v>
      </c>
      <c r="E2575" t="s">
        <v>17</v>
      </c>
      <c r="F2575" t="s">
        <v>1340</v>
      </c>
      <c r="G2575">
        <v>6715</v>
      </c>
      <c r="H2575">
        <v>56000</v>
      </c>
      <c r="I2575">
        <v>376040000</v>
      </c>
    </row>
    <row r="2576" spans="1:11" hidden="1" x14ac:dyDescent="0.25">
      <c r="A2576" s="210" t="s">
        <v>2016</v>
      </c>
      <c r="B2576">
        <v>8296</v>
      </c>
      <c r="C2576" s="100">
        <v>46102</v>
      </c>
      <c r="D2576" t="s">
        <v>13</v>
      </c>
      <c r="E2576" t="s">
        <v>17</v>
      </c>
      <c r="F2576" t="s">
        <v>78</v>
      </c>
      <c r="G2576">
        <v>313</v>
      </c>
      <c r="H2576">
        <v>63500</v>
      </c>
      <c r="I2576">
        <v>19875500</v>
      </c>
    </row>
    <row r="2577" spans="1:9" hidden="1" x14ac:dyDescent="0.25">
      <c r="A2577" s="210" t="s">
        <v>2016</v>
      </c>
      <c r="B2577">
        <v>8296</v>
      </c>
      <c r="C2577" s="100">
        <v>46102</v>
      </c>
      <c r="D2577" t="s">
        <v>1354</v>
      </c>
      <c r="E2577" t="s">
        <v>26</v>
      </c>
      <c r="F2577" t="s">
        <v>148</v>
      </c>
      <c r="G2577">
        <v>2670</v>
      </c>
      <c r="H2577">
        <v>34000</v>
      </c>
      <c r="I2577">
        <v>90780000</v>
      </c>
    </row>
    <row r="2578" spans="1:9" hidden="1" x14ac:dyDescent="0.25">
      <c r="A2578" s="210" t="s">
        <v>1504</v>
      </c>
      <c r="B2578">
        <v>8295</v>
      </c>
      <c r="C2578" s="100">
        <v>46102</v>
      </c>
      <c r="D2578" t="s">
        <v>13</v>
      </c>
      <c r="E2578" t="s">
        <v>54</v>
      </c>
      <c r="F2578" t="s">
        <v>322</v>
      </c>
      <c r="G2578">
        <v>1612</v>
      </c>
      <c r="H2578">
        <v>37000</v>
      </c>
      <c r="I2578">
        <v>59644000</v>
      </c>
    </row>
    <row r="2579" spans="1:9" hidden="1" x14ac:dyDescent="0.25">
      <c r="A2579" s="210" t="s">
        <v>1504</v>
      </c>
      <c r="B2579">
        <v>8295</v>
      </c>
      <c r="C2579" s="100">
        <v>46102</v>
      </c>
      <c r="D2579" t="s">
        <v>13</v>
      </c>
      <c r="E2579" t="s">
        <v>54</v>
      </c>
      <c r="F2579" t="s">
        <v>323</v>
      </c>
      <c r="G2579">
        <v>1070</v>
      </c>
      <c r="H2579">
        <v>37000</v>
      </c>
      <c r="I2579">
        <v>39590000</v>
      </c>
    </row>
    <row r="2580" spans="1:9" hidden="1" x14ac:dyDescent="0.25">
      <c r="A2580" s="210" t="s">
        <v>1504</v>
      </c>
      <c r="B2580">
        <v>8295</v>
      </c>
      <c r="C2580" s="100">
        <v>46102</v>
      </c>
      <c r="D2580" t="s">
        <v>13</v>
      </c>
      <c r="E2580" t="s">
        <v>54</v>
      </c>
      <c r="F2580" t="s">
        <v>324</v>
      </c>
      <c r="G2580">
        <v>1540</v>
      </c>
      <c r="H2580">
        <v>37000</v>
      </c>
      <c r="I2580">
        <v>56980000</v>
      </c>
    </row>
    <row r="2581" spans="1:9" hidden="1" x14ac:dyDescent="0.25">
      <c r="A2581" s="210" t="s">
        <v>1504</v>
      </c>
      <c r="B2581">
        <v>8295</v>
      </c>
      <c r="C2581" s="100">
        <v>46102</v>
      </c>
      <c r="D2581" t="s">
        <v>13</v>
      </c>
      <c r="E2581" t="s">
        <v>317</v>
      </c>
      <c r="F2581" t="s">
        <v>325</v>
      </c>
      <c r="G2581">
        <v>846</v>
      </c>
      <c r="H2581">
        <v>74000</v>
      </c>
      <c r="I2581">
        <v>62604000</v>
      </c>
    </row>
    <row r="2582" spans="1:9" hidden="1" x14ac:dyDescent="0.25">
      <c r="A2582" s="210" t="s">
        <v>1504</v>
      </c>
      <c r="B2582">
        <v>8295</v>
      </c>
      <c r="C2582" s="100">
        <v>46102</v>
      </c>
      <c r="D2582" t="s">
        <v>13</v>
      </c>
      <c r="E2582" t="s">
        <v>26</v>
      </c>
      <c r="F2582" t="s">
        <v>161</v>
      </c>
      <c r="G2582">
        <v>154</v>
      </c>
      <c r="H2582">
        <v>37000</v>
      </c>
      <c r="I2582">
        <v>5698000</v>
      </c>
    </row>
    <row r="2583" spans="1:9" hidden="1" x14ac:dyDescent="0.25">
      <c r="A2583" s="210" t="s">
        <v>1677</v>
      </c>
      <c r="B2583">
        <v>8294</v>
      </c>
      <c r="C2583" s="100">
        <v>46102</v>
      </c>
      <c r="D2583" t="s">
        <v>13</v>
      </c>
      <c r="E2583" t="s">
        <v>43</v>
      </c>
      <c r="F2583" t="s">
        <v>1350</v>
      </c>
      <c r="G2583">
        <v>22</v>
      </c>
      <c r="H2583">
        <v>68000</v>
      </c>
      <c r="I2583">
        <v>1496000</v>
      </c>
    </row>
    <row r="2584" spans="1:9" hidden="1" x14ac:dyDescent="0.25">
      <c r="A2584" s="210" t="s">
        <v>1677</v>
      </c>
      <c r="B2584">
        <v>8294</v>
      </c>
      <c r="C2584" s="100">
        <v>46102</v>
      </c>
      <c r="D2584" t="s">
        <v>13</v>
      </c>
      <c r="E2584" t="s">
        <v>43</v>
      </c>
      <c r="F2584" t="s">
        <v>145</v>
      </c>
      <c r="G2584">
        <v>1029</v>
      </c>
      <c r="H2584">
        <v>61000</v>
      </c>
      <c r="I2584">
        <v>62769000</v>
      </c>
    </row>
    <row r="2585" spans="1:9" hidden="1" x14ac:dyDescent="0.25">
      <c r="A2585" s="210" t="s">
        <v>1677</v>
      </c>
      <c r="B2585">
        <v>8294</v>
      </c>
      <c r="C2585" s="100">
        <v>46102</v>
      </c>
      <c r="D2585" t="s">
        <v>13</v>
      </c>
      <c r="E2585" t="s">
        <v>270</v>
      </c>
      <c r="F2585" t="s">
        <v>62</v>
      </c>
      <c r="G2585">
        <v>58</v>
      </c>
      <c r="H2585">
        <v>66000</v>
      </c>
      <c r="I2585">
        <v>3828000</v>
      </c>
    </row>
    <row r="2586" spans="1:9" hidden="1" x14ac:dyDescent="0.25">
      <c r="A2586" s="210" t="s">
        <v>1637</v>
      </c>
      <c r="B2586">
        <v>8293</v>
      </c>
      <c r="C2586" s="100">
        <v>46102</v>
      </c>
      <c r="D2586" t="s">
        <v>13</v>
      </c>
      <c r="E2586" t="s">
        <v>68</v>
      </c>
      <c r="F2586" t="s">
        <v>1021</v>
      </c>
      <c r="G2586">
        <v>586</v>
      </c>
      <c r="H2586">
        <v>45000</v>
      </c>
      <c r="I2586">
        <v>26370000</v>
      </c>
    </row>
    <row r="2587" spans="1:9" hidden="1" x14ac:dyDescent="0.25">
      <c r="A2587" s="210" t="s">
        <v>1476</v>
      </c>
      <c r="B2587">
        <v>8292</v>
      </c>
      <c r="C2587" s="100">
        <v>46102</v>
      </c>
      <c r="D2587" t="s">
        <v>49</v>
      </c>
      <c r="E2587" t="s">
        <v>50</v>
      </c>
      <c r="F2587" t="s">
        <v>71</v>
      </c>
      <c r="G2587">
        <v>726</v>
      </c>
      <c r="I2587">
        <v>0</v>
      </c>
    </row>
    <row r="2588" spans="1:9" hidden="1" x14ac:dyDescent="0.25">
      <c r="A2588" s="210" t="s">
        <v>1502</v>
      </c>
      <c r="B2588">
        <v>8291</v>
      </c>
      <c r="C2588" s="100">
        <v>46102</v>
      </c>
      <c r="D2588" t="s">
        <v>13</v>
      </c>
      <c r="E2588" t="s">
        <v>103</v>
      </c>
      <c r="F2588" t="s">
        <v>299</v>
      </c>
      <c r="G2588">
        <v>2200</v>
      </c>
      <c r="H2588">
        <v>37000</v>
      </c>
      <c r="I2588">
        <v>81400000</v>
      </c>
    </row>
    <row r="2589" spans="1:9" hidden="1" x14ac:dyDescent="0.25">
      <c r="A2589" s="210" t="s">
        <v>1673</v>
      </c>
      <c r="B2589">
        <v>8290</v>
      </c>
      <c r="C2589" s="100">
        <v>46102</v>
      </c>
      <c r="D2589" t="s">
        <v>13</v>
      </c>
      <c r="E2589" t="s">
        <v>109</v>
      </c>
      <c r="F2589" t="s">
        <v>1334</v>
      </c>
      <c r="G2589">
        <v>276</v>
      </c>
      <c r="H2589">
        <v>56000</v>
      </c>
      <c r="I2589">
        <v>15456000</v>
      </c>
    </row>
    <row r="2590" spans="1:9" hidden="1" x14ac:dyDescent="0.25">
      <c r="A2590" s="210" t="s">
        <v>1530</v>
      </c>
      <c r="B2590">
        <v>8289</v>
      </c>
      <c r="C2590" s="100">
        <v>46102</v>
      </c>
      <c r="D2590" t="s">
        <v>13</v>
      </c>
      <c r="E2590" t="s">
        <v>103</v>
      </c>
      <c r="F2590" t="s">
        <v>690</v>
      </c>
      <c r="G2590">
        <v>3132</v>
      </c>
      <c r="H2590">
        <v>37000</v>
      </c>
      <c r="I2590">
        <v>115884000</v>
      </c>
    </row>
    <row r="2591" spans="1:9" hidden="1" x14ac:dyDescent="0.25">
      <c r="A2591" s="210" t="s">
        <v>1675</v>
      </c>
      <c r="B2591">
        <v>8288</v>
      </c>
      <c r="C2591" s="100">
        <v>46102</v>
      </c>
      <c r="D2591" t="s">
        <v>13</v>
      </c>
      <c r="E2591" t="s">
        <v>17</v>
      </c>
      <c r="F2591" t="s">
        <v>1339</v>
      </c>
      <c r="G2591">
        <v>8782</v>
      </c>
      <c r="H2591">
        <v>56000</v>
      </c>
      <c r="I2591">
        <v>491792000</v>
      </c>
    </row>
    <row r="2592" spans="1:9" hidden="1" x14ac:dyDescent="0.25">
      <c r="A2592" s="210" t="s">
        <v>1648</v>
      </c>
      <c r="B2592">
        <v>8287</v>
      </c>
      <c r="C2592" s="100">
        <v>46101</v>
      </c>
      <c r="D2592" t="s">
        <v>13</v>
      </c>
      <c r="E2592" t="s">
        <v>103</v>
      </c>
      <c r="F2592" t="s">
        <v>1255</v>
      </c>
      <c r="G2592">
        <v>146</v>
      </c>
      <c r="H2592">
        <v>37000</v>
      </c>
      <c r="I2592">
        <v>5402000</v>
      </c>
    </row>
    <row r="2593" spans="1:11" hidden="1" x14ac:dyDescent="0.25">
      <c r="A2593" s="210" t="s">
        <v>1532</v>
      </c>
      <c r="B2593">
        <v>8286</v>
      </c>
      <c r="C2593" s="100">
        <v>46101</v>
      </c>
      <c r="D2593" t="s">
        <v>49</v>
      </c>
      <c r="E2593" t="s">
        <v>26</v>
      </c>
      <c r="F2593" t="s">
        <v>741</v>
      </c>
      <c r="G2593">
        <v>4276</v>
      </c>
      <c r="I2593">
        <v>0</v>
      </c>
    </row>
    <row r="2594" spans="1:11" hidden="1" x14ac:dyDescent="0.25">
      <c r="A2594" s="210" t="s">
        <v>1532</v>
      </c>
      <c r="B2594">
        <v>8286</v>
      </c>
      <c r="C2594" s="100">
        <v>46101</v>
      </c>
      <c r="D2594" t="s">
        <v>49</v>
      </c>
      <c r="E2594" t="s">
        <v>26</v>
      </c>
      <c r="F2594" t="s">
        <v>742</v>
      </c>
      <c r="G2594">
        <v>2345</v>
      </c>
      <c r="I2594">
        <v>0</v>
      </c>
    </row>
    <row r="2595" spans="1:11" hidden="1" x14ac:dyDescent="0.25">
      <c r="A2595" s="210" t="s">
        <v>1523</v>
      </c>
      <c r="B2595">
        <v>8285</v>
      </c>
      <c r="C2595" s="100">
        <v>46101</v>
      </c>
      <c r="D2595" t="s">
        <v>13</v>
      </c>
      <c r="E2595" t="s">
        <v>50</v>
      </c>
      <c r="F2595" t="s">
        <v>455</v>
      </c>
      <c r="G2595">
        <v>532</v>
      </c>
      <c r="H2595">
        <v>59000</v>
      </c>
      <c r="I2595">
        <v>31388000</v>
      </c>
    </row>
    <row r="2596" spans="1:11" hidden="1" x14ac:dyDescent="0.25">
      <c r="A2596" s="210" t="s">
        <v>1478</v>
      </c>
      <c r="B2596">
        <v>8284</v>
      </c>
      <c r="C2596" s="100">
        <v>46101</v>
      </c>
      <c r="D2596" t="s">
        <v>13</v>
      </c>
      <c r="E2596" t="s">
        <v>26</v>
      </c>
      <c r="F2596" t="s">
        <v>145</v>
      </c>
      <c r="G2596">
        <v>851</v>
      </c>
      <c r="H2596">
        <v>32000</v>
      </c>
      <c r="I2596">
        <v>27232000</v>
      </c>
      <c r="K2596" t="s">
        <v>128</v>
      </c>
    </row>
    <row r="2597" spans="1:11" hidden="1" x14ac:dyDescent="0.25">
      <c r="A2597" s="210" t="s">
        <v>1676</v>
      </c>
      <c r="B2597">
        <v>8283</v>
      </c>
      <c r="C2597" s="100">
        <v>46101</v>
      </c>
      <c r="D2597" t="s">
        <v>13</v>
      </c>
      <c r="E2597" t="s">
        <v>36</v>
      </c>
      <c r="F2597" t="s">
        <v>1346</v>
      </c>
      <c r="G2597">
        <v>422</v>
      </c>
      <c r="H2597">
        <v>60000</v>
      </c>
      <c r="I2597">
        <v>25320000</v>
      </c>
    </row>
    <row r="2598" spans="1:11" hidden="1" x14ac:dyDescent="0.25">
      <c r="A2598" s="210" t="s">
        <v>1676</v>
      </c>
      <c r="B2598">
        <v>8283</v>
      </c>
      <c r="C2598" s="100">
        <v>46101</v>
      </c>
      <c r="D2598" t="s">
        <v>13</v>
      </c>
      <c r="E2598" t="s">
        <v>36</v>
      </c>
      <c r="F2598" t="s">
        <v>1347</v>
      </c>
      <c r="G2598">
        <v>551</v>
      </c>
      <c r="H2598">
        <v>59500</v>
      </c>
      <c r="I2598">
        <v>32784500</v>
      </c>
    </row>
    <row r="2599" spans="1:11" hidden="1" x14ac:dyDescent="0.25">
      <c r="A2599" s="210" t="s">
        <v>1676</v>
      </c>
      <c r="B2599">
        <v>8283</v>
      </c>
      <c r="C2599" s="100">
        <v>46101</v>
      </c>
      <c r="D2599" t="s">
        <v>13</v>
      </c>
      <c r="E2599" t="s">
        <v>50</v>
      </c>
      <c r="F2599" t="s">
        <v>1348</v>
      </c>
      <c r="G2599">
        <v>382</v>
      </c>
      <c r="H2599">
        <v>58500</v>
      </c>
      <c r="I2599">
        <v>22347000</v>
      </c>
    </row>
    <row r="2600" spans="1:11" hidden="1" x14ac:dyDescent="0.25">
      <c r="A2600" s="210" t="s">
        <v>1676</v>
      </c>
      <c r="B2600">
        <v>8282</v>
      </c>
      <c r="C2600" s="100">
        <v>46101</v>
      </c>
      <c r="D2600" t="s">
        <v>13</v>
      </c>
      <c r="E2600" t="s">
        <v>14</v>
      </c>
      <c r="F2600" t="s">
        <v>62</v>
      </c>
      <c r="G2600">
        <v>516</v>
      </c>
      <c r="H2600">
        <v>43000</v>
      </c>
      <c r="I2600">
        <v>22188000</v>
      </c>
    </row>
    <row r="2601" spans="1:11" hidden="1" x14ac:dyDescent="0.25">
      <c r="A2601" s="210" t="s">
        <v>1676</v>
      </c>
      <c r="B2601">
        <v>8282</v>
      </c>
      <c r="C2601" s="100">
        <v>46101</v>
      </c>
      <c r="D2601" t="s">
        <v>13</v>
      </c>
      <c r="E2601" t="s">
        <v>43</v>
      </c>
      <c r="F2601" t="s">
        <v>141</v>
      </c>
      <c r="G2601">
        <v>565</v>
      </c>
      <c r="H2601">
        <v>58500</v>
      </c>
      <c r="I2601">
        <v>33052500</v>
      </c>
    </row>
    <row r="2602" spans="1:11" hidden="1" x14ac:dyDescent="0.25">
      <c r="A2602" s="210" t="s">
        <v>1676</v>
      </c>
      <c r="B2602">
        <v>8282</v>
      </c>
      <c r="C2602" s="100">
        <v>46101</v>
      </c>
      <c r="D2602" t="s">
        <v>13</v>
      </c>
      <c r="E2602" t="s">
        <v>43</v>
      </c>
      <c r="F2602" t="s">
        <v>246</v>
      </c>
      <c r="G2602">
        <v>841</v>
      </c>
      <c r="H2602">
        <v>62000</v>
      </c>
      <c r="I2602">
        <v>52142000</v>
      </c>
    </row>
    <row r="2603" spans="1:11" hidden="1" x14ac:dyDescent="0.25">
      <c r="A2603" s="210" t="s">
        <v>1676</v>
      </c>
      <c r="B2603">
        <v>8282</v>
      </c>
      <c r="C2603" s="100">
        <v>46101</v>
      </c>
      <c r="D2603" t="s">
        <v>13</v>
      </c>
      <c r="E2603" t="s">
        <v>109</v>
      </c>
      <c r="F2603" t="s">
        <v>1342</v>
      </c>
      <c r="G2603">
        <v>290</v>
      </c>
      <c r="H2603">
        <v>58000</v>
      </c>
      <c r="I2603">
        <v>16820000</v>
      </c>
    </row>
    <row r="2604" spans="1:11" hidden="1" x14ac:dyDescent="0.25">
      <c r="A2604" s="210" t="s">
        <v>1676</v>
      </c>
      <c r="B2604">
        <v>8282</v>
      </c>
      <c r="C2604" s="100">
        <v>46101</v>
      </c>
      <c r="D2604" t="s">
        <v>13</v>
      </c>
      <c r="E2604" t="s">
        <v>109</v>
      </c>
      <c r="F2604" t="s">
        <v>1343</v>
      </c>
      <c r="G2604">
        <v>426</v>
      </c>
      <c r="H2604">
        <v>58000</v>
      </c>
      <c r="I2604">
        <v>24708000</v>
      </c>
    </row>
    <row r="2605" spans="1:11" hidden="1" x14ac:dyDescent="0.25">
      <c r="A2605" s="210" t="s">
        <v>1676</v>
      </c>
      <c r="B2605">
        <v>8282</v>
      </c>
      <c r="C2605" s="100">
        <v>46101</v>
      </c>
      <c r="D2605" t="s">
        <v>13</v>
      </c>
      <c r="E2605" t="s">
        <v>109</v>
      </c>
      <c r="F2605" t="s">
        <v>1344</v>
      </c>
      <c r="G2605">
        <v>292</v>
      </c>
      <c r="H2605">
        <v>58000</v>
      </c>
      <c r="I2605">
        <v>16936000</v>
      </c>
    </row>
    <row r="2606" spans="1:11" hidden="1" x14ac:dyDescent="0.25">
      <c r="A2606" s="210" t="s">
        <v>1676</v>
      </c>
      <c r="B2606">
        <v>8282</v>
      </c>
      <c r="C2606" s="100">
        <v>46101</v>
      </c>
      <c r="D2606" t="s">
        <v>13</v>
      </c>
      <c r="E2606" t="s">
        <v>109</v>
      </c>
      <c r="F2606" t="s">
        <v>1345</v>
      </c>
      <c r="G2606">
        <v>360</v>
      </c>
      <c r="H2606">
        <v>58000</v>
      </c>
      <c r="I2606">
        <v>20880000</v>
      </c>
    </row>
    <row r="2607" spans="1:11" hidden="1" x14ac:dyDescent="0.25">
      <c r="A2607" s="210" t="s">
        <v>1593</v>
      </c>
      <c r="B2607">
        <v>8281</v>
      </c>
      <c r="C2607" s="100">
        <v>46101</v>
      </c>
      <c r="D2607" t="s">
        <v>13</v>
      </c>
      <c r="E2607" t="s">
        <v>265</v>
      </c>
      <c r="F2607" t="s">
        <v>136</v>
      </c>
      <c r="G2607">
        <v>1038</v>
      </c>
      <c r="H2607">
        <v>63000</v>
      </c>
      <c r="I2607">
        <v>65394000</v>
      </c>
    </row>
    <row r="2608" spans="1:11" hidden="1" x14ac:dyDescent="0.25">
      <c r="A2608" s="210" t="s">
        <v>1593</v>
      </c>
      <c r="B2608">
        <v>8281</v>
      </c>
      <c r="C2608" s="100">
        <v>46101</v>
      </c>
      <c r="D2608" t="s">
        <v>13</v>
      </c>
      <c r="E2608" t="s">
        <v>265</v>
      </c>
      <c r="F2608" t="s">
        <v>146</v>
      </c>
      <c r="G2608">
        <v>540</v>
      </c>
      <c r="H2608">
        <v>62500</v>
      </c>
      <c r="I2608">
        <v>33750000</v>
      </c>
    </row>
    <row r="2609" spans="1:9" hidden="1" x14ac:dyDescent="0.25">
      <c r="A2609" s="210" t="s">
        <v>1593</v>
      </c>
      <c r="B2609">
        <v>8281</v>
      </c>
      <c r="C2609" s="100">
        <v>46101</v>
      </c>
      <c r="D2609" t="s">
        <v>13</v>
      </c>
      <c r="E2609" t="s">
        <v>32</v>
      </c>
      <c r="F2609" t="s">
        <v>40</v>
      </c>
      <c r="G2609">
        <v>8</v>
      </c>
      <c r="H2609">
        <v>43000</v>
      </c>
      <c r="I2609">
        <v>344000</v>
      </c>
    </row>
    <row r="2610" spans="1:9" hidden="1" x14ac:dyDescent="0.25">
      <c r="A2610" s="210" t="s">
        <v>1490</v>
      </c>
      <c r="B2610">
        <v>8280</v>
      </c>
      <c r="C2610" s="100">
        <v>46101</v>
      </c>
      <c r="D2610" t="s">
        <v>13</v>
      </c>
      <c r="E2610" t="s">
        <v>17</v>
      </c>
      <c r="F2610" t="s">
        <v>230</v>
      </c>
      <c r="G2610">
        <v>1222</v>
      </c>
      <c r="H2610">
        <v>61000</v>
      </c>
      <c r="I2610">
        <v>74542000</v>
      </c>
    </row>
    <row r="2611" spans="1:9" hidden="1" x14ac:dyDescent="0.25">
      <c r="A2611" s="210" t="s">
        <v>1490</v>
      </c>
      <c r="B2611">
        <v>8280</v>
      </c>
      <c r="C2611" s="100">
        <v>46101</v>
      </c>
      <c r="D2611" t="s">
        <v>13</v>
      </c>
      <c r="E2611" t="s">
        <v>17</v>
      </c>
      <c r="F2611" t="s">
        <v>237</v>
      </c>
      <c r="G2611">
        <v>1296</v>
      </c>
      <c r="H2611">
        <v>61000</v>
      </c>
      <c r="I2611">
        <v>79056000</v>
      </c>
    </row>
    <row r="2612" spans="1:9" hidden="1" x14ac:dyDescent="0.25">
      <c r="A2612" s="210" t="s">
        <v>1490</v>
      </c>
      <c r="B2612">
        <v>8280</v>
      </c>
      <c r="C2612" s="100">
        <v>46101</v>
      </c>
      <c r="D2612" t="s">
        <v>13</v>
      </c>
      <c r="E2612" t="s">
        <v>17</v>
      </c>
      <c r="F2612" t="s">
        <v>46</v>
      </c>
      <c r="G2612">
        <v>944</v>
      </c>
      <c r="H2612">
        <v>60000</v>
      </c>
      <c r="I2612">
        <v>56640000</v>
      </c>
    </row>
    <row r="2613" spans="1:9" hidden="1" x14ac:dyDescent="0.25">
      <c r="A2613" s="210" t="s">
        <v>1538</v>
      </c>
      <c r="B2613">
        <v>8279</v>
      </c>
      <c r="C2613" s="100">
        <v>46101</v>
      </c>
      <c r="D2613" t="s">
        <v>13</v>
      </c>
      <c r="E2613" t="s">
        <v>854</v>
      </c>
      <c r="F2613" t="s">
        <v>855</v>
      </c>
      <c r="G2613">
        <v>464</v>
      </c>
      <c r="H2613">
        <v>38000</v>
      </c>
      <c r="I2613">
        <v>17632000</v>
      </c>
    </row>
    <row r="2614" spans="1:9" hidden="1" x14ac:dyDescent="0.25">
      <c r="A2614" s="210" t="s">
        <v>1538</v>
      </c>
      <c r="B2614">
        <v>8279</v>
      </c>
      <c r="C2614" s="100">
        <v>46101</v>
      </c>
      <c r="D2614" t="s">
        <v>13</v>
      </c>
      <c r="E2614" t="s">
        <v>854</v>
      </c>
      <c r="F2614" t="s">
        <v>856</v>
      </c>
      <c r="G2614">
        <v>280</v>
      </c>
      <c r="H2614">
        <v>38000</v>
      </c>
      <c r="I2614">
        <v>10640000</v>
      </c>
    </row>
    <row r="2615" spans="1:9" hidden="1" x14ac:dyDescent="0.25">
      <c r="A2615" s="210" t="s">
        <v>1538</v>
      </c>
      <c r="B2615">
        <v>8279</v>
      </c>
      <c r="C2615" s="100">
        <v>46101</v>
      </c>
      <c r="D2615" t="s">
        <v>13</v>
      </c>
      <c r="E2615" t="s">
        <v>854</v>
      </c>
      <c r="F2615" t="s">
        <v>857</v>
      </c>
      <c r="G2615">
        <v>354</v>
      </c>
      <c r="H2615">
        <v>38000</v>
      </c>
      <c r="I2615">
        <v>13452000</v>
      </c>
    </row>
    <row r="2616" spans="1:9" hidden="1" x14ac:dyDescent="0.25">
      <c r="A2616" s="210" t="s">
        <v>1538</v>
      </c>
      <c r="B2616">
        <v>8279</v>
      </c>
      <c r="C2616" s="100">
        <v>46101</v>
      </c>
      <c r="D2616" t="s">
        <v>13</v>
      </c>
      <c r="E2616" t="s">
        <v>103</v>
      </c>
      <c r="F2616" t="s">
        <v>435</v>
      </c>
      <c r="G2616">
        <v>462</v>
      </c>
      <c r="H2616">
        <v>38000</v>
      </c>
      <c r="I2616">
        <v>17556000</v>
      </c>
    </row>
    <row r="2617" spans="1:9" hidden="1" x14ac:dyDescent="0.25">
      <c r="A2617" s="210" t="s">
        <v>1668</v>
      </c>
      <c r="B2617">
        <v>8278</v>
      </c>
      <c r="C2617" s="100">
        <v>46101</v>
      </c>
      <c r="D2617" t="s">
        <v>13</v>
      </c>
      <c r="E2617" t="s">
        <v>43</v>
      </c>
      <c r="F2617" t="s">
        <v>1310</v>
      </c>
      <c r="G2617">
        <v>2538</v>
      </c>
      <c r="H2617">
        <v>61500</v>
      </c>
      <c r="I2617">
        <v>156087000</v>
      </c>
    </row>
    <row r="2618" spans="1:9" hidden="1" x14ac:dyDescent="0.25">
      <c r="A2618" s="210" t="s">
        <v>1675</v>
      </c>
      <c r="B2618">
        <v>8277</v>
      </c>
      <c r="C2618" s="100">
        <v>46101</v>
      </c>
      <c r="D2618" t="s">
        <v>13</v>
      </c>
      <c r="E2618" t="s">
        <v>17</v>
      </c>
      <c r="F2618" t="s">
        <v>1338</v>
      </c>
      <c r="G2618">
        <v>8904</v>
      </c>
      <c r="H2618">
        <v>56000</v>
      </c>
      <c r="I2618">
        <v>498624000</v>
      </c>
    </row>
    <row r="2619" spans="1:9" hidden="1" x14ac:dyDescent="0.25">
      <c r="A2619" s="210" t="s">
        <v>1502</v>
      </c>
      <c r="B2619">
        <v>8276</v>
      </c>
      <c r="C2619" s="100">
        <v>46101</v>
      </c>
      <c r="D2619" t="s">
        <v>13</v>
      </c>
      <c r="E2619" t="s">
        <v>50</v>
      </c>
      <c r="F2619" t="s">
        <v>298</v>
      </c>
      <c r="G2619">
        <v>520</v>
      </c>
      <c r="H2619">
        <v>56000</v>
      </c>
      <c r="I2619">
        <v>29120000</v>
      </c>
    </row>
    <row r="2620" spans="1:9" hidden="1" x14ac:dyDescent="0.25">
      <c r="A2620" s="210" t="s">
        <v>1600</v>
      </c>
      <c r="B2620">
        <v>8275</v>
      </c>
      <c r="C2620" s="100">
        <v>46101</v>
      </c>
      <c r="D2620" t="s">
        <v>13</v>
      </c>
      <c r="E2620" t="s">
        <v>68</v>
      </c>
      <c r="F2620" t="s">
        <v>1103</v>
      </c>
      <c r="G2620">
        <v>994</v>
      </c>
      <c r="H2620">
        <v>43000</v>
      </c>
      <c r="I2620">
        <v>42742000</v>
      </c>
    </row>
    <row r="2621" spans="1:9" hidden="1" x14ac:dyDescent="0.25">
      <c r="A2621" s="210" t="s">
        <v>1600</v>
      </c>
      <c r="B2621">
        <v>8275</v>
      </c>
      <c r="C2621" s="100">
        <v>46101</v>
      </c>
      <c r="D2621" t="s">
        <v>13</v>
      </c>
      <c r="E2621" t="s">
        <v>68</v>
      </c>
      <c r="F2621" t="s">
        <v>1104</v>
      </c>
      <c r="G2621">
        <v>1080</v>
      </c>
      <c r="H2621">
        <v>41500</v>
      </c>
      <c r="I2621">
        <v>44820000</v>
      </c>
    </row>
    <row r="2622" spans="1:9" hidden="1" x14ac:dyDescent="0.25">
      <c r="A2622" s="210" t="s">
        <v>1600</v>
      </c>
      <c r="B2622">
        <v>8275</v>
      </c>
      <c r="C2622" s="100">
        <v>46101</v>
      </c>
      <c r="D2622" t="s">
        <v>13</v>
      </c>
      <c r="E2622" t="s">
        <v>1105</v>
      </c>
      <c r="F2622" t="s">
        <v>1104</v>
      </c>
      <c r="G2622">
        <v>220</v>
      </c>
      <c r="H2622">
        <v>64500</v>
      </c>
      <c r="I2622">
        <v>14190000</v>
      </c>
    </row>
    <row r="2623" spans="1:9" hidden="1" x14ac:dyDescent="0.25">
      <c r="A2623" s="210" t="s">
        <v>1600</v>
      </c>
      <c r="B2623">
        <v>8275</v>
      </c>
      <c r="C2623" s="100">
        <v>46101</v>
      </c>
      <c r="D2623" t="s">
        <v>13</v>
      </c>
      <c r="E2623" t="s">
        <v>17</v>
      </c>
      <c r="F2623" t="s">
        <v>258</v>
      </c>
      <c r="G2623">
        <v>216</v>
      </c>
      <c r="H2623">
        <v>64000</v>
      </c>
      <c r="I2623">
        <v>13824000</v>
      </c>
    </row>
    <row r="2624" spans="1:9" hidden="1" x14ac:dyDescent="0.25">
      <c r="A2624" s="210" t="s">
        <v>1524</v>
      </c>
      <c r="B2624">
        <v>8272</v>
      </c>
      <c r="C2624" s="100">
        <v>46101</v>
      </c>
      <c r="D2624" t="s">
        <v>49</v>
      </c>
      <c r="E2624" t="s">
        <v>17</v>
      </c>
      <c r="F2624" t="s">
        <v>493</v>
      </c>
      <c r="G2624">
        <v>8320</v>
      </c>
      <c r="I2624">
        <v>0</v>
      </c>
    </row>
    <row r="2625" spans="1:9" hidden="1" x14ac:dyDescent="0.25">
      <c r="A2625" s="210" t="s">
        <v>1558</v>
      </c>
      <c r="B2625">
        <v>8271</v>
      </c>
      <c r="C2625" s="100">
        <v>46101</v>
      </c>
      <c r="D2625" t="s">
        <v>13</v>
      </c>
      <c r="E2625" t="s">
        <v>301</v>
      </c>
      <c r="F2625" t="s">
        <v>943</v>
      </c>
      <c r="G2625">
        <v>22823</v>
      </c>
      <c r="H2625">
        <v>24000</v>
      </c>
      <c r="I2625">
        <v>547752000</v>
      </c>
    </row>
    <row r="2626" spans="1:9" hidden="1" x14ac:dyDescent="0.25">
      <c r="A2626" s="210" t="s">
        <v>1491</v>
      </c>
      <c r="B2626">
        <v>8270</v>
      </c>
      <c r="C2626" s="100">
        <v>46101</v>
      </c>
      <c r="D2626" t="s">
        <v>13</v>
      </c>
      <c r="E2626" t="s">
        <v>43</v>
      </c>
      <c r="F2626" t="s">
        <v>257</v>
      </c>
      <c r="G2626">
        <v>2874</v>
      </c>
      <c r="H2626">
        <v>56000</v>
      </c>
      <c r="I2626">
        <v>160944000</v>
      </c>
    </row>
    <row r="2627" spans="1:9" hidden="1" x14ac:dyDescent="0.25">
      <c r="A2627" s="210" t="s">
        <v>1491</v>
      </c>
      <c r="B2627">
        <v>8270</v>
      </c>
      <c r="C2627" s="100">
        <v>46101</v>
      </c>
      <c r="D2627" t="s">
        <v>13</v>
      </c>
      <c r="E2627" t="s">
        <v>169</v>
      </c>
      <c r="F2627" t="s">
        <v>148</v>
      </c>
      <c r="G2627">
        <v>1032</v>
      </c>
      <c r="H2627">
        <v>42000</v>
      </c>
      <c r="I2627">
        <v>43344000</v>
      </c>
    </row>
    <row r="2628" spans="1:9" hidden="1" x14ac:dyDescent="0.25">
      <c r="A2628" s="210" t="s">
        <v>1491</v>
      </c>
      <c r="B2628">
        <v>8270</v>
      </c>
      <c r="C2628" s="100">
        <v>46101</v>
      </c>
      <c r="D2628" t="s">
        <v>13</v>
      </c>
      <c r="E2628" t="s">
        <v>17</v>
      </c>
      <c r="F2628" t="s">
        <v>46</v>
      </c>
      <c r="G2628">
        <v>944</v>
      </c>
      <c r="H2628">
        <v>65000</v>
      </c>
      <c r="I2628">
        <v>61360000</v>
      </c>
    </row>
    <row r="2629" spans="1:9" hidden="1" x14ac:dyDescent="0.25">
      <c r="A2629" s="210" t="s">
        <v>1674</v>
      </c>
      <c r="B2629">
        <v>8269</v>
      </c>
      <c r="C2629" s="100">
        <v>46101</v>
      </c>
      <c r="D2629" t="s">
        <v>13</v>
      </c>
      <c r="E2629" t="s">
        <v>17</v>
      </c>
      <c r="F2629" t="s">
        <v>1336</v>
      </c>
      <c r="G2629">
        <v>1836</v>
      </c>
      <c r="H2629">
        <v>66000</v>
      </c>
      <c r="I2629">
        <v>121176000</v>
      </c>
    </row>
    <row r="2630" spans="1:9" hidden="1" x14ac:dyDescent="0.25">
      <c r="A2630" s="210" t="s">
        <v>1479</v>
      </c>
      <c r="B2630">
        <v>8268</v>
      </c>
      <c r="C2630" s="100">
        <v>46101</v>
      </c>
      <c r="D2630" t="s">
        <v>13</v>
      </c>
      <c r="E2630" t="s">
        <v>43</v>
      </c>
      <c r="F2630" t="s">
        <v>41</v>
      </c>
      <c r="G2630">
        <v>2318</v>
      </c>
      <c r="H2630">
        <v>60500</v>
      </c>
      <c r="I2630">
        <v>140239000</v>
      </c>
    </row>
    <row r="2631" spans="1:9" hidden="1" x14ac:dyDescent="0.25">
      <c r="A2631" s="210" t="s">
        <v>1512</v>
      </c>
      <c r="B2631">
        <v>8267</v>
      </c>
      <c r="C2631" s="100">
        <v>46100</v>
      </c>
      <c r="D2631" t="s">
        <v>13</v>
      </c>
      <c r="E2631" t="s">
        <v>17</v>
      </c>
      <c r="F2631" t="s">
        <v>25</v>
      </c>
      <c r="G2631">
        <v>426</v>
      </c>
      <c r="H2631">
        <v>65000</v>
      </c>
      <c r="I2631">
        <v>27690000</v>
      </c>
    </row>
    <row r="2632" spans="1:9" hidden="1" x14ac:dyDescent="0.25">
      <c r="A2632" s="210" t="s">
        <v>1512</v>
      </c>
      <c r="B2632">
        <v>8267</v>
      </c>
      <c r="C2632" s="100">
        <v>46100</v>
      </c>
      <c r="D2632" t="s">
        <v>13</v>
      </c>
      <c r="E2632" t="s">
        <v>414</v>
      </c>
      <c r="F2632" t="s">
        <v>46</v>
      </c>
      <c r="G2632">
        <v>186</v>
      </c>
      <c r="H2632">
        <v>65000</v>
      </c>
      <c r="I2632">
        <v>12090000</v>
      </c>
    </row>
    <row r="2633" spans="1:9" hidden="1" x14ac:dyDescent="0.25">
      <c r="A2633" s="210" t="s">
        <v>1536</v>
      </c>
      <c r="B2633">
        <v>8266</v>
      </c>
      <c r="C2633" s="100">
        <v>46100</v>
      </c>
      <c r="D2633" t="s">
        <v>13</v>
      </c>
      <c r="E2633" t="s">
        <v>77</v>
      </c>
      <c r="F2633" t="s">
        <v>62</v>
      </c>
      <c r="G2633">
        <v>24</v>
      </c>
      <c r="H2633">
        <v>33000</v>
      </c>
      <c r="I2633">
        <v>792000</v>
      </c>
    </row>
    <row r="2634" spans="1:9" hidden="1" x14ac:dyDescent="0.25">
      <c r="A2634" s="210" t="s">
        <v>1536</v>
      </c>
      <c r="B2634">
        <v>8266</v>
      </c>
      <c r="C2634" s="100">
        <v>46100</v>
      </c>
      <c r="D2634" t="s">
        <v>13</v>
      </c>
      <c r="E2634" t="s">
        <v>68</v>
      </c>
      <c r="F2634" t="s">
        <v>221</v>
      </c>
      <c r="G2634">
        <v>118</v>
      </c>
      <c r="H2634">
        <v>41500</v>
      </c>
      <c r="I2634">
        <v>4897000</v>
      </c>
    </row>
    <row r="2635" spans="1:9" hidden="1" x14ac:dyDescent="0.25">
      <c r="A2635" s="210" t="s">
        <v>1536</v>
      </c>
      <c r="B2635">
        <v>8266</v>
      </c>
      <c r="C2635" s="100">
        <v>46100</v>
      </c>
      <c r="D2635" t="s">
        <v>13</v>
      </c>
      <c r="E2635" t="s">
        <v>103</v>
      </c>
      <c r="F2635" t="s">
        <v>117</v>
      </c>
      <c r="G2635">
        <v>236</v>
      </c>
      <c r="H2635">
        <v>38000</v>
      </c>
      <c r="I2635">
        <v>8968000</v>
      </c>
    </row>
    <row r="2636" spans="1:9" hidden="1" x14ac:dyDescent="0.25">
      <c r="A2636" s="210" t="s">
        <v>1536</v>
      </c>
      <c r="B2636">
        <v>8266</v>
      </c>
      <c r="C2636" s="100">
        <v>46100</v>
      </c>
      <c r="D2636" t="s">
        <v>13</v>
      </c>
      <c r="E2636" t="s">
        <v>109</v>
      </c>
      <c r="F2636" t="s">
        <v>844</v>
      </c>
      <c r="G2636">
        <v>526</v>
      </c>
      <c r="H2636">
        <v>68000</v>
      </c>
      <c r="I2636">
        <v>35768000</v>
      </c>
    </row>
    <row r="2637" spans="1:9" hidden="1" x14ac:dyDescent="0.25">
      <c r="A2637" s="210" t="s">
        <v>1536</v>
      </c>
      <c r="B2637">
        <v>8266</v>
      </c>
      <c r="C2637" s="100">
        <v>46100</v>
      </c>
      <c r="D2637" t="s">
        <v>13</v>
      </c>
      <c r="E2637" t="s">
        <v>109</v>
      </c>
      <c r="F2637" t="s">
        <v>845</v>
      </c>
      <c r="G2637">
        <v>602</v>
      </c>
      <c r="H2637">
        <v>68000</v>
      </c>
      <c r="I2637">
        <v>40936000</v>
      </c>
    </row>
    <row r="2638" spans="1:9" hidden="1" x14ac:dyDescent="0.25">
      <c r="A2638" s="210" t="s">
        <v>2016</v>
      </c>
      <c r="B2638">
        <v>8265</v>
      </c>
      <c r="C2638" s="100">
        <v>46100</v>
      </c>
      <c r="D2638" t="s">
        <v>13</v>
      </c>
      <c r="E2638" t="s">
        <v>17</v>
      </c>
      <c r="F2638" t="s">
        <v>482</v>
      </c>
      <c r="G2638">
        <v>4361</v>
      </c>
      <c r="H2638">
        <v>63500</v>
      </c>
      <c r="I2638">
        <v>276923500</v>
      </c>
    </row>
    <row r="2639" spans="1:9" hidden="1" x14ac:dyDescent="0.25">
      <c r="A2639" s="210" t="s">
        <v>1520</v>
      </c>
      <c r="B2639">
        <v>8264</v>
      </c>
      <c r="C2639" s="100">
        <v>46100</v>
      </c>
      <c r="D2639" t="s">
        <v>13</v>
      </c>
      <c r="E2639" t="s">
        <v>50</v>
      </c>
      <c r="F2639" t="s">
        <v>449</v>
      </c>
      <c r="G2639">
        <v>676</v>
      </c>
      <c r="H2639">
        <v>61500</v>
      </c>
      <c r="I2639">
        <v>41574000</v>
      </c>
    </row>
    <row r="2640" spans="1:9" hidden="1" x14ac:dyDescent="0.25">
      <c r="A2640" s="210" t="s">
        <v>1673</v>
      </c>
      <c r="B2640">
        <v>8263</v>
      </c>
      <c r="C2640" s="100">
        <v>46100</v>
      </c>
      <c r="D2640" t="s">
        <v>13</v>
      </c>
      <c r="E2640" t="s">
        <v>109</v>
      </c>
      <c r="F2640" t="s">
        <v>1333</v>
      </c>
      <c r="G2640">
        <v>2036</v>
      </c>
      <c r="H2640">
        <v>55000</v>
      </c>
      <c r="I2640">
        <v>111980000</v>
      </c>
    </row>
    <row r="2641" spans="1:9" hidden="1" x14ac:dyDescent="0.25">
      <c r="A2641" s="210" t="s">
        <v>1635</v>
      </c>
      <c r="B2641">
        <v>8262</v>
      </c>
      <c r="C2641" s="100">
        <v>46100</v>
      </c>
      <c r="D2641" t="s">
        <v>13</v>
      </c>
      <c r="E2641" t="s">
        <v>43</v>
      </c>
      <c r="F2641" t="s">
        <v>1225</v>
      </c>
      <c r="G2641">
        <v>2320</v>
      </c>
      <c r="H2641">
        <v>59000</v>
      </c>
      <c r="I2641">
        <v>136880000</v>
      </c>
    </row>
    <row r="2642" spans="1:9" hidden="1" x14ac:dyDescent="0.25">
      <c r="A2642" s="210" t="s">
        <v>1672</v>
      </c>
      <c r="B2642">
        <v>8261</v>
      </c>
      <c r="C2642" s="100">
        <v>46100</v>
      </c>
      <c r="D2642" t="s">
        <v>49</v>
      </c>
      <c r="E2642" t="s">
        <v>17</v>
      </c>
      <c r="F2642" t="s">
        <v>136</v>
      </c>
      <c r="G2642">
        <v>1116</v>
      </c>
      <c r="I2642">
        <v>0</v>
      </c>
    </row>
    <row r="2643" spans="1:9" hidden="1" x14ac:dyDescent="0.25">
      <c r="A2643" s="210" t="s">
        <v>1524</v>
      </c>
      <c r="B2643">
        <v>8260</v>
      </c>
      <c r="C2643" s="100">
        <v>46100</v>
      </c>
      <c r="D2643" t="s">
        <v>49</v>
      </c>
      <c r="E2643" t="s">
        <v>135</v>
      </c>
      <c r="F2643" t="s">
        <v>148</v>
      </c>
      <c r="G2643">
        <v>2740</v>
      </c>
      <c r="I2643">
        <v>0</v>
      </c>
    </row>
    <row r="2644" spans="1:9" hidden="1" x14ac:dyDescent="0.25">
      <c r="A2644" s="210" t="s">
        <v>1600</v>
      </c>
      <c r="B2644">
        <v>8259</v>
      </c>
      <c r="C2644" s="100">
        <v>46100</v>
      </c>
      <c r="D2644" t="s">
        <v>13</v>
      </c>
      <c r="E2644" t="s">
        <v>265</v>
      </c>
      <c r="F2644" t="s">
        <v>273</v>
      </c>
      <c r="G2644">
        <v>954</v>
      </c>
      <c r="H2644">
        <v>62500</v>
      </c>
      <c r="I2644">
        <v>59625000</v>
      </c>
    </row>
    <row r="2645" spans="1:9" hidden="1" x14ac:dyDescent="0.25">
      <c r="A2645" s="210" t="s">
        <v>1600</v>
      </c>
      <c r="B2645">
        <v>8259</v>
      </c>
      <c r="C2645" s="100">
        <v>46100</v>
      </c>
      <c r="D2645" t="s">
        <v>13</v>
      </c>
      <c r="E2645" t="s">
        <v>265</v>
      </c>
      <c r="F2645" t="s">
        <v>369</v>
      </c>
      <c r="G2645">
        <v>1262</v>
      </c>
      <c r="H2645">
        <v>63000</v>
      </c>
      <c r="I2645">
        <v>79506000</v>
      </c>
    </row>
    <row r="2646" spans="1:9" hidden="1" x14ac:dyDescent="0.25">
      <c r="A2646" s="210" t="s">
        <v>1524</v>
      </c>
      <c r="B2646">
        <v>8258</v>
      </c>
      <c r="C2646" s="100">
        <v>46100</v>
      </c>
      <c r="D2646" t="s">
        <v>49</v>
      </c>
      <c r="E2646" t="s">
        <v>17</v>
      </c>
      <c r="F2646" t="s">
        <v>40</v>
      </c>
      <c r="G2646">
        <v>5670</v>
      </c>
      <c r="I2646">
        <v>0</v>
      </c>
    </row>
    <row r="2647" spans="1:9" hidden="1" x14ac:dyDescent="0.25">
      <c r="A2647" s="210" t="s">
        <v>1493</v>
      </c>
      <c r="B2647">
        <v>8257</v>
      </c>
      <c r="C2647" s="100">
        <v>46100</v>
      </c>
      <c r="D2647" t="s">
        <v>13</v>
      </c>
      <c r="E2647" t="s">
        <v>270</v>
      </c>
      <c r="F2647" t="s">
        <v>134</v>
      </c>
      <c r="G2647">
        <v>1244</v>
      </c>
      <c r="H2647">
        <v>63000</v>
      </c>
      <c r="I2647">
        <v>78372000</v>
      </c>
    </row>
    <row r="2648" spans="1:9" hidden="1" x14ac:dyDescent="0.25">
      <c r="A2648" s="210" t="s">
        <v>1479</v>
      </c>
      <c r="B2648">
        <v>8256</v>
      </c>
      <c r="C2648" s="100">
        <v>46100</v>
      </c>
      <c r="D2648" t="s">
        <v>13</v>
      </c>
      <c r="E2648" t="s">
        <v>50</v>
      </c>
      <c r="F2648" t="s">
        <v>172</v>
      </c>
      <c r="G2648">
        <v>910</v>
      </c>
      <c r="H2648">
        <v>61000</v>
      </c>
      <c r="I2648">
        <v>55510000</v>
      </c>
    </row>
    <row r="2649" spans="1:9" hidden="1" x14ac:dyDescent="0.25">
      <c r="A2649" s="210" t="s">
        <v>1705</v>
      </c>
      <c r="B2649">
        <v>8256</v>
      </c>
      <c r="C2649" s="100">
        <v>46155</v>
      </c>
      <c r="D2649" t="s">
        <v>692</v>
      </c>
      <c r="E2649" t="s">
        <v>109</v>
      </c>
      <c r="F2649" t="s">
        <v>835</v>
      </c>
      <c r="G2649">
        <v>585</v>
      </c>
      <c r="H2649">
        <v>-62000</v>
      </c>
      <c r="I2649">
        <v>-36270000</v>
      </c>
    </row>
    <row r="2650" spans="1:9" hidden="1" x14ac:dyDescent="0.25">
      <c r="A2650" s="210" t="s">
        <v>1705</v>
      </c>
      <c r="B2650">
        <v>8256</v>
      </c>
      <c r="C2650" s="100">
        <v>46155</v>
      </c>
      <c r="D2650" t="s">
        <v>692</v>
      </c>
      <c r="E2650" t="s">
        <v>109</v>
      </c>
      <c r="F2650" t="s">
        <v>390</v>
      </c>
      <c r="G2650">
        <v>733</v>
      </c>
      <c r="H2650">
        <v>-62000</v>
      </c>
      <c r="I2650">
        <v>-45446000</v>
      </c>
    </row>
    <row r="2651" spans="1:9" hidden="1" x14ac:dyDescent="0.25">
      <c r="A2651" s="210" t="s">
        <v>1538</v>
      </c>
      <c r="B2651">
        <v>8255</v>
      </c>
      <c r="C2651" s="100">
        <v>46100</v>
      </c>
      <c r="D2651" t="s">
        <v>13</v>
      </c>
      <c r="E2651" t="s">
        <v>14</v>
      </c>
      <c r="F2651" t="s">
        <v>78</v>
      </c>
      <c r="G2651">
        <v>692</v>
      </c>
      <c r="H2651">
        <v>45000</v>
      </c>
      <c r="I2651">
        <v>31140000</v>
      </c>
    </row>
    <row r="2652" spans="1:9" hidden="1" x14ac:dyDescent="0.25">
      <c r="A2652" s="210" t="s">
        <v>1518</v>
      </c>
      <c r="B2652">
        <v>8254</v>
      </c>
      <c r="C2652" s="100">
        <v>46100</v>
      </c>
      <c r="D2652" t="s">
        <v>13</v>
      </c>
      <c r="E2652" t="s">
        <v>135</v>
      </c>
      <c r="F2652" t="s">
        <v>41</v>
      </c>
      <c r="G2652">
        <v>914</v>
      </c>
      <c r="H2652">
        <v>37000</v>
      </c>
      <c r="I2652">
        <v>33818000</v>
      </c>
    </row>
    <row r="2653" spans="1:9" hidden="1" x14ac:dyDescent="0.25">
      <c r="A2653" s="210" t="s">
        <v>1518</v>
      </c>
      <c r="B2653">
        <v>8254</v>
      </c>
      <c r="C2653" s="100">
        <v>46100</v>
      </c>
      <c r="D2653" t="s">
        <v>13</v>
      </c>
      <c r="E2653" t="s">
        <v>43</v>
      </c>
      <c r="F2653" t="s">
        <v>44</v>
      </c>
      <c r="G2653">
        <v>610</v>
      </c>
      <c r="H2653">
        <v>55500</v>
      </c>
      <c r="I2653">
        <v>33855000</v>
      </c>
    </row>
    <row r="2654" spans="1:9" hidden="1" x14ac:dyDescent="0.25">
      <c r="A2654" s="210" t="s">
        <v>1545</v>
      </c>
      <c r="B2654">
        <v>8253</v>
      </c>
      <c r="C2654" s="100">
        <v>46100</v>
      </c>
      <c r="D2654" t="s">
        <v>13</v>
      </c>
      <c r="E2654" t="s">
        <v>150</v>
      </c>
      <c r="F2654" t="s">
        <v>390</v>
      </c>
      <c r="G2654">
        <v>1944</v>
      </c>
      <c r="H2654">
        <v>34000</v>
      </c>
      <c r="I2654">
        <v>66096000</v>
      </c>
    </row>
    <row r="2655" spans="1:9" hidden="1" x14ac:dyDescent="0.25">
      <c r="A2655" s="210" t="s">
        <v>1577</v>
      </c>
      <c r="B2655">
        <v>8252</v>
      </c>
      <c r="C2655" s="100">
        <v>46100</v>
      </c>
      <c r="D2655" t="s">
        <v>13</v>
      </c>
      <c r="E2655" t="s">
        <v>50</v>
      </c>
      <c r="F2655" t="s">
        <v>982</v>
      </c>
      <c r="G2655">
        <v>906</v>
      </c>
      <c r="H2655">
        <v>60000</v>
      </c>
      <c r="I2655">
        <v>54360000</v>
      </c>
    </row>
    <row r="2656" spans="1:9" hidden="1" x14ac:dyDescent="0.25">
      <c r="A2656" s="210" t="s">
        <v>1577</v>
      </c>
      <c r="B2656">
        <v>8252</v>
      </c>
      <c r="C2656" s="100">
        <v>46100</v>
      </c>
      <c r="D2656" t="s">
        <v>13</v>
      </c>
      <c r="E2656" t="s">
        <v>150</v>
      </c>
      <c r="F2656" t="s">
        <v>983</v>
      </c>
      <c r="G2656">
        <v>354</v>
      </c>
      <c r="H2656">
        <v>34000</v>
      </c>
      <c r="I2656">
        <v>12036000</v>
      </c>
    </row>
    <row r="2657" spans="1:11" hidden="1" x14ac:dyDescent="0.25">
      <c r="A2657" s="210" t="s">
        <v>1600</v>
      </c>
      <c r="B2657">
        <v>8251</v>
      </c>
      <c r="C2657" s="100">
        <v>46100</v>
      </c>
      <c r="D2657" t="s">
        <v>13</v>
      </c>
      <c r="E2657" t="s">
        <v>252</v>
      </c>
      <c r="F2657" t="s">
        <v>40</v>
      </c>
      <c r="G2657">
        <v>518</v>
      </c>
      <c r="H2657">
        <v>39500</v>
      </c>
      <c r="I2657">
        <v>20461000</v>
      </c>
    </row>
    <row r="2658" spans="1:11" hidden="1" x14ac:dyDescent="0.25">
      <c r="A2658" s="210" t="s">
        <v>1600</v>
      </c>
      <c r="B2658">
        <v>8251</v>
      </c>
      <c r="C2658" s="100">
        <v>46100</v>
      </c>
      <c r="D2658" t="s">
        <v>13</v>
      </c>
      <c r="E2658" t="s">
        <v>270</v>
      </c>
      <c r="F2658" t="s">
        <v>136</v>
      </c>
      <c r="G2658">
        <v>522</v>
      </c>
      <c r="H2658">
        <v>62500</v>
      </c>
      <c r="I2658">
        <v>32625000</v>
      </c>
    </row>
    <row r="2659" spans="1:11" hidden="1" x14ac:dyDescent="0.25">
      <c r="A2659" s="210" t="s">
        <v>1600</v>
      </c>
      <c r="B2659">
        <v>8251</v>
      </c>
      <c r="C2659" s="100">
        <v>46100</v>
      </c>
      <c r="D2659" t="s">
        <v>13</v>
      </c>
      <c r="E2659" t="s">
        <v>270</v>
      </c>
      <c r="F2659" t="s">
        <v>146</v>
      </c>
      <c r="G2659">
        <v>534</v>
      </c>
      <c r="H2659">
        <v>62000</v>
      </c>
      <c r="I2659">
        <v>33108000</v>
      </c>
    </row>
    <row r="2660" spans="1:11" hidden="1" x14ac:dyDescent="0.25">
      <c r="A2660" s="210" t="s">
        <v>1600</v>
      </c>
      <c r="B2660">
        <v>8251</v>
      </c>
      <c r="C2660" s="100">
        <v>46100</v>
      </c>
      <c r="D2660" t="s">
        <v>13</v>
      </c>
      <c r="E2660" t="s">
        <v>270</v>
      </c>
      <c r="F2660" t="s">
        <v>134</v>
      </c>
      <c r="G2660">
        <v>542</v>
      </c>
      <c r="H2660">
        <v>62000</v>
      </c>
      <c r="I2660">
        <v>33604000</v>
      </c>
    </row>
    <row r="2661" spans="1:11" hidden="1" x14ac:dyDescent="0.25">
      <c r="A2661" s="210" t="s">
        <v>1477</v>
      </c>
      <c r="B2661">
        <v>8250</v>
      </c>
      <c r="C2661" s="100">
        <v>46105</v>
      </c>
      <c r="D2661" t="s">
        <v>13</v>
      </c>
      <c r="E2661" t="s">
        <v>17</v>
      </c>
      <c r="F2661" t="s">
        <v>129</v>
      </c>
      <c r="G2661">
        <v>1580</v>
      </c>
      <c r="H2661">
        <v>59500</v>
      </c>
      <c r="I2661">
        <v>94010000</v>
      </c>
      <c r="K2661" t="s">
        <v>42</v>
      </c>
    </row>
    <row r="2662" spans="1:11" hidden="1" x14ac:dyDescent="0.25">
      <c r="A2662" s="210" t="s">
        <v>1477</v>
      </c>
      <c r="B2662">
        <v>8250</v>
      </c>
      <c r="C2662" s="100">
        <v>46105</v>
      </c>
      <c r="D2662" t="s">
        <v>13</v>
      </c>
      <c r="E2662" t="s">
        <v>17</v>
      </c>
      <c r="F2662" t="s">
        <v>30</v>
      </c>
      <c r="G2662">
        <v>994</v>
      </c>
      <c r="H2662">
        <v>59500</v>
      </c>
      <c r="I2662">
        <v>59143000</v>
      </c>
    </row>
    <row r="2663" spans="1:11" hidden="1" x14ac:dyDescent="0.25">
      <c r="A2663" s="210" t="s">
        <v>1477</v>
      </c>
      <c r="B2663">
        <v>8250</v>
      </c>
      <c r="C2663" s="100">
        <v>46105</v>
      </c>
      <c r="D2663" t="s">
        <v>13</v>
      </c>
      <c r="E2663" t="s">
        <v>26</v>
      </c>
      <c r="F2663" t="s">
        <v>25</v>
      </c>
      <c r="G2663">
        <v>624</v>
      </c>
      <c r="H2663">
        <v>34000</v>
      </c>
      <c r="I2663">
        <v>21216000</v>
      </c>
    </row>
    <row r="2664" spans="1:11" hidden="1" x14ac:dyDescent="0.25">
      <c r="A2664" s="210" t="s">
        <v>1613</v>
      </c>
      <c r="B2664">
        <v>8249</v>
      </c>
      <c r="C2664" s="100">
        <v>46105</v>
      </c>
      <c r="D2664" t="s">
        <v>13</v>
      </c>
      <c r="E2664" t="s">
        <v>17</v>
      </c>
      <c r="F2664" t="s">
        <v>40</v>
      </c>
      <c r="G2664">
        <v>84</v>
      </c>
      <c r="H2664">
        <v>66000</v>
      </c>
      <c r="I2664">
        <v>5544000</v>
      </c>
    </row>
    <row r="2665" spans="1:11" hidden="1" x14ac:dyDescent="0.25">
      <c r="A2665" s="210" t="s">
        <v>1613</v>
      </c>
      <c r="B2665">
        <v>8249</v>
      </c>
      <c r="C2665" s="100">
        <v>46105</v>
      </c>
      <c r="D2665" t="s">
        <v>13</v>
      </c>
      <c r="E2665" t="s">
        <v>17</v>
      </c>
      <c r="F2665" t="s">
        <v>62</v>
      </c>
      <c r="G2665">
        <v>90</v>
      </c>
      <c r="H2665">
        <v>63000</v>
      </c>
      <c r="I2665">
        <v>5670000</v>
      </c>
    </row>
    <row r="2666" spans="1:11" hidden="1" x14ac:dyDescent="0.25">
      <c r="A2666" s="210" t="s">
        <v>1613</v>
      </c>
      <c r="B2666">
        <v>8249</v>
      </c>
      <c r="C2666" s="100">
        <v>46105</v>
      </c>
      <c r="D2666" t="s">
        <v>13</v>
      </c>
      <c r="E2666" t="s">
        <v>68</v>
      </c>
      <c r="F2666" t="s">
        <v>227</v>
      </c>
      <c r="G2666">
        <v>88</v>
      </c>
      <c r="H2666">
        <v>42000</v>
      </c>
      <c r="I2666">
        <v>3696000</v>
      </c>
    </row>
    <row r="2667" spans="1:11" hidden="1" x14ac:dyDescent="0.25">
      <c r="A2667" s="210" t="s">
        <v>1541</v>
      </c>
      <c r="B2667">
        <v>8248</v>
      </c>
      <c r="C2667" s="100">
        <v>46105</v>
      </c>
      <c r="D2667" t="s">
        <v>13</v>
      </c>
      <c r="E2667" t="s">
        <v>50</v>
      </c>
      <c r="F2667" t="s">
        <v>884</v>
      </c>
      <c r="G2667">
        <v>503</v>
      </c>
      <c r="H2667">
        <v>57000</v>
      </c>
      <c r="I2667">
        <v>28671000</v>
      </c>
    </row>
    <row r="2668" spans="1:11" hidden="1" x14ac:dyDescent="0.25">
      <c r="A2668" s="210" t="s">
        <v>1541</v>
      </c>
      <c r="B2668">
        <v>8248</v>
      </c>
      <c r="C2668" s="100">
        <v>46105</v>
      </c>
      <c r="D2668" t="s">
        <v>13</v>
      </c>
      <c r="E2668" t="s">
        <v>50</v>
      </c>
      <c r="F2668" t="s">
        <v>185</v>
      </c>
      <c r="G2668">
        <v>527</v>
      </c>
      <c r="H2668">
        <v>57000</v>
      </c>
      <c r="I2668">
        <v>30039000</v>
      </c>
    </row>
    <row r="2669" spans="1:11" hidden="1" x14ac:dyDescent="0.25">
      <c r="A2669" s="210" t="s">
        <v>1541</v>
      </c>
      <c r="B2669">
        <v>8248</v>
      </c>
      <c r="C2669" s="100">
        <v>46105</v>
      </c>
      <c r="D2669" t="s">
        <v>13</v>
      </c>
      <c r="E2669" t="s">
        <v>50</v>
      </c>
      <c r="F2669" t="s">
        <v>885</v>
      </c>
      <c r="G2669">
        <v>1116</v>
      </c>
      <c r="H2669">
        <v>57000</v>
      </c>
      <c r="I2669">
        <v>63612000</v>
      </c>
    </row>
    <row r="2670" spans="1:11" hidden="1" x14ac:dyDescent="0.25">
      <c r="A2670" s="210" t="s">
        <v>1595</v>
      </c>
      <c r="B2670">
        <v>8247</v>
      </c>
      <c r="C2670" s="100">
        <v>46105</v>
      </c>
      <c r="D2670" t="s">
        <v>13</v>
      </c>
      <c r="E2670" t="s">
        <v>17</v>
      </c>
      <c r="F2670" t="s">
        <v>369</v>
      </c>
      <c r="G2670">
        <v>1376</v>
      </c>
      <c r="H2670">
        <v>59000</v>
      </c>
      <c r="I2670">
        <v>81184000</v>
      </c>
    </row>
    <row r="2671" spans="1:11" hidden="1" x14ac:dyDescent="0.25">
      <c r="A2671" s="210" t="s">
        <v>1653</v>
      </c>
      <c r="B2671">
        <v>8244</v>
      </c>
      <c r="C2671" s="100">
        <v>46105</v>
      </c>
      <c r="D2671" t="s">
        <v>13</v>
      </c>
      <c r="E2671" t="s">
        <v>68</v>
      </c>
      <c r="F2671" t="s">
        <v>1262</v>
      </c>
      <c r="G2671">
        <v>538</v>
      </c>
      <c r="H2671">
        <v>45000</v>
      </c>
      <c r="I2671">
        <v>24210000</v>
      </c>
    </row>
    <row r="2672" spans="1:11" hidden="1" x14ac:dyDescent="0.25">
      <c r="A2672" s="210" t="s">
        <v>1653</v>
      </c>
      <c r="B2672">
        <v>8244</v>
      </c>
      <c r="C2672" s="100">
        <v>46105</v>
      </c>
      <c r="D2672" t="s">
        <v>13</v>
      </c>
      <c r="E2672" t="s">
        <v>1263</v>
      </c>
      <c r="F2672" t="s">
        <v>1264</v>
      </c>
      <c r="G2672">
        <v>530</v>
      </c>
      <c r="H2672">
        <v>62500</v>
      </c>
      <c r="I2672">
        <v>33125000</v>
      </c>
    </row>
    <row r="2673" spans="1:11" hidden="1" x14ac:dyDescent="0.25">
      <c r="A2673" s="210" t="s">
        <v>1653</v>
      </c>
      <c r="B2673">
        <v>8244</v>
      </c>
      <c r="C2673" s="100">
        <v>46105</v>
      </c>
      <c r="D2673" t="s">
        <v>13</v>
      </c>
      <c r="E2673" t="s">
        <v>1105</v>
      </c>
      <c r="F2673" t="s">
        <v>1265</v>
      </c>
      <c r="G2673">
        <v>156</v>
      </c>
      <c r="H2673">
        <v>64000</v>
      </c>
      <c r="I2673">
        <v>9984000</v>
      </c>
    </row>
    <row r="2674" spans="1:11" hidden="1" x14ac:dyDescent="0.25">
      <c r="A2674" s="210" t="s">
        <v>1653</v>
      </c>
      <c r="B2674">
        <v>8244</v>
      </c>
      <c r="C2674" s="100">
        <v>46105</v>
      </c>
      <c r="D2674" t="s">
        <v>13</v>
      </c>
      <c r="E2674" t="s">
        <v>1263</v>
      </c>
      <c r="F2674" t="s">
        <v>1266</v>
      </c>
      <c r="G2674">
        <v>441</v>
      </c>
      <c r="H2674">
        <v>57000</v>
      </c>
      <c r="I2674">
        <v>25137000</v>
      </c>
    </row>
    <row r="2675" spans="1:11" hidden="1" x14ac:dyDescent="0.25">
      <c r="A2675" s="210" t="s">
        <v>1683</v>
      </c>
      <c r="B2675">
        <v>8243</v>
      </c>
      <c r="C2675" s="100">
        <v>46105</v>
      </c>
      <c r="D2675" t="s">
        <v>13</v>
      </c>
      <c r="E2675" t="s">
        <v>43</v>
      </c>
      <c r="F2675" t="s">
        <v>621</v>
      </c>
      <c r="G2675">
        <v>50</v>
      </c>
      <c r="H2675">
        <v>67000</v>
      </c>
      <c r="I2675">
        <v>3350000</v>
      </c>
    </row>
    <row r="2676" spans="1:11" hidden="1" x14ac:dyDescent="0.25">
      <c r="A2676" s="210" t="s">
        <v>1683</v>
      </c>
      <c r="B2676">
        <v>8243</v>
      </c>
      <c r="C2676" s="100">
        <v>46105</v>
      </c>
      <c r="D2676" t="s">
        <v>13</v>
      </c>
      <c r="E2676" t="s">
        <v>43</v>
      </c>
      <c r="F2676" t="s">
        <v>40</v>
      </c>
      <c r="G2676">
        <v>80</v>
      </c>
      <c r="H2676">
        <v>65000</v>
      </c>
      <c r="I2676">
        <v>5200000</v>
      </c>
    </row>
    <row r="2677" spans="1:11" hidden="1" x14ac:dyDescent="0.25">
      <c r="A2677" s="210" t="s">
        <v>1683</v>
      </c>
      <c r="B2677">
        <v>8243</v>
      </c>
      <c r="C2677" s="100">
        <v>46105</v>
      </c>
      <c r="D2677" t="s">
        <v>13</v>
      </c>
      <c r="E2677" t="s">
        <v>43</v>
      </c>
      <c r="F2677" t="s">
        <v>230</v>
      </c>
      <c r="G2677">
        <v>62</v>
      </c>
      <c r="H2677">
        <v>67000</v>
      </c>
      <c r="I2677">
        <v>4154000</v>
      </c>
    </row>
    <row r="2678" spans="1:11" hidden="1" x14ac:dyDescent="0.25">
      <c r="A2678" s="210" t="s">
        <v>1683</v>
      </c>
      <c r="B2678">
        <v>8243</v>
      </c>
      <c r="C2678" s="100">
        <v>46105</v>
      </c>
      <c r="D2678" t="s">
        <v>13</v>
      </c>
      <c r="E2678" t="s">
        <v>17</v>
      </c>
      <c r="F2678" t="s">
        <v>469</v>
      </c>
      <c r="G2678">
        <v>66</v>
      </c>
      <c r="H2678">
        <v>67000</v>
      </c>
      <c r="I2678">
        <v>4422000</v>
      </c>
    </row>
    <row r="2679" spans="1:11" hidden="1" x14ac:dyDescent="0.25">
      <c r="A2679" s="210" t="s">
        <v>1683</v>
      </c>
      <c r="B2679">
        <v>8243</v>
      </c>
      <c r="C2679" s="100">
        <v>46105</v>
      </c>
      <c r="D2679" t="s">
        <v>13</v>
      </c>
      <c r="E2679" t="s">
        <v>17</v>
      </c>
      <c r="F2679" t="s">
        <v>621</v>
      </c>
      <c r="G2679">
        <v>50</v>
      </c>
      <c r="H2679">
        <v>69000</v>
      </c>
      <c r="I2679">
        <v>3450000</v>
      </c>
    </row>
    <row r="2680" spans="1:11" hidden="1" x14ac:dyDescent="0.25">
      <c r="A2680" s="210" t="s">
        <v>1683</v>
      </c>
      <c r="B2680">
        <v>8243</v>
      </c>
      <c r="C2680" s="100">
        <v>46105</v>
      </c>
      <c r="D2680" t="s">
        <v>13</v>
      </c>
      <c r="E2680" t="s">
        <v>17</v>
      </c>
      <c r="F2680" t="s">
        <v>40</v>
      </c>
      <c r="G2680">
        <v>84</v>
      </c>
      <c r="H2680">
        <v>67000</v>
      </c>
      <c r="I2680">
        <v>5628000</v>
      </c>
    </row>
    <row r="2681" spans="1:11" hidden="1" x14ac:dyDescent="0.25">
      <c r="A2681" s="210" t="s">
        <v>1683</v>
      </c>
      <c r="B2681">
        <v>8243</v>
      </c>
      <c r="C2681" s="100">
        <v>46105</v>
      </c>
      <c r="D2681" t="s">
        <v>13</v>
      </c>
      <c r="E2681" t="s">
        <v>17</v>
      </c>
      <c r="F2681" t="s">
        <v>230</v>
      </c>
      <c r="G2681">
        <v>62</v>
      </c>
      <c r="H2681">
        <v>69000</v>
      </c>
      <c r="I2681">
        <v>4278000</v>
      </c>
    </row>
    <row r="2682" spans="1:11" hidden="1" x14ac:dyDescent="0.25">
      <c r="A2682" s="210" t="s">
        <v>1683</v>
      </c>
      <c r="B2682">
        <v>8243</v>
      </c>
      <c r="C2682" s="100">
        <v>46105</v>
      </c>
      <c r="D2682" t="s">
        <v>13</v>
      </c>
      <c r="E2682" t="s">
        <v>50</v>
      </c>
      <c r="F2682" t="s">
        <v>1360</v>
      </c>
      <c r="G2682">
        <v>244</v>
      </c>
      <c r="H2682">
        <v>63000</v>
      </c>
      <c r="I2682">
        <v>15372000</v>
      </c>
    </row>
    <row r="2683" spans="1:11" hidden="1" x14ac:dyDescent="0.25">
      <c r="A2683" s="210" t="s">
        <v>1683</v>
      </c>
      <c r="B2683">
        <v>8243</v>
      </c>
      <c r="C2683" s="100">
        <v>46105</v>
      </c>
      <c r="D2683" t="s">
        <v>13</v>
      </c>
      <c r="E2683" t="s">
        <v>317</v>
      </c>
      <c r="F2683" t="s">
        <v>1360</v>
      </c>
      <c r="G2683">
        <v>244</v>
      </c>
      <c r="H2683">
        <v>65000</v>
      </c>
      <c r="I2683">
        <v>15860000</v>
      </c>
      <c r="J2683">
        <v>200000</v>
      </c>
      <c r="K2683" t="s">
        <v>1361</v>
      </c>
    </row>
    <row r="2684" spans="1:11" hidden="1" x14ac:dyDescent="0.25">
      <c r="A2684" s="210" t="s">
        <v>1491</v>
      </c>
      <c r="B2684">
        <v>8242</v>
      </c>
      <c r="C2684" s="100">
        <v>46105</v>
      </c>
      <c r="D2684" t="s">
        <v>13</v>
      </c>
      <c r="E2684" t="s">
        <v>17</v>
      </c>
      <c r="F2684" t="s">
        <v>251</v>
      </c>
      <c r="G2684">
        <v>562</v>
      </c>
      <c r="H2684">
        <v>60500</v>
      </c>
      <c r="I2684">
        <v>34001000</v>
      </c>
    </row>
    <row r="2685" spans="1:11" hidden="1" x14ac:dyDescent="0.25">
      <c r="A2685" s="210" t="s">
        <v>1491</v>
      </c>
      <c r="B2685">
        <v>8242</v>
      </c>
      <c r="C2685" s="100">
        <v>46105</v>
      </c>
      <c r="D2685" t="s">
        <v>13</v>
      </c>
      <c r="E2685" t="s">
        <v>17</v>
      </c>
      <c r="F2685" t="s">
        <v>146</v>
      </c>
      <c r="G2685">
        <v>1199</v>
      </c>
      <c r="H2685">
        <v>59500</v>
      </c>
      <c r="I2685">
        <v>71340500</v>
      </c>
    </row>
    <row r="2686" spans="1:11" hidden="1" x14ac:dyDescent="0.25">
      <c r="A2686" s="210" t="s">
        <v>1491</v>
      </c>
      <c r="B2686">
        <v>8242</v>
      </c>
      <c r="C2686" s="100">
        <v>46105</v>
      </c>
      <c r="D2686" t="s">
        <v>13</v>
      </c>
      <c r="E2686" t="s">
        <v>17</v>
      </c>
      <c r="F2686" t="s">
        <v>258</v>
      </c>
      <c r="G2686">
        <v>1038</v>
      </c>
      <c r="H2686">
        <v>64000</v>
      </c>
      <c r="I2686">
        <v>66432000</v>
      </c>
    </row>
    <row r="2687" spans="1:11" hidden="1" x14ac:dyDescent="0.25">
      <c r="A2687" s="210" t="s">
        <v>1491</v>
      </c>
      <c r="B2687">
        <v>8242</v>
      </c>
      <c r="C2687" s="100">
        <v>46105</v>
      </c>
      <c r="D2687" t="s">
        <v>242</v>
      </c>
      <c r="E2687" t="s">
        <v>17</v>
      </c>
      <c r="F2687" t="s">
        <v>40</v>
      </c>
      <c r="G2687">
        <v>-1242</v>
      </c>
      <c r="H2687">
        <v>64000</v>
      </c>
      <c r="I2687">
        <v>-79488000</v>
      </c>
    </row>
    <row r="2688" spans="1:11" hidden="1" x14ac:dyDescent="0.25">
      <c r="A2688" s="210" t="s">
        <v>1579</v>
      </c>
      <c r="B2688">
        <v>8241</v>
      </c>
      <c r="C2688" s="100">
        <v>46105</v>
      </c>
      <c r="D2688" t="s">
        <v>13</v>
      </c>
      <c r="E2688" t="s">
        <v>252</v>
      </c>
      <c r="F2688" t="s">
        <v>986</v>
      </c>
      <c r="G2688">
        <v>276</v>
      </c>
      <c r="H2688">
        <v>40000</v>
      </c>
      <c r="I2688">
        <v>11040000</v>
      </c>
    </row>
    <row r="2689" spans="1:10" hidden="1" x14ac:dyDescent="0.25">
      <c r="A2689" s="210" t="s">
        <v>1545</v>
      </c>
      <c r="B2689">
        <v>8240</v>
      </c>
      <c r="C2689" s="100">
        <v>46105</v>
      </c>
      <c r="D2689" t="s">
        <v>13</v>
      </c>
      <c r="E2689" t="s">
        <v>14</v>
      </c>
      <c r="F2689" t="s">
        <v>62</v>
      </c>
      <c r="G2689">
        <v>2104</v>
      </c>
      <c r="H2689">
        <v>43000</v>
      </c>
      <c r="I2689">
        <v>90472000</v>
      </c>
    </row>
    <row r="2690" spans="1:10" hidden="1" x14ac:dyDescent="0.25">
      <c r="A2690" s="210" t="s">
        <v>1728</v>
      </c>
      <c r="B2690">
        <v>8239</v>
      </c>
      <c r="C2690" s="100">
        <v>46105</v>
      </c>
      <c r="D2690" t="s">
        <v>13</v>
      </c>
      <c r="E2690" t="s">
        <v>17</v>
      </c>
      <c r="F2690" t="s">
        <v>127</v>
      </c>
      <c r="G2690">
        <v>1014</v>
      </c>
      <c r="H2690">
        <v>66550</v>
      </c>
      <c r="I2690">
        <v>67481700</v>
      </c>
    </row>
    <row r="2691" spans="1:10" hidden="1" x14ac:dyDescent="0.25">
      <c r="A2691" s="210" t="s">
        <v>1728</v>
      </c>
      <c r="B2691">
        <v>8239</v>
      </c>
      <c r="C2691" s="100">
        <v>46105</v>
      </c>
      <c r="D2691" t="s">
        <v>13</v>
      </c>
      <c r="E2691" t="s">
        <v>17</v>
      </c>
      <c r="F2691" t="s">
        <v>919</v>
      </c>
      <c r="G2691">
        <v>2274</v>
      </c>
      <c r="H2691">
        <v>66550</v>
      </c>
      <c r="I2691">
        <v>151334700</v>
      </c>
    </row>
    <row r="2692" spans="1:10" hidden="1" x14ac:dyDescent="0.25">
      <c r="A2692" s="210" t="s">
        <v>1575</v>
      </c>
      <c r="B2692">
        <v>8238</v>
      </c>
      <c r="C2692" s="100">
        <v>46105</v>
      </c>
      <c r="D2692" t="s">
        <v>13</v>
      </c>
      <c r="E2692" t="s">
        <v>36</v>
      </c>
      <c r="F2692" t="s">
        <v>717</v>
      </c>
      <c r="G2692">
        <v>726</v>
      </c>
      <c r="H2692">
        <v>60000</v>
      </c>
      <c r="I2692">
        <v>43560000</v>
      </c>
    </row>
    <row r="2693" spans="1:10" hidden="1" x14ac:dyDescent="0.25">
      <c r="A2693" s="210" t="s">
        <v>1511</v>
      </c>
      <c r="B2693">
        <v>8237</v>
      </c>
      <c r="C2693" s="100">
        <v>46105</v>
      </c>
      <c r="D2693" t="s">
        <v>13</v>
      </c>
      <c r="E2693" t="s">
        <v>43</v>
      </c>
      <c r="F2693" t="s">
        <v>40</v>
      </c>
      <c r="G2693">
        <v>136</v>
      </c>
      <c r="H2693">
        <v>65000</v>
      </c>
      <c r="I2693">
        <v>8840000</v>
      </c>
      <c r="J2693">
        <v>8840000</v>
      </c>
    </row>
    <row r="2694" spans="1:10" hidden="1" x14ac:dyDescent="0.25">
      <c r="A2694" s="210" t="s">
        <v>1524</v>
      </c>
      <c r="B2694">
        <v>8236</v>
      </c>
      <c r="C2694" s="100">
        <v>46105</v>
      </c>
      <c r="D2694" t="s">
        <v>49</v>
      </c>
      <c r="E2694" t="s">
        <v>43</v>
      </c>
      <c r="F2694" t="s">
        <v>148</v>
      </c>
      <c r="G2694">
        <v>5991</v>
      </c>
      <c r="I2694">
        <v>0</v>
      </c>
    </row>
    <row r="2695" spans="1:10" hidden="1" x14ac:dyDescent="0.25">
      <c r="A2695" s="210" t="s">
        <v>1562</v>
      </c>
      <c r="B2695">
        <v>8235</v>
      </c>
      <c r="C2695" s="100">
        <v>46105</v>
      </c>
      <c r="D2695" t="s">
        <v>13</v>
      </c>
      <c r="E2695" t="s">
        <v>252</v>
      </c>
      <c r="F2695" t="s">
        <v>41</v>
      </c>
      <c r="G2695">
        <v>592</v>
      </c>
      <c r="H2695">
        <v>40000</v>
      </c>
      <c r="I2695">
        <v>23680000</v>
      </c>
    </row>
    <row r="2696" spans="1:10" hidden="1" x14ac:dyDescent="0.25">
      <c r="A2696" s="210" t="s">
        <v>1562</v>
      </c>
      <c r="B2696">
        <v>8235</v>
      </c>
      <c r="C2696" s="100">
        <v>46105</v>
      </c>
      <c r="D2696" t="s">
        <v>13</v>
      </c>
      <c r="E2696" t="s">
        <v>252</v>
      </c>
      <c r="F2696" t="s">
        <v>62</v>
      </c>
      <c r="G2696">
        <v>598</v>
      </c>
      <c r="H2696">
        <v>41000</v>
      </c>
      <c r="I2696">
        <v>24518000</v>
      </c>
    </row>
    <row r="2697" spans="1:10" hidden="1" x14ac:dyDescent="0.25">
      <c r="A2697" s="210" t="s">
        <v>1504</v>
      </c>
      <c r="B2697">
        <v>8233</v>
      </c>
      <c r="C2697" s="100">
        <v>46105</v>
      </c>
      <c r="D2697" t="s">
        <v>13</v>
      </c>
      <c r="E2697" t="s">
        <v>54</v>
      </c>
      <c r="F2697" t="s">
        <v>326</v>
      </c>
      <c r="G2697">
        <v>1306</v>
      </c>
      <c r="H2697">
        <v>37000</v>
      </c>
      <c r="I2697">
        <v>48322000</v>
      </c>
    </row>
    <row r="2698" spans="1:10" hidden="1" x14ac:dyDescent="0.25">
      <c r="A2698" s="210" t="s">
        <v>1504</v>
      </c>
      <c r="B2698">
        <v>8233</v>
      </c>
      <c r="C2698" s="100">
        <v>46105</v>
      </c>
      <c r="D2698" t="s">
        <v>13</v>
      </c>
      <c r="E2698" t="s">
        <v>68</v>
      </c>
      <c r="F2698" t="s">
        <v>327</v>
      </c>
      <c r="G2698">
        <v>113</v>
      </c>
      <c r="H2698">
        <v>45000</v>
      </c>
      <c r="I2698">
        <v>5085000</v>
      </c>
    </row>
    <row r="2699" spans="1:10" hidden="1" x14ac:dyDescent="0.25">
      <c r="A2699" s="210" t="s">
        <v>1637</v>
      </c>
      <c r="B2699">
        <v>8232</v>
      </c>
      <c r="C2699" s="100">
        <v>46105</v>
      </c>
      <c r="D2699" t="s">
        <v>13</v>
      </c>
      <c r="E2699" t="s">
        <v>68</v>
      </c>
      <c r="F2699" t="s">
        <v>1022</v>
      </c>
      <c r="G2699">
        <v>528</v>
      </c>
      <c r="H2699">
        <v>45000</v>
      </c>
      <c r="I2699">
        <v>23760000</v>
      </c>
    </row>
    <row r="2700" spans="1:10" hidden="1" x14ac:dyDescent="0.25">
      <c r="A2700" s="210" t="s">
        <v>1637</v>
      </c>
      <c r="B2700">
        <v>8232</v>
      </c>
      <c r="C2700" s="100">
        <v>46105</v>
      </c>
      <c r="D2700" t="s">
        <v>13</v>
      </c>
      <c r="E2700" t="s">
        <v>68</v>
      </c>
      <c r="F2700" t="s">
        <v>1023</v>
      </c>
      <c r="G2700">
        <v>440</v>
      </c>
      <c r="H2700">
        <v>45000</v>
      </c>
      <c r="I2700">
        <v>19800000</v>
      </c>
    </row>
    <row r="2701" spans="1:10" hidden="1" x14ac:dyDescent="0.25">
      <c r="A2701" s="210" t="s">
        <v>1524</v>
      </c>
      <c r="B2701">
        <v>8231</v>
      </c>
      <c r="C2701" s="100">
        <v>46104</v>
      </c>
      <c r="D2701" t="s">
        <v>49</v>
      </c>
      <c r="E2701" t="s">
        <v>77</v>
      </c>
      <c r="F2701" t="s">
        <v>469</v>
      </c>
      <c r="G2701">
        <v>1274</v>
      </c>
      <c r="I2701">
        <v>0</v>
      </c>
    </row>
    <row r="2702" spans="1:10" hidden="1" x14ac:dyDescent="0.25">
      <c r="A2702" s="210" t="s">
        <v>1524</v>
      </c>
      <c r="B2702">
        <v>8231</v>
      </c>
      <c r="C2702" s="100">
        <v>46104</v>
      </c>
      <c r="D2702" t="s">
        <v>49</v>
      </c>
      <c r="E2702" t="s">
        <v>77</v>
      </c>
      <c r="F2702" t="s">
        <v>40</v>
      </c>
      <c r="G2702">
        <v>733</v>
      </c>
      <c r="I2702">
        <v>0</v>
      </c>
    </row>
    <row r="2703" spans="1:10" hidden="1" x14ac:dyDescent="0.25">
      <c r="A2703" s="210" t="s">
        <v>1524</v>
      </c>
      <c r="B2703">
        <v>8231</v>
      </c>
      <c r="C2703" s="100">
        <v>46104</v>
      </c>
      <c r="D2703" t="s">
        <v>49</v>
      </c>
      <c r="E2703" t="s">
        <v>277</v>
      </c>
      <c r="F2703" t="s">
        <v>495</v>
      </c>
      <c r="G2703">
        <v>2564</v>
      </c>
      <c r="I2703">
        <v>0</v>
      </c>
    </row>
    <row r="2704" spans="1:10" hidden="1" x14ac:dyDescent="0.25">
      <c r="A2704" s="210" t="s">
        <v>1524</v>
      </c>
      <c r="B2704">
        <v>8231</v>
      </c>
      <c r="C2704" s="100">
        <v>46104</v>
      </c>
      <c r="D2704" t="s">
        <v>49</v>
      </c>
      <c r="E2704" t="s">
        <v>277</v>
      </c>
      <c r="F2704" t="s">
        <v>496</v>
      </c>
      <c r="G2704">
        <v>5158</v>
      </c>
      <c r="I2704">
        <v>0</v>
      </c>
    </row>
    <row r="2705" spans="1:11" hidden="1" x14ac:dyDescent="0.25">
      <c r="A2705" s="210" t="s">
        <v>1681</v>
      </c>
      <c r="B2705">
        <v>8230</v>
      </c>
      <c r="C2705" s="100">
        <v>46104</v>
      </c>
      <c r="D2705" t="s">
        <v>13</v>
      </c>
      <c r="E2705" t="s">
        <v>17</v>
      </c>
      <c r="F2705" t="s">
        <v>33</v>
      </c>
      <c r="G2705">
        <v>144</v>
      </c>
      <c r="H2705">
        <v>65000</v>
      </c>
      <c r="I2705">
        <v>9360000</v>
      </c>
    </row>
    <row r="2706" spans="1:11" hidden="1" x14ac:dyDescent="0.25">
      <c r="A2706" s="210" t="s">
        <v>1681</v>
      </c>
      <c r="B2706">
        <v>8230</v>
      </c>
      <c r="C2706" s="100">
        <v>46104</v>
      </c>
      <c r="D2706" t="s">
        <v>13</v>
      </c>
      <c r="E2706" t="s">
        <v>17</v>
      </c>
      <c r="F2706" t="s">
        <v>62</v>
      </c>
      <c r="G2706">
        <v>150</v>
      </c>
      <c r="H2706">
        <v>63000</v>
      </c>
      <c r="I2706">
        <v>9450000</v>
      </c>
    </row>
    <row r="2707" spans="1:11" hidden="1" x14ac:dyDescent="0.25">
      <c r="A2707" s="210" t="s">
        <v>1681</v>
      </c>
      <c r="B2707">
        <v>8230</v>
      </c>
      <c r="C2707" s="100">
        <v>46104</v>
      </c>
      <c r="D2707" t="s">
        <v>13</v>
      </c>
      <c r="E2707" t="s">
        <v>50</v>
      </c>
      <c r="F2707" t="s">
        <v>1357</v>
      </c>
      <c r="G2707">
        <v>94</v>
      </c>
      <c r="H2707">
        <v>62000</v>
      </c>
      <c r="I2707">
        <v>5828000</v>
      </c>
    </row>
    <row r="2708" spans="1:11" hidden="1" x14ac:dyDescent="0.25">
      <c r="A2708" s="210" t="s">
        <v>1476</v>
      </c>
      <c r="B2708">
        <v>8229</v>
      </c>
      <c r="C2708" s="100">
        <v>46104</v>
      </c>
      <c r="D2708" t="s">
        <v>49</v>
      </c>
      <c r="E2708" t="s">
        <v>50</v>
      </c>
      <c r="F2708" t="s">
        <v>72</v>
      </c>
      <c r="G2708">
        <v>198</v>
      </c>
      <c r="I2708">
        <v>0</v>
      </c>
    </row>
    <row r="2709" spans="1:11" hidden="1" x14ac:dyDescent="0.25">
      <c r="A2709" s="210" t="s">
        <v>1476</v>
      </c>
      <c r="B2709">
        <v>8229</v>
      </c>
      <c r="C2709" s="100">
        <v>46104</v>
      </c>
      <c r="D2709" t="s">
        <v>49</v>
      </c>
      <c r="E2709" t="s">
        <v>50</v>
      </c>
      <c r="F2709" t="s">
        <v>73</v>
      </c>
      <c r="G2709">
        <v>522</v>
      </c>
      <c r="I2709">
        <v>0</v>
      </c>
    </row>
    <row r="2710" spans="1:11" hidden="1" x14ac:dyDescent="0.25">
      <c r="A2710" s="210" t="s">
        <v>1476</v>
      </c>
      <c r="B2710">
        <v>8229</v>
      </c>
      <c r="C2710" s="100">
        <v>46104</v>
      </c>
      <c r="D2710" t="s">
        <v>49</v>
      </c>
      <c r="E2710" t="s">
        <v>50</v>
      </c>
      <c r="F2710" t="s">
        <v>74</v>
      </c>
      <c r="G2710">
        <v>100</v>
      </c>
      <c r="I2710">
        <v>0</v>
      </c>
    </row>
    <row r="2711" spans="1:11" hidden="1" x14ac:dyDescent="0.25">
      <c r="A2711" s="210" t="s">
        <v>1476</v>
      </c>
      <c r="B2711">
        <v>8229</v>
      </c>
      <c r="C2711" s="100">
        <v>46104</v>
      </c>
      <c r="D2711" t="s">
        <v>49</v>
      </c>
      <c r="E2711" t="s">
        <v>75</v>
      </c>
      <c r="F2711" t="s">
        <v>76</v>
      </c>
      <c r="G2711">
        <v>116</v>
      </c>
      <c r="I2711">
        <v>0</v>
      </c>
    </row>
    <row r="2712" spans="1:11" hidden="1" x14ac:dyDescent="0.25">
      <c r="A2712" s="210" t="s">
        <v>1476</v>
      </c>
      <c r="B2712">
        <v>8229</v>
      </c>
      <c r="C2712" s="100">
        <v>46104</v>
      </c>
      <c r="D2712" t="s">
        <v>49</v>
      </c>
      <c r="E2712" t="s">
        <v>50</v>
      </c>
      <c r="F2712" t="s">
        <v>37</v>
      </c>
      <c r="G2712">
        <v>78</v>
      </c>
      <c r="I2712">
        <v>0</v>
      </c>
    </row>
    <row r="2713" spans="1:11" hidden="1" x14ac:dyDescent="0.25">
      <c r="A2713" s="210" t="s">
        <v>1489</v>
      </c>
      <c r="B2713">
        <v>8228</v>
      </c>
      <c r="C2713" s="100">
        <v>46104</v>
      </c>
      <c r="D2713" t="s">
        <v>13</v>
      </c>
      <c r="E2713" t="s">
        <v>75</v>
      </c>
      <c r="F2713" t="s">
        <v>227</v>
      </c>
      <c r="G2713">
        <v>30</v>
      </c>
      <c r="H2713">
        <v>38500</v>
      </c>
      <c r="I2713">
        <v>1155000</v>
      </c>
      <c r="K2713" t="s">
        <v>42</v>
      </c>
    </row>
    <row r="2714" spans="1:11" hidden="1" x14ac:dyDescent="0.25">
      <c r="A2714" s="210" t="s">
        <v>1489</v>
      </c>
      <c r="B2714">
        <v>8228</v>
      </c>
      <c r="C2714" s="100">
        <v>46104</v>
      </c>
      <c r="D2714" t="s">
        <v>13</v>
      </c>
      <c r="E2714" t="s">
        <v>75</v>
      </c>
      <c r="F2714" t="s">
        <v>228</v>
      </c>
      <c r="G2714">
        <v>256</v>
      </c>
      <c r="H2714">
        <v>38500</v>
      </c>
      <c r="I2714">
        <v>9856000</v>
      </c>
      <c r="K2714" t="s">
        <v>42</v>
      </c>
    </row>
    <row r="2715" spans="1:11" hidden="1" x14ac:dyDescent="0.25">
      <c r="A2715" s="210" t="s">
        <v>1506</v>
      </c>
      <c r="B2715">
        <v>8227</v>
      </c>
      <c r="C2715" s="100">
        <v>46104</v>
      </c>
      <c r="D2715" t="s">
        <v>13</v>
      </c>
      <c r="E2715" t="s">
        <v>265</v>
      </c>
      <c r="F2715" t="s">
        <v>62</v>
      </c>
      <c r="G2715">
        <v>536</v>
      </c>
      <c r="H2715">
        <v>64000</v>
      </c>
      <c r="I2715">
        <v>34304000</v>
      </c>
    </row>
    <row r="2716" spans="1:11" hidden="1" x14ac:dyDescent="0.25">
      <c r="A2716" s="210" t="s">
        <v>1506</v>
      </c>
      <c r="B2716">
        <v>8227</v>
      </c>
      <c r="C2716" s="100">
        <v>46104</v>
      </c>
      <c r="D2716" t="s">
        <v>13</v>
      </c>
      <c r="E2716" t="s">
        <v>265</v>
      </c>
      <c r="F2716" t="s">
        <v>41</v>
      </c>
      <c r="G2716">
        <v>518</v>
      </c>
      <c r="H2716">
        <v>63000</v>
      </c>
      <c r="I2716">
        <v>32634000</v>
      </c>
    </row>
    <row r="2717" spans="1:11" hidden="1" x14ac:dyDescent="0.25">
      <c r="A2717" s="210" t="s">
        <v>1506</v>
      </c>
      <c r="B2717">
        <v>8227</v>
      </c>
      <c r="C2717" s="100">
        <v>46104</v>
      </c>
      <c r="D2717" t="s">
        <v>13</v>
      </c>
      <c r="E2717" t="s">
        <v>265</v>
      </c>
      <c r="F2717" t="s">
        <v>136</v>
      </c>
      <c r="G2717">
        <v>454</v>
      </c>
      <c r="H2717">
        <v>62500</v>
      </c>
      <c r="I2717">
        <v>28375000</v>
      </c>
    </row>
    <row r="2718" spans="1:11" hidden="1" x14ac:dyDescent="0.25">
      <c r="A2718" s="210" t="s">
        <v>1680</v>
      </c>
      <c r="B2718">
        <v>8226</v>
      </c>
      <c r="C2718" s="100">
        <v>46104</v>
      </c>
      <c r="D2718" t="s">
        <v>13</v>
      </c>
      <c r="E2718" t="s">
        <v>17</v>
      </c>
      <c r="F2718" t="s">
        <v>41</v>
      </c>
      <c r="G2718">
        <v>823</v>
      </c>
      <c r="H2718">
        <v>61000</v>
      </c>
      <c r="I2718">
        <v>50203000</v>
      </c>
      <c r="J2718">
        <v>3000</v>
      </c>
    </row>
    <row r="2719" spans="1:11" hidden="1" x14ac:dyDescent="0.25">
      <c r="A2719" s="210" t="s">
        <v>1597</v>
      </c>
      <c r="B2719">
        <v>8225</v>
      </c>
      <c r="C2719" s="100">
        <v>46104</v>
      </c>
      <c r="D2719" t="s">
        <v>13</v>
      </c>
      <c r="E2719" t="s">
        <v>50</v>
      </c>
      <c r="F2719" t="s">
        <v>848</v>
      </c>
      <c r="G2719">
        <v>532</v>
      </c>
      <c r="H2719">
        <v>60000</v>
      </c>
      <c r="I2719">
        <v>31920000</v>
      </c>
    </row>
    <row r="2720" spans="1:11" hidden="1" x14ac:dyDescent="0.25">
      <c r="A2720" s="210" t="s">
        <v>1597</v>
      </c>
      <c r="B2720">
        <v>8225</v>
      </c>
      <c r="C2720" s="100">
        <v>46104</v>
      </c>
      <c r="D2720" t="s">
        <v>13</v>
      </c>
      <c r="E2720" t="s">
        <v>17</v>
      </c>
      <c r="F2720" t="s">
        <v>38</v>
      </c>
      <c r="G2720">
        <v>451</v>
      </c>
      <c r="H2720">
        <v>65000</v>
      </c>
      <c r="I2720">
        <v>29315000</v>
      </c>
    </row>
    <row r="2721" spans="1:11" hidden="1" x14ac:dyDescent="0.25">
      <c r="A2721" s="210" t="s">
        <v>1597</v>
      </c>
      <c r="B2721">
        <v>8225</v>
      </c>
      <c r="C2721" s="100">
        <v>46104</v>
      </c>
      <c r="D2721" t="s">
        <v>13</v>
      </c>
      <c r="E2721" t="s">
        <v>17</v>
      </c>
      <c r="F2721" t="s">
        <v>134</v>
      </c>
      <c r="G2721">
        <v>474</v>
      </c>
      <c r="H2721">
        <v>57000</v>
      </c>
      <c r="I2721">
        <v>27018000</v>
      </c>
    </row>
    <row r="2722" spans="1:11" hidden="1" x14ac:dyDescent="0.25">
      <c r="A2722" s="210" t="s">
        <v>1597</v>
      </c>
      <c r="B2722">
        <v>8225</v>
      </c>
      <c r="C2722" s="100">
        <v>46104</v>
      </c>
      <c r="D2722" t="s">
        <v>13</v>
      </c>
      <c r="E2722" t="s">
        <v>17</v>
      </c>
      <c r="F2722" t="s">
        <v>256</v>
      </c>
      <c r="G2722">
        <v>419</v>
      </c>
      <c r="H2722">
        <v>57000</v>
      </c>
      <c r="I2722">
        <v>23883000</v>
      </c>
    </row>
    <row r="2723" spans="1:11" hidden="1" x14ac:dyDescent="0.25">
      <c r="A2723" s="210" t="s">
        <v>1592</v>
      </c>
      <c r="B2723">
        <v>8224</v>
      </c>
      <c r="C2723" s="100">
        <v>46104</v>
      </c>
      <c r="D2723" t="s">
        <v>49</v>
      </c>
      <c r="E2723" t="s">
        <v>43</v>
      </c>
      <c r="F2723" t="s">
        <v>62</v>
      </c>
      <c r="G2723">
        <v>2474</v>
      </c>
      <c r="I2723">
        <v>0</v>
      </c>
    </row>
    <row r="2724" spans="1:11" hidden="1" x14ac:dyDescent="0.25">
      <c r="A2724" s="210" t="s">
        <v>1593</v>
      </c>
      <c r="B2724">
        <v>8223</v>
      </c>
      <c r="C2724" s="100">
        <v>46104</v>
      </c>
      <c r="D2724" t="s">
        <v>13</v>
      </c>
      <c r="E2724" t="s">
        <v>265</v>
      </c>
      <c r="F2724" t="s">
        <v>62</v>
      </c>
      <c r="G2724">
        <v>1460</v>
      </c>
      <c r="H2724">
        <v>64000</v>
      </c>
      <c r="I2724">
        <v>93440000</v>
      </c>
    </row>
    <row r="2725" spans="1:11" hidden="1" x14ac:dyDescent="0.25">
      <c r="A2725" s="210" t="s">
        <v>1679</v>
      </c>
      <c r="B2725">
        <v>8222</v>
      </c>
      <c r="C2725" s="100">
        <v>46104</v>
      </c>
      <c r="D2725" t="s">
        <v>1354</v>
      </c>
      <c r="E2725" t="s">
        <v>169</v>
      </c>
      <c r="F2725" t="s">
        <v>41</v>
      </c>
      <c r="G2725">
        <v>5420</v>
      </c>
      <c r="H2725">
        <v>36700</v>
      </c>
      <c r="I2725">
        <v>198914000</v>
      </c>
    </row>
    <row r="2726" spans="1:11" hidden="1" x14ac:dyDescent="0.25">
      <c r="A2726" s="210" t="s">
        <v>1568</v>
      </c>
      <c r="B2726">
        <v>8221</v>
      </c>
      <c r="C2726" s="100">
        <v>46104</v>
      </c>
      <c r="D2726" t="s">
        <v>13</v>
      </c>
      <c r="E2726" t="s">
        <v>195</v>
      </c>
      <c r="F2726" t="s">
        <v>957</v>
      </c>
      <c r="G2726">
        <v>376</v>
      </c>
      <c r="H2726">
        <v>26000</v>
      </c>
      <c r="I2726">
        <v>9776000</v>
      </c>
      <c r="K2726" t="s">
        <v>128</v>
      </c>
    </row>
    <row r="2727" spans="1:11" hidden="1" x14ac:dyDescent="0.25">
      <c r="A2727" s="210" t="s">
        <v>1568</v>
      </c>
      <c r="B2727">
        <v>8221</v>
      </c>
      <c r="C2727" s="100">
        <v>46104</v>
      </c>
      <c r="D2727" t="s">
        <v>13</v>
      </c>
      <c r="E2727" t="s">
        <v>17</v>
      </c>
      <c r="F2727" t="s">
        <v>25</v>
      </c>
      <c r="G2727">
        <v>316</v>
      </c>
      <c r="H2727">
        <v>59000</v>
      </c>
      <c r="I2727">
        <v>18644000</v>
      </c>
      <c r="K2727" t="s">
        <v>128</v>
      </c>
    </row>
    <row r="2728" spans="1:11" hidden="1" x14ac:dyDescent="0.25">
      <c r="A2728" s="210" t="s">
        <v>1568</v>
      </c>
      <c r="B2728">
        <v>8221</v>
      </c>
      <c r="C2728" s="100">
        <v>46104</v>
      </c>
      <c r="D2728" t="s">
        <v>13</v>
      </c>
      <c r="E2728" t="s">
        <v>17</v>
      </c>
      <c r="F2728" t="s">
        <v>33</v>
      </c>
      <c r="G2728">
        <v>522</v>
      </c>
      <c r="H2728">
        <v>59000</v>
      </c>
      <c r="I2728">
        <v>30798000</v>
      </c>
      <c r="K2728" t="s">
        <v>128</v>
      </c>
    </row>
    <row r="2729" spans="1:11" hidden="1" x14ac:dyDescent="0.25">
      <c r="A2729" s="210" t="s">
        <v>1568</v>
      </c>
      <c r="B2729">
        <v>8221</v>
      </c>
      <c r="C2729" s="100">
        <v>46104</v>
      </c>
      <c r="D2729" t="s">
        <v>13</v>
      </c>
      <c r="E2729" t="s">
        <v>17</v>
      </c>
      <c r="F2729" t="s">
        <v>640</v>
      </c>
      <c r="G2729">
        <v>522</v>
      </c>
      <c r="H2729">
        <v>59000</v>
      </c>
      <c r="I2729">
        <v>30798000</v>
      </c>
      <c r="K2729" t="s">
        <v>128</v>
      </c>
    </row>
    <row r="2730" spans="1:11" hidden="1" x14ac:dyDescent="0.25">
      <c r="A2730" s="210" t="s">
        <v>1524</v>
      </c>
      <c r="B2730">
        <v>8220</v>
      </c>
      <c r="C2730" s="100">
        <v>46104</v>
      </c>
      <c r="D2730" t="s">
        <v>49</v>
      </c>
      <c r="E2730" t="s">
        <v>17</v>
      </c>
      <c r="F2730" t="s">
        <v>494</v>
      </c>
      <c r="G2730">
        <v>2952</v>
      </c>
      <c r="I2730">
        <v>0</v>
      </c>
    </row>
    <row r="2731" spans="1:11" hidden="1" x14ac:dyDescent="0.25">
      <c r="A2731" s="210" t="s">
        <v>1511</v>
      </c>
      <c r="B2731">
        <v>8219</v>
      </c>
      <c r="C2731" s="100">
        <v>46104</v>
      </c>
      <c r="D2731" t="s">
        <v>13</v>
      </c>
      <c r="E2731" t="s">
        <v>50</v>
      </c>
      <c r="F2731" t="s">
        <v>384</v>
      </c>
      <c r="G2731">
        <v>48</v>
      </c>
      <c r="H2731">
        <v>65000</v>
      </c>
      <c r="I2731">
        <v>3120000</v>
      </c>
      <c r="J2731">
        <v>3120000</v>
      </c>
      <c r="K2731" t="s">
        <v>385</v>
      </c>
    </row>
    <row r="2732" spans="1:11" hidden="1" x14ac:dyDescent="0.25">
      <c r="A2732" s="210" t="s">
        <v>1583</v>
      </c>
      <c r="B2732">
        <v>8218</v>
      </c>
      <c r="C2732" s="100">
        <v>46104</v>
      </c>
      <c r="D2732" t="s">
        <v>13</v>
      </c>
      <c r="E2732" t="s">
        <v>68</v>
      </c>
      <c r="F2732" t="s">
        <v>116</v>
      </c>
      <c r="G2732">
        <v>464</v>
      </c>
      <c r="H2732">
        <v>42000</v>
      </c>
      <c r="I2732">
        <v>19488000</v>
      </c>
    </row>
    <row r="2733" spans="1:11" hidden="1" x14ac:dyDescent="0.25">
      <c r="A2733" s="210" t="s">
        <v>1512</v>
      </c>
      <c r="B2733">
        <v>8217</v>
      </c>
      <c r="C2733" s="100">
        <v>46104</v>
      </c>
      <c r="D2733" t="s">
        <v>13</v>
      </c>
      <c r="E2733" t="s">
        <v>17</v>
      </c>
      <c r="F2733" t="s">
        <v>415</v>
      </c>
      <c r="G2733">
        <v>814</v>
      </c>
      <c r="H2733">
        <v>65000</v>
      </c>
      <c r="I2733">
        <v>52910000</v>
      </c>
    </row>
    <row r="2734" spans="1:11" hidden="1" x14ac:dyDescent="0.25">
      <c r="A2734" s="210" t="s">
        <v>1518</v>
      </c>
      <c r="B2734">
        <v>8216</v>
      </c>
      <c r="C2734" s="100">
        <v>46104</v>
      </c>
      <c r="D2734" t="s">
        <v>13</v>
      </c>
      <c r="E2734" t="s">
        <v>14</v>
      </c>
      <c r="F2734" t="s">
        <v>62</v>
      </c>
      <c r="G2734">
        <v>634</v>
      </c>
      <c r="H2734">
        <v>43000</v>
      </c>
      <c r="I2734">
        <v>27262000</v>
      </c>
    </row>
    <row r="2735" spans="1:11" hidden="1" x14ac:dyDescent="0.25">
      <c r="A2735" s="210" t="s">
        <v>1538</v>
      </c>
      <c r="B2735">
        <v>8215</v>
      </c>
      <c r="C2735" s="100">
        <v>46104</v>
      </c>
      <c r="D2735" t="s">
        <v>13</v>
      </c>
      <c r="E2735" t="s">
        <v>265</v>
      </c>
      <c r="F2735" t="s">
        <v>136</v>
      </c>
      <c r="G2735">
        <v>516</v>
      </c>
      <c r="H2735">
        <v>63500</v>
      </c>
      <c r="I2735">
        <v>32766000</v>
      </c>
    </row>
    <row r="2736" spans="1:11" hidden="1" x14ac:dyDescent="0.25">
      <c r="A2736" s="210" t="s">
        <v>1610</v>
      </c>
      <c r="B2736">
        <v>8214</v>
      </c>
      <c r="C2736" s="100">
        <v>46104</v>
      </c>
      <c r="D2736" t="s">
        <v>13</v>
      </c>
      <c r="E2736" t="s">
        <v>43</v>
      </c>
      <c r="F2736" t="s">
        <v>134</v>
      </c>
      <c r="G2736">
        <v>1142</v>
      </c>
      <c r="H2736">
        <v>56500</v>
      </c>
      <c r="I2736">
        <v>64523000</v>
      </c>
    </row>
    <row r="2737" spans="1:9" hidden="1" x14ac:dyDescent="0.25">
      <c r="A2737" s="210" t="s">
        <v>1520</v>
      </c>
      <c r="B2737">
        <v>8213</v>
      </c>
      <c r="C2737" s="100">
        <v>46104</v>
      </c>
      <c r="D2737" t="s">
        <v>13</v>
      </c>
      <c r="E2737" t="s">
        <v>43</v>
      </c>
      <c r="F2737" t="s">
        <v>450</v>
      </c>
      <c r="G2737">
        <v>1838</v>
      </c>
      <c r="H2737">
        <v>60000</v>
      </c>
      <c r="I2737">
        <v>110280000</v>
      </c>
    </row>
    <row r="2738" spans="1:9" hidden="1" x14ac:dyDescent="0.25">
      <c r="A2738" s="210" t="s">
        <v>1479</v>
      </c>
      <c r="B2738">
        <v>8212</v>
      </c>
      <c r="C2738" s="100">
        <v>46104</v>
      </c>
      <c r="D2738" t="s">
        <v>13</v>
      </c>
      <c r="E2738" t="s">
        <v>173</v>
      </c>
      <c r="F2738" t="s">
        <v>174</v>
      </c>
      <c r="G2738">
        <v>886</v>
      </c>
      <c r="H2738">
        <v>65000</v>
      </c>
      <c r="I2738">
        <v>57590000</v>
      </c>
    </row>
    <row r="2739" spans="1:9" hidden="1" x14ac:dyDescent="0.25">
      <c r="A2739" s="210" t="s">
        <v>1479</v>
      </c>
      <c r="B2739">
        <v>8212</v>
      </c>
      <c r="C2739" s="100">
        <v>46104</v>
      </c>
      <c r="D2739" t="s">
        <v>13</v>
      </c>
      <c r="E2739" t="s">
        <v>43</v>
      </c>
      <c r="F2739" t="s">
        <v>136</v>
      </c>
      <c r="G2739">
        <v>2690</v>
      </c>
      <c r="H2739">
        <v>60000</v>
      </c>
      <c r="I2739">
        <v>161400000</v>
      </c>
    </row>
    <row r="2740" spans="1:9" hidden="1" x14ac:dyDescent="0.25">
      <c r="A2740" s="210" t="s">
        <v>1493</v>
      </c>
      <c r="B2740">
        <v>8211</v>
      </c>
      <c r="C2740" s="100">
        <v>46104</v>
      </c>
      <c r="D2740" t="s">
        <v>13</v>
      </c>
      <c r="E2740" t="s">
        <v>43</v>
      </c>
      <c r="F2740" t="s">
        <v>204</v>
      </c>
      <c r="G2740">
        <v>463</v>
      </c>
      <c r="H2740">
        <v>57000</v>
      </c>
      <c r="I2740">
        <v>26391000</v>
      </c>
    </row>
    <row r="2741" spans="1:9" hidden="1" x14ac:dyDescent="0.25">
      <c r="A2741" s="210" t="s">
        <v>1493</v>
      </c>
      <c r="B2741">
        <v>8211</v>
      </c>
      <c r="C2741" s="100">
        <v>46104</v>
      </c>
      <c r="D2741" t="s">
        <v>13</v>
      </c>
      <c r="E2741" t="s">
        <v>43</v>
      </c>
      <c r="F2741" t="s">
        <v>271</v>
      </c>
      <c r="G2741">
        <v>916</v>
      </c>
      <c r="H2741">
        <v>62000</v>
      </c>
      <c r="I2741">
        <v>56792000</v>
      </c>
    </row>
    <row r="2742" spans="1:9" hidden="1" x14ac:dyDescent="0.25">
      <c r="A2742" s="210" t="s">
        <v>1493</v>
      </c>
      <c r="B2742">
        <v>8211</v>
      </c>
      <c r="C2742" s="100">
        <v>46104</v>
      </c>
      <c r="D2742" t="s">
        <v>13</v>
      </c>
      <c r="E2742" t="s">
        <v>17</v>
      </c>
      <c r="F2742" t="s">
        <v>272</v>
      </c>
      <c r="G2742">
        <v>318</v>
      </c>
      <c r="H2742">
        <v>60000</v>
      </c>
      <c r="I2742">
        <v>19080000</v>
      </c>
    </row>
    <row r="2743" spans="1:9" hidden="1" x14ac:dyDescent="0.25">
      <c r="A2743" s="210" t="s">
        <v>1491</v>
      </c>
      <c r="B2743">
        <v>8210</v>
      </c>
      <c r="C2743" s="100">
        <v>46104</v>
      </c>
      <c r="D2743" t="s">
        <v>13</v>
      </c>
      <c r="E2743" t="s">
        <v>17</v>
      </c>
      <c r="F2743" t="s">
        <v>146</v>
      </c>
      <c r="G2743">
        <v>1284</v>
      </c>
      <c r="H2743">
        <v>58000</v>
      </c>
      <c r="I2743">
        <v>74472000</v>
      </c>
    </row>
    <row r="2744" spans="1:9" hidden="1" x14ac:dyDescent="0.25">
      <c r="A2744" s="210" t="s">
        <v>1641</v>
      </c>
      <c r="B2744">
        <v>8209</v>
      </c>
      <c r="C2744" s="100">
        <v>46104</v>
      </c>
      <c r="D2744" t="s">
        <v>13</v>
      </c>
      <c r="E2744" t="s">
        <v>43</v>
      </c>
      <c r="F2744" t="s">
        <v>175</v>
      </c>
      <c r="G2744">
        <v>1097</v>
      </c>
      <c r="H2744">
        <v>57000</v>
      </c>
      <c r="I2744">
        <v>62529000</v>
      </c>
    </row>
    <row r="2745" spans="1:9" hidden="1" x14ac:dyDescent="0.25">
      <c r="A2745" s="210" t="s">
        <v>1641</v>
      </c>
      <c r="B2745">
        <v>8209</v>
      </c>
      <c r="C2745" s="100">
        <v>46104</v>
      </c>
      <c r="D2745" t="s">
        <v>13</v>
      </c>
      <c r="E2745" t="s">
        <v>252</v>
      </c>
      <c r="F2745" t="s">
        <v>136</v>
      </c>
      <c r="G2745">
        <v>1608</v>
      </c>
      <c r="H2745">
        <v>38500</v>
      </c>
      <c r="I2745">
        <v>61908000</v>
      </c>
    </row>
    <row r="2746" spans="1:9" hidden="1" x14ac:dyDescent="0.25">
      <c r="A2746" s="210" t="s">
        <v>1627</v>
      </c>
      <c r="B2746">
        <v>8208</v>
      </c>
      <c r="C2746" s="100">
        <v>46102</v>
      </c>
      <c r="D2746" t="s">
        <v>13</v>
      </c>
      <c r="E2746" t="s">
        <v>1200</v>
      </c>
      <c r="F2746" t="s">
        <v>176</v>
      </c>
      <c r="G2746">
        <v>638</v>
      </c>
      <c r="H2746">
        <v>40000</v>
      </c>
      <c r="I2746">
        <v>25520000</v>
      </c>
    </row>
    <row r="2747" spans="1:9" hidden="1" x14ac:dyDescent="0.25">
      <c r="A2747" s="210" t="s">
        <v>1512</v>
      </c>
      <c r="B2747">
        <v>8207</v>
      </c>
      <c r="C2747" s="100">
        <v>46102</v>
      </c>
      <c r="D2747" t="s">
        <v>13</v>
      </c>
      <c r="E2747" t="s">
        <v>17</v>
      </c>
      <c r="F2747" t="s">
        <v>33</v>
      </c>
      <c r="G2747">
        <v>414</v>
      </c>
      <c r="H2747">
        <v>65000</v>
      </c>
      <c r="I2747">
        <v>26910000</v>
      </c>
    </row>
    <row r="2748" spans="1:9" hidden="1" x14ac:dyDescent="0.25">
      <c r="A2748" s="210" t="s">
        <v>1530</v>
      </c>
      <c r="B2748">
        <v>8206</v>
      </c>
      <c r="C2748" s="100">
        <v>46102</v>
      </c>
      <c r="D2748" t="s">
        <v>13</v>
      </c>
      <c r="E2748" t="s">
        <v>691</v>
      </c>
      <c r="F2748" t="s">
        <v>1352</v>
      </c>
      <c r="G2748">
        <v>1098</v>
      </c>
      <c r="H2748">
        <v>37500</v>
      </c>
      <c r="I2748">
        <v>41175000</v>
      </c>
    </row>
    <row r="2749" spans="1:9" hidden="1" x14ac:dyDescent="0.25">
      <c r="A2749" s="210" t="s">
        <v>1512</v>
      </c>
      <c r="B2749">
        <v>8205</v>
      </c>
      <c r="C2749" s="100">
        <v>46102</v>
      </c>
      <c r="D2749" t="s">
        <v>49</v>
      </c>
      <c r="E2749" t="s">
        <v>43</v>
      </c>
      <c r="F2749" t="s">
        <v>134</v>
      </c>
      <c r="G2749">
        <v>1178</v>
      </c>
      <c r="I2749">
        <v>0</v>
      </c>
    </row>
    <row r="2750" spans="1:9" hidden="1" x14ac:dyDescent="0.25">
      <c r="A2750" s="210" t="s">
        <v>1512</v>
      </c>
      <c r="B2750">
        <v>8205</v>
      </c>
      <c r="C2750" s="100">
        <v>46102</v>
      </c>
      <c r="D2750" t="s">
        <v>49</v>
      </c>
      <c r="E2750" t="s">
        <v>17</v>
      </c>
      <c r="F2750" t="s">
        <v>136</v>
      </c>
      <c r="G2750">
        <v>652</v>
      </c>
      <c r="I2750">
        <v>0</v>
      </c>
    </row>
    <row r="2751" spans="1:9" hidden="1" x14ac:dyDescent="0.25">
      <c r="A2751" s="210" t="s">
        <v>1650</v>
      </c>
      <c r="B2751">
        <v>8204</v>
      </c>
      <c r="C2751" s="100">
        <v>46102</v>
      </c>
      <c r="D2751" t="s">
        <v>13</v>
      </c>
      <c r="E2751" t="s">
        <v>26</v>
      </c>
      <c r="F2751" t="s">
        <v>1259</v>
      </c>
      <c r="G2751">
        <v>1730</v>
      </c>
      <c r="H2751">
        <v>28000</v>
      </c>
      <c r="I2751">
        <v>48440000</v>
      </c>
    </row>
    <row r="2752" spans="1:9" hidden="1" x14ac:dyDescent="0.25">
      <c r="A2752" s="210" t="s">
        <v>1532</v>
      </c>
      <c r="B2752">
        <v>8203</v>
      </c>
      <c r="C2752" s="100">
        <v>46102</v>
      </c>
      <c r="D2752" t="s">
        <v>49</v>
      </c>
      <c r="E2752" t="s">
        <v>77</v>
      </c>
      <c r="F2752" t="s">
        <v>743</v>
      </c>
      <c r="G2752">
        <v>1001</v>
      </c>
      <c r="I2752">
        <v>0</v>
      </c>
    </row>
    <row r="2753" spans="1:11" hidden="1" x14ac:dyDescent="0.25">
      <c r="A2753" s="210" t="s">
        <v>1613</v>
      </c>
      <c r="B2753">
        <v>8202</v>
      </c>
      <c r="C2753" s="100">
        <v>46102</v>
      </c>
      <c r="D2753" t="s">
        <v>13</v>
      </c>
      <c r="E2753" t="s">
        <v>43</v>
      </c>
      <c r="F2753" t="s">
        <v>1164</v>
      </c>
      <c r="G2753">
        <v>3317</v>
      </c>
      <c r="H2753">
        <v>57000</v>
      </c>
      <c r="I2753">
        <v>189069000</v>
      </c>
    </row>
    <row r="2754" spans="1:11" hidden="1" x14ac:dyDescent="0.25">
      <c r="A2754" s="210" t="s">
        <v>1568</v>
      </c>
      <c r="B2754">
        <v>8201</v>
      </c>
      <c r="C2754" s="100">
        <v>46102</v>
      </c>
      <c r="D2754" t="s">
        <v>13</v>
      </c>
      <c r="E2754" t="s">
        <v>17</v>
      </c>
      <c r="F2754" t="s">
        <v>873</v>
      </c>
      <c r="G2754">
        <v>1718</v>
      </c>
      <c r="H2754">
        <v>59000</v>
      </c>
      <c r="I2754">
        <v>101362000</v>
      </c>
      <c r="K2754" t="s">
        <v>128</v>
      </c>
    </row>
    <row r="2755" spans="1:11" hidden="1" x14ac:dyDescent="0.25">
      <c r="A2755" s="210" t="s">
        <v>1671</v>
      </c>
      <c r="B2755">
        <v>8200</v>
      </c>
      <c r="C2755" s="100">
        <v>46100</v>
      </c>
      <c r="D2755" t="s">
        <v>13</v>
      </c>
      <c r="E2755" t="s">
        <v>17</v>
      </c>
      <c r="F2755" t="s">
        <v>40</v>
      </c>
      <c r="G2755">
        <v>107</v>
      </c>
      <c r="H2755">
        <v>66000</v>
      </c>
      <c r="I2755">
        <v>7062000</v>
      </c>
    </row>
    <row r="2756" spans="1:11" hidden="1" x14ac:dyDescent="0.25">
      <c r="A2756" s="210" t="s">
        <v>1660</v>
      </c>
      <c r="B2756">
        <v>8199</v>
      </c>
      <c r="C2756" s="100">
        <v>46100</v>
      </c>
      <c r="D2756" t="s">
        <v>13</v>
      </c>
      <c r="E2756" t="s">
        <v>143</v>
      </c>
      <c r="F2756" t="s">
        <v>1293</v>
      </c>
      <c r="G2756">
        <v>1052</v>
      </c>
      <c r="H2756">
        <v>64000</v>
      </c>
      <c r="I2756">
        <v>67328000</v>
      </c>
    </row>
    <row r="2757" spans="1:11" hidden="1" x14ac:dyDescent="0.25">
      <c r="A2757" s="210" t="s">
        <v>1564</v>
      </c>
      <c r="B2757">
        <v>8198</v>
      </c>
      <c r="C2757" s="100">
        <v>46101</v>
      </c>
      <c r="D2757" t="s">
        <v>13</v>
      </c>
      <c r="E2757" t="s">
        <v>26</v>
      </c>
      <c r="F2757" t="s">
        <v>802</v>
      </c>
      <c r="G2757">
        <v>1368</v>
      </c>
      <c r="H2757">
        <v>32000</v>
      </c>
      <c r="I2757">
        <v>43776000</v>
      </c>
    </row>
    <row r="2758" spans="1:11" hidden="1" x14ac:dyDescent="0.25">
      <c r="A2758" s="210" t="s">
        <v>1613</v>
      </c>
      <c r="B2758">
        <v>8197</v>
      </c>
      <c r="C2758" s="100">
        <v>46100</v>
      </c>
      <c r="D2758" t="s">
        <v>13</v>
      </c>
      <c r="E2758" t="s">
        <v>1162</v>
      </c>
      <c r="F2758" t="s">
        <v>1163</v>
      </c>
      <c r="G2758">
        <v>2618</v>
      </c>
      <c r="H2758">
        <v>34000</v>
      </c>
      <c r="I2758">
        <v>89012000</v>
      </c>
    </row>
    <row r="2759" spans="1:11" hidden="1" x14ac:dyDescent="0.25">
      <c r="A2759" s="210" t="s">
        <v>1662</v>
      </c>
      <c r="B2759">
        <v>8196</v>
      </c>
      <c r="C2759" s="100">
        <v>46100</v>
      </c>
      <c r="D2759" t="s">
        <v>13</v>
      </c>
      <c r="E2759" t="s">
        <v>26</v>
      </c>
      <c r="F2759" t="s">
        <v>1300</v>
      </c>
      <c r="G2759">
        <v>2454</v>
      </c>
      <c r="H2759">
        <v>27500</v>
      </c>
      <c r="I2759">
        <v>67485000</v>
      </c>
    </row>
    <row r="2760" spans="1:11" hidden="1" x14ac:dyDescent="0.25">
      <c r="A2760" s="210" t="s">
        <v>1532</v>
      </c>
      <c r="B2760">
        <v>8195</v>
      </c>
      <c r="C2760" s="100">
        <v>46100</v>
      </c>
      <c r="D2760" t="s">
        <v>13</v>
      </c>
      <c r="E2760" t="s">
        <v>43</v>
      </c>
      <c r="F2760" t="s">
        <v>740</v>
      </c>
      <c r="G2760">
        <v>542</v>
      </c>
      <c r="H2760">
        <v>50000</v>
      </c>
      <c r="I2760">
        <v>27100000</v>
      </c>
    </row>
    <row r="2761" spans="1:11" hidden="1" x14ac:dyDescent="0.25">
      <c r="A2761" s="210" t="s">
        <v>1524</v>
      </c>
      <c r="B2761">
        <v>8194</v>
      </c>
      <c r="C2761" s="100">
        <v>46100</v>
      </c>
      <c r="D2761" t="s">
        <v>49</v>
      </c>
      <c r="E2761" t="s">
        <v>17</v>
      </c>
      <c r="F2761" t="s">
        <v>469</v>
      </c>
      <c r="G2761">
        <v>451</v>
      </c>
      <c r="I2761">
        <v>0</v>
      </c>
    </row>
    <row r="2762" spans="1:11" hidden="1" x14ac:dyDescent="0.25">
      <c r="A2762" s="210" t="s">
        <v>1475</v>
      </c>
      <c r="B2762">
        <v>8193</v>
      </c>
      <c r="C2762" s="100">
        <v>46100</v>
      </c>
      <c r="D2762" t="s">
        <v>13</v>
      </c>
      <c r="E2762" t="s">
        <v>17</v>
      </c>
      <c r="F2762" t="s">
        <v>31</v>
      </c>
      <c r="G2762">
        <v>5218</v>
      </c>
      <c r="H2762">
        <v>58000</v>
      </c>
      <c r="I2762">
        <v>302644000</v>
      </c>
    </row>
    <row r="2763" spans="1:11" hidden="1" x14ac:dyDescent="0.25">
      <c r="A2763" s="210" t="s">
        <v>1475</v>
      </c>
      <c r="B2763">
        <v>8193</v>
      </c>
      <c r="C2763" s="100">
        <v>46100</v>
      </c>
      <c r="D2763" t="s">
        <v>13</v>
      </c>
      <c r="E2763" t="s">
        <v>17</v>
      </c>
      <c r="F2763" t="s">
        <v>25</v>
      </c>
      <c r="G2763">
        <v>1972</v>
      </c>
      <c r="H2763">
        <v>59000</v>
      </c>
      <c r="I2763">
        <v>116348000</v>
      </c>
    </row>
    <row r="2764" spans="1:11" hidden="1" x14ac:dyDescent="0.25">
      <c r="A2764" s="210" t="s">
        <v>1475</v>
      </c>
      <c r="B2764">
        <v>8193</v>
      </c>
      <c r="C2764" s="100">
        <v>46100</v>
      </c>
      <c r="D2764" t="s">
        <v>13</v>
      </c>
      <c r="E2764" t="s">
        <v>26</v>
      </c>
      <c r="F2764" t="s">
        <v>35</v>
      </c>
      <c r="G2764">
        <v>1816</v>
      </c>
      <c r="H2764">
        <v>34000</v>
      </c>
      <c r="I2764">
        <v>61744000</v>
      </c>
    </row>
    <row r="2765" spans="1:11" hidden="1" x14ac:dyDescent="0.25">
      <c r="A2765" s="210" t="s">
        <v>1608</v>
      </c>
      <c r="B2765">
        <v>8192</v>
      </c>
      <c r="C2765" s="100">
        <v>46100</v>
      </c>
      <c r="D2765" t="s">
        <v>13</v>
      </c>
      <c r="E2765" t="s">
        <v>1131</v>
      </c>
      <c r="F2765" t="s">
        <v>831</v>
      </c>
      <c r="G2765">
        <v>856</v>
      </c>
      <c r="H2765">
        <v>58000</v>
      </c>
      <c r="I2765">
        <v>49648000</v>
      </c>
    </row>
    <row r="2766" spans="1:11" hidden="1" x14ac:dyDescent="0.25">
      <c r="A2766" s="210" t="s">
        <v>1608</v>
      </c>
      <c r="B2766">
        <v>8192</v>
      </c>
      <c r="C2766" s="100">
        <v>46100</v>
      </c>
      <c r="D2766" t="s">
        <v>13</v>
      </c>
      <c r="E2766" t="s">
        <v>1132</v>
      </c>
      <c r="F2766" t="s">
        <v>1133</v>
      </c>
      <c r="G2766">
        <v>464</v>
      </c>
      <c r="H2766">
        <v>56500</v>
      </c>
      <c r="I2766">
        <v>26216000</v>
      </c>
    </row>
    <row r="2767" spans="1:11" hidden="1" x14ac:dyDescent="0.25">
      <c r="A2767" s="210" t="s">
        <v>1608</v>
      </c>
      <c r="B2767">
        <v>8192</v>
      </c>
      <c r="C2767" s="100">
        <v>46100</v>
      </c>
      <c r="D2767" t="s">
        <v>13</v>
      </c>
      <c r="E2767" t="s">
        <v>1134</v>
      </c>
      <c r="F2767" t="s">
        <v>1135</v>
      </c>
      <c r="G2767">
        <v>686</v>
      </c>
      <c r="H2767">
        <v>57000</v>
      </c>
      <c r="I2767">
        <v>39102000</v>
      </c>
    </row>
    <row r="2768" spans="1:11" hidden="1" x14ac:dyDescent="0.25">
      <c r="A2768" s="210" t="s">
        <v>1608</v>
      </c>
      <c r="B2768">
        <v>8192</v>
      </c>
      <c r="C2768" s="100">
        <v>46100</v>
      </c>
      <c r="D2768" t="s">
        <v>13</v>
      </c>
      <c r="E2768" t="s">
        <v>1136</v>
      </c>
      <c r="F2768" t="s">
        <v>717</v>
      </c>
      <c r="G2768">
        <v>640</v>
      </c>
      <c r="H2768">
        <v>57000</v>
      </c>
      <c r="I2768">
        <v>36480000</v>
      </c>
    </row>
    <row r="2769" spans="1:11" hidden="1" x14ac:dyDescent="0.25">
      <c r="A2769" s="210" t="s">
        <v>1608</v>
      </c>
      <c r="B2769">
        <v>8192</v>
      </c>
      <c r="C2769" s="100">
        <v>46100</v>
      </c>
      <c r="D2769" t="s">
        <v>13</v>
      </c>
      <c r="E2769" t="s">
        <v>1137</v>
      </c>
      <c r="F2769" t="s">
        <v>1127</v>
      </c>
      <c r="G2769">
        <v>380</v>
      </c>
      <c r="H2769">
        <v>57000</v>
      </c>
      <c r="I2769">
        <v>21660000</v>
      </c>
    </row>
    <row r="2770" spans="1:11" hidden="1" x14ac:dyDescent="0.25">
      <c r="A2770" s="210" t="s">
        <v>1504</v>
      </c>
      <c r="B2770">
        <v>8191</v>
      </c>
      <c r="C2770" s="100">
        <v>46100</v>
      </c>
      <c r="D2770" t="s">
        <v>13</v>
      </c>
      <c r="E2770" t="s">
        <v>317</v>
      </c>
      <c r="F2770" t="s">
        <v>319</v>
      </c>
      <c r="G2770">
        <v>46</v>
      </c>
      <c r="H2770">
        <v>70000</v>
      </c>
      <c r="I2770">
        <v>3220000</v>
      </c>
    </row>
    <row r="2771" spans="1:11" hidden="1" x14ac:dyDescent="0.25">
      <c r="A2771" s="210" t="s">
        <v>1504</v>
      </c>
      <c r="B2771">
        <v>8191</v>
      </c>
      <c r="C2771" s="100">
        <v>46100</v>
      </c>
      <c r="D2771" t="s">
        <v>13</v>
      </c>
      <c r="E2771" t="s">
        <v>54</v>
      </c>
      <c r="F2771" t="s">
        <v>320</v>
      </c>
      <c r="G2771">
        <v>310</v>
      </c>
      <c r="H2771">
        <v>36000</v>
      </c>
      <c r="I2771">
        <v>11160000</v>
      </c>
    </row>
    <row r="2772" spans="1:11" hidden="1" x14ac:dyDescent="0.25">
      <c r="A2772" s="210" t="s">
        <v>1504</v>
      </c>
      <c r="B2772">
        <v>8191</v>
      </c>
      <c r="C2772" s="100">
        <v>46100</v>
      </c>
      <c r="D2772" t="s">
        <v>13</v>
      </c>
      <c r="E2772" t="s">
        <v>68</v>
      </c>
      <c r="F2772" t="s">
        <v>116</v>
      </c>
      <c r="G2772">
        <v>113</v>
      </c>
      <c r="H2772">
        <v>45000</v>
      </c>
      <c r="I2772">
        <v>5085000</v>
      </c>
    </row>
    <row r="2773" spans="1:11" hidden="1" x14ac:dyDescent="0.25">
      <c r="A2773" s="210" t="s">
        <v>1504</v>
      </c>
      <c r="B2773">
        <v>8191</v>
      </c>
      <c r="C2773" s="100">
        <v>46100</v>
      </c>
      <c r="D2773" t="s">
        <v>13</v>
      </c>
      <c r="E2773" t="s">
        <v>68</v>
      </c>
      <c r="F2773" t="s">
        <v>321</v>
      </c>
      <c r="G2773">
        <v>166</v>
      </c>
      <c r="H2773">
        <v>45000</v>
      </c>
      <c r="I2773">
        <v>7470000</v>
      </c>
    </row>
    <row r="2774" spans="1:11" hidden="1" x14ac:dyDescent="0.25">
      <c r="A2774" s="210" t="s">
        <v>1551</v>
      </c>
      <c r="B2774">
        <v>8190</v>
      </c>
      <c r="C2774" s="100">
        <v>46099</v>
      </c>
      <c r="D2774" t="s">
        <v>13</v>
      </c>
      <c r="E2774" t="s">
        <v>43</v>
      </c>
      <c r="F2774" t="s">
        <v>251</v>
      </c>
      <c r="G2774">
        <v>5825</v>
      </c>
      <c r="H2774">
        <v>60500</v>
      </c>
      <c r="I2774">
        <v>352412500</v>
      </c>
    </row>
    <row r="2775" spans="1:11" hidden="1" x14ac:dyDescent="0.25">
      <c r="A2775" s="210" t="s">
        <v>1727</v>
      </c>
      <c r="B2775">
        <v>8189</v>
      </c>
      <c r="C2775" s="100">
        <v>46098</v>
      </c>
      <c r="D2775" t="s">
        <v>13</v>
      </c>
      <c r="E2775" t="s">
        <v>17</v>
      </c>
      <c r="F2775" t="s">
        <v>65</v>
      </c>
      <c r="G2775">
        <v>1032</v>
      </c>
      <c r="H2775">
        <v>63000</v>
      </c>
      <c r="I2775">
        <v>65016000</v>
      </c>
    </row>
    <row r="2776" spans="1:11" hidden="1" x14ac:dyDescent="0.25">
      <c r="A2776" s="210" t="s">
        <v>1489</v>
      </c>
      <c r="B2776">
        <v>8188</v>
      </c>
      <c r="C2776" s="100">
        <v>46099</v>
      </c>
      <c r="D2776" t="s">
        <v>13</v>
      </c>
      <c r="E2776" t="s">
        <v>17</v>
      </c>
      <c r="F2776" t="s">
        <v>222</v>
      </c>
      <c r="G2776">
        <v>178</v>
      </c>
      <c r="H2776">
        <v>61000</v>
      </c>
      <c r="I2776">
        <v>10858000</v>
      </c>
      <c r="K2776" t="s">
        <v>128</v>
      </c>
    </row>
    <row r="2777" spans="1:11" hidden="1" x14ac:dyDescent="0.25">
      <c r="A2777" s="210" t="s">
        <v>1489</v>
      </c>
      <c r="B2777">
        <v>8188</v>
      </c>
      <c r="C2777" s="100">
        <v>46099</v>
      </c>
      <c r="D2777" t="s">
        <v>13</v>
      </c>
      <c r="E2777" t="s">
        <v>17</v>
      </c>
      <c r="F2777" t="s">
        <v>223</v>
      </c>
      <c r="G2777">
        <v>234</v>
      </c>
      <c r="H2777">
        <v>61000</v>
      </c>
      <c r="I2777">
        <v>14274000</v>
      </c>
      <c r="K2777" t="s">
        <v>128</v>
      </c>
    </row>
    <row r="2778" spans="1:11" hidden="1" x14ac:dyDescent="0.25">
      <c r="A2778" s="210" t="s">
        <v>1489</v>
      </c>
      <c r="B2778">
        <v>8188</v>
      </c>
      <c r="C2778" s="100">
        <v>46099</v>
      </c>
      <c r="D2778" t="s">
        <v>13</v>
      </c>
      <c r="E2778" t="s">
        <v>17</v>
      </c>
      <c r="F2778" t="s">
        <v>224</v>
      </c>
      <c r="G2778">
        <v>74</v>
      </c>
      <c r="H2778">
        <v>61000</v>
      </c>
      <c r="I2778">
        <v>4514000</v>
      </c>
      <c r="K2778" t="s">
        <v>128</v>
      </c>
    </row>
    <row r="2779" spans="1:11" hidden="1" x14ac:dyDescent="0.25">
      <c r="A2779" s="210" t="s">
        <v>1489</v>
      </c>
      <c r="B2779">
        <v>8188</v>
      </c>
      <c r="C2779" s="100">
        <v>46099</v>
      </c>
      <c r="D2779" t="s">
        <v>13</v>
      </c>
      <c r="E2779" t="s">
        <v>17</v>
      </c>
      <c r="F2779" t="s">
        <v>225</v>
      </c>
      <c r="G2779">
        <v>146</v>
      </c>
      <c r="H2779">
        <v>61000</v>
      </c>
      <c r="I2779">
        <v>8906000</v>
      </c>
      <c r="K2779" t="s">
        <v>128</v>
      </c>
    </row>
    <row r="2780" spans="1:11" hidden="1" x14ac:dyDescent="0.25">
      <c r="A2780" s="210" t="s">
        <v>1489</v>
      </c>
      <c r="B2780">
        <v>8188</v>
      </c>
      <c r="C2780" s="100">
        <v>46099</v>
      </c>
      <c r="D2780" t="s">
        <v>13</v>
      </c>
      <c r="E2780" t="s">
        <v>226</v>
      </c>
      <c r="F2780" t="s">
        <v>69</v>
      </c>
      <c r="G2780">
        <v>74</v>
      </c>
      <c r="H2780">
        <v>42000</v>
      </c>
      <c r="I2780">
        <v>3108000</v>
      </c>
      <c r="K2780" t="s">
        <v>128</v>
      </c>
    </row>
    <row r="2781" spans="1:11" hidden="1" x14ac:dyDescent="0.25">
      <c r="A2781" s="210" t="s">
        <v>1726</v>
      </c>
      <c r="B2781">
        <v>8187</v>
      </c>
      <c r="C2781" s="100">
        <v>46099</v>
      </c>
      <c r="D2781" t="s">
        <v>13</v>
      </c>
      <c r="E2781" t="s">
        <v>17</v>
      </c>
      <c r="F2781" t="s">
        <v>1312</v>
      </c>
      <c r="G2781">
        <v>527</v>
      </c>
      <c r="H2781">
        <v>60500</v>
      </c>
      <c r="I2781">
        <v>31883500</v>
      </c>
    </row>
    <row r="2782" spans="1:11" hidden="1" x14ac:dyDescent="0.25">
      <c r="A2782" s="210" t="s">
        <v>1668</v>
      </c>
      <c r="B2782">
        <v>8186</v>
      </c>
      <c r="C2782" s="100">
        <v>46099</v>
      </c>
      <c r="D2782" t="s">
        <v>13</v>
      </c>
      <c r="E2782" t="s">
        <v>265</v>
      </c>
      <c r="F2782" t="s">
        <v>134</v>
      </c>
      <c r="G2782">
        <v>1416</v>
      </c>
      <c r="H2782">
        <v>62000</v>
      </c>
      <c r="I2782">
        <v>87792000</v>
      </c>
    </row>
    <row r="2783" spans="1:11" hidden="1" x14ac:dyDescent="0.25">
      <c r="A2783" s="210" t="s">
        <v>1668</v>
      </c>
      <c r="B2783">
        <v>8186</v>
      </c>
      <c r="C2783" s="100">
        <v>46099</v>
      </c>
      <c r="D2783" t="s">
        <v>13</v>
      </c>
      <c r="E2783" t="s">
        <v>265</v>
      </c>
      <c r="F2783" t="s">
        <v>136</v>
      </c>
      <c r="G2783">
        <v>520</v>
      </c>
      <c r="H2783">
        <v>62500</v>
      </c>
      <c r="I2783">
        <v>32500000</v>
      </c>
    </row>
    <row r="2784" spans="1:11" hidden="1" x14ac:dyDescent="0.25">
      <c r="A2784" s="210" t="s">
        <v>1580</v>
      </c>
      <c r="B2784">
        <v>8184</v>
      </c>
      <c r="C2784" s="100">
        <v>46099</v>
      </c>
      <c r="D2784" t="s">
        <v>13</v>
      </c>
      <c r="E2784" t="s">
        <v>168</v>
      </c>
      <c r="F2784" t="s">
        <v>136</v>
      </c>
      <c r="G2784">
        <v>638</v>
      </c>
      <c r="H2784">
        <v>41500</v>
      </c>
      <c r="I2784">
        <v>26477000</v>
      </c>
    </row>
    <row r="2785" spans="1:9" hidden="1" x14ac:dyDescent="0.25">
      <c r="A2785" s="210" t="s">
        <v>1580</v>
      </c>
      <c r="B2785">
        <v>8184</v>
      </c>
      <c r="C2785" s="100">
        <v>46099</v>
      </c>
      <c r="D2785" t="s">
        <v>13</v>
      </c>
      <c r="E2785" t="s">
        <v>14</v>
      </c>
      <c r="F2785" t="s">
        <v>62</v>
      </c>
      <c r="G2785">
        <v>508</v>
      </c>
      <c r="H2785">
        <v>43000</v>
      </c>
      <c r="I2785">
        <v>21844000</v>
      </c>
    </row>
    <row r="2786" spans="1:9" hidden="1" x14ac:dyDescent="0.25">
      <c r="A2786" s="210" t="s">
        <v>1580</v>
      </c>
      <c r="B2786">
        <v>8184</v>
      </c>
      <c r="C2786" s="100">
        <v>46099</v>
      </c>
      <c r="D2786" t="s">
        <v>13</v>
      </c>
      <c r="E2786" t="s">
        <v>265</v>
      </c>
      <c r="F2786" t="s">
        <v>41</v>
      </c>
      <c r="G2786">
        <v>316</v>
      </c>
      <c r="H2786">
        <v>63000</v>
      </c>
      <c r="I2786">
        <v>19908000</v>
      </c>
    </row>
    <row r="2787" spans="1:9" hidden="1" x14ac:dyDescent="0.25">
      <c r="A2787" s="210" t="s">
        <v>1666</v>
      </c>
      <c r="B2787">
        <v>8183</v>
      </c>
      <c r="C2787" s="100">
        <v>46099</v>
      </c>
      <c r="D2787" t="s">
        <v>13</v>
      </c>
      <c r="E2787" t="s">
        <v>265</v>
      </c>
      <c r="F2787" t="s">
        <v>267</v>
      </c>
      <c r="G2787">
        <v>514</v>
      </c>
      <c r="H2787">
        <v>62000</v>
      </c>
      <c r="I2787">
        <v>31868000</v>
      </c>
    </row>
    <row r="2788" spans="1:9" hidden="1" x14ac:dyDescent="0.25">
      <c r="A2788" s="210" t="s">
        <v>1518</v>
      </c>
      <c r="B2788">
        <v>8182</v>
      </c>
      <c r="C2788" s="100">
        <v>46099</v>
      </c>
      <c r="D2788" t="s">
        <v>13</v>
      </c>
      <c r="E2788" t="s">
        <v>26</v>
      </c>
      <c r="F2788" t="s">
        <v>62</v>
      </c>
      <c r="G2788">
        <v>613</v>
      </c>
      <c r="H2788">
        <v>33000</v>
      </c>
      <c r="I2788">
        <v>20229000</v>
      </c>
    </row>
    <row r="2789" spans="1:9" hidden="1" x14ac:dyDescent="0.25">
      <c r="A2789" s="210" t="s">
        <v>1518</v>
      </c>
      <c r="B2789">
        <v>8182</v>
      </c>
      <c r="C2789" s="100">
        <v>46099</v>
      </c>
      <c r="D2789" t="s">
        <v>13</v>
      </c>
      <c r="E2789" t="s">
        <v>43</v>
      </c>
      <c r="F2789" t="s">
        <v>204</v>
      </c>
      <c r="G2789">
        <v>488</v>
      </c>
      <c r="H2789">
        <v>56500</v>
      </c>
      <c r="I2789">
        <v>27572000</v>
      </c>
    </row>
    <row r="2790" spans="1:9" hidden="1" x14ac:dyDescent="0.25">
      <c r="A2790" s="210" t="s">
        <v>1518</v>
      </c>
      <c r="B2790">
        <v>8182</v>
      </c>
      <c r="C2790" s="100">
        <v>46099</v>
      </c>
      <c r="D2790" t="s">
        <v>13</v>
      </c>
      <c r="E2790" t="s">
        <v>43</v>
      </c>
      <c r="F2790" t="s">
        <v>146</v>
      </c>
      <c r="G2790">
        <v>620</v>
      </c>
      <c r="H2790">
        <v>56500</v>
      </c>
      <c r="I2790">
        <v>35030000</v>
      </c>
    </row>
    <row r="2791" spans="1:9" hidden="1" x14ac:dyDescent="0.25">
      <c r="A2791" s="210" t="s">
        <v>1703</v>
      </c>
      <c r="B2791">
        <v>8181</v>
      </c>
      <c r="C2791" s="100">
        <v>46099</v>
      </c>
      <c r="D2791" t="s">
        <v>13</v>
      </c>
      <c r="E2791" t="s">
        <v>50</v>
      </c>
      <c r="F2791" t="s">
        <v>1236</v>
      </c>
      <c r="G2791">
        <v>428</v>
      </c>
      <c r="H2791">
        <v>58000</v>
      </c>
      <c r="I2791">
        <v>24824000</v>
      </c>
    </row>
    <row r="2792" spans="1:9" hidden="1" x14ac:dyDescent="0.25">
      <c r="A2792" s="210" t="s">
        <v>1664</v>
      </c>
      <c r="B2792">
        <v>8180</v>
      </c>
      <c r="C2792" s="100">
        <v>46099</v>
      </c>
      <c r="D2792" t="s">
        <v>13</v>
      </c>
      <c r="E2792" t="s">
        <v>17</v>
      </c>
      <c r="F2792" t="s">
        <v>146</v>
      </c>
      <c r="G2792">
        <v>668</v>
      </c>
      <c r="H2792">
        <v>60500</v>
      </c>
      <c r="I2792">
        <v>40414000</v>
      </c>
    </row>
    <row r="2793" spans="1:9" hidden="1" x14ac:dyDescent="0.25">
      <c r="A2793" s="210" t="s">
        <v>1664</v>
      </c>
      <c r="B2793">
        <v>8180</v>
      </c>
      <c r="C2793" s="100">
        <v>46099</v>
      </c>
      <c r="D2793" t="s">
        <v>13</v>
      </c>
      <c r="E2793" t="s">
        <v>75</v>
      </c>
      <c r="F2793" t="s">
        <v>1307</v>
      </c>
      <c r="G2793">
        <v>284</v>
      </c>
      <c r="H2793">
        <v>38000</v>
      </c>
      <c r="I2793">
        <v>10792000</v>
      </c>
    </row>
    <row r="2794" spans="1:9" hidden="1" x14ac:dyDescent="0.25">
      <c r="A2794" s="210" t="s">
        <v>1641</v>
      </c>
      <c r="B2794">
        <v>8179</v>
      </c>
      <c r="C2794" s="100">
        <v>46099</v>
      </c>
      <c r="D2794" t="s">
        <v>13</v>
      </c>
      <c r="E2794" t="s">
        <v>43</v>
      </c>
      <c r="F2794" t="s">
        <v>366</v>
      </c>
      <c r="G2794">
        <v>1468</v>
      </c>
      <c r="H2794">
        <v>60000</v>
      </c>
      <c r="I2794">
        <v>88080000</v>
      </c>
    </row>
    <row r="2795" spans="1:9" hidden="1" x14ac:dyDescent="0.25">
      <c r="A2795" s="210" t="s">
        <v>1491</v>
      </c>
      <c r="B2795">
        <v>8178</v>
      </c>
      <c r="C2795" s="100">
        <v>46099</v>
      </c>
      <c r="D2795" t="s">
        <v>13</v>
      </c>
      <c r="E2795" t="s">
        <v>43</v>
      </c>
      <c r="F2795" t="s">
        <v>248</v>
      </c>
      <c r="G2795">
        <v>1580</v>
      </c>
      <c r="H2795">
        <v>56500</v>
      </c>
      <c r="I2795">
        <v>89270000</v>
      </c>
    </row>
    <row r="2796" spans="1:9" hidden="1" x14ac:dyDescent="0.25">
      <c r="A2796" s="210" t="s">
        <v>1479</v>
      </c>
      <c r="B2796">
        <v>8177</v>
      </c>
      <c r="C2796" s="100">
        <v>46099</v>
      </c>
      <c r="D2796" t="s">
        <v>13</v>
      </c>
      <c r="E2796" t="s">
        <v>170</v>
      </c>
      <c r="F2796" t="s">
        <v>171</v>
      </c>
      <c r="G2796">
        <v>2238</v>
      </c>
      <c r="H2796">
        <v>62000</v>
      </c>
      <c r="I2796">
        <v>138756000</v>
      </c>
    </row>
    <row r="2797" spans="1:9" hidden="1" x14ac:dyDescent="0.25">
      <c r="A2797" s="210" t="s">
        <v>1536</v>
      </c>
      <c r="B2797">
        <v>8176</v>
      </c>
      <c r="C2797" s="100">
        <v>46099</v>
      </c>
      <c r="D2797" t="s">
        <v>13</v>
      </c>
      <c r="E2797" t="s">
        <v>17</v>
      </c>
      <c r="F2797" t="s">
        <v>211</v>
      </c>
      <c r="G2797">
        <v>254</v>
      </c>
      <c r="H2797">
        <v>65000</v>
      </c>
      <c r="I2797">
        <v>16510000</v>
      </c>
    </row>
    <row r="2798" spans="1:9" hidden="1" x14ac:dyDescent="0.25">
      <c r="A2798" s="210" t="s">
        <v>1536</v>
      </c>
      <c r="B2798">
        <v>8176</v>
      </c>
      <c r="C2798" s="100">
        <v>46099</v>
      </c>
      <c r="D2798" t="s">
        <v>13</v>
      </c>
      <c r="E2798" t="s">
        <v>17</v>
      </c>
      <c r="F2798" t="s">
        <v>211</v>
      </c>
      <c r="G2798">
        <v>786</v>
      </c>
      <c r="H2798">
        <v>65000</v>
      </c>
      <c r="I2798">
        <v>51090000</v>
      </c>
    </row>
    <row r="2799" spans="1:9" hidden="1" x14ac:dyDescent="0.25">
      <c r="A2799" s="210" t="s">
        <v>1536</v>
      </c>
      <c r="B2799">
        <v>8176</v>
      </c>
      <c r="C2799" s="100">
        <v>46099</v>
      </c>
      <c r="D2799" t="s">
        <v>13</v>
      </c>
      <c r="E2799" t="s">
        <v>26</v>
      </c>
      <c r="F2799" t="s">
        <v>230</v>
      </c>
      <c r="G2799">
        <v>119</v>
      </c>
      <c r="H2799">
        <v>36000</v>
      </c>
      <c r="I2799">
        <v>4284000</v>
      </c>
    </row>
    <row r="2800" spans="1:9" hidden="1" x14ac:dyDescent="0.25">
      <c r="A2800" s="210" t="s">
        <v>1536</v>
      </c>
      <c r="B2800">
        <v>8176</v>
      </c>
      <c r="C2800" s="100">
        <v>46099</v>
      </c>
      <c r="D2800" t="s">
        <v>13</v>
      </c>
      <c r="E2800" t="s">
        <v>26</v>
      </c>
      <c r="F2800" t="s">
        <v>117</v>
      </c>
      <c r="G2800">
        <v>98</v>
      </c>
      <c r="H2800">
        <v>35000</v>
      </c>
      <c r="I2800">
        <v>3430000</v>
      </c>
    </row>
    <row r="2801" spans="1:10" hidden="1" x14ac:dyDescent="0.25">
      <c r="A2801" s="210" t="s">
        <v>1536</v>
      </c>
      <c r="B2801">
        <v>8176</v>
      </c>
      <c r="C2801" s="100">
        <v>46099</v>
      </c>
      <c r="D2801" t="s">
        <v>13</v>
      </c>
      <c r="E2801" t="s">
        <v>45</v>
      </c>
      <c r="F2801" t="s">
        <v>842</v>
      </c>
      <c r="G2801">
        <v>318</v>
      </c>
      <c r="H2801">
        <v>31000</v>
      </c>
      <c r="I2801">
        <v>9858000</v>
      </c>
    </row>
    <row r="2802" spans="1:10" hidden="1" x14ac:dyDescent="0.25">
      <c r="A2802" s="210" t="s">
        <v>1536</v>
      </c>
      <c r="B2802">
        <v>8176</v>
      </c>
      <c r="C2802" s="100">
        <v>46099</v>
      </c>
      <c r="D2802" t="s">
        <v>13</v>
      </c>
      <c r="E2802" t="s">
        <v>50</v>
      </c>
      <c r="F2802" t="s">
        <v>843</v>
      </c>
      <c r="G2802">
        <v>102</v>
      </c>
      <c r="H2802">
        <v>56000</v>
      </c>
      <c r="I2802">
        <v>5712000</v>
      </c>
    </row>
    <row r="2803" spans="1:10" hidden="1" x14ac:dyDescent="0.25">
      <c r="A2803" s="210" t="s">
        <v>1606</v>
      </c>
      <c r="B2803">
        <v>8175</v>
      </c>
      <c r="C2803" s="100">
        <v>46099</v>
      </c>
      <c r="D2803" t="s">
        <v>13</v>
      </c>
      <c r="E2803" t="s">
        <v>68</v>
      </c>
      <c r="F2803" t="s">
        <v>1118</v>
      </c>
      <c r="G2803">
        <v>1332</v>
      </c>
      <c r="H2803">
        <v>41500</v>
      </c>
      <c r="I2803">
        <v>55278000</v>
      </c>
    </row>
    <row r="2804" spans="1:10" hidden="1" x14ac:dyDescent="0.25">
      <c r="A2804" s="210" t="s">
        <v>1653</v>
      </c>
      <c r="B2804">
        <v>8172</v>
      </c>
      <c r="C2804" s="100">
        <v>46099</v>
      </c>
      <c r="D2804" t="s">
        <v>13</v>
      </c>
      <c r="E2804" t="s">
        <v>26</v>
      </c>
      <c r="F2804" t="s">
        <v>824</v>
      </c>
      <c r="G2804">
        <v>710</v>
      </c>
      <c r="H2804">
        <v>30500</v>
      </c>
      <c r="I2804">
        <v>21655000</v>
      </c>
    </row>
    <row r="2805" spans="1:10" hidden="1" x14ac:dyDescent="0.25">
      <c r="A2805" s="210" t="s">
        <v>1663</v>
      </c>
      <c r="B2805">
        <v>8171</v>
      </c>
      <c r="C2805" s="100">
        <v>46099</v>
      </c>
      <c r="D2805" t="s">
        <v>13</v>
      </c>
      <c r="E2805" t="s">
        <v>50</v>
      </c>
      <c r="F2805" t="s">
        <v>378</v>
      </c>
      <c r="G2805">
        <v>4072</v>
      </c>
      <c r="H2805">
        <v>60500</v>
      </c>
      <c r="I2805">
        <v>246356000</v>
      </c>
    </row>
    <row r="2806" spans="1:10" hidden="1" x14ac:dyDescent="0.25">
      <c r="A2806" s="210" t="s">
        <v>1663</v>
      </c>
      <c r="B2806">
        <v>8171</v>
      </c>
      <c r="C2806" s="100">
        <v>46099</v>
      </c>
      <c r="D2806" t="s">
        <v>13</v>
      </c>
      <c r="E2806" t="s">
        <v>1302</v>
      </c>
      <c r="F2806" t="s">
        <v>1303</v>
      </c>
      <c r="G2806">
        <v>28</v>
      </c>
      <c r="H2806">
        <v>140000</v>
      </c>
      <c r="I2806">
        <v>3920000</v>
      </c>
    </row>
    <row r="2807" spans="1:10" hidden="1" x14ac:dyDescent="0.25">
      <c r="A2807" s="210" t="s">
        <v>1663</v>
      </c>
      <c r="B2807">
        <v>8171</v>
      </c>
      <c r="C2807" s="100">
        <v>46099</v>
      </c>
      <c r="D2807" t="s">
        <v>13</v>
      </c>
      <c r="E2807" t="s">
        <v>1302</v>
      </c>
      <c r="F2807" t="s">
        <v>1304</v>
      </c>
      <c r="G2807">
        <v>94</v>
      </c>
      <c r="H2807">
        <v>140000</v>
      </c>
      <c r="I2807">
        <v>13160000</v>
      </c>
    </row>
    <row r="2808" spans="1:10" hidden="1" x14ac:dyDescent="0.25">
      <c r="A2808" s="210" t="s">
        <v>1524</v>
      </c>
      <c r="B2808">
        <v>8170</v>
      </c>
      <c r="C2808" s="100">
        <v>46099</v>
      </c>
      <c r="D2808" t="s">
        <v>49</v>
      </c>
      <c r="E2808" t="s">
        <v>26</v>
      </c>
      <c r="F2808" t="s">
        <v>446</v>
      </c>
      <c r="G2808">
        <v>894</v>
      </c>
      <c r="I2808">
        <v>0</v>
      </c>
    </row>
    <row r="2809" spans="1:10" hidden="1" x14ac:dyDescent="0.25">
      <c r="A2809" s="210" t="s">
        <v>1524</v>
      </c>
      <c r="B2809">
        <v>8170</v>
      </c>
      <c r="C2809" s="100">
        <v>46099</v>
      </c>
      <c r="D2809" t="s">
        <v>49</v>
      </c>
      <c r="E2809" t="s">
        <v>26</v>
      </c>
      <c r="F2809" t="s">
        <v>446</v>
      </c>
      <c r="G2809">
        <v>926</v>
      </c>
      <c r="I2809">
        <v>0</v>
      </c>
    </row>
    <row r="2810" spans="1:10" hidden="1" x14ac:dyDescent="0.25">
      <c r="A2810" s="210" t="s">
        <v>1524</v>
      </c>
      <c r="B2810">
        <v>8169</v>
      </c>
      <c r="C2810" s="100">
        <v>46099</v>
      </c>
      <c r="D2810" t="s">
        <v>49</v>
      </c>
      <c r="E2810" t="s">
        <v>43</v>
      </c>
      <c r="F2810" t="s">
        <v>134</v>
      </c>
      <c r="G2810">
        <v>1788</v>
      </c>
      <c r="I2810">
        <v>0</v>
      </c>
    </row>
    <row r="2811" spans="1:10" hidden="1" x14ac:dyDescent="0.25">
      <c r="A2811" s="210" t="s">
        <v>1524</v>
      </c>
      <c r="B2811">
        <v>8169</v>
      </c>
      <c r="C2811" s="100">
        <v>46099</v>
      </c>
      <c r="D2811" t="s">
        <v>49</v>
      </c>
      <c r="E2811" t="s">
        <v>43</v>
      </c>
      <c r="F2811" t="s">
        <v>282</v>
      </c>
      <c r="G2811">
        <v>1942</v>
      </c>
      <c r="I2811">
        <v>0</v>
      </c>
    </row>
    <row r="2812" spans="1:10" hidden="1" x14ac:dyDescent="0.25">
      <c r="A2812" s="210" t="s">
        <v>1662</v>
      </c>
      <c r="B2812">
        <v>8167</v>
      </c>
      <c r="C2812" s="100">
        <v>46099</v>
      </c>
      <c r="D2812" t="s">
        <v>13</v>
      </c>
      <c r="E2812" t="s">
        <v>26</v>
      </c>
      <c r="F2812" t="s">
        <v>1299</v>
      </c>
      <c r="G2812">
        <v>8716</v>
      </c>
      <c r="H2812">
        <v>27500</v>
      </c>
      <c r="I2812">
        <v>239690000</v>
      </c>
    </row>
    <row r="2813" spans="1:10" hidden="1" x14ac:dyDescent="0.25">
      <c r="A2813" s="210" t="s">
        <v>1511</v>
      </c>
      <c r="B2813">
        <v>8166</v>
      </c>
      <c r="C2813" s="100">
        <v>46098</v>
      </c>
      <c r="D2813" t="s">
        <v>13</v>
      </c>
      <c r="E2813" t="s">
        <v>54</v>
      </c>
      <c r="F2813" t="s">
        <v>117</v>
      </c>
      <c r="G2813">
        <v>42</v>
      </c>
      <c r="H2813">
        <v>38000</v>
      </c>
      <c r="I2813">
        <v>1596000</v>
      </c>
      <c r="J2813">
        <v>1596000</v>
      </c>
    </row>
    <row r="2814" spans="1:10" hidden="1" x14ac:dyDescent="0.25">
      <c r="A2814" s="210" t="s">
        <v>1524</v>
      </c>
      <c r="B2814">
        <v>8165</v>
      </c>
      <c r="C2814" s="100">
        <v>46098</v>
      </c>
      <c r="D2814" t="s">
        <v>49</v>
      </c>
      <c r="E2814" t="s">
        <v>26</v>
      </c>
      <c r="F2814" t="s">
        <v>78</v>
      </c>
      <c r="G2814">
        <v>851</v>
      </c>
      <c r="I2814">
        <v>0</v>
      </c>
    </row>
    <row r="2815" spans="1:10" hidden="1" x14ac:dyDescent="0.25">
      <c r="A2815" s="210" t="s">
        <v>1524</v>
      </c>
      <c r="B2815">
        <v>8165</v>
      </c>
      <c r="C2815" s="100">
        <v>46098</v>
      </c>
      <c r="D2815" t="s">
        <v>49</v>
      </c>
      <c r="E2815" t="s">
        <v>43</v>
      </c>
      <c r="F2815" t="s">
        <v>78</v>
      </c>
      <c r="G2815">
        <v>1031</v>
      </c>
      <c r="I2815">
        <v>0</v>
      </c>
    </row>
    <row r="2816" spans="1:10" hidden="1" x14ac:dyDescent="0.25">
      <c r="A2816" s="210" t="s">
        <v>1662</v>
      </c>
      <c r="B2816">
        <v>8164</v>
      </c>
      <c r="C2816" s="100">
        <v>46098</v>
      </c>
      <c r="D2816" t="s">
        <v>13</v>
      </c>
      <c r="E2816" t="s">
        <v>26</v>
      </c>
      <c r="F2816" t="s">
        <v>1297</v>
      </c>
      <c r="G2816">
        <v>8850</v>
      </c>
      <c r="H2816">
        <v>27500</v>
      </c>
      <c r="I2816">
        <v>243375000</v>
      </c>
    </row>
    <row r="2817" spans="1:9" hidden="1" x14ac:dyDescent="0.25">
      <c r="A2817" s="210" t="s">
        <v>1662</v>
      </c>
      <c r="B2817">
        <v>8164</v>
      </c>
      <c r="C2817" s="100">
        <v>46098</v>
      </c>
      <c r="D2817" t="s">
        <v>13</v>
      </c>
      <c r="E2817" t="s">
        <v>26</v>
      </c>
      <c r="F2817" t="s">
        <v>1298</v>
      </c>
      <c r="G2817">
        <v>17036</v>
      </c>
      <c r="H2817">
        <v>27500</v>
      </c>
      <c r="I2817">
        <v>468490000</v>
      </c>
    </row>
    <row r="2818" spans="1:9" hidden="1" x14ac:dyDescent="0.25">
      <c r="A2818" s="210" t="s">
        <v>1633</v>
      </c>
      <c r="B2818">
        <v>8163</v>
      </c>
      <c r="C2818" s="100">
        <v>46098</v>
      </c>
      <c r="D2818" t="s">
        <v>13</v>
      </c>
      <c r="E2818" t="s">
        <v>252</v>
      </c>
      <c r="F2818" t="s">
        <v>41</v>
      </c>
      <c r="G2818">
        <v>1036</v>
      </c>
      <c r="H2818">
        <v>38000</v>
      </c>
      <c r="I2818">
        <v>39368000</v>
      </c>
    </row>
    <row r="2819" spans="1:9" hidden="1" x14ac:dyDescent="0.25">
      <c r="A2819" s="210" t="s">
        <v>1476</v>
      </c>
      <c r="B2819">
        <v>8162</v>
      </c>
      <c r="C2819" s="100">
        <v>46098</v>
      </c>
      <c r="D2819" t="s">
        <v>49</v>
      </c>
      <c r="E2819" t="s">
        <v>50</v>
      </c>
      <c r="F2819" t="s">
        <v>70</v>
      </c>
      <c r="G2819">
        <v>972</v>
      </c>
      <c r="I2819">
        <v>0</v>
      </c>
    </row>
    <row r="2820" spans="1:9" hidden="1" x14ac:dyDescent="0.25">
      <c r="A2820" s="210" t="s">
        <v>1532</v>
      </c>
      <c r="B2820">
        <v>8161</v>
      </c>
      <c r="C2820" s="100">
        <v>46098</v>
      </c>
      <c r="D2820" t="s">
        <v>49</v>
      </c>
      <c r="E2820" t="s">
        <v>26</v>
      </c>
      <c r="F2820" t="s">
        <v>739</v>
      </c>
      <c r="G2820">
        <v>4239</v>
      </c>
      <c r="I2820">
        <v>0</v>
      </c>
    </row>
    <row r="2821" spans="1:9" hidden="1" x14ac:dyDescent="0.25">
      <c r="A2821" s="210" t="s">
        <v>1524</v>
      </c>
      <c r="B2821">
        <v>8160</v>
      </c>
      <c r="C2821" s="100">
        <v>46098</v>
      </c>
      <c r="D2821" t="s">
        <v>49</v>
      </c>
      <c r="E2821" t="s">
        <v>17</v>
      </c>
      <c r="F2821" t="s">
        <v>492</v>
      </c>
      <c r="G2821">
        <v>5670</v>
      </c>
      <c r="I2821">
        <v>0</v>
      </c>
    </row>
    <row r="2822" spans="1:9" hidden="1" x14ac:dyDescent="0.25">
      <c r="A2822" s="210" t="s">
        <v>1734</v>
      </c>
      <c r="B2822">
        <v>8159</v>
      </c>
      <c r="C2822" s="100">
        <v>46098</v>
      </c>
      <c r="D2822" t="s">
        <v>13</v>
      </c>
      <c r="E2822" t="s">
        <v>355</v>
      </c>
      <c r="F2822" t="s">
        <v>1295</v>
      </c>
      <c r="G2822">
        <v>1168</v>
      </c>
      <c r="H2822">
        <v>64000</v>
      </c>
      <c r="I2822">
        <v>74752000</v>
      </c>
    </row>
    <row r="2823" spans="1:9" hidden="1" x14ac:dyDescent="0.25">
      <c r="A2823" s="210" t="s">
        <v>1562</v>
      </c>
      <c r="B2823">
        <v>8157</v>
      </c>
      <c r="C2823" s="100">
        <v>46098</v>
      </c>
      <c r="D2823" t="s">
        <v>13</v>
      </c>
      <c r="E2823" t="s">
        <v>169</v>
      </c>
      <c r="F2823" t="s">
        <v>62</v>
      </c>
      <c r="G2823">
        <v>528</v>
      </c>
      <c r="H2823">
        <v>41000</v>
      </c>
      <c r="I2823">
        <v>21648000</v>
      </c>
    </row>
    <row r="2824" spans="1:9" hidden="1" x14ac:dyDescent="0.25">
      <c r="A2824" s="210" t="s">
        <v>1562</v>
      </c>
      <c r="B2824">
        <v>8157</v>
      </c>
      <c r="C2824" s="100">
        <v>46098</v>
      </c>
      <c r="D2824" t="s">
        <v>13</v>
      </c>
      <c r="E2824" t="s">
        <v>169</v>
      </c>
      <c r="F2824" t="s">
        <v>41</v>
      </c>
      <c r="G2824">
        <v>534</v>
      </c>
      <c r="H2824">
        <v>40000</v>
      </c>
      <c r="I2824">
        <v>21360000</v>
      </c>
    </row>
    <row r="2825" spans="1:9" hidden="1" x14ac:dyDescent="0.25">
      <c r="A2825" s="210" t="s">
        <v>1562</v>
      </c>
      <c r="B2825">
        <v>8157</v>
      </c>
      <c r="C2825" s="100">
        <v>46098</v>
      </c>
      <c r="D2825" t="s">
        <v>13</v>
      </c>
      <c r="E2825" t="s">
        <v>169</v>
      </c>
      <c r="F2825" t="s">
        <v>136</v>
      </c>
      <c r="G2825">
        <v>538</v>
      </c>
      <c r="H2825">
        <v>39500</v>
      </c>
      <c r="I2825">
        <v>21251000</v>
      </c>
    </row>
    <row r="2826" spans="1:9" hidden="1" x14ac:dyDescent="0.25">
      <c r="A2826" s="210" t="s">
        <v>1524</v>
      </c>
      <c r="B2826">
        <v>8156</v>
      </c>
      <c r="C2826" s="100">
        <v>46098</v>
      </c>
      <c r="D2826" t="s">
        <v>49</v>
      </c>
      <c r="E2826" t="s">
        <v>355</v>
      </c>
      <c r="F2826" t="s">
        <v>134</v>
      </c>
      <c r="G2826">
        <v>1416</v>
      </c>
      <c r="I2826">
        <v>0</v>
      </c>
    </row>
    <row r="2827" spans="1:9" hidden="1" x14ac:dyDescent="0.25">
      <c r="A2827" s="210" t="s">
        <v>1575</v>
      </c>
      <c r="B2827">
        <v>8155</v>
      </c>
      <c r="C2827" s="100">
        <v>46098</v>
      </c>
      <c r="D2827" t="s">
        <v>13</v>
      </c>
      <c r="E2827" t="s">
        <v>854</v>
      </c>
      <c r="F2827" t="s">
        <v>970</v>
      </c>
      <c r="G2827">
        <v>1156</v>
      </c>
      <c r="H2827">
        <v>38500</v>
      </c>
      <c r="I2827">
        <v>44506000</v>
      </c>
    </row>
    <row r="2828" spans="1:9" hidden="1" x14ac:dyDescent="0.25">
      <c r="A2828" s="210" t="s">
        <v>1493</v>
      </c>
      <c r="B2828">
        <v>8154</v>
      </c>
      <c r="C2828" s="100">
        <v>46098</v>
      </c>
      <c r="D2828" t="s">
        <v>13</v>
      </c>
      <c r="E2828" t="s">
        <v>43</v>
      </c>
      <c r="F2828" t="s">
        <v>146</v>
      </c>
      <c r="G2828">
        <v>783</v>
      </c>
      <c r="H2828">
        <v>58500</v>
      </c>
      <c r="I2828">
        <v>45805500</v>
      </c>
    </row>
    <row r="2829" spans="1:9" hidden="1" x14ac:dyDescent="0.25">
      <c r="A2829" s="210" t="s">
        <v>1582</v>
      </c>
      <c r="B2829">
        <v>8154</v>
      </c>
      <c r="C2829" s="100">
        <v>46098</v>
      </c>
      <c r="D2829" t="s">
        <v>13</v>
      </c>
      <c r="E2829" t="s">
        <v>43</v>
      </c>
      <c r="F2829" t="s">
        <v>1006</v>
      </c>
      <c r="G2829">
        <v>324</v>
      </c>
      <c r="H2829">
        <v>61000</v>
      </c>
      <c r="I2829">
        <v>19764000</v>
      </c>
    </row>
    <row r="2830" spans="1:9" hidden="1" x14ac:dyDescent="0.25">
      <c r="A2830" s="210" t="s">
        <v>1491</v>
      </c>
      <c r="B2830">
        <v>8153</v>
      </c>
      <c r="C2830" s="100">
        <v>46098</v>
      </c>
      <c r="D2830" t="s">
        <v>13</v>
      </c>
      <c r="E2830" t="s">
        <v>43</v>
      </c>
      <c r="F2830" t="s">
        <v>134</v>
      </c>
      <c r="G2830">
        <v>728</v>
      </c>
      <c r="H2830">
        <v>56500</v>
      </c>
      <c r="I2830">
        <v>41132000</v>
      </c>
    </row>
    <row r="2831" spans="1:9" hidden="1" x14ac:dyDescent="0.25">
      <c r="A2831" s="210" t="s">
        <v>1491</v>
      </c>
      <c r="B2831">
        <v>8153</v>
      </c>
      <c r="C2831" s="100">
        <v>46098</v>
      </c>
      <c r="D2831" t="s">
        <v>13</v>
      </c>
      <c r="E2831" t="s">
        <v>17</v>
      </c>
      <c r="F2831" t="s">
        <v>40</v>
      </c>
      <c r="G2831">
        <v>1242</v>
      </c>
      <c r="H2831">
        <v>64000</v>
      </c>
      <c r="I2831">
        <v>79488000</v>
      </c>
    </row>
    <row r="2832" spans="1:9" hidden="1" x14ac:dyDescent="0.25">
      <c r="A2832" s="210" t="s">
        <v>1491</v>
      </c>
      <c r="B2832">
        <v>8153</v>
      </c>
      <c r="C2832" s="100">
        <v>46098</v>
      </c>
      <c r="D2832" t="s">
        <v>13</v>
      </c>
      <c r="E2832" t="s">
        <v>17</v>
      </c>
      <c r="F2832" t="s">
        <v>255</v>
      </c>
      <c r="G2832">
        <v>961</v>
      </c>
      <c r="H2832">
        <v>61500</v>
      </c>
      <c r="I2832">
        <v>59101500</v>
      </c>
    </row>
    <row r="2833" spans="1:9" hidden="1" x14ac:dyDescent="0.25">
      <c r="A2833" s="210" t="s">
        <v>1491</v>
      </c>
      <c r="B2833">
        <v>8153</v>
      </c>
      <c r="C2833" s="100">
        <v>46098</v>
      </c>
      <c r="D2833" t="s">
        <v>13</v>
      </c>
      <c r="E2833" t="s">
        <v>17</v>
      </c>
      <c r="F2833" t="s">
        <v>204</v>
      </c>
      <c r="G2833">
        <v>1393</v>
      </c>
      <c r="H2833">
        <v>61500</v>
      </c>
      <c r="I2833">
        <v>85669500</v>
      </c>
    </row>
    <row r="2834" spans="1:9" hidden="1" x14ac:dyDescent="0.25">
      <c r="A2834" s="210" t="s">
        <v>1491</v>
      </c>
      <c r="B2834">
        <v>8153</v>
      </c>
      <c r="C2834" s="100">
        <v>46098</v>
      </c>
      <c r="D2834" t="s">
        <v>13</v>
      </c>
      <c r="E2834" t="s">
        <v>17</v>
      </c>
      <c r="F2834" t="s">
        <v>256</v>
      </c>
      <c r="G2834">
        <v>748</v>
      </c>
      <c r="H2834">
        <v>61500</v>
      </c>
      <c r="I2834">
        <v>46002000</v>
      </c>
    </row>
    <row r="2835" spans="1:9" hidden="1" x14ac:dyDescent="0.25">
      <c r="A2835" s="210" t="s">
        <v>1491</v>
      </c>
      <c r="B2835">
        <v>8153</v>
      </c>
      <c r="C2835" s="100">
        <v>46098</v>
      </c>
      <c r="D2835" t="s">
        <v>13</v>
      </c>
      <c r="E2835" t="s">
        <v>17</v>
      </c>
      <c r="F2835" t="s">
        <v>146</v>
      </c>
      <c r="G2835">
        <v>1695</v>
      </c>
      <c r="H2835">
        <v>58000</v>
      </c>
      <c r="I2835">
        <v>98310000</v>
      </c>
    </row>
    <row r="2836" spans="1:9" hidden="1" x14ac:dyDescent="0.25">
      <c r="A2836" s="210" t="s">
        <v>1499</v>
      </c>
      <c r="B2836">
        <v>8152</v>
      </c>
      <c r="C2836" s="100">
        <v>46098</v>
      </c>
      <c r="D2836" t="s">
        <v>13</v>
      </c>
      <c r="E2836" t="s">
        <v>43</v>
      </c>
      <c r="F2836" t="s">
        <v>136</v>
      </c>
      <c r="G2836">
        <v>4980</v>
      </c>
      <c r="H2836">
        <v>0</v>
      </c>
      <c r="I2836">
        <v>0</v>
      </c>
    </row>
    <row r="2837" spans="1:9" hidden="1" x14ac:dyDescent="0.25">
      <c r="A2837" s="210" t="s">
        <v>1499</v>
      </c>
      <c r="B2837">
        <v>8152</v>
      </c>
      <c r="C2837" s="100">
        <v>46098</v>
      </c>
      <c r="D2837" t="s">
        <v>13</v>
      </c>
      <c r="E2837" t="s">
        <v>43</v>
      </c>
      <c r="F2837" t="s">
        <v>41</v>
      </c>
      <c r="G2837">
        <v>5898</v>
      </c>
      <c r="H2837">
        <v>0</v>
      </c>
      <c r="I2837">
        <v>0</v>
      </c>
    </row>
    <row r="2838" spans="1:9" hidden="1" x14ac:dyDescent="0.25">
      <c r="A2838" s="210" t="s">
        <v>1545</v>
      </c>
      <c r="B2838">
        <v>8151</v>
      </c>
      <c r="C2838" s="100">
        <v>46098</v>
      </c>
      <c r="D2838" t="s">
        <v>13</v>
      </c>
      <c r="E2838" t="s">
        <v>169</v>
      </c>
      <c r="F2838" t="s">
        <v>134</v>
      </c>
      <c r="G2838">
        <v>816</v>
      </c>
      <c r="H2838">
        <v>38000</v>
      </c>
      <c r="I2838">
        <v>31008000</v>
      </c>
    </row>
    <row r="2839" spans="1:9" hidden="1" x14ac:dyDescent="0.25">
      <c r="A2839" s="210" t="s">
        <v>1606</v>
      </c>
      <c r="B2839">
        <v>8150</v>
      </c>
      <c r="C2839" s="100">
        <v>46098</v>
      </c>
      <c r="D2839" t="s">
        <v>13</v>
      </c>
      <c r="E2839" t="s">
        <v>14</v>
      </c>
      <c r="F2839" t="s">
        <v>1117</v>
      </c>
      <c r="G2839">
        <v>292</v>
      </c>
      <c r="H2839">
        <v>42000</v>
      </c>
      <c r="I2839">
        <v>12264000</v>
      </c>
    </row>
    <row r="2840" spans="1:9" hidden="1" x14ac:dyDescent="0.25">
      <c r="A2840" s="210" t="s">
        <v>1535</v>
      </c>
      <c r="B2840">
        <v>8149</v>
      </c>
      <c r="C2840" s="100">
        <v>46098</v>
      </c>
      <c r="D2840" t="s">
        <v>13</v>
      </c>
      <c r="E2840" t="s">
        <v>17</v>
      </c>
      <c r="F2840" t="s">
        <v>176</v>
      </c>
      <c r="G2840">
        <v>1128</v>
      </c>
      <c r="H2840">
        <v>61000</v>
      </c>
      <c r="I2840">
        <v>68808000</v>
      </c>
    </row>
    <row r="2841" spans="1:9" hidden="1" x14ac:dyDescent="0.25">
      <c r="A2841" s="210" t="s">
        <v>1524</v>
      </c>
      <c r="B2841">
        <v>8148</v>
      </c>
      <c r="C2841" s="100">
        <v>46098</v>
      </c>
      <c r="D2841" t="s">
        <v>49</v>
      </c>
      <c r="E2841" t="s">
        <v>17</v>
      </c>
      <c r="F2841" t="s">
        <v>491</v>
      </c>
      <c r="G2841">
        <v>5448</v>
      </c>
      <c r="I2841">
        <v>0</v>
      </c>
    </row>
    <row r="2842" spans="1:9" hidden="1" x14ac:dyDescent="0.25">
      <c r="A2842" s="210" t="s">
        <v>1660</v>
      </c>
      <c r="B2842">
        <v>8147</v>
      </c>
      <c r="C2842" s="100">
        <v>46098</v>
      </c>
      <c r="D2842" t="s">
        <v>13</v>
      </c>
      <c r="E2842" t="s">
        <v>192</v>
      </c>
      <c r="F2842" t="s">
        <v>1292</v>
      </c>
      <c r="G2842">
        <v>1436</v>
      </c>
      <c r="H2842">
        <v>35000</v>
      </c>
      <c r="I2842">
        <v>50260000</v>
      </c>
    </row>
    <row r="2843" spans="1:9" hidden="1" x14ac:dyDescent="0.25">
      <c r="A2843" s="210" t="s">
        <v>1568</v>
      </c>
      <c r="B2843">
        <v>8146</v>
      </c>
      <c r="C2843" s="100">
        <v>46098</v>
      </c>
      <c r="D2843" t="s">
        <v>13</v>
      </c>
      <c r="E2843" t="s">
        <v>103</v>
      </c>
      <c r="F2843" t="s">
        <v>117</v>
      </c>
      <c r="G2843">
        <v>290</v>
      </c>
      <c r="H2843">
        <v>38000</v>
      </c>
      <c r="I2843">
        <v>11020000</v>
      </c>
    </row>
    <row r="2844" spans="1:9" hidden="1" x14ac:dyDescent="0.25">
      <c r="A2844" s="210" t="s">
        <v>1568</v>
      </c>
      <c r="B2844">
        <v>8146</v>
      </c>
      <c r="C2844" s="100">
        <v>46098</v>
      </c>
      <c r="D2844" t="s">
        <v>13</v>
      </c>
      <c r="E2844" t="s">
        <v>68</v>
      </c>
      <c r="F2844" t="s">
        <v>146</v>
      </c>
      <c r="G2844">
        <v>424</v>
      </c>
      <c r="H2844">
        <v>40000</v>
      </c>
      <c r="I2844">
        <v>16960000</v>
      </c>
    </row>
    <row r="2845" spans="1:9" hidden="1" x14ac:dyDescent="0.25">
      <c r="A2845" s="210" t="s">
        <v>1568</v>
      </c>
      <c r="B2845">
        <v>8146</v>
      </c>
      <c r="C2845" s="100">
        <v>46098</v>
      </c>
      <c r="D2845" t="s">
        <v>13</v>
      </c>
      <c r="E2845" t="s">
        <v>43</v>
      </c>
      <c r="F2845" t="s">
        <v>110</v>
      </c>
      <c r="G2845">
        <v>320</v>
      </c>
      <c r="H2845">
        <v>55000</v>
      </c>
      <c r="I2845">
        <v>17600000</v>
      </c>
    </row>
    <row r="2846" spans="1:9" hidden="1" x14ac:dyDescent="0.25">
      <c r="A2846" s="210" t="s">
        <v>1568</v>
      </c>
      <c r="B2846">
        <v>8146</v>
      </c>
      <c r="C2846" s="100">
        <v>46098</v>
      </c>
      <c r="D2846" t="s">
        <v>13</v>
      </c>
      <c r="E2846" t="s">
        <v>17</v>
      </c>
      <c r="F2846" t="s">
        <v>46</v>
      </c>
      <c r="G2846">
        <v>916</v>
      </c>
      <c r="H2846">
        <v>58500</v>
      </c>
      <c r="I2846">
        <v>53586000</v>
      </c>
    </row>
    <row r="2847" spans="1:9" hidden="1" x14ac:dyDescent="0.25">
      <c r="A2847" s="210" t="s">
        <v>1600</v>
      </c>
      <c r="B2847">
        <v>8145</v>
      </c>
      <c r="C2847" s="100">
        <v>46098</v>
      </c>
      <c r="D2847" t="s">
        <v>13</v>
      </c>
      <c r="E2847" t="s">
        <v>252</v>
      </c>
      <c r="F2847" t="s">
        <v>1102</v>
      </c>
      <c r="G2847">
        <v>1532</v>
      </c>
      <c r="H2847">
        <v>39500</v>
      </c>
      <c r="I2847">
        <v>60514000</v>
      </c>
    </row>
    <row r="2848" spans="1:9" hidden="1" x14ac:dyDescent="0.25">
      <c r="A2848" s="210" t="s">
        <v>1548</v>
      </c>
      <c r="B2848">
        <v>8144</v>
      </c>
      <c r="C2848" s="100">
        <v>46098</v>
      </c>
      <c r="D2848" t="s">
        <v>13</v>
      </c>
      <c r="E2848" t="s">
        <v>43</v>
      </c>
      <c r="F2848" t="s">
        <v>136</v>
      </c>
      <c r="G2848">
        <v>737</v>
      </c>
      <c r="H2848">
        <v>57000</v>
      </c>
      <c r="I2848">
        <v>42009000</v>
      </c>
    </row>
    <row r="2849" spans="1:9" hidden="1" x14ac:dyDescent="0.25">
      <c r="A2849" s="210" t="s">
        <v>1548</v>
      </c>
      <c r="B2849">
        <v>8144</v>
      </c>
      <c r="C2849" s="100">
        <v>46098</v>
      </c>
      <c r="D2849" t="s">
        <v>13</v>
      </c>
      <c r="E2849" t="s">
        <v>43</v>
      </c>
      <c r="F2849" t="s">
        <v>148</v>
      </c>
      <c r="G2849">
        <v>649</v>
      </c>
      <c r="H2849">
        <v>56500</v>
      </c>
      <c r="I2849">
        <v>36668500</v>
      </c>
    </row>
    <row r="2850" spans="1:9" hidden="1" x14ac:dyDescent="0.25">
      <c r="A2850" s="210" t="s">
        <v>1587</v>
      </c>
      <c r="B2850">
        <v>8143</v>
      </c>
      <c r="C2850" s="100">
        <v>46098</v>
      </c>
      <c r="D2850" t="s">
        <v>13</v>
      </c>
      <c r="E2850" t="s">
        <v>265</v>
      </c>
      <c r="F2850" t="s">
        <v>41</v>
      </c>
      <c r="G2850">
        <v>434</v>
      </c>
      <c r="H2850">
        <v>63000</v>
      </c>
      <c r="I2850">
        <v>27342000</v>
      </c>
    </row>
    <row r="2851" spans="1:9" hidden="1" x14ac:dyDescent="0.25">
      <c r="A2851" s="210" t="s">
        <v>1587</v>
      </c>
      <c r="B2851">
        <v>8143</v>
      </c>
      <c r="C2851" s="100">
        <v>46098</v>
      </c>
      <c r="D2851" t="s">
        <v>13</v>
      </c>
      <c r="E2851" t="s">
        <v>265</v>
      </c>
      <c r="F2851" t="s">
        <v>136</v>
      </c>
      <c r="G2851">
        <v>546</v>
      </c>
      <c r="H2851">
        <v>62000</v>
      </c>
      <c r="I2851">
        <v>33852000</v>
      </c>
    </row>
    <row r="2852" spans="1:9" hidden="1" x14ac:dyDescent="0.25">
      <c r="A2852" s="210" t="s">
        <v>1587</v>
      </c>
      <c r="B2852">
        <v>8143</v>
      </c>
      <c r="C2852" s="100">
        <v>46098</v>
      </c>
      <c r="D2852" t="s">
        <v>13</v>
      </c>
      <c r="E2852" t="s">
        <v>17</v>
      </c>
      <c r="F2852" t="s">
        <v>33</v>
      </c>
      <c r="G2852">
        <v>633</v>
      </c>
      <c r="H2852">
        <v>65000</v>
      </c>
      <c r="I2852">
        <v>41145000</v>
      </c>
    </row>
    <row r="2853" spans="1:9" hidden="1" x14ac:dyDescent="0.25">
      <c r="A2853" s="210" t="s">
        <v>1587</v>
      </c>
      <c r="B2853">
        <v>8143</v>
      </c>
      <c r="C2853" s="100">
        <v>46098</v>
      </c>
      <c r="D2853" t="s">
        <v>13</v>
      </c>
      <c r="E2853" t="s">
        <v>701</v>
      </c>
      <c r="F2853" t="s">
        <v>148</v>
      </c>
      <c r="G2853">
        <v>2286</v>
      </c>
      <c r="H2853">
        <v>41500</v>
      </c>
      <c r="I2853">
        <v>94869000</v>
      </c>
    </row>
    <row r="2854" spans="1:9" hidden="1" x14ac:dyDescent="0.25">
      <c r="A2854" s="210" t="s">
        <v>2016</v>
      </c>
      <c r="B2854">
        <v>8142</v>
      </c>
      <c r="C2854" s="100">
        <v>46098</v>
      </c>
      <c r="D2854" t="s">
        <v>13</v>
      </c>
      <c r="E2854" t="s">
        <v>17</v>
      </c>
      <c r="F2854" t="s">
        <v>40</v>
      </c>
      <c r="G2854">
        <v>498</v>
      </c>
      <c r="H2854">
        <v>64000</v>
      </c>
      <c r="I2854">
        <v>31872000</v>
      </c>
    </row>
    <row r="2855" spans="1:9" hidden="1" x14ac:dyDescent="0.25">
      <c r="A2855" s="210" t="s">
        <v>1577</v>
      </c>
      <c r="B2855">
        <v>8141</v>
      </c>
      <c r="C2855" s="100">
        <v>46098</v>
      </c>
      <c r="D2855" t="s">
        <v>13</v>
      </c>
      <c r="E2855" t="s">
        <v>68</v>
      </c>
      <c r="F2855" t="s">
        <v>980</v>
      </c>
      <c r="G2855">
        <v>376</v>
      </c>
      <c r="H2855">
        <v>45000</v>
      </c>
      <c r="I2855">
        <v>16920000</v>
      </c>
    </row>
    <row r="2856" spans="1:9" hidden="1" x14ac:dyDescent="0.25">
      <c r="A2856" s="210" t="s">
        <v>1577</v>
      </c>
      <c r="B2856">
        <v>8141</v>
      </c>
      <c r="C2856" s="100">
        <v>46098</v>
      </c>
      <c r="D2856" t="s">
        <v>13</v>
      </c>
      <c r="E2856" t="s">
        <v>981</v>
      </c>
      <c r="G2856">
        <v>1</v>
      </c>
      <c r="H2856">
        <v>700000</v>
      </c>
      <c r="I2856">
        <v>700000</v>
      </c>
    </row>
    <row r="2857" spans="1:9" hidden="1" x14ac:dyDescent="0.25">
      <c r="A2857" s="210" t="s">
        <v>1524</v>
      </c>
      <c r="B2857">
        <v>8140</v>
      </c>
      <c r="C2857" s="100">
        <v>46098</v>
      </c>
      <c r="D2857" t="s">
        <v>49</v>
      </c>
      <c r="E2857" t="s">
        <v>17</v>
      </c>
      <c r="F2857" t="s">
        <v>230</v>
      </c>
      <c r="G2857">
        <v>2540</v>
      </c>
      <c r="I2857">
        <v>0</v>
      </c>
    </row>
    <row r="2858" spans="1:9" hidden="1" x14ac:dyDescent="0.25">
      <c r="A2858" s="210" t="s">
        <v>1592</v>
      </c>
      <c r="B2858">
        <v>8139</v>
      </c>
      <c r="C2858" s="100">
        <v>46098</v>
      </c>
      <c r="D2858" t="s">
        <v>49</v>
      </c>
      <c r="E2858" t="s">
        <v>43</v>
      </c>
      <c r="F2858" t="s">
        <v>283</v>
      </c>
      <c r="G2858">
        <v>5208</v>
      </c>
      <c r="I2858">
        <v>0</v>
      </c>
    </row>
    <row r="2859" spans="1:9" hidden="1" x14ac:dyDescent="0.25">
      <c r="A2859" s="210" t="s">
        <v>1592</v>
      </c>
      <c r="B2859">
        <v>8139</v>
      </c>
      <c r="C2859" s="100">
        <v>46098</v>
      </c>
      <c r="D2859" t="s">
        <v>49</v>
      </c>
      <c r="E2859" t="s">
        <v>43</v>
      </c>
      <c r="F2859" t="s">
        <v>62</v>
      </c>
      <c r="G2859">
        <v>2030</v>
      </c>
      <c r="I2859">
        <v>0</v>
      </c>
    </row>
    <row r="2860" spans="1:9" hidden="1" x14ac:dyDescent="0.25">
      <c r="A2860" s="210" t="s">
        <v>1583</v>
      </c>
      <c r="B2860">
        <v>8138</v>
      </c>
      <c r="C2860" s="100">
        <v>46098</v>
      </c>
      <c r="D2860" t="s">
        <v>13</v>
      </c>
      <c r="E2860" t="s">
        <v>68</v>
      </c>
      <c r="F2860" t="s">
        <v>1014</v>
      </c>
      <c r="G2860">
        <v>690</v>
      </c>
      <c r="H2860">
        <v>42000</v>
      </c>
      <c r="I2860">
        <v>28980000</v>
      </c>
    </row>
    <row r="2861" spans="1:9" hidden="1" x14ac:dyDescent="0.25">
      <c r="A2861" s="210" t="s">
        <v>1583</v>
      </c>
      <c r="B2861">
        <v>8138</v>
      </c>
      <c r="C2861" s="100">
        <v>46098</v>
      </c>
      <c r="D2861" t="s">
        <v>13</v>
      </c>
      <c r="E2861" t="s">
        <v>317</v>
      </c>
      <c r="F2861" t="s">
        <v>1015</v>
      </c>
      <c r="G2861">
        <v>296</v>
      </c>
      <c r="H2861">
        <v>62000</v>
      </c>
      <c r="I2861">
        <v>18352000</v>
      </c>
    </row>
    <row r="2862" spans="1:9" hidden="1" x14ac:dyDescent="0.25">
      <c r="A2862" s="210" t="s">
        <v>1583</v>
      </c>
      <c r="B2862">
        <v>8138</v>
      </c>
      <c r="C2862" s="100">
        <v>46098</v>
      </c>
      <c r="D2862" t="s">
        <v>13</v>
      </c>
      <c r="E2862" t="s">
        <v>317</v>
      </c>
      <c r="F2862" t="s">
        <v>1016</v>
      </c>
      <c r="G2862">
        <v>96</v>
      </c>
      <c r="H2862">
        <v>62000</v>
      </c>
      <c r="I2862">
        <v>5952000</v>
      </c>
    </row>
    <row r="2863" spans="1:9" hidden="1" x14ac:dyDescent="0.25">
      <c r="A2863" s="210" t="s">
        <v>1583</v>
      </c>
      <c r="B2863">
        <v>8138</v>
      </c>
      <c r="C2863" s="100">
        <v>46098</v>
      </c>
      <c r="D2863" t="s">
        <v>166</v>
      </c>
      <c r="E2863" t="s">
        <v>27</v>
      </c>
      <c r="F2863" t="s">
        <v>1017</v>
      </c>
      <c r="G2863">
        <v>-16</v>
      </c>
      <c r="H2863">
        <v>53000</v>
      </c>
      <c r="I2863">
        <v>-848000</v>
      </c>
    </row>
    <row r="2864" spans="1:9" hidden="1" x14ac:dyDescent="0.25">
      <c r="A2864" s="210" t="s">
        <v>1499</v>
      </c>
      <c r="B2864">
        <v>8137</v>
      </c>
      <c r="C2864" s="100">
        <v>46098</v>
      </c>
      <c r="D2864" t="s">
        <v>13</v>
      </c>
      <c r="E2864" t="s">
        <v>43</v>
      </c>
      <c r="F2864" t="s">
        <v>230</v>
      </c>
      <c r="G2864">
        <v>5776</v>
      </c>
      <c r="H2864">
        <v>0</v>
      </c>
      <c r="I2864">
        <v>0</v>
      </c>
    </row>
    <row r="2865" spans="1:9" hidden="1" x14ac:dyDescent="0.25">
      <c r="A2865" s="210" t="s">
        <v>1499</v>
      </c>
      <c r="B2865">
        <v>8137</v>
      </c>
      <c r="C2865" s="100">
        <v>46098</v>
      </c>
      <c r="D2865" t="s">
        <v>13</v>
      </c>
      <c r="E2865" t="s">
        <v>43</v>
      </c>
      <c r="F2865" t="s">
        <v>40</v>
      </c>
      <c r="G2865">
        <v>2526</v>
      </c>
      <c r="H2865">
        <v>0</v>
      </c>
      <c r="I2865">
        <v>0</v>
      </c>
    </row>
    <row r="2866" spans="1:9" hidden="1" x14ac:dyDescent="0.25">
      <c r="A2866" s="210" t="s">
        <v>1658</v>
      </c>
      <c r="B2866">
        <v>8135</v>
      </c>
      <c r="C2866" s="100">
        <v>46097</v>
      </c>
      <c r="D2866" t="s">
        <v>13</v>
      </c>
      <c r="E2866" t="s">
        <v>50</v>
      </c>
      <c r="F2866" t="s">
        <v>1275</v>
      </c>
      <c r="G2866">
        <v>274</v>
      </c>
      <c r="H2866">
        <v>56500</v>
      </c>
      <c r="I2866">
        <v>15481000</v>
      </c>
    </row>
    <row r="2867" spans="1:9" hidden="1" x14ac:dyDescent="0.25">
      <c r="A2867" s="210" t="s">
        <v>1658</v>
      </c>
      <c r="B2867">
        <v>8135</v>
      </c>
      <c r="C2867" s="100">
        <v>46097</v>
      </c>
      <c r="D2867" t="s">
        <v>13</v>
      </c>
      <c r="E2867" t="s">
        <v>50</v>
      </c>
      <c r="F2867" t="s">
        <v>1276</v>
      </c>
      <c r="G2867">
        <v>268</v>
      </c>
      <c r="H2867">
        <v>56500</v>
      </c>
      <c r="I2867">
        <v>15142000</v>
      </c>
    </row>
    <row r="2868" spans="1:9" hidden="1" x14ac:dyDescent="0.25">
      <c r="A2868" s="210" t="s">
        <v>1658</v>
      </c>
      <c r="B2868">
        <v>8135</v>
      </c>
      <c r="C2868" s="100">
        <v>46097</v>
      </c>
      <c r="D2868" t="s">
        <v>13</v>
      </c>
      <c r="E2868" t="s">
        <v>50</v>
      </c>
      <c r="F2868" t="s">
        <v>148</v>
      </c>
      <c r="G2868">
        <v>678</v>
      </c>
      <c r="H2868">
        <v>56500</v>
      </c>
      <c r="I2868">
        <v>38307000</v>
      </c>
    </row>
    <row r="2869" spans="1:9" hidden="1" x14ac:dyDescent="0.25">
      <c r="A2869" s="210" t="s">
        <v>1536</v>
      </c>
      <c r="B2869">
        <v>8134</v>
      </c>
      <c r="C2869" s="100">
        <v>46097</v>
      </c>
      <c r="D2869" t="s">
        <v>13</v>
      </c>
      <c r="E2869" t="s">
        <v>841</v>
      </c>
      <c r="F2869" t="s">
        <v>40</v>
      </c>
      <c r="G2869">
        <v>674</v>
      </c>
      <c r="H2869">
        <v>34000</v>
      </c>
      <c r="I2869">
        <v>22916000</v>
      </c>
    </row>
    <row r="2870" spans="1:9" hidden="1" x14ac:dyDescent="0.25">
      <c r="A2870" s="210" t="s">
        <v>1536</v>
      </c>
      <c r="B2870">
        <v>8134</v>
      </c>
      <c r="C2870" s="100">
        <v>46097</v>
      </c>
      <c r="D2870" t="s">
        <v>84</v>
      </c>
      <c r="E2870" t="s">
        <v>841</v>
      </c>
      <c r="F2870" t="s">
        <v>40</v>
      </c>
      <c r="G2870">
        <v>674</v>
      </c>
      <c r="H2870">
        <v>500</v>
      </c>
      <c r="I2870">
        <v>337000</v>
      </c>
    </row>
    <row r="2871" spans="1:9" hidden="1" x14ac:dyDescent="0.25">
      <c r="A2871" s="210" t="s">
        <v>1536</v>
      </c>
      <c r="B2871">
        <v>8134</v>
      </c>
      <c r="C2871" s="100">
        <v>46097</v>
      </c>
      <c r="D2871" t="s">
        <v>13</v>
      </c>
      <c r="E2871" t="s">
        <v>317</v>
      </c>
      <c r="F2871" t="s">
        <v>288</v>
      </c>
      <c r="G2871">
        <v>116</v>
      </c>
      <c r="H2871">
        <v>62000</v>
      </c>
      <c r="I2871">
        <v>7192000</v>
      </c>
    </row>
    <row r="2872" spans="1:9" hidden="1" x14ac:dyDescent="0.25">
      <c r="A2872" s="210" t="s">
        <v>1657</v>
      </c>
      <c r="B2872">
        <v>8133</v>
      </c>
      <c r="C2872" s="100">
        <v>46097</v>
      </c>
      <c r="D2872" t="s">
        <v>49</v>
      </c>
      <c r="E2872" t="s">
        <v>317</v>
      </c>
      <c r="F2872" t="s">
        <v>1271</v>
      </c>
      <c r="G2872">
        <v>46</v>
      </c>
      <c r="I2872">
        <v>0</v>
      </c>
    </row>
    <row r="2873" spans="1:9" hidden="1" x14ac:dyDescent="0.25">
      <c r="A2873" s="210" t="s">
        <v>1650</v>
      </c>
      <c r="B2873">
        <v>8132</v>
      </c>
      <c r="C2873" s="100">
        <v>46097</v>
      </c>
      <c r="D2873" t="s">
        <v>13</v>
      </c>
      <c r="E2873" t="s">
        <v>841</v>
      </c>
      <c r="F2873" t="s">
        <v>1258</v>
      </c>
      <c r="G2873">
        <v>1013</v>
      </c>
      <c r="H2873">
        <v>28000</v>
      </c>
      <c r="I2873">
        <v>28364000</v>
      </c>
    </row>
    <row r="2874" spans="1:9" hidden="1" x14ac:dyDescent="0.25">
      <c r="A2874" s="210" t="s">
        <v>1633</v>
      </c>
      <c r="B2874">
        <v>8131</v>
      </c>
      <c r="C2874" s="100">
        <v>46097</v>
      </c>
      <c r="D2874" t="s">
        <v>13</v>
      </c>
      <c r="E2874" t="s">
        <v>265</v>
      </c>
      <c r="F2874" t="s">
        <v>41</v>
      </c>
      <c r="G2874">
        <v>398</v>
      </c>
      <c r="H2874">
        <v>63000</v>
      </c>
      <c r="I2874">
        <v>25074000</v>
      </c>
    </row>
    <row r="2875" spans="1:9" hidden="1" x14ac:dyDescent="0.25">
      <c r="A2875" s="210" t="s">
        <v>1633</v>
      </c>
      <c r="B2875">
        <v>8131</v>
      </c>
      <c r="C2875" s="100">
        <v>46097</v>
      </c>
      <c r="D2875" t="s">
        <v>13</v>
      </c>
      <c r="E2875" t="s">
        <v>17</v>
      </c>
      <c r="F2875" t="s">
        <v>134</v>
      </c>
      <c r="G2875">
        <v>1086</v>
      </c>
      <c r="H2875">
        <v>58000</v>
      </c>
      <c r="I2875">
        <v>62988000</v>
      </c>
    </row>
    <row r="2876" spans="1:9" hidden="1" x14ac:dyDescent="0.25">
      <c r="A2876" s="210" t="s">
        <v>1507</v>
      </c>
      <c r="B2876">
        <v>8129</v>
      </c>
      <c r="C2876" s="100">
        <v>46097</v>
      </c>
      <c r="D2876" t="s">
        <v>13</v>
      </c>
      <c r="E2876" t="s">
        <v>26</v>
      </c>
      <c r="F2876" t="s">
        <v>230</v>
      </c>
      <c r="G2876">
        <v>978</v>
      </c>
      <c r="H2876">
        <v>36000</v>
      </c>
      <c r="I2876">
        <v>35208000</v>
      </c>
    </row>
    <row r="2877" spans="1:9" hidden="1" x14ac:dyDescent="0.25">
      <c r="A2877" s="210" t="s">
        <v>1507</v>
      </c>
      <c r="B2877">
        <v>8129</v>
      </c>
      <c r="C2877" s="100">
        <v>46097</v>
      </c>
      <c r="D2877" t="s">
        <v>13</v>
      </c>
      <c r="E2877" t="s">
        <v>26</v>
      </c>
      <c r="F2877" t="s">
        <v>40</v>
      </c>
      <c r="G2877">
        <v>902</v>
      </c>
      <c r="H2877">
        <v>35000</v>
      </c>
      <c r="I2877">
        <v>31570000</v>
      </c>
    </row>
    <row r="2878" spans="1:9" hidden="1" x14ac:dyDescent="0.25">
      <c r="A2878" s="210" t="s">
        <v>1626</v>
      </c>
      <c r="B2878">
        <v>8128</v>
      </c>
      <c r="C2878" s="100">
        <v>46097</v>
      </c>
      <c r="D2878" t="s">
        <v>13</v>
      </c>
      <c r="E2878" t="s">
        <v>50</v>
      </c>
      <c r="F2878" t="s">
        <v>1193</v>
      </c>
      <c r="G2878">
        <v>558</v>
      </c>
      <c r="H2878">
        <v>59000</v>
      </c>
      <c r="I2878">
        <v>32922000</v>
      </c>
    </row>
    <row r="2879" spans="1:9" hidden="1" x14ac:dyDescent="0.25">
      <c r="A2879" s="210" t="s">
        <v>1626</v>
      </c>
      <c r="B2879">
        <v>8128</v>
      </c>
      <c r="C2879" s="100">
        <v>46097</v>
      </c>
      <c r="D2879" t="s">
        <v>13</v>
      </c>
      <c r="E2879" t="s">
        <v>50</v>
      </c>
      <c r="F2879" t="s">
        <v>1194</v>
      </c>
      <c r="G2879">
        <v>214</v>
      </c>
      <c r="H2879">
        <v>59000</v>
      </c>
      <c r="I2879">
        <v>12626000</v>
      </c>
    </row>
    <row r="2880" spans="1:9" hidden="1" x14ac:dyDescent="0.25">
      <c r="A2880" s="210" t="s">
        <v>1626</v>
      </c>
      <c r="B2880">
        <v>8128</v>
      </c>
      <c r="C2880" s="100">
        <v>46097</v>
      </c>
      <c r="D2880" t="s">
        <v>13</v>
      </c>
      <c r="E2880" t="s">
        <v>1191</v>
      </c>
      <c r="F2880" t="s">
        <v>117</v>
      </c>
      <c r="G2880">
        <v>345</v>
      </c>
      <c r="H2880">
        <v>38500</v>
      </c>
      <c r="I2880">
        <v>13282500</v>
      </c>
    </row>
    <row r="2881" spans="1:11" hidden="1" x14ac:dyDescent="0.25">
      <c r="A2881" s="210" t="s">
        <v>1626</v>
      </c>
      <c r="B2881">
        <v>8128</v>
      </c>
      <c r="C2881" s="100">
        <v>46097</v>
      </c>
      <c r="D2881" t="s">
        <v>13</v>
      </c>
      <c r="E2881" t="s">
        <v>1191</v>
      </c>
      <c r="F2881" t="s">
        <v>53</v>
      </c>
      <c r="G2881">
        <v>443</v>
      </c>
      <c r="H2881">
        <v>38000</v>
      </c>
      <c r="I2881">
        <v>16834000</v>
      </c>
    </row>
    <row r="2882" spans="1:11" hidden="1" x14ac:dyDescent="0.25">
      <c r="A2882" s="210" t="s">
        <v>1626</v>
      </c>
      <c r="B2882">
        <v>8128</v>
      </c>
      <c r="C2882" s="100">
        <v>46097</v>
      </c>
      <c r="D2882" t="s">
        <v>13</v>
      </c>
      <c r="E2882" t="s">
        <v>1191</v>
      </c>
      <c r="F2882" t="s">
        <v>1195</v>
      </c>
      <c r="G2882">
        <v>974</v>
      </c>
      <c r="H2882">
        <v>38000</v>
      </c>
      <c r="I2882">
        <v>37012000</v>
      </c>
    </row>
    <row r="2883" spans="1:11" hidden="1" x14ac:dyDescent="0.25">
      <c r="A2883" s="210" t="s">
        <v>1626</v>
      </c>
      <c r="B2883">
        <v>8128</v>
      </c>
      <c r="C2883" s="100">
        <v>46097</v>
      </c>
      <c r="D2883" t="s">
        <v>13</v>
      </c>
      <c r="E2883" t="s">
        <v>1191</v>
      </c>
      <c r="F2883" t="s">
        <v>1196</v>
      </c>
      <c r="G2883">
        <v>493</v>
      </c>
      <c r="H2883">
        <v>38500</v>
      </c>
      <c r="I2883">
        <v>18980500</v>
      </c>
    </row>
    <row r="2884" spans="1:11" hidden="1" x14ac:dyDescent="0.25">
      <c r="A2884" s="210" t="s">
        <v>1600</v>
      </c>
      <c r="B2884">
        <v>8127</v>
      </c>
      <c r="C2884" s="100">
        <v>46128</v>
      </c>
      <c r="D2884" t="s">
        <v>13</v>
      </c>
      <c r="E2884" t="s">
        <v>50</v>
      </c>
      <c r="F2884" t="s">
        <v>1100</v>
      </c>
      <c r="G2884">
        <v>870</v>
      </c>
      <c r="H2884">
        <v>59000</v>
      </c>
      <c r="I2884">
        <v>51330000</v>
      </c>
    </row>
    <row r="2885" spans="1:11" hidden="1" x14ac:dyDescent="0.25">
      <c r="A2885" s="210" t="s">
        <v>1600</v>
      </c>
      <c r="B2885">
        <v>8127</v>
      </c>
      <c r="C2885" s="100">
        <v>46128</v>
      </c>
      <c r="D2885" t="s">
        <v>13</v>
      </c>
      <c r="E2885" t="s">
        <v>68</v>
      </c>
      <c r="F2885" t="s">
        <v>1101</v>
      </c>
      <c r="G2885">
        <v>872</v>
      </c>
      <c r="H2885">
        <v>43000</v>
      </c>
      <c r="I2885">
        <v>37496000</v>
      </c>
    </row>
    <row r="2886" spans="1:11" hidden="1" x14ac:dyDescent="0.25">
      <c r="A2886" s="210" t="s">
        <v>1593</v>
      </c>
      <c r="B2886">
        <v>8126</v>
      </c>
      <c r="C2886" s="100">
        <v>46097</v>
      </c>
      <c r="D2886" t="s">
        <v>13</v>
      </c>
      <c r="E2886" t="s">
        <v>252</v>
      </c>
      <c r="F2886" t="s">
        <v>136</v>
      </c>
      <c r="G2886">
        <v>1220</v>
      </c>
      <c r="H2886">
        <v>38500</v>
      </c>
      <c r="I2886">
        <v>46970000</v>
      </c>
    </row>
    <row r="2887" spans="1:11" hidden="1" x14ac:dyDescent="0.25">
      <c r="A2887" s="210" t="s">
        <v>1593</v>
      </c>
      <c r="B2887">
        <v>8126</v>
      </c>
      <c r="C2887" s="100">
        <v>46097</v>
      </c>
      <c r="D2887" t="s">
        <v>13</v>
      </c>
      <c r="E2887" t="s">
        <v>32</v>
      </c>
      <c r="F2887" t="s">
        <v>40</v>
      </c>
      <c r="G2887">
        <v>338</v>
      </c>
      <c r="H2887">
        <v>43000</v>
      </c>
      <c r="I2887">
        <v>14534000</v>
      </c>
    </row>
    <row r="2888" spans="1:11" hidden="1" x14ac:dyDescent="0.25">
      <c r="A2888" s="210" t="s">
        <v>1554</v>
      </c>
      <c r="B2888">
        <v>8125</v>
      </c>
      <c r="C2888" s="100">
        <v>46097</v>
      </c>
      <c r="D2888" t="s">
        <v>13</v>
      </c>
      <c r="E2888" t="s">
        <v>17</v>
      </c>
      <c r="F2888" t="s">
        <v>924</v>
      </c>
      <c r="G2888">
        <v>1590</v>
      </c>
      <c r="H2888">
        <v>58500</v>
      </c>
      <c r="I2888">
        <v>93015000</v>
      </c>
      <c r="K2888" t="s">
        <v>128</v>
      </c>
    </row>
    <row r="2889" spans="1:11" hidden="1" x14ac:dyDescent="0.25">
      <c r="A2889" s="210" t="s">
        <v>1554</v>
      </c>
      <c r="B2889">
        <v>8125</v>
      </c>
      <c r="C2889" s="100">
        <v>46097</v>
      </c>
      <c r="D2889" t="s">
        <v>13</v>
      </c>
      <c r="E2889" t="s">
        <v>17</v>
      </c>
      <c r="F2889" t="s">
        <v>25</v>
      </c>
      <c r="G2889">
        <v>2234</v>
      </c>
      <c r="H2889">
        <v>58500</v>
      </c>
      <c r="I2889">
        <v>130689000</v>
      </c>
      <c r="K2889" t="s">
        <v>128</v>
      </c>
    </row>
    <row r="2890" spans="1:11" hidden="1" x14ac:dyDescent="0.25">
      <c r="A2890" s="210" t="s">
        <v>1554</v>
      </c>
      <c r="B2890">
        <v>8125</v>
      </c>
      <c r="C2890" s="100">
        <v>46097</v>
      </c>
      <c r="D2890" t="s">
        <v>13</v>
      </c>
      <c r="E2890" t="s">
        <v>14</v>
      </c>
      <c r="F2890" t="s">
        <v>220</v>
      </c>
      <c r="G2890">
        <v>610</v>
      </c>
      <c r="H2890">
        <v>43000</v>
      </c>
      <c r="I2890">
        <v>26230000</v>
      </c>
    </row>
    <row r="2891" spans="1:11" hidden="1" x14ac:dyDescent="0.25">
      <c r="A2891" s="210" t="s">
        <v>1554</v>
      </c>
      <c r="B2891">
        <v>8125</v>
      </c>
      <c r="C2891" s="100">
        <v>46097</v>
      </c>
      <c r="D2891" t="s">
        <v>13</v>
      </c>
      <c r="E2891" t="s">
        <v>103</v>
      </c>
      <c r="F2891" t="s">
        <v>925</v>
      </c>
      <c r="G2891">
        <v>4</v>
      </c>
      <c r="H2891">
        <v>38500</v>
      </c>
      <c r="I2891">
        <v>154000</v>
      </c>
    </row>
    <row r="2892" spans="1:11" hidden="1" x14ac:dyDescent="0.25">
      <c r="A2892" s="210" t="s">
        <v>1705</v>
      </c>
      <c r="B2892">
        <v>8125</v>
      </c>
      <c r="C2892" s="100">
        <v>46146</v>
      </c>
      <c r="D2892" t="s">
        <v>692</v>
      </c>
      <c r="E2892" t="s">
        <v>109</v>
      </c>
      <c r="F2892" t="s">
        <v>2170</v>
      </c>
      <c r="G2892">
        <v>578</v>
      </c>
      <c r="H2892">
        <v>-69000</v>
      </c>
      <c r="I2892">
        <v>-39882000</v>
      </c>
    </row>
    <row r="2893" spans="1:11" hidden="1" x14ac:dyDescent="0.25">
      <c r="A2893" s="210" t="s">
        <v>1705</v>
      </c>
      <c r="B2893">
        <v>8125</v>
      </c>
      <c r="C2893" s="100">
        <v>46146</v>
      </c>
      <c r="D2893" t="s">
        <v>692</v>
      </c>
      <c r="E2893" t="s">
        <v>1951</v>
      </c>
      <c r="F2893" t="s">
        <v>2171</v>
      </c>
      <c r="G2893">
        <v>71</v>
      </c>
      <c r="H2893">
        <v>-112000</v>
      </c>
      <c r="I2893">
        <v>-7952000</v>
      </c>
    </row>
    <row r="2894" spans="1:11" hidden="1" x14ac:dyDescent="0.25">
      <c r="A2894" s="210" t="s">
        <v>1478</v>
      </c>
      <c r="B2894">
        <v>8124</v>
      </c>
      <c r="C2894" s="100">
        <v>46097</v>
      </c>
      <c r="D2894" t="s">
        <v>13</v>
      </c>
      <c r="E2894" t="s">
        <v>143</v>
      </c>
      <c r="F2894" t="s">
        <v>144</v>
      </c>
      <c r="G2894">
        <v>3464</v>
      </c>
      <c r="H2894">
        <v>57000</v>
      </c>
      <c r="I2894">
        <v>197448000</v>
      </c>
    </row>
    <row r="2895" spans="1:11" hidden="1" x14ac:dyDescent="0.25">
      <c r="A2895" s="210" t="s">
        <v>1567</v>
      </c>
      <c r="B2895">
        <v>8123</v>
      </c>
      <c r="C2895" s="100">
        <v>46097</v>
      </c>
      <c r="D2895" t="s">
        <v>13</v>
      </c>
      <c r="E2895" t="s">
        <v>17</v>
      </c>
      <c r="F2895" t="s">
        <v>952</v>
      </c>
      <c r="G2895">
        <v>1244</v>
      </c>
      <c r="H2895">
        <v>58500</v>
      </c>
      <c r="I2895">
        <v>72774000</v>
      </c>
      <c r="K2895" t="s">
        <v>128</v>
      </c>
    </row>
    <row r="2896" spans="1:11" hidden="1" x14ac:dyDescent="0.25">
      <c r="A2896" s="210" t="s">
        <v>1656</v>
      </c>
      <c r="B2896">
        <v>8121</v>
      </c>
      <c r="C2896" s="100">
        <v>46097</v>
      </c>
      <c r="D2896" t="s">
        <v>13</v>
      </c>
      <c r="E2896" t="s">
        <v>77</v>
      </c>
      <c r="F2896" t="s">
        <v>801</v>
      </c>
      <c r="G2896">
        <v>11930</v>
      </c>
      <c r="H2896">
        <v>12000</v>
      </c>
      <c r="I2896">
        <v>143160000</v>
      </c>
    </row>
    <row r="2897" spans="1:9" hidden="1" x14ac:dyDescent="0.25">
      <c r="A2897" s="210" t="s">
        <v>1656</v>
      </c>
      <c r="B2897">
        <v>8121</v>
      </c>
      <c r="C2897" s="100">
        <v>46097</v>
      </c>
      <c r="D2897" t="s">
        <v>13</v>
      </c>
      <c r="E2897" t="s">
        <v>504</v>
      </c>
      <c r="F2897" t="s">
        <v>801</v>
      </c>
      <c r="G2897">
        <v>1622</v>
      </c>
      <c r="H2897">
        <v>10000</v>
      </c>
      <c r="I2897">
        <v>16220000</v>
      </c>
    </row>
    <row r="2898" spans="1:9" hidden="1" x14ac:dyDescent="0.25">
      <c r="A2898" s="210" t="s">
        <v>1653</v>
      </c>
      <c r="B2898">
        <v>8120</v>
      </c>
      <c r="C2898" s="100">
        <v>46097</v>
      </c>
      <c r="D2898" t="s">
        <v>13</v>
      </c>
      <c r="E2898" t="s">
        <v>17</v>
      </c>
      <c r="F2898" t="s">
        <v>1102</v>
      </c>
      <c r="G2898">
        <v>612</v>
      </c>
      <c r="H2898">
        <v>64000</v>
      </c>
      <c r="I2898">
        <v>39168000</v>
      </c>
    </row>
    <row r="2899" spans="1:9" hidden="1" x14ac:dyDescent="0.25">
      <c r="A2899" s="210" t="s">
        <v>1653</v>
      </c>
      <c r="B2899">
        <v>8120</v>
      </c>
      <c r="C2899" s="100">
        <v>46097</v>
      </c>
      <c r="D2899" t="s">
        <v>13</v>
      </c>
      <c r="E2899" t="s">
        <v>746</v>
      </c>
      <c r="F2899" t="s">
        <v>807</v>
      </c>
      <c r="G2899">
        <v>2012</v>
      </c>
      <c r="H2899">
        <v>30500</v>
      </c>
      <c r="I2899">
        <v>61366000</v>
      </c>
    </row>
    <row r="2900" spans="1:9" hidden="1" x14ac:dyDescent="0.25">
      <c r="A2900" s="210" t="s">
        <v>1641</v>
      </c>
      <c r="B2900">
        <v>8119</v>
      </c>
      <c r="C2900" s="100">
        <v>46097</v>
      </c>
      <c r="D2900" t="s">
        <v>13</v>
      </c>
      <c r="E2900" t="s">
        <v>17</v>
      </c>
      <c r="F2900" t="s">
        <v>230</v>
      </c>
      <c r="G2900">
        <v>586</v>
      </c>
      <c r="H2900">
        <v>66000</v>
      </c>
      <c r="I2900">
        <v>38676000</v>
      </c>
    </row>
    <row r="2901" spans="1:9" hidden="1" x14ac:dyDescent="0.25">
      <c r="A2901" s="210" t="s">
        <v>1494</v>
      </c>
      <c r="B2901">
        <v>8118</v>
      </c>
      <c r="C2901" s="100">
        <v>46097</v>
      </c>
      <c r="D2901" t="s">
        <v>13</v>
      </c>
      <c r="E2901" t="s">
        <v>43</v>
      </c>
      <c r="F2901" t="s">
        <v>286</v>
      </c>
      <c r="G2901">
        <v>2472</v>
      </c>
      <c r="H2901">
        <v>56500</v>
      </c>
      <c r="I2901">
        <v>139668000</v>
      </c>
    </row>
    <row r="2902" spans="1:9" hidden="1" x14ac:dyDescent="0.25">
      <c r="A2902" s="210" t="s">
        <v>1637</v>
      </c>
      <c r="B2902">
        <v>8117</v>
      </c>
      <c r="C2902" s="100">
        <v>46097</v>
      </c>
      <c r="D2902" t="s">
        <v>13</v>
      </c>
      <c r="E2902" t="s">
        <v>68</v>
      </c>
      <c r="F2902" t="s">
        <v>1020</v>
      </c>
      <c r="G2902">
        <v>526</v>
      </c>
      <c r="H2902">
        <v>45000</v>
      </c>
      <c r="I2902">
        <v>23670000</v>
      </c>
    </row>
    <row r="2903" spans="1:9" hidden="1" x14ac:dyDescent="0.25">
      <c r="A2903" s="210" t="s">
        <v>1524</v>
      </c>
      <c r="B2903">
        <v>8116</v>
      </c>
      <c r="C2903" s="100">
        <v>46097</v>
      </c>
      <c r="D2903" t="s">
        <v>49</v>
      </c>
      <c r="E2903" t="s">
        <v>43</v>
      </c>
      <c r="F2903" t="s">
        <v>134</v>
      </c>
      <c r="G2903">
        <v>4370</v>
      </c>
      <c r="I2903">
        <v>0</v>
      </c>
    </row>
    <row r="2904" spans="1:9" hidden="1" x14ac:dyDescent="0.25">
      <c r="A2904" s="210" t="s">
        <v>1506</v>
      </c>
      <c r="B2904">
        <v>8115</v>
      </c>
      <c r="C2904" s="100">
        <v>46097</v>
      </c>
      <c r="D2904" t="s">
        <v>13</v>
      </c>
      <c r="E2904" t="s">
        <v>265</v>
      </c>
      <c r="F2904" t="s">
        <v>251</v>
      </c>
      <c r="G2904">
        <v>554</v>
      </c>
      <c r="H2904">
        <v>64000</v>
      </c>
      <c r="I2904">
        <v>35456000</v>
      </c>
    </row>
    <row r="2905" spans="1:9" hidden="1" x14ac:dyDescent="0.25">
      <c r="A2905" s="210" t="s">
        <v>1506</v>
      </c>
      <c r="B2905">
        <v>8115</v>
      </c>
      <c r="C2905" s="100">
        <v>46097</v>
      </c>
      <c r="D2905" t="s">
        <v>13</v>
      </c>
      <c r="E2905" t="s">
        <v>265</v>
      </c>
      <c r="F2905" t="s">
        <v>255</v>
      </c>
      <c r="G2905">
        <v>418</v>
      </c>
      <c r="H2905">
        <v>63000</v>
      </c>
      <c r="I2905">
        <v>26334000</v>
      </c>
    </row>
    <row r="2906" spans="1:9" hidden="1" x14ac:dyDescent="0.25">
      <c r="A2906" s="210" t="s">
        <v>1491</v>
      </c>
      <c r="B2906">
        <v>8114</v>
      </c>
      <c r="C2906" s="100">
        <v>46097</v>
      </c>
      <c r="D2906" t="s">
        <v>13</v>
      </c>
      <c r="E2906" t="s">
        <v>252</v>
      </c>
      <c r="F2906" t="s">
        <v>41</v>
      </c>
      <c r="G2906">
        <v>1064</v>
      </c>
      <c r="H2906">
        <v>38500</v>
      </c>
      <c r="I2906">
        <v>40964000</v>
      </c>
    </row>
    <row r="2907" spans="1:9" hidden="1" x14ac:dyDescent="0.25">
      <c r="A2907" s="210" t="s">
        <v>1491</v>
      </c>
      <c r="B2907">
        <v>8114</v>
      </c>
      <c r="C2907" s="100">
        <v>46097</v>
      </c>
      <c r="D2907" t="s">
        <v>13</v>
      </c>
      <c r="E2907" t="s">
        <v>252</v>
      </c>
      <c r="F2907" t="s">
        <v>136</v>
      </c>
      <c r="G2907">
        <v>994</v>
      </c>
      <c r="H2907">
        <v>38500</v>
      </c>
      <c r="I2907">
        <v>38269000</v>
      </c>
    </row>
    <row r="2908" spans="1:9" hidden="1" x14ac:dyDescent="0.25">
      <c r="A2908" s="210" t="s">
        <v>1491</v>
      </c>
      <c r="B2908">
        <v>8114</v>
      </c>
      <c r="C2908" s="100">
        <v>46097</v>
      </c>
      <c r="D2908" t="s">
        <v>13</v>
      </c>
      <c r="E2908" t="s">
        <v>253</v>
      </c>
      <c r="F2908" t="s">
        <v>254</v>
      </c>
      <c r="G2908">
        <v>783</v>
      </c>
      <c r="H2908">
        <v>56500</v>
      </c>
      <c r="I2908">
        <v>44239500</v>
      </c>
    </row>
    <row r="2909" spans="1:9" hidden="1" x14ac:dyDescent="0.25">
      <c r="A2909" s="210" t="s">
        <v>1493</v>
      </c>
      <c r="B2909">
        <v>8113</v>
      </c>
      <c r="C2909" s="100">
        <v>46097</v>
      </c>
      <c r="D2909" t="s">
        <v>13</v>
      </c>
      <c r="E2909" t="s">
        <v>268</v>
      </c>
      <c r="F2909" t="s">
        <v>269</v>
      </c>
      <c r="G2909">
        <v>1132</v>
      </c>
      <c r="H2909">
        <v>60000</v>
      </c>
      <c r="I2909">
        <v>67920000</v>
      </c>
    </row>
    <row r="2910" spans="1:9" hidden="1" x14ac:dyDescent="0.25">
      <c r="A2910" s="210" t="s">
        <v>1575</v>
      </c>
      <c r="B2910">
        <v>8112</v>
      </c>
      <c r="C2910" s="100">
        <v>46097</v>
      </c>
      <c r="D2910" t="s">
        <v>13</v>
      </c>
      <c r="E2910" t="s">
        <v>17</v>
      </c>
      <c r="F2910" t="s">
        <v>41</v>
      </c>
      <c r="G2910">
        <v>602</v>
      </c>
      <c r="H2910">
        <v>60500</v>
      </c>
      <c r="I2910">
        <v>36421000</v>
      </c>
    </row>
    <row r="2911" spans="1:9" hidden="1" x14ac:dyDescent="0.25">
      <c r="A2911" s="210" t="s">
        <v>1651</v>
      </c>
      <c r="B2911">
        <v>8111</v>
      </c>
      <c r="C2911" s="100">
        <v>46097</v>
      </c>
      <c r="D2911" t="s">
        <v>13</v>
      </c>
      <c r="E2911" t="s">
        <v>54</v>
      </c>
      <c r="F2911" t="s">
        <v>179</v>
      </c>
      <c r="G2911">
        <v>118</v>
      </c>
      <c r="H2911">
        <v>37000</v>
      </c>
      <c r="I2911">
        <v>4366000</v>
      </c>
    </row>
    <row r="2912" spans="1:9" hidden="1" x14ac:dyDescent="0.25">
      <c r="A2912" s="210" t="s">
        <v>1651</v>
      </c>
      <c r="B2912">
        <v>8111</v>
      </c>
      <c r="C2912" s="100">
        <v>46097</v>
      </c>
      <c r="D2912" t="s">
        <v>13</v>
      </c>
      <c r="E2912" t="s">
        <v>54</v>
      </c>
      <c r="F2912" t="s">
        <v>62</v>
      </c>
      <c r="G2912">
        <v>162</v>
      </c>
      <c r="H2912">
        <v>37000</v>
      </c>
      <c r="I2912">
        <v>5994000</v>
      </c>
    </row>
    <row r="2913" spans="1:11" hidden="1" x14ac:dyDescent="0.25">
      <c r="A2913" s="210" t="s">
        <v>1476</v>
      </c>
      <c r="B2913">
        <v>8110</v>
      </c>
      <c r="C2913" s="100">
        <v>46097</v>
      </c>
      <c r="D2913" t="s">
        <v>49</v>
      </c>
      <c r="E2913" t="s">
        <v>68</v>
      </c>
      <c r="F2913" t="s">
        <v>69</v>
      </c>
      <c r="G2913">
        <v>88</v>
      </c>
      <c r="I2913">
        <v>0</v>
      </c>
    </row>
    <row r="2914" spans="1:11" hidden="1" x14ac:dyDescent="0.25">
      <c r="A2914" s="210" t="s">
        <v>1624</v>
      </c>
      <c r="B2914">
        <v>8109</v>
      </c>
      <c r="C2914" s="100">
        <v>46097</v>
      </c>
      <c r="D2914" t="s">
        <v>13</v>
      </c>
      <c r="E2914" t="s">
        <v>14</v>
      </c>
      <c r="F2914" t="s">
        <v>62</v>
      </c>
      <c r="G2914">
        <v>2042</v>
      </c>
      <c r="H2914">
        <v>42500</v>
      </c>
      <c r="I2914">
        <v>86785000</v>
      </c>
    </row>
    <row r="2915" spans="1:11" hidden="1" x14ac:dyDescent="0.25">
      <c r="A2915" s="210" t="s">
        <v>1532</v>
      </c>
      <c r="B2915">
        <v>8108</v>
      </c>
      <c r="C2915" s="100">
        <v>46097</v>
      </c>
      <c r="D2915" t="s">
        <v>49</v>
      </c>
      <c r="E2915" t="s">
        <v>26</v>
      </c>
      <c r="F2915" t="s">
        <v>738</v>
      </c>
      <c r="G2915">
        <v>1233</v>
      </c>
      <c r="I2915">
        <v>0</v>
      </c>
    </row>
    <row r="2916" spans="1:11" hidden="1" x14ac:dyDescent="0.25">
      <c r="A2916" s="210" t="s">
        <v>1650</v>
      </c>
      <c r="B2916">
        <v>8107</v>
      </c>
      <c r="C2916" s="100">
        <v>46097</v>
      </c>
      <c r="D2916" t="s">
        <v>13</v>
      </c>
      <c r="E2916" t="s">
        <v>841</v>
      </c>
      <c r="F2916" t="s">
        <v>1257</v>
      </c>
      <c r="G2916">
        <v>4082</v>
      </c>
      <c r="H2916">
        <v>27500</v>
      </c>
      <c r="I2916">
        <v>112255000</v>
      </c>
    </row>
    <row r="2917" spans="1:11" hidden="1" x14ac:dyDescent="0.25">
      <c r="A2917" s="210" t="s">
        <v>1532</v>
      </c>
      <c r="B2917">
        <v>8106</v>
      </c>
      <c r="C2917" s="100">
        <v>46095</v>
      </c>
      <c r="D2917" t="s">
        <v>13</v>
      </c>
      <c r="E2917" t="s">
        <v>26</v>
      </c>
      <c r="F2917" t="s">
        <v>735</v>
      </c>
      <c r="G2917">
        <v>1695</v>
      </c>
      <c r="H2917">
        <v>28000</v>
      </c>
      <c r="I2917">
        <v>47460000</v>
      </c>
    </row>
    <row r="2918" spans="1:11" hidden="1" x14ac:dyDescent="0.25">
      <c r="A2918" s="210" t="s">
        <v>1532</v>
      </c>
      <c r="B2918">
        <v>8106</v>
      </c>
      <c r="C2918" s="100">
        <v>46095</v>
      </c>
      <c r="D2918" t="s">
        <v>13</v>
      </c>
      <c r="E2918" t="s">
        <v>26</v>
      </c>
      <c r="F2918" t="s">
        <v>736</v>
      </c>
      <c r="G2918">
        <v>1100</v>
      </c>
      <c r="H2918">
        <v>28000</v>
      </c>
      <c r="I2918">
        <v>30800000</v>
      </c>
    </row>
    <row r="2919" spans="1:11" hidden="1" x14ac:dyDescent="0.25">
      <c r="A2919" s="210" t="s">
        <v>1532</v>
      </c>
      <c r="B2919">
        <v>8106</v>
      </c>
      <c r="C2919" s="100">
        <v>46095</v>
      </c>
      <c r="D2919" t="s">
        <v>13</v>
      </c>
      <c r="E2919" t="s">
        <v>26</v>
      </c>
      <c r="F2919" t="s">
        <v>737</v>
      </c>
      <c r="G2919">
        <v>812</v>
      </c>
      <c r="H2919">
        <v>28000</v>
      </c>
      <c r="I2919">
        <v>22736000</v>
      </c>
    </row>
    <row r="2920" spans="1:11" hidden="1" x14ac:dyDescent="0.25">
      <c r="A2920" s="210" t="s">
        <v>1524</v>
      </c>
      <c r="B2920">
        <v>8103</v>
      </c>
      <c r="C2920" s="100">
        <v>46097</v>
      </c>
      <c r="D2920" t="s">
        <v>49</v>
      </c>
      <c r="E2920" t="s">
        <v>17</v>
      </c>
      <c r="F2920" t="s">
        <v>415</v>
      </c>
      <c r="G2920">
        <v>3810</v>
      </c>
      <c r="I2920">
        <v>0</v>
      </c>
    </row>
    <row r="2921" spans="1:11" hidden="1" x14ac:dyDescent="0.25">
      <c r="A2921" s="210" t="s">
        <v>1524</v>
      </c>
      <c r="B2921">
        <v>8103</v>
      </c>
      <c r="C2921" s="100">
        <v>46097</v>
      </c>
      <c r="D2921" t="s">
        <v>49</v>
      </c>
      <c r="E2921" t="s">
        <v>17</v>
      </c>
      <c r="F2921" t="s">
        <v>490</v>
      </c>
      <c r="G2921">
        <v>3508</v>
      </c>
      <c r="I2921">
        <v>0</v>
      </c>
    </row>
    <row r="2922" spans="1:11" hidden="1" x14ac:dyDescent="0.25">
      <c r="A2922" s="210" t="s">
        <v>1648</v>
      </c>
      <c r="B2922">
        <v>8102</v>
      </c>
      <c r="C2922" s="100">
        <v>46095</v>
      </c>
      <c r="D2922" t="s">
        <v>13</v>
      </c>
      <c r="E2922" t="s">
        <v>103</v>
      </c>
      <c r="F2922" t="s">
        <v>1254</v>
      </c>
      <c r="G2922">
        <v>492</v>
      </c>
      <c r="H2922">
        <v>37000</v>
      </c>
      <c r="I2922">
        <v>18204000</v>
      </c>
    </row>
    <row r="2923" spans="1:11" hidden="1" x14ac:dyDescent="0.25">
      <c r="A2923" s="210" t="s">
        <v>1647</v>
      </c>
      <c r="B2923">
        <v>8101</v>
      </c>
      <c r="C2923" s="100">
        <v>46095</v>
      </c>
      <c r="D2923" t="s">
        <v>13</v>
      </c>
      <c r="E2923" t="s">
        <v>17</v>
      </c>
      <c r="F2923" t="s">
        <v>62</v>
      </c>
      <c r="G2923">
        <v>40</v>
      </c>
      <c r="H2923">
        <v>63000</v>
      </c>
      <c r="I2923">
        <v>2520000</v>
      </c>
    </row>
    <row r="2924" spans="1:11" hidden="1" x14ac:dyDescent="0.25">
      <c r="A2924" s="210" t="s">
        <v>1647</v>
      </c>
      <c r="B2924">
        <v>8101</v>
      </c>
      <c r="C2924" s="100">
        <v>46095</v>
      </c>
      <c r="D2924" t="s">
        <v>13</v>
      </c>
      <c r="E2924" t="s">
        <v>17</v>
      </c>
      <c r="F2924" t="s">
        <v>1252</v>
      </c>
      <c r="G2924">
        <v>74</v>
      </c>
      <c r="H2924">
        <v>63000</v>
      </c>
      <c r="I2924">
        <v>4662000</v>
      </c>
    </row>
    <row r="2925" spans="1:11" hidden="1" x14ac:dyDescent="0.25">
      <c r="A2925" s="210" t="s">
        <v>1646</v>
      </c>
      <c r="B2925">
        <v>8100</v>
      </c>
      <c r="C2925" s="100">
        <v>46095</v>
      </c>
      <c r="D2925" t="s">
        <v>13</v>
      </c>
      <c r="E2925" t="s">
        <v>50</v>
      </c>
      <c r="F2925" t="s">
        <v>1248</v>
      </c>
      <c r="G2925">
        <v>693</v>
      </c>
      <c r="H2925">
        <v>58000</v>
      </c>
      <c r="I2925">
        <v>40194000</v>
      </c>
    </row>
    <row r="2926" spans="1:11" hidden="1" x14ac:dyDescent="0.25">
      <c r="A2926" s="210" t="s">
        <v>1568</v>
      </c>
      <c r="B2926">
        <v>8099</v>
      </c>
      <c r="C2926" s="100">
        <v>46095</v>
      </c>
      <c r="D2926" t="s">
        <v>13</v>
      </c>
      <c r="E2926" t="s">
        <v>54</v>
      </c>
      <c r="F2926" t="s">
        <v>185</v>
      </c>
      <c r="G2926">
        <v>930</v>
      </c>
      <c r="H2926">
        <v>34000</v>
      </c>
      <c r="I2926">
        <v>31620000</v>
      </c>
      <c r="K2926" t="s">
        <v>128</v>
      </c>
    </row>
    <row r="2927" spans="1:11" hidden="1" x14ac:dyDescent="0.25">
      <c r="A2927" s="210" t="s">
        <v>1623</v>
      </c>
      <c r="B2927">
        <v>8098</v>
      </c>
      <c r="C2927" s="100">
        <v>46095</v>
      </c>
      <c r="D2927" t="s">
        <v>13</v>
      </c>
      <c r="E2927" t="s">
        <v>43</v>
      </c>
      <c r="F2927" t="s">
        <v>256</v>
      </c>
      <c r="G2927">
        <v>845</v>
      </c>
      <c r="H2927">
        <v>56500</v>
      </c>
      <c r="I2927">
        <v>47742500</v>
      </c>
    </row>
    <row r="2928" spans="1:11" hidden="1" x14ac:dyDescent="0.25">
      <c r="A2928" s="210" t="s">
        <v>1504</v>
      </c>
      <c r="B2928">
        <v>8097</v>
      </c>
      <c r="C2928" s="100">
        <v>46095</v>
      </c>
      <c r="D2928" t="s">
        <v>13</v>
      </c>
      <c r="E2928" t="s">
        <v>314</v>
      </c>
      <c r="F2928" t="s">
        <v>65</v>
      </c>
      <c r="G2928">
        <v>280</v>
      </c>
      <c r="H2928">
        <v>46000</v>
      </c>
      <c r="I2928">
        <v>12880000</v>
      </c>
    </row>
    <row r="2929" spans="1:11" hidden="1" x14ac:dyDescent="0.25">
      <c r="A2929" s="210" t="s">
        <v>1504</v>
      </c>
      <c r="B2929">
        <v>8097</v>
      </c>
      <c r="C2929" s="100">
        <v>46095</v>
      </c>
      <c r="D2929" t="s">
        <v>13</v>
      </c>
      <c r="E2929" t="s">
        <v>68</v>
      </c>
      <c r="F2929" t="s">
        <v>315</v>
      </c>
      <c r="G2929">
        <v>210</v>
      </c>
      <c r="H2929">
        <v>45000</v>
      </c>
      <c r="I2929">
        <v>9450000</v>
      </c>
    </row>
    <row r="2930" spans="1:11" hidden="1" x14ac:dyDescent="0.25">
      <c r="A2930" s="210" t="s">
        <v>1504</v>
      </c>
      <c r="B2930">
        <v>8097</v>
      </c>
      <c r="C2930" s="100">
        <v>46095</v>
      </c>
      <c r="D2930" t="s">
        <v>13</v>
      </c>
      <c r="E2930" t="s">
        <v>173</v>
      </c>
      <c r="F2930" t="s">
        <v>316</v>
      </c>
      <c r="G2930">
        <v>110</v>
      </c>
      <c r="H2930">
        <v>74000</v>
      </c>
      <c r="I2930">
        <v>8140000</v>
      </c>
    </row>
    <row r="2931" spans="1:11" hidden="1" x14ac:dyDescent="0.25">
      <c r="A2931" s="210" t="s">
        <v>1504</v>
      </c>
      <c r="B2931">
        <v>8097</v>
      </c>
      <c r="C2931" s="100">
        <v>46095</v>
      </c>
      <c r="D2931" t="s">
        <v>13</v>
      </c>
      <c r="E2931" t="s">
        <v>317</v>
      </c>
      <c r="F2931" t="s">
        <v>318</v>
      </c>
      <c r="G2931">
        <v>74</v>
      </c>
      <c r="H2931">
        <v>66000</v>
      </c>
      <c r="I2931">
        <v>4884000</v>
      </c>
    </row>
    <row r="2932" spans="1:11" hidden="1" x14ac:dyDescent="0.25">
      <c r="A2932" s="210" t="s">
        <v>1545</v>
      </c>
      <c r="B2932">
        <v>8096</v>
      </c>
      <c r="C2932" s="100">
        <v>46095</v>
      </c>
      <c r="D2932" t="s">
        <v>13</v>
      </c>
      <c r="E2932" t="s">
        <v>77</v>
      </c>
      <c r="F2932" t="s">
        <v>283</v>
      </c>
      <c r="G2932">
        <v>6202</v>
      </c>
      <c r="H2932">
        <v>25000</v>
      </c>
      <c r="I2932">
        <v>155050000</v>
      </c>
      <c r="K2932" t="s">
        <v>903</v>
      </c>
    </row>
    <row r="2933" spans="1:11" hidden="1" x14ac:dyDescent="0.25">
      <c r="A2933" s="210" t="s">
        <v>1524</v>
      </c>
      <c r="B2933">
        <v>8095</v>
      </c>
      <c r="C2933" s="100">
        <v>46095</v>
      </c>
      <c r="D2933" t="s">
        <v>49</v>
      </c>
      <c r="E2933" t="s">
        <v>43</v>
      </c>
      <c r="F2933" t="s">
        <v>251</v>
      </c>
      <c r="G2933">
        <v>552</v>
      </c>
      <c r="I2933">
        <v>0</v>
      </c>
    </row>
    <row r="2934" spans="1:11" hidden="1" x14ac:dyDescent="0.25">
      <c r="A2934" s="210" t="s">
        <v>1478</v>
      </c>
      <c r="B2934">
        <v>8094</v>
      </c>
      <c r="C2934" s="100">
        <v>46095</v>
      </c>
      <c r="D2934" t="s">
        <v>13</v>
      </c>
      <c r="E2934" t="s">
        <v>17</v>
      </c>
      <c r="F2934" t="s">
        <v>30</v>
      </c>
      <c r="G2934">
        <v>1084</v>
      </c>
      <c r="H2934">
        <v>58500</v>
      </c>
      <c r="I2934">
        <v>63414000</v>
      </c>
      <c r="K2934" t="s">
        <v>128</v>
      </c>
    </row>
    <row r="2935" spans="1:11" hidden="1" x14ac:dyDescent="0.25">
      <c r="A2935" s="210" t="s">
        <v>1478</v>
      </c>
      <c r="B2935">
        <v>8094</v>
      </c>
      <c r="C2935" s="100">
        <v>46095</v>
      </c>
      <c r="D2935" t="s">
        <v>13</v>
      </c>
      <c r="E2935" t="s">
        <v>17</v>
      </c>
      <c r="F2935" t="s">
        <v>127</v>
      </c>
      <c r="G2935">
        <v>984</v>
      </c>
      <c r="H2935">
        <v>58500</v>
      </c>
      <c r="I2935">
        <v>57564000</v>
      </c>
      <c r="K2935" t="s">
        <v>128</v>
      </c>
    </row>
    <row r="2936" spans="1:11" hidden="1" x14ac:dyDescent="0.25">
      <c r="A2936" s="210" t="s">
        <v>1645</v>
      </c>
      <c r="B2936">
        <v>8093</v>
      </c>
      <c r="C2936" s="100">
        <v>46095</v>
      </c>
      <c r="D2936" t="s">
        <v>13</v>
      </c>
      <c r="E2936" t="s">
        <v>17</v>
      </c>
      <c r="F2936" t="s">
        <v>249</v>
      </c>
      <c r="G2936">
        <v>162</v>
      </c>
      <c r="H2936">
        <v>66000</v>
      </c>
      <c r="I2936">
        <v>10692000</v>
      </c>
    </row>
    <row r="2937" spans="1:11" hidden="1" x14ac:dyDescent="0.25">
      <c r="A2937" s="210" t="s">
        <v>1645</v>
      </c>
      <c r="B2937">
        <v>8093</v>
      </c>
      <c r="C2937" s="100">
        <v>46095</v>
      </c>
      <c r="D2937" t="s">
        <v>13</v>
      </c>
      <c r="E2937" t="s">
        <v>17</v>
      </c>
      <c r="F2937" t="s">
        <v>33</v>
      </c>
      <c r="G2937">
        <v>396</v>
      </c>
      <c r="H2937">
        <v>66000</v>
      </c>
      <c r="I2937">
        <v>26136000</v>
      </c>
    </row>
    <row r="2938" spans="1:11" hidden="1" x14ac:dyDescent="0.25">
      <c r="A2938" s="210" t="s">
        <v>1645</v>
      </c>
      <c r="B2938">
        <v>8093</v>
      </c>
      <c r="C2938" s="100">
        <v>46095</v>
      </c>
      <c r="D2938" t="s">
        <v>13</v>
      </c>
      <c r="E2938" t="s">
        <v>17</v>
      </c>
      <c r="F2938" t="s">
        <v>127</v>
      </c>
      <c r="G2938">
        <v>474</v>
      </c>
      <c r="H2938">
        <v>66000</v>
      </c>
      <c r="I2938">
        <v>31284000</v>
      </c>
    </row>
    <row r="2939" spans="1:11" hidden="1" x14ac:dyDescent="0.25">
      <c r="A2939" s="210" t="s">
        <v>1475</v>
      </c>
      <c r="B2939">
        <v>8092</v>
      </c>
      <c r="C2939" s="100">
        <v>46095</v>
      </c>
      <c r="D2939" t="s">
        <v>13</v>
      </c>
      <c r="E2939" t="s">
        <v>17</v>
      </c>
      <c r="F2939" t="s">
        <v>31</v>
      </c>
      <c r="G2939">
        <v>1618</v>
      </c>
      <c r="H2939">
        <v>58000</v>
      </c>
      <c r="I2939">
        <v>93844000</v>
      </c>
    </row>
    <row r="2940" spans="1:11" hidden="1" x14ac:dyDescent="0.25">
      <c r="A2940" s="210" t="s">
        <v>1475</v>
      </c>
      <c r="B2940">
        <v>8092</v>
      </c>
      <c r="C2940" s="100">
        <v>46095</v>
      </c>
      <c r="D2940" t="s">
        <v>13</v>
      </c>
      <c r="E2940" t="s">
        <v>17</v>
      </c>
      <c r="F2940" t="s">
        <v>30</v>
      </c>
      <c r="G2940">
        <v>789</v>
      </c>
      <c r="H2940">
        <v>59000</v>
      </c>
      <c r="I2940">
        <v>46551000</v>
      </c>
    </row>
    <row r="2941" spans="1:11" hidden="1" x14ac:dyDescent="0.25">
      <c r="A2941" s="210" t="s">
        <v>1475</v>
      </c>
      <c r="B2941">
        <v>8092</v>
      </c>
      <c r="C2941" s="100">
        <v>46095</v>
      </c>
      <c r="D2941" t="s">
        <v>13</v>
      </c>
      <c r="E2941" t="s">
        <v>17</v>
      </c>
      <c r="F2941" t="s">
        <v>25</v>
      </c>
      <c r="G2941">
        <v>988</v>
      </c>
      <c r="H2941">
        <v>59000</v>
      </c>
      <c r="I2941">
        <v>58292000</v>
      </c>
    </row>
    <row r="2942" spans="1:11" hidden="1" x14ac:dyDescent="0.25">
      <c r="A2942" s="210" t="s">
        <v>1475</v>
      </c>
      <c r="B2942">
        <v>8092</v>
      </c>
      <c r="C2942" s="100">
        <v>46095</v>
      </c>
      <c r="D2942" t="s">
        <v>13</v>
      </c>
      <c r="E2942" t="s">
        <v>32</v>
      </c>
      <c r="F2942" t="s">
        <v>33</v>
      </c>
      <c r="G2942">
        <v>2008</v>
      </c>
      <c r="H2942">
        <v>41000</v>
      </c>
      <c r="I2942">
        <v>82328000</v>
      </c>
    </row>
    <row r="2943" spans="1:11" hidden="1" x14ac:dyDescent="0.25">
      <c r="A2943" s="210" t="s">
        <v>1475</v>
      </c>
      <c r="B2943">
        <v>8092</v>
      </c>
      <c r="C2943" s="100">
        <v>46095</v>
      </c>
      <c r="D2943" t="s">
        <v>13</v>
      </c>
      <c r="E2943" t="s">
        <v>32</v>
      </c>
      <c r="F2943" t="s">
        <v>34</v>
      </c>
      <c r="G2943">
        <v>1088</v>
      </c>
      <c r="H2943">
        <v>41000</v>
      </c>
      <c r="I2943">
        <v>44608000</v>
      </c>
    </row>
    <row r="2944" spans="1:11" hidden="1" x14ac:dyDescent="0.25">
      <c r="A2944" s="210" t="s">
        <v>1633</v>
      </c>
      <c r="B2944">
        <v>8091</v>
      </c>
      <c r="C2944" s="100">
        <v>46095</v>
      </c>
      <c r="D2944" t="s">
        <v>13</v>
      </c>
      <c r="E2944" t="s">
        <v>43</v>
      </c>
      <c r="F2944" t="s">
        <v>136</v>
      </c>
      <c r="G2944">
        <v>5557</v>
      </c>
      <c r="H2944">
        <v>59500</v>
      </c>
      <c r="I2944">
        <v>330641500</v>
      </c>
    </row>
    <row r="2945" spans="1:9" hidden="1" x14ac:dyDescent="0.25">
      <c r="A2945" s="210" t="s">
        <v>1531</v>
      </c>
      <c r="B2945">
        <v>8090</v>
      </c>
      <c r="C2945" s="100">
        <v>46095</v>
      </c>
      <c r="D2945" t="s">
        <v>13</v>
      </c>
      <c r="E2945" t="s">
        <v>109</v>
      </c>
      <c r="F2945" t="s">
        <v>712</v>
      </c>
      <c r="G2945">
        <v>582</v>
      </c>
      <c r="H2945">
        <v>54700</v>
      </c>
      <c r="I2945">
        <v>31835400</v>
      </c>
    </row>
    <row r="2946" spans="1:9" hidden="1" x14ac:dyDescent="0.25">
      <c r="A2946" s="210" t="s">
        <v>1531</v>
      </c>
      <c r="B2946">
        <v>8090</v>
      </c>
      <c r="C2946" s="100">
        <v>46095</v>
      </c>
      <c r="D2946" t="s">
        <v>13</v>
      </c>
      <c r="E2946" t="s">
        <v>109</v>
      </c>
      <c r="F2946" t="s">
        <v>713</v>
      </c>
      <c r="G2946">
        <v>1072</v>
      </c>
      <c r="H2946">
        <v>54700</v>
      </c>
      <c r="I2946">
        <v>58638400</v>
      </c>
    </row>
    <row r="2947" spans="1:9" hidden="1" x14ac:dyDescent="0.25">
      <c r="A2947" s="210" t="s">
        <v>1531</v>
      </c>
      <c r="B2947">
        <v>8090</v>
      </c>
      <c r="C2947" s="100">
        <v>46095</v>
      </c>
      <c r="D2947" t="s">
        <v>13</v>
      </c>
      <c r="E2947" t="s">
        <v>109</v>
      </c>
      <c r="F2947" t="s">
        <v>151</v>
      </c>
      <c r="G2947">
        <v>180</v>
      </c>
      <c r="H2947">
        <v>54700</v>
      </c>
      <c r="I2947">
        <v>9846000</v>
      </c>
    </row>
    <row r="2948" spans="1:9" hidden="1" x14ac:dyDescent="0.25">
      <c r="A2948" s="210" t="s">
        <v>1531</v>
      </c>
      <c r="B2948">
        <v>8090</v>
      </c>
      <c r="C2948" s="100">
        <v>46095</v>
      </c>
      <c r="D2948" t="s">
        <v>13</v>
      </c>
      <c r="E2948" t="s">
        <v>109</v>
      </c>
      <c r="F2948" t="s">
        <v>714</v>
      </c>
      <c r="G2948">
        <v>538</v>
      </c>
      <c r="H2948">
        <v>54700</v>
      </c>
      <c r="I2948">
        <v>29428600</v>
      </c>
    </row>
    <row r="2949" spans="1:9" hidden="1" x14ac:dyDescent="0.25">
      <c r="A2949" s="210" t="s">
        <v>1531</v>
      </c>
      <c r="B2949">
        <v>8090</v>
      </c>
      <c r="C2949" s="100">
        <v>46095</v>
      </c>
      <c r="D2949" t="s">
        <v>13</v>
      </c>
      <c r="E2949" t="s">
        <v>109</v>
      </c>
      <c r="F2949" t="s">
        <v>715</v>
      </c>
      <c r="G2949">
        <v>720</v>
      </c>
      <c r="H2949">
        <v>54700</v>
      </c>
      <c r="I2949">
        <v>39384000</v>
      </c>
    </row>
    <row r="2950" spans="1:9" hidden="1" x14ac:dyDescent="0.25">
      <c r="A2950" s="210" t="s">
        <v>1539</v>
      </c>
      <c r="B2950">
        <v>8089</v>
      </c>
      <c r="C2950" s="100">
        <v>46095</v>
      </c>
      <c r="D2950" t="s">
        <v>13</v>
      </c>
      <c r="E2950" t="s">
        <v>43</v>
      </c>
      <c r="F2950" t="s">
        <v>469</v>
      </c>
      <c r="G2950">
        <v>852</v>
      </c>
      <c r="H2950">
        <v>61000</v>
      </c>
      <c r="I2950">
        <v>51972000</v>
      </c>
    </row>
    <row r="2951" spans="1:9" hidden="1" x14ac:dyDescent="0.25">
      <c r="A2951" s="210" t="s">
        <v>1539</v>
      </c>
      <c r="B2951">
        <v>8089</v>
      </c>
      <c r="C2951" s="100">
        <v>46095</v>
      </c>
      <c r="D2951" t="s">
        <v>13</v>
      </c>
      <c r="E2951" t="s">
        <v>43</v>
      </c>
      <c r="F2951" t="s">
        <v>62</v>
      </c>
      <c r="G2951">
        <v>308</v>
      </c>
      <c r="H2951">
        <v>58500</v>
      </c>
      <c r="I2951">
        <v>18018000</v>
      </c>
    </row>
    <row r="2952" spans="1:9" hidden="1" x14ac:dyDescent="0.25">
      <c r="A2952" s="210" t="s">
        <v>1644</v>
      </c>
      <c r="B2952">
        <v>8088</v>
      </c>
      <c r="C2952" s="100">
        <v>46095</v>
      </c>
      <c r="D2952" t="s">
        <v>13</v>
      </c>
      <c r="E2952" t="s">
        <v>68</v>
      </c>
      <c r="F2952" t="s">
        <v>1245</v>
      </c>
      <c r="G2952">
        <v>582</v>
      </c>
      <c r="H2952">
        <v>42000</v>
      </c>
      <c r="I2952">
        <v>24444000</v>
      </c>
    </row>
    <row r="2953" spans="1:9" hidden="1" x14ac:dyDescent="0.25">
      <c r="A2953" s="210" t="s">
        <v>2548</v>
      </c>
      <c r="B2953">
        <v>8087</v>
      </c>
      <c r="C2953" s="100">
        <v>46095</v>
      </c>
      <c r="D2953" t="s">
        <v>13</v>
      </c>
      <c r="E2953" t="s">
        <v>1029</v>
      </c>
      <c r="F2953" t="s">
        <v>1157</v>
      </c>
      <c r="G2953">
        <v>7080</v>
      </c>
      <c r="H2953">
        <v>29500</v>
      </c>
      <c r="I2953">
        <v>208860000</v>
      </c>
    </row>
    <row r="2954" spans="1:9" hidden="1" x14ac:dyDescent="0.25">
      <c r="A2954" s="210" t="s">
        <v>2548</v>
      </c>
      <c r="B2954">
        <v>8087</v>
      </c>
      <c r="C2954" s="100">
        <v>46095</v>
      </c>
      <c r="D2954" t="s">
        <v>13</v>
      </c>
      <c r="E2954" t="s">
        <v>1158</v>
      </c>
      <c r="F2954" t="s">
        <v>1159</v>
      </c>
      <c r="G2954">
        <v>3664</v>
      </c>
      <c r="H2954">
        <v>29500</v>
      </c>
      <c r="I2954">
        <v>108088000</v>
      </c>
    </row>
    <row r="2955" spans="1:9" hidden="1" x14ac:dyDescent="0.25">
      <c r="A2955" s="210" t="s">
        <v>1494</v>
      </c>
      <c r="B2955">
        <v>8086</v>
      </c>
      <c r="C2955" s="100">
        <v>46095</v>
      </c>
      <c r="D2955" t="s">
        <v>13</v>
      </c>
      <c r="E2955" t="s">
        <v>68</v>
      </c>
      <c r="F2955" t="s">
        <v>284</v>
      </c>
      <c r="G2955">
        <v>176</v>
      </c>
      <c r="H2955">
        <v>41500</v>
      </c>
      <c r="I2955">
        <v>7304000</v>
      </c>
    </row>
    <row r="2956" spans="1:9" hidden="1" x14ac:dyDescent="0.25">
      <c r="A2956" s="210" t="s">
        <v>1494</v>
      </c>
      <c r="B2956">
        <v>8086</v>
      </c>
      <c r="C2956" s="100">
        <v>46095</v>
      </c>
      <c r="D2956" t="s">
        <v>13</v>
      </c>
      <c r="E2956" t="s">
        <v>68</v>
      </c>
      <c r="F2956" t="s">
        <v>285</v>
      </c>
      <c r="G2956">
        <v>582</v>
      </c>
      <c r="H2956">
        <v>41500</v>
      </c>
      <c r="I2956">
        <v>24153000</v>
      </c>
    </row>
    <row r="2957" spans="1:9" hidden="1" x14ac:dyDescent="0.25">
      <c r="A2957" s="210" t="s">
        <v>1641</v>
      </c>
      <c r="B2957">
        <v>8085</v>
      </c>
      <c r="C2957" s="100">
        <v>46095</v>
      </c>
      <c r="D2957" t="s">
        <v>13</v>
      </c>
      <c r="E2957" t="s">
        <v>135</v>
      </c>
      <c r="F2957" t="s">
        <v>1240</v>
      </c>
      <c r="G2957">
        <v>1426</v>
      </c>
      <c r="H2957">
        <v>37000</v>
      </c>
      <c r="I2957">
        <v>52762000</v>
      </c>
    </row>
    <row r="2958" spans="1:9" hidden="1" x14ac:dyDescent="0.25">
      <c r="A2958" s="210" t="s">
        <v>1703</v>
      </c>
      <c r="B2958">
        <v>8084</v>
      </c>
      <c r="C2958" s="100">
        <v>46095</v>
      </c>
      <c r="D2958" t="s">
        <v>13</v>
      </c>
      <c r="E2958" t="s">
        <v>50</v>
      </c>
      <c r="F2958" t="s">
        <v>1236</v>
      </c>
      <c r="G2958">
        <v>642</v>
      </c>
      <c r="H2958">
        <v>58000</v>
      </c>
      <c r="I2958">
        <v>37236000</v>
      </c>
    </row>
    <row r="2959" spans="1:9" hidden="1" x14ac:dyDescent="0.25">
      <c r="A2959" s="210" t="s">
        <v>1485</v>
      </c>
      <c r="B2959">
        <v>8083</v>
      </c>
      <c r="C2959" s="100">
        <v>46095</v>
      </c>
      <c r="D2959" t="s">
        <v>13</v>
      </c>
      <c r="E2959" t="s">
        <v>43</v>
      </c>
      <c r="F2959" t="s">
        <v>198</v>
      </c>
      <c r="G2959">
        <v>1306</v>
      </c>
      <c r="H2959">
        <v>54000</v>
      </c>
      <c r="I2959">
        <v>70524000</v>
      </c>
    </row>
    <row r="2960" spans="1:9" hidden="1" x14ac:dyDescent="0.25">
      <c r="A2960" s="210" t="s">
        <v>1479</v>
      </c>
      <c r="B2960">
        <v>8082</v>
      </c>
      <c r="C2960" s="100">
        <v>46095</v>
      </c>
      <c r="D2960" t="s">
        <v>13</v>
      </c>
      <c r="E2960" t="s">
        <v>168</v>
      </c>
      <c r="F2960" t="s">
        <v>136</v>
      </c>
      <c r="G2960">
        <v>2066</v>
      </c>
      <c r="H2960">
        <v>41500</v>
      </c>
      <c r="I2960">
        <v>85739000</v>
      </c>
    </row>
    <row r="2961" spans="1:11" hidden="1" x14ac:dyDescent="0.25">
      <c r="A2961" s="210" t="s">
        <v>1479</v>
      </c>
      <c r="B2961">
        <v>8082</v>
      </c>
      <c r="C2961" s="100">
        <v>46095</v>
      </c>
      <c r="D2961" t="s">
        <v>13</v>
      </c>
      <c r="E2961" t="s">
        <v>169</v>
      </c>
      <c r="F2961" t="s">
        <v>41</v>
      </c>
      <c r="G2961">
        <v>1714</v>
      </c>
      <c r="H2961">
        <v>38500</v>
      </c>
      <c r="I2961">
        <v>65989000</v>
      </c>
    </row>
    <row r="2962" spans="1:11" hidden="1" x14ac:dyDescent="0.25">
      <c r="A2962" s="210" t="s">
        <v>1479</v>
      </c>
      <c r="B2962">
        <v>8082</v>
      </c>
      <c r="C2962" s="100">
        <v>46095</v>
      </c>
      <c r="D2962" t="s">
        <v>13</v>
      </c>
      <c r="E2962" t="s">
        <v>43</v>
      </c>
      <c r="F2962" t="s">
        <v>41</v>
      </c>
      <c r="G2962">
        <v>2092</v>
      </c>
      <c r="H2962">
        <v>60500</v>
      </c>
      <c r="I2962">
        <v>126566000</v>
      </c>
    </row>
    <row r="2963" spans="1:11" hidden="1" x14ac:dyDescent="0.25">
      <c r="A2963" s="210" t="s">
        <v>1554</v>
      </c>
      <c r="B2963">
        <v>8081</v>
      </c>
      <c r="C2963" s="100">
        <v>46095</v>
      </c>
      <c r="D2963" t="s">
        <v>13</v>
      </c>
      <c r="E2963" t="s">
        <v>36</v>
      </c>
      <c r="F2963" t="s">
        <v>923</v>
      </c>
      <c r="G2963">
        <v>481</v>
      </c>
      <c r="H2963">
        <v>59000</v>
      </c>
      <c r="I2963">
        <v>28379000</v>
      </c>
      <c r="K2963" t="s">
        <v>128</v>
      </c>
    </row>
    <row r="2964" spans="1:11" hidden="1" x14ac:dyDescent="0.25">
      <c r="A2964" s="210" t="s">
        <v>1554</v>
      </c>
      <c r="B2964">
        <v>8081</v>
      </c>
      <c r="C2964" s="100">
        <v>46095</v>
      </c>
      <c r="D2964" t="s">
        <v>13</v>
      </c>
      <c r="E2964" t="s">
        <v>17</v>
      </c>
      <c r="F2964" t="s">
        <v>33</v>
      </c>
      <c r="G2964">
        <v>2124</v>
      </c>
      <c r="H2964">
        <v>58500</v>
      </c>
      <c r="I2964">
        <v>124254000</v>
      </c>
      <c r="K2964" t="s">
        <v>128</v>
      </c>
    </row>
    <row r="2965" spans="1:11" hidden="1" x14ac:dyDescent="0.25">
      <c r="A2965" s="210" t="s">
        <v>1554</v>
      </c>
      <c r="B2965">
        <v>8081</v>
      </c>
      <c r="C2965" s="100">
        <v>46095</v>
      </c>
      <c r="D2965" t="s">
        <v>13</v>
      </c>
      <c r="E2965" t="s">
        <v>17</v>
      </c>
      <c r="F2965" t="s">
        <v>46</v>
      </c>
      <c r="G2965">
        <v>3154</v>
      </c>
      <c r="H2965">
        <v>58500</v>
      </c>
      <c r="I2965">
        <v>184509000</v>
      </c>
      <c r="K2965" t="s">
        <v>128</v>
      </c>
    </row>
    <row r="2966" spans="1:11" hidden="1" x14ac:dyDescent="0.25">
      <c r="A2966" s="210" t="s">
        <v>1518</v>
      </c>
      <c r="B2966">
        <v>8080</v>
      </c>
      <c r="C2966" s="100">
        <v>46095</v>
      </c>
      <c r="D2966" t="s">
        <v>13</v>
      </c>
      <c r="E2966" t="s">
        <v>169</v>
      </c>
      <c r="F2966" t="s">
        <v>441</v>
      </c>
      <c r="G2966">
        <v>518</v>
      </c>
      <c r="H2966">
        <v>38000</v>
      </c>
      <c r="I2966">
        <v>19684000</v>
      </c>
    </row>
    <row r="2967" spans="1:11" hidden="1" x14ac:dyDescent="0.25">
      <c r="A2967" s="210" t="s">
        <v>1518</v>
      </c>
      <c r="B2967">
        <v>8080</v>
      </c>
      <c r="C2967" s="100">
        <v>46095</v>
      </c>
      <c r="D2967" t="s">
        <v>13</v>
      </c>
      <c r="E2967" t="s">
        <v>17</v>
      </c>
      <c r="F2967" t="s">
        <v>254</v>
      </c>
      <c r="G2967">
        <v>800</v>
      </c>
      <c r="H2967">
        <v>58000</v>
      </c>
      <c r="I2967">
        <v>46400000</v>
      </c>
    </row>
    <row r="2968" spans="1:11" hidden="1" x14ac:dyDescent="0.25">
      <c r="A2968" s="210" t="s">
        <v>1518</v>
      </c>
      <c r="B2968">
        <v>8080</v>
      </c>
      <c r="C2968" s="100">
        <v>46095</v>
      </c>
      <c r="D2968" t="s">
        <v>13</v>
      </c>
      <c r="E2968" t="s">
        <v>17</v>
      </c>
      <c r="F2968" t="s">
        <v>441</v>
      </c>
      <c r="G2968">
        <v>950</v>
      </c>
      <c r="H2968">
        <v>58000</v>
      </c>
      <c r="I2968">
        <v>55100000</v>
      </c>
    </row>
    <row r="2969" spans="1:11" hidden="1" x14ac:dyDescent="0.25">
      <c r="A2969" s="210" t="s">
        <v>1518</v>
      </c>
      <c r="B2969">
        <v>8080</v>
      </c>
      <c r="C2969" s="100">
        <v>46095</v>
      </c>
      <c r="D2969" t="s">
        <v>13</v>
      </c>
      <c r="E2969" t="s">
        <v>17</v>
      </c>
      <c r="F2969" t="s">
        <v>267</v>
      </c>
      <c r="G2969">
        <v>929</v>
      </c>
      <c r="H2969">
        <v>59000</v>
      </c>
      <c r="I2969">
        <v>54811000</v>
      </c>
    </row>
    <row r="2970" spans="1:11" hidden="1" x14ac:dyDescent="0.25">
      <c r="A2970" s="210" t="s">
        <v>1518</v>
      </c>
      <c r="B2970">
        <v>8080</v>
      </c>
      <c r="C2970" s="100">
        <v>46095</v>
      </c>
      <c r="D2970" t="s">
        <v>13</v>
      </c>
      <c r="E2970" t="s">
        <v>43</v>
      </c>
      <c r="F2970" t="s">
        <v>203</v>
      </c>
      <c r="G2970">
        <v>104</v>
      </c>
      <c r="H2970">
        <v>61000</v>
      </c>
      <c r="I2970">
        <v>6344000</v>
      </c>
    </row>
    <row r="2971" spans="1:11" hidden="1" x14ac:dyDescent="0.25">
      <c r="A2971" s="210" t="s">
        <v>1518</v>
      </c>
      <c r="B2971">
        <v>8080</v>
      </c>
      <c r="C2971" s="100">
        <v>46095</v>
      </c>
      <c r="D2971" t="s">
        <v>13</v>
      </c>
      <c r="E2971" t="s">
        <v>442</v>
      </c>
      <c r="F2971" t="s">
        <v>245</v>
      </c>
      <c r="G2971">
        <v>550</v>
      </c>
      <c r="H2971">
        <v>57000</v>
      </c>
      <c r="I2971">
        <v>31350000</v>
      </c>
    </row>
    <row r="2972" spans="1:11" hidden="1" x14ac:dyDescent="0.25">
      <c r="A2972" s="210" t="s">
        <v>1556</v>
      </c>
      <c r="B2972">
        <v>8079</v>
      </c>
      <c r="C2972" s="100">
        <v>46095</v>
      </c>
      <c r="D2972" t="s">
        <v>13</v>
      </c>
      <c r="E2972" t="s">
        <v>68</v>
      </c>
      <c r="F2972" t="s">
        <v>936</v>
      </c>
      <c r="G2972">
        <v>520</v>
      </c>
      <c r="H2972">
        <v>43000</v>
      </c>
      <c r="I2972">
        <v>22360000</v>
      </c>
    </row>
    <row r="2973" spans="1:11" hidden="1" x14ac:dyDescent="0.25">
      <c r="A2973" s="210" t="s">
        <v>1639</v>
      </c>
      <c r="B2973">
        <v>8078</v>
      </c>
      <c r="C2973" s="100">
        <v>46095</v>
      </c>
      <c r="D2973" t="s">
        <v>13</v>
      </c>
      <c r="E2973" t="s">
        <v>135</v>
      </c>
      <c r="F2973" t="s">
        <v>134</v>
      </c>
      <c r="G2973">
        <v>5326</v>
      </c>
      <c r="H2973">
        <v>35500</v>
      </c>
      <c r="I2973">
        <v>189073000</v>
      </c>
    </row>
    <row r="2974" spans="1:11" hidden="1" x14ac:dyDescent="0.25">
      <c r="A2974" s="210" t="s">
        <v>1524</v>
      </c>
      <c r="B2974">
        <v>8077</v>
      </c>
      <c r="C2974" s="100">
        <v>46095</v>
      </c>
      <c r="D2974" t="s">
        <v>49</v>
      </c>
      <c r="E2974" t="s">
        <v>17</v>
      </c>
      <c r="F2974" t="s">
        <v>489</v>
      </c>
      <c r="G2974">
        <v>1612</v>
      </c>
      <c r="I2974">
        <v>0</v>
      </c>
    </row>
    <row r="2975" spans="1:11" hidden="1" x14ac:dyDescent="0.25">
      <c r="A2975" s="210" t="s">
        <v>1509</v>
      </c>
      <c r="B2975">
        <v>8076</v>
      </c>
      <c r="C2975" s="100">
        <v>46095</v>
      </c>
      <c r="D2975" t="s">
        <v>13</v>
      </c>
      <c r="E2975" t="s">
        <v>43</v>
      </c>
      <c r="F2975" t="s">
        <v>369</v>
      </c>
      <c r="G2975">
        <v>1133</v>
      </c>
      <c r="H2975">
        <v>58000</v>
      </c>
      <c r="I2975">
        <v>65714000</v>
      </c>
      <c r="K2975" t="s">
        <v>370</v>
      </c>
    </row>
    <row r="2976" spans="1:11" hidden="1" x14ac:dyDescent="0.25">
      <c r="A2976" s="210" t="s">
        <v>1509</v>
      </c>
      <c r="B2976">
        <v>8076</v>
      </c>
      <c r="C2976" s="100">
        <v>46095</v>
      </c>
      <c r="D2976" t="s">
        <v>13</v>
      </c>
      <c r="E2976" t="s">
        <v>43</v>
      </c>
      <c r="F2976" t="s">
        <v>371</v>
      </c>
      <c r="G2976">
        <v>1046</v>
      </c>
      <c r="H2976">
        <v>58000</v>
      </c>
      <c r="I2976">
        <v>60668000</v>
      </c>
      <c r="K2976" t="s">
        <v>370</v>
      </c>
    </row>
    <row r="2977" spans="1:11" hidden="1" x14ac:dyDescent="0.25">
      <c r="A2977" s="210" t="s">
        <v>1554</v>
      </c>
      <c r="B2977">
        <v>8075</v>
      </c>
      <c r="C2977" s="100">
        <v>46094</v>
      </c>
      <c r="D2977" t="s">
        <v>13</v>
      </c>
      <c r="E2977" t="s">
        <v>68</v>
      </c>
      <c r="F2977" t="s">
        <v>921</v>
      </c>
      <c r="G2977">
        <v>142</v>
      </c>
      <c r="H2977">
        <v>42000</v>
      </c>
      <c r="I2977">
        <v>5964000</v>
      </c>
      <c r="K2977" t="s">
        <v>128</v>
      </c>
    </row>
    <row r="2978" spans="1:11" hidden="1" x14ac:dyDescent="0.25">
      <c r="A2978" s="210" t="s">
        <v>1554</v>
      </c>
      <c r="B2978">
        <v>8075</v>
      </c>
      <c r="C2978" s="100">
        <v>46094</v>
      </c>
      <c r="D2978" t="s">
        <v>13</v>
      </c>
      <c r="E2978" t="s">
        <v>17</v>
      </c>
      <c r="F2978" t="s">
        <v>922</v>
      </c>
      <c r="G2978">
        <v>577</v>
      </c>
      <c r="H2978">
        <v>59000</v>
      </c>
      <c r="I2978">
        <v>34043000</v>
      </c>
      <c r="K2978" t="s">
        <v>128</v>
      </c>
    </row>
    <row r="2979" spans="1:11" hidden="1" x14ac:dyDescent="0.25">
      <c r="A2979" s="210" t="s">
        <v>1638</v>
      </c>
      <c r="B2979">
        <v>8074</v>
      </c>
      <c r="C2979" s="100">
        <v>46094</v>
      </c>
      <c r="D2979" t="s">
        <v>13</v>
      </c>
      <c r="E2979" t="s">
        <v>43</v>
      </c>
      <c r="F2979" t="s">
        <v>1230</v>
      </c>
      <c r="G2979">
        <v>5314</v>
      </c>
      <c r="H2979">
        <v>54000</v>
      </c>
      <c r="I2979">
        <v>286956000</v>
      </c>
    </row>
    <row r="2980" spans="1:11" hidden="1" x14ac:dyDescent="0.25">
      <c r="A2980" s="210" t="s">
        <v>1635</v>
      </c>
      <c r="B2980">
        <v>8072</v>
      </c>
      <c r="C2980" s="100">
        <v>46094</v>
      </c>
      <c r="D2980" t="s">
        <v>13</v>
      </c>
      <c r="E2980" t="s">
        <v>43</v>
      </c>
      <c r="F2980" t="s">
        <v>62</v>
      </c>
      <c r="G2980">
        <v>696</v>
      </c>
      <c r="H2980">
        <v>59000</v>
      </c>
      <c r="I2980">
        <v>41064000</v>
      </c>
    </row>
    <row r="2981" spans="1:11" hidden="1" x14ac:dyDescent="0.25">
      <c r="A2981" s="210" t="s">
        <v>1524</v>
      </c>
      <c r="B2981">
        <v>8071</v>
      </c>
      <c r="C2981" s="100">
        <v>46094</v>
      </c>
      <c r="D2981" t="s">
        <v>49</v>
      </c>
      <c r="E2981" t="s">
        <v>32</v>
      </c>
      <c r="F2981" t="s">
        <v>40</v>
      </c>
      <c r="G2981">
        <v>2324</v>
      </c>
      <c r="I2981">
        <v>0</v>
      </c>
    </row>
    <row r="2982" spans="1:11" hidden="1" x14ac:dyDescent="0.25">
      <c r="A2982" s="210" t="s">
        <v>1524</v>
      </c>
      <c r="B2982">
        <v>8070</v>
      </c>
      <c r="C2982" s="100">
        <v>46094</v>
      </c>
      <c r="D2982" t="s">
        <v>49</v>
      </c>
      <c r="E2982" t="s">
        <v>17</v>
      </c>
      <c r="F2982" t="s">
        <v>40</v>
      </c>
      <c r="G2982">
        <v>5730</v>
      </c>
      <c r="I2982">
        <v>0</v>
      </c>
    </row>
    <row r="2983" spans="1:11" hidden="1" x14ac:dyDescent="0.25">
      <c r="A2983" s="210" t="s">
        <v>1580</v>
      </c>
      <c r="B2983">
        <v>8069</v>
      </c>
      <c r="C2983" s="100">
        <v>46094</v>
      </c>
      <c r="D2983" t="s">
        <v>13</v>
      </c>
      <c r="E2983" t="s">
        <v>26</v>
      </c>
      <c r="F2983" t="s">
        <v>206</v>
      </c>
      <c r="G2983">
        <v>714</v>
      </c>
      <c r="H2983">
        <v>34000</v>
      </c>
      <c r="I2983">
        <v>24276000</v>
      </c>
      <c r="K2983" t="s">
        <v>128</v>
      </c>
    </row>
    <row r="2984" spans="1:11" hidden="1" x14ac:dyDescent="0.25">
      <c r="A2984" s="210" t="s">
        <v>1526</v>
      </c>
      <c r="B2984">
        <v>8068</v>
      </c>
      <c r="C2984" s="100">
        <v>46094</v>
      </c>
      <c r="D2984" t="s">
        <v>13</v>
      </c>
      <c r="E2984" t="s">
        <v>43</v>
      </c>
      <c r="F2984" t="s">
        <v>255</v>
      </c>
      <c r="G2984">
        <v>333</v>
      </c>
      <c r="H2984">
        <v>58000</v>
      </c>
      <c r="I2984">
        <v>19314000</v>
      </c>
    </row>
    <row r="2985" spans="1:11" hidden="1" x14ac:dyDescent="0.25">
      <c r="A2985" s="210" t="s">
        <v>1526</v>
      </c>
      <c r="B2985">
        <v>8068</v>
      </c>
      <c r="C2985" s="100">
        <v>46094</v>
      </c>
      <c r="D2985" t="s">
        <v>13</v>
      </c>
      <c r="E2985" t="s">
        <v>143</v>
      </c>
      <c r="F2985" t="s">
        <v>146</v>
      </c>
      <c r="G2985">
        <v>622</v>
      </c>
      <c r="H2985">
        <v>57000</v>
      </c>
      <c r="I2985">
        <v>35454000</v>
      </c>
    </row>
    <row r="2986" spans="1:11" hidden="1" x14ac:dyDescent="0.25">
      <c r="A2986" s="210" t="s">
        <v>1526</v>
      </c>
      <c r="B2986">
        <v>8068</v>
      </c>
      <c r="C2986" s="100">
        <v>46094</v>
      </c>
      <c r="D2986" t="s">
        <v>13</v>
      </c>
      <c r="E2986" t="s">
        <v>434</v>
      </c>
      <c r="F2986" t="s">
        <v>134</v>
      </c>
      <c r="G2986">
        <v>470</v>
      </c>
      <c r="H2986">
        <v>56000</v>
      </c>
      <c r="I2986">
        <v>26320000</v>
      </c>
    </row>
    <row r="2987" spans="1:11" hidden="1" x14ac:dyDescent="0.25">
      <c r="A2987" s="210" t="s">
        <v>1526</v>
      </c>
      <c r="B2987">
        <v>8068</v>
      </c>
      <c r="C2987" s="100">
        <v>46094</v>
      </c>
      <c r="D2987" t="s">
        <v>13</v>
      </c>
      <c r="E2987" t="s">
        <v>143</v>
      </c>
      <c r="F2987" t="s">
        <v>256</v>
      </c>
      <c r="G2987">
        <v>682</v>
      </c>
      <c r="H2987">
        <v>61000</v>
      </c>
      <c r="I2987">
        <v>41602000</v>
      </c>
    </row>
    <row r="2988" spans="1:11" hidden="1" x14ac:dyDescent="0.25">
      <c r="A2988" s="210" t="s">
        <v>1526</v>
      </c>
      <c r="B2988">
        <v>8068</v>
      </c>
      <c r="C2988" s="100">
        <v>46094</v>
      </c>
      <c r="D2988" t="s">
        <v>13</v>
      </c>
      <c r="E2988" t="s">
        <v>277</v>
      </c>
      <c r="F2988" t="s">
        <v>435</v>
      </c>
      <c r="G2988">
        <v>460</v>
      </c>
      <c r="H2988">
        <v>57000</v>
      </c>
      <c r="I2988">
        <v>26220000</v>
      </c>
    </row>
    <row r="2989" spans="1:11" hidden="1" x14ac:dyDescent="0.25">
      <c r="A2989" s="210" t="s">
        <v>1524</v>
      </c>
      <c r="B2989">
        <v>8067</v>
      </c>
      <c r="C2989" s="100">
        <v>46094</v>
      </c>
      <c r="D2989" t="s">
        <v>13</v>
      </c>
      <c r="E2989" t="s">
        <v>43</v>
      </c>
      <c r="F2989" t="s">
        <v>488</v>
      </c>
      <c r="G2989">
        <v>1128</v>
      </c>
      <c r="H2989">
        <v>56500</v>
      </c>
      <c r="I2989">
        <v>63732000</v>
      </c>
    </row>
    <row r="2990" spans="1:11" hidden="1" x14ac:dyDescent="0.25">
      <c r="A2990" s="210" t="s">
        <v>1524</v>
      </c>
      <c r="B2990">
        <v>8067</v>
      </c>
      <c r="C2990" s="100">
        <v>46094</v>
      </c>
      <c r="D2990" t="s">
        <v>13</v>
      </c>
      <c r="E2990" t="s">
        <v>43</v>
      </c>
      <c r="F2990" t="s">
        <v>255</v>
      </c>
      <c r="G2990">
        <v>264</v>
      </c>
      <c r="H2990">
        <v>56500</v>
      </c>
      <c r="I2990">
        <v>14916000</v>
      </c>
    </row>
    <row r="2991" spans="1:11" hidden="1" x14ac:dyDescent="0.25">
      <c r="A2991" s="210" t="s">
        <v>1478</v>
      </c>
      <c r="B2991">
        <v>8066</v>
      </c>
      <c r="C2991" s="100">
        <v>46094</v>
      </c>
      <c r="D2991" t="s">
        <v>13</v>
      </c>
      <c r="E2991" t="s">
        <v>17</v>
      </c>
      <c r="F2991" t="s">
        <v>129</v>
      </c>
      <c r="G2991">
        <v>1406</v>
      </c>
      <c r="H2991">
        <v>57000</v>
      </c>
      <c r="I2991">
        <v>80142000</v>
      </c>
      <c r="K2991" t="s">
        <v>128</v>
      </c>
    </row>
    <row r="2992" spans="1:11" hidden="1" x14ac:dyDescent="0.25">
      <c r="A2992" s="210" t="s">
        <v>1478</v>
      </c>
      <c r="B2992">
        <v>8066</v>
      </c>
      <c r="C2992" s="100">
        <v>46094</v>
      </c>
      <c r="D2992" t="s">
        <v>13</v>
      </c>
      <c r="E2992" t="s">
        <v>17</v>
      </c>
      <c r="F2992" t="s">
        <v>33</v>
      </c>
      <c r="G2992">
        <v>620</v>
      </c>
      <c r="H2992">
        <v>58000</v>
      </c>
      <c r="I2992">
        <v>35960000</v>
      </c>
      <c r="K2992" t="s">
        <v>128</v>
      </c>
    </row>
    <row r="2993" spans="1:11" hidden="1" x14ac:dyDescent="0.25">
      <c r="A2993" s="210" t="s">
        <v>1478</v>
      </c>
      <c r="B2993">
        <v>8066</v>
      </c>
      <c r="C2993" s="100">
        <v>46094</v>
      </c>
      <c r="D2993" t="s">
        <v>13</v>
      </c>
      <c r="E2993" t="s">
        <v>17</v>
      </c>
      <c r="F2993" t="s">
        <v>138</v>
      </c>
      <c r="G2993">
        <v>734</v>
      </c>
      <c r="H2993">
        <v>57000</v>
      </c>
      <c r="I2993">
        <v>41838000</v>
      </c>
      <c r="K2993" t="s">
        <v>128</v>
      </c>
    </row>
    <row r="2994" spans="1:11" hidden="1" x14ac:dyDescent="0.25">
      <c r="A2994" s="210" t="s">
        <v>1478</v>
      </c>
      <c r="B2994">
        <v>8066</v>
      </c>
      <c r="C2994" s="100">
        <v>46094</v>
      </c>
      <c r="D2994" t="s">
        <v>13</v>
      </c>
      <c r="E2994" t="s">
        <v>43</v>
      </c>
      <c r="F2994" t="s">
        <v>139</v>
      </c>
      <c r="G2994">
        <v>750</v>
      </c>
      <c r="H2994">
        <v>54500</v>
      </c>
      <c r="I2994">
        <v>40875000</v>
      </c>
    </row>
    <row r="2995" spans="1:11" hidden="1" x14ac:dyDescent="0.25">
      <c r="A2995" s="210" t="s">
        <v>1478</v>
      </c>
      <c r="B2995">
        <v>8066</v>
      </c>
      <c r="C2995" s="100">
        <v>46094</v>
      </c>
      <c r="D2995" t="s">
        <v>13</v>
      </c>
      <c r="E2995" t="s">
        <v>43</v>
      </c>
      <c r="F2995" t="s">
        <v>140</v>
      </c>
      <c r="G2995">
        <v>1750</v>
      </c>
      <c r="H2995">
        <v>54500</v>
      </c>
      <c r="I2995">
        <v>95375000</v>
      </c>
    </row>
    <row r="2996" spans="1:11" hidden="1" x14ac:dyDescent="0.25">
      <c r="A2996" s="210" t="s">
        <v>1478</v>
      </c>
      <c r="B2996">
        <v>8066</v>
      </c>
      <c r="C2996" s="100">
        <v>46094</v>
      </c>
      <c r="D2996" t="s">
        <v>13</v>
      </c>
      <c r="E2996" t="s">
        <v>43</v>
      </c>
      <c r="F2996" t="s">
        <v>141</v>
      </c>
      <c r="G2996">
        <v>584</v>
      </c>
      <c r="H2996">
        <v>56500</v>
      </c>
      <c r="I2996">
        <v>32996000</v>
      </c>
    </row>
    <row r="2997" spans="1:11" hidden="1" x14ac:dyDescent="0.25">
      <c r="A2997" s="210" t="s">
        <v>1478</v>
      </c>
      <c r="B2997">
        <v>8066</v>
      </c>
      <c r="C2997" s="100">
        <v>46094</v>
      </c>
      <c r="D2997" t="s">
        <v>13</v>
      </c>
      <c r="E2997" t="s">
        <v>43</v>
      </c>
      <c r="F2997" t="s">
        <v>142</v>
      </c>
      <c r="G2997">
        <v>726</v>
      </c>
      <c r="H2997">
        <v>56500</v>
      </c>
      <c r="I2997">
        <v>41019000</v>
      </c>
    </row>
    <row r="2998" spans="1:11" hidden="1" x14ac:dyDescent="0.25">
      <c r="A2998" s="210" t="s">
        <v>1477</v>
      </c>
      <c r="B2998">
        <v>8065</v>
      </c>
      <c r="C2998" s="100">
        <v>46094</v>
      </c>
      <c r="D2998" t="s">
        <v>13</v>
      </c>
      <c r="E2998" t="s">
        <v>17</v>
      </c>
      <c r="F2998" t="s">
        <v>127</v>
      </c>
      <c r="G2998">
        <v>902</v>
      </c>
      <c r="H2998">
        <v>58500</v>
      </c>
      <c r="I2998">
        <v>52767000</v>
      </c>
      <c r="K2998" t="s">
        <v>128</v>
      </c>
    </row>
    <row r="2999" spans="1:11" hidden="1" x14ac:dyDescent="0.25">
      <c r="A2999" s="210" t="s">
        <v>1477</v>
      </c>
      <c r="B2999">
        <v>8065</v>
      </c>
      <c r="C2999" s="100">
        <v>46094</v>
      </c>
      <c r="D2999" t="s">
        <v>13</v>
      </c>
      <c r="E2999" t="s">
        <v>26</v>
      </c>
      <c r="F2999" t="s">
        <v>25</v>
      </c>
      <c r="G2999">
        <v>302</v>
      </c>
      <c r="H2999">
        <v>34000</v>
      </c>
      <c r="I2999">
        <v>10268000</v>
      </c>
    </row>
    <row r="3000" spans="1:11" hidden="1" x14ac:dyDescent="0.25">
      <c r="A3000" s="210" t="s">
        <v>1477</v>
      </c>
      <c r="B3000">
        <v>8065</v>
      </c>
      <c r="C3000" s="100">
        <v>46094</v>
      </c>
      <c r="D3000" t="s">
        <v>13</v>
      </c>
      <c r="E3000" t="s">
        <v>26</v>
      </c>
      <c r="F3000" t="s">
        <v>33</v>
      </c>
      <c r="G3000">
        <v>486</v>
      </c>
      <c r="H3000">
        <v>34000</v>
      </c>
      <c r="I3000">
        <v>16524000</v>
      </c>
      <c r="J3000">
        <v>79559000</v>
      </c>
    </row>
    <row r="3001" spans="1:11" hidden="1" x14ac:dyDescent="0.25">
      <c r="A3001" s="210" t="s">
        <v>1597</v>
      </c>
      <c r="B3001">
        <v>8064</v>
      </c>
      <c r="C3001" s="100">
        <v>46094</v>
      </c>
      <c r="D3001" t="s">
        <v>13</v>
      </c>
      <c r="E3001" t="s">
        <v>50</v>
      </c>
      <c r="F3001" t="s">
        <v>1094</v>
      </c>
      <c r="G3001">
        <v>592</v>
      </c>
      <c r="H3001">
        <v>56000</v>
      </c>
      <c r="I3001">
        <v>33152000</v>
      </c>
    </row>
    <row r="3002" spans="1:11" hidden="1" x14ac:dyDescent="0.25">
      <c r="A3002" s="210" t="s">
        <v>1635</v>
      </c>
      <c r="B3002">
        <v>8063</v>
      </c>
      <c r="C3002" s="100">
        <v>46094</v>
      </c>
      <c r="D3002" t="s">
        <v>13</v>
      </c>
      <c r="E3002" t="s">
        <v>43</v>
      </c>
      <c r="F3002" t="s">
        <v>1225</v>
      </c>
      <c r="G3002">
        <v>140</v>
      </c>
      <c r="H3002">
        <v>59000</v>
      </c>
      <c r="I3002">
        <v>8260000</v>
      </c>
    </row>
    <row r="3003" spans="1:11" hidden="1" x14ac:dyDescent="0.25">
      <c r="A3003" s="210" t="s">
        <v>1635</v>
      </c>
      <c r="B3003">
        <v>8063</v>
      </c>
      <c r="C3003" s="100">
        <v>46094</v>
      </c>
      <c r="D3003" t="s">
        <v>13</v>
      </c>
      <c r="E3003" t="s">
        <v>43</v>
      </c>
      <c r="F3003" t="s">
        <v>1226</v>
      </c>
      <c r="G3003">
        <v>2819</v>
      </c>
      <c r="H3003">
        <v>58000</v>
      </c>
      <c r="I3003">
        <v>163502000</v>
      </c>
    </row>
    <row r="3004" spans="1:11" hidden="1" x14ac:dyDescent="0.25">
      <c r="A3004" s="210" t="s">
        <v>1635</v>
      </c>
      <c r="B3004">
        <v>8063</v>
      </c>
      <c r="C3004" s="100">
        <v>46094</v>
      </c>
      <c r="D3004" t="s">
        <v>13</v>
      </c>
      <c r="E3004" t="s">
        <v>43</v>
      </c>
      <c r="F3004" t="s">
        <v>1188</v>
      </c>
      <c r="G3004">
        <v>3377</v>
      </c>
      <c r="H3004">
        <v>60000</v>
      </c>
      <c r="I3004">
        <v>202620000</v>
      </c>
    </row>
    <row r="3005" spans="1:11" hidden="1" x14ac:dyDescent="0.25">
      <c r="A3005" s="210" t="s">
        <v>1635</v>
      </c>
      <c r="B3005">
        <v>8063</v>
      </c>
      <c r="C3005" s="100">
        <v>46094</v>
      </c>
      <c r="D3005" t="s">
        <v>426</v>
      </c>
      <c r="E3005" t="s">
        <v>43</v>
      </c>
      <c r="F3005" t="s">
        <v>1188</v>
      </c>
      <c r="G3005">
        <v>3377</v>
      </c>
      <c r="H3005">
        <v>-60000</v>
      </c>
      <c r="I3005">
        <v>-202620000</v>
      </c>
    </row>
    <row r="3006" spans="1:11" hidden="1" x14ac:dyDescent="0.25">
      <c r="A3006" s="210" t="s">
        <v>1558</v>
      </c>
      <c r="B3006">
        <v>8062</v>
      </c>
      <c r="C3006" s="100">
        <v>46094</v>
      </c>
      <c r="D3006" t="s">
        <v>13</v>
      </c>
      <c r="E3006" t="s">
        <v>301</v>
      </c>
      <c r="F3006" t="s">
        <v>941</v>
      </c>
      <c r="G3006">
        <v>894</v>
      </c>
      <c r="H3006">
        <v>31000</v>
      </c>
      <c r="I3006">
        <v>27714000</v>
      </c>
    </row>
    <row r="3007" spans="1:11" hidden="1" x14ac:dyDescent="0.25">
      <c r="A3007" s="210" t="s">
        <v>1502</v>
      </c>
      <c r="B3007">
        <v>8061</v>
      </c>
      <c r="C3007" s="100">
        <v>46094</v>
      </c>
      <c r="D3007" t="s">
        <v>13</v>
      </c>
      <c r="E3007" t="s">
        <v>103</v>
      </c>
      <c r="F3007" t="s">
        <v>297</v>
      </c>
      <c r="G3007">
        <v>2052</v>
      </c>
      <c r="H3007">
        <v>36500</v>
      </c>
      <c r="I3007">
        <v>74898000</v>
      </c>
    </row>
    <row r="3008" spans="1:11" hidden="1" x14ac:dyDescent="0.25">
      <c r="A3008" s="210" t="s">
        <v>1575</v>
      </c>
      <c r="B3008">
        <v>8060</v>
      </c>
      <c r="C3008" s="100">
        <v>46094</v>
      </c>
      <c r="D3008" t="s">
        <v>13</v>
      </c>
      <c r="E3008" t="s">
        <v>50</v>
      </c>
      <c r="F3008" t="s">
        <v>969</v>
      </c>
      <c r="G3008">
        <v>2290</v>
      </c>
      <c r="H3008">
        <v>56000</v>
      </c>
      <c r="I3008">
        <v>128240000</v>
      </c>
    </row>
    <row r="3009" spans="1:9" hidden="1" x14ac:dyDescent="0.25">
      <c r="A3009" s="210" t="s">
        <v>1479</v>
      </c>
      <c r="B3009">
        <v>8059</v>
      </c>
      <c r="C3009" s="100">
        <v>46094</v>
      </c>
      <c r="D3009" t="s">
        <v>13</v>
      </c>
      <c r="E3009" t="s">
        <v>68</v>
      </c>
      <c r="F3009" t="s">
        <v>164</v>
      </c>
      <c r="G3009">
        <v>1944</v>
      </c>
      <c r="H3009">
        <v>41500</v>
      </c>
      <c r="I3009">
        <v>80676000</v>
      </c>
    </row>
    <row r="3010" spans="1:9" hidden="1" x14ac:dyDescent="0.25">
      <c r="A3010" s="210" t="s">
        <v>1479</v>
      </c>
      <c r="B3010">
        <v>8059</v>
      </c>
      <c r="C3010" s="100">
        <v>46094</v>
      </c>
      <c r="D3010" t="s">
        <v>13</v>
      </c>
      <c r="E3010" t="s">
        <v>50</v>
      </c>
      <c r="F3010" t="s">
        <v>165</v>
      </c>
      <c r="G3010">
        <v>646</v>
      </c>
      <c r="H3010">
        <v>57000</v>
      </c>
      <c r="I3010">
        <v>36822000</v>
      </c>
    </row>
    <row r="3011" spans="1:9" hidden="1" x14ac:dyDescent="0.25">
      <c r="A3011" s="210" t="s">
        <v>1479</v>
      </c>
      <c r="B3011">
        <v>8059</v>
      </c>
      <c r="C3011" s="100">
        <v>46094</v>
      </c>
      <c r="D3011" t="s">
        <v>13</v>
      </c>
      <c r="E3011" t="s">
        <v>50</v>
      </c>
      <c r="F3011" t="s">
        <v>165</v>
      </c>
      <c r="G3011">
        <v>719</v>
      </c>
      <c r="H3011">
        <v>59000</v>
      </c>
      <c r="I3011">
        <v>42421000</v>
      </c>
    </row>
    <row r="3012" spans="1:9" hidden="1" x14ac:dyDescent="0.25">
      <c r="A3012" s="210" t="s">
        <v>1479</v>
      </c>
      <c r="B3012">
        <v>8059</v>
      </c>
      <c r="C3012" s="100">
        <v>46094</v>
      </c>
      <c r="D3012" t="s">
        <v>166</v>
      </c>
      <c r="E3012" t="s">
        <v>77</v>
      </c>
      <c r="F3012" t="s">
        <v>167</v>
      </c>
      <c r="G3012">
        <v>-211</v>
      </c>
      <c r="H3012">
        <v>35000</v>
      </c>
      <c r="I3012">
        <v>-7385000</v>
      </c>
    </row>
    <row r="3013" spans="1:9" hidden="1" x14ac:dyDescent="0.25">
      <c r="A3013" s="210" t="s">
        <v>1577</v>
      </c>
      <c r="B3013">
        <v>8058</v>
      </c>
      <c r="C3013" s="100">
        <v>46094</v>
      </c>
      <c r="D3013" t="s">
        <v>13</v>
      </c>
      <c r="E3013" t="s">
        <v>43</v>
      </c>
      <c r="F3013" t="s">
        <v>979</v>
      </c>
      <c r="G3013">
        <v>369</v>
      </c>
      <c r="H3013">
        <v>57500</v>
      </c>
      <c r="I3013">
        <v>21217500</v>
      </c>
    </row>
    <row r="3014" spans="1:9" hidden="1" x14ac:dyDescent="0.25">
      <c r="A3014" s="210" t="s">
        <v>1577</v>
      </c>
      <c r="B3014">
        <v>8058</v>
      </c>
      <c r="C3014" s="100">
        <v>46094</v>
      </c>
      <c r="D3014" t="s">
        <v>13</v>
      </c>
      <c r="E3014" t="s">
        <v>43</v>
      </c>
      <c r="F3014" t="s">
        <v>220</v>
      </c>
      <c r="G3014">
        <v>1660</v>
      </c>
      <c r="H3014">
        <v>58500</v>
      </c>
      <c r="I3014">
        <v>97110000</v>
      </c>
    </row>
    <row r="3015" spans="1:9" hidden="1" x14ac:dyDescent="0.25">
      <c r="A3015" s="210" t="s">
        <v>1633</v>
      </c>
      <c r="B3015">
        <v>8057</v>
      </c>
      <c r="C3015" s="100">
        <v>46094</v>
      </c>
      <c r="D3015" t="s">
        <v>13</v>
      </c>
      <c r="E3015" t="s">
        <v>701</v>
      </c>
      <c r="F3015" t="s">
        <v>78</v>
      </c>
      <c r="G3015">
        <v>2456</v>
      </c>
      <c r="H3015">
        <v>44000</v>
      </c>
      <c r="I3015">
        <v>108064000</v>
      </c>
    </row>
    <row r="3016" spans="1:9" hidden="1" x14ac:dyDescent="0.25">
      <c r="A3016" s="210" t="s">
        <v>1633</v>
      </c>
      <c r="B3016">
        <v>8057</v>
      </c>
      <c r="C3016" s="100">
        <v>46094</v>
      </c>
      <c r="D3016" t="s">
        <v>13</v>
      </c>
      <c r="E3016" t="s">
        <v>17</v>
      </c>
      <c r="F3016" t="s">
        <v>134</v>
      </c>
      <c r="G3016">
        <v>472</v>
      </c>
      <c r="H3016">
        <v>58000</v>
      </c>
      <c r="I3016">
        <v>27376000</v>
      </c>
    </row>
    <row r="3017" spans="1:9" hidden="1" x14ac:dyDescent="0.25">
      <c r="A3017" s="210" t="s">
        <v>1532</v>
      </c>
      <c r="B3017">
        <v>8056</v>
      </c>
      <c r="C3017" s="100">
        <v>46094</v>
      </c>
      <c r="D3017" t="s">
        <v>49</v>
      </c>
      <c r="E3017" t="s">
        <v>729</v>
      </c>
      <c r="F3017" t="s">
        <v>734</v>
      </c>
      <c r="G3017">
        <v>8908</v>
      </c>
      <c r="I3017">
        <v>0</v>
      </c>
    </row>
    <row r="3018" spans="1:9" hidden="1" x14ac:dyDescent="0.25">
      <c r="A3018" s="210" t="s">
        <v>1558</v>
      </c>
      <c r="B3018">
        <v>8055</v>
      </c>
      <c r="C3018" s="100">
        <v>46094</v>
      </c>
      <c r="D3018" t="s">
        <v>13</v>
      </c>
      <c r="E3018" t="s">
        <v>301</v>
      </c>
      <c r="F3018" t="s">
        <v>942</v>
      </c>
      <c r="G3018">
        <v>5670</v>
      </c>
      <c r="H3018">
        <v>24000</v>
      </c>
      <c r="I3018">
        <v>136080000</v>
      </c>
    </row>
    <row r="3019" spans="1:9" hidden="1" x14ac:dyDescent="0.25">
      <c r="A3019" s="210" t="s">
        <v>1558</v>
      </c>
      <c r="B3019">
        <v>8055</v>
      </c>
      <c r="C3019" s="100">
        <v>46094</v>
      </c>
      <c r="D3019" t="s">
        <v>13</v>
      </c>
      <c r="E3019" t="s">
        <v>301</v>
      </c>
      <c r="F3019" t="s">
        <v>942</v>
      </c>
      <c r="G3019">
        <v>1878</v>
      </c>
      <c r="H3019">
        <v>24000</v>
      </c>
      <c r="I3019">
        <v>45072000</v>
      </c>
    </row>
    <row r="3020" spans="1:9" hidden="1" x14ac:dyDescent="0.25">
      <c r="A3020" s="210" t="s">
        <v>1525</v>
      </c>
      <c r="B3020">
        <v>8054</v>
      </c>
      <c r="C3020" s="100">
        <v>46094</v>
      </c>
      <c r="D3020" t="s">
        <v>13</v>
      </c>
      <c r="E3020" t="s">
        <v>17</v>
      </c>
      <c r="F3020" t="s">
        <v>672</v>
      </c>
      <c r="G3020">
        <v>2691</v>
      </c>
      <c r="H3020">
        <v>61000</v>
      </c>
      <c r="I3020">
        <v>164151000</v>
      </c>
    </row>
    <row r="3021" spans="1:9" hidden="1" x14ac:dyDescent="0.25">
      <c r="A3021" s="210" t="s">
        <v>1525</v>
      </c>
      <c r="B3021">
        <v>8054</v>
      </c>
      <c r="C3021" s="100">
        <v>46094</v>
      </c>
      <c r="D3021" t="s">
        <v>13</v>
      </c>
      <c r="E3021" t="s">
        <v>2133</v>
      </c>
      <c r="F3021">
        <v>0.08</v>
      </c>
      <c r="G3021">
        <v>1</v>
      </c>
      <c r="H3021">
        <v>-18182000</v>
      </c>
      <c r="I3021">
        <v>-18182000</v>
      </c>
    </row>
    <row r="3022" spans="1:9" hidden="1" x14ac:dyDescent="0.25">
      <c r="A3022" s="210" t="s">
        <v>1476</v>
      </c>
      <c r="B3022">
        <v>8053</v>
      </c>
      <c r="C3022" s="100">
        <v>46094</v>
      </c>
      <c r="D3022" t="s">
        <v>49</v>
      </c>
      <c r="E3022" t="s">
        <v>50</v>
      </c>
      <c r="F3022" t="s">
        <v>67</v>
      </c>
      <c r="G3022">
        <v>481</v>
      </c>
      <c r="I3022">
        <v>0</v>
      </c>
    </row>
    <row r="3023" spans="1:9" hidden="1" x14ac:dyDescent="0.25">
      <c r="A3023" s="210" t="s">
        <v>1558</v>
      </c>
      <c r="B3023">
        <v>8052</v>
      </c>
      <c r="C3023" s="100">
        <v>46094</v>
      </c>
      <c r="D3023" t="s">
        <v>13</v>
      </c>
      <c r="E3023" t="s">
        <v>301</v>
      </c>
      <c r="F3023" t="s">
        <v>942</v>
      </c>
      <c r="G3023">
        <v>10654</v>
      </c>
      <c r="H3023">
        <v>24000</v>
      </c>
      <c r="I3023">
        <v>255696000</v>
      </c>
    </row>
    <row r="3024" spans="1:9" hidden="1" x14ac:dyDescent="0.25">
      <c r="A3024" s="210" t="s">
        <v>1622</v>
      </c>
      <c r="B3024">
        <v>8051</v>
      </c>
      <c r="C3024" s="100">
        <v>46093</v>
      </c>
      <c r="D3024" t="s">
        <v>13</v>
      </c>
      <c r="E3024" t="s">
        <v>270</v>
      </c>
      <c r="F3024" t="s">
        <v>41</v>
      </c>
      <c r="G3024">
        <v>544</v>
      </c>
      <c r="H3024">
        <v>63000</v>
      </c>
      <c r="I3024">
        <v>34272000</v>
      </c>
    </row>
    <row r="3025" spans="1:10" hidden="1" x14ac:dyDescent="0.25">
      <c r="A3025" s="210" t="s">
        <v>1622</v>
      </c>
      <c r="B3025">
        <v>8051</v>
      </c>
      <c r="C3025" s="100">
        <v>46093</v>
      </c>
      <c r="D3025" t="s">
        <v>13</v>
      </c>
      <c r="E3025" t="s">
        <v>50</v>
      </c>
      <c r="F3025" t="s">
        <v>1179</v>
      </c>
      <c r="G3025">
        <v>34</v>
      </c>
      <c r="H3025">
        <v>59000</v>
      </c>
      <c r="I3025">
        <v>2006000</v>
      </c>
    </row>
    <row r="3026" spans="1:10" hidden="1" x14ac:dyDescent="0.25">
      <c r="A3026" s="210" t="s">
        <v>1622</v>
      </c>
      <c r="B3026">
        <v>8051</v>
      </c>
      <c r="C3026" s="100">
        <v>46093</v>
      </c>
      <c r="D3026" t="s">
        <v>13</v>
      </c>
      <c r="E3026" t="s">
        <v>103</v>
      </c>
      <c r="F3026" t="s">
        <v>1180</v>
      </c>
      <c r="G3026">
        <v>290</v>
      </c>
      <c r="H3026">
        <v>38000</v>
      </c>
      <c r="I3026">
        <v>11020000</v>
      </c>
    </row>
    <row r="3027" spans="1:10" hidden="1" x14ac:dyDescent="0.25">
      <c r="A3027" s="210" t="s">
        <v>1628</v>
      </c>
      <c r="B3027">
        <v>8050</v>
      </c>
      <c r="C3027" s="100">
        <v>46093</v>
      </c>
      <c r="D3027" t="s">
        <v>13</v>
      </c>
      <c r="E3027" t="s">
        <v>1029</v>
      </c>
      <c r="F3027" t="s">
        <v>1205</v>
      </c>
      <c r="G3027">
        <v>17931</v>
      </c>
      <c r="H3027">
        <v>26000</v>
      </c>
      <c r="I3027">
        <v>466206000</v>
      </c>
    </row>
    <row r="3028" spans="1:10" hidden="1" x14ac:dyDescent="0.25">
      <c r="A3028" s="210" t="s">
        <v>1632</v>
      </c>
      <c r="B3028">
        <v>8049</v>
      </c>
      <c r="C3028" s="100">
        <v>46093</v>
      </c>
      <c r="D3028" t="s">
        <v>13</v>
      </c>
      <c r="E3028" t="s">
        <v>14</v>
      </c>
      <c r="F3028" t="s">
        <v>163</v>
      </c>
      <c r="G3028">
        <v>274</v>
      </c>
      <c r="H3028">
        <v>42000</v>
      </c>
      <c r="I3028">
        <v>11508000</v>
      </c>
    </row>
    <row r="3029" spans="1:10" hidden="1" x14ac:dyDescent="0.25">
      <c r="A3029" s="210" t="s">
        <v>1632</v>
      </c>
      <c r="B3029">
        <v>8049</v>
      </c>
      <c r="C3029" s="100">
        <v>46093</v>
      </c>
      <c r="D3029" t="s">
        <v>13</v>
      </c>
      <c r="E3029" t="s">
        <v>14</v>
      </c>
      <c r="F3029" t="s">
        <v>1188</v>
      </c>
      <c r="G3029">
        <v>1002</v>
      </c>
      <c r="H3029">
        <v>42000</v>
      </c>
      <c r="I3029">
        <v>42084000</v>
      </c>
    </row>
    <row r="3030" spans="1:10" hidden="1" x14ac:dyDescent="0.25">
      <c r="A3030" s="210" t="s">
        <v>1632</v>
      </c>
      <c r="B3030">
        <v>8049</v>
      </c>
      <c r="C3030" s="100">
        <v>46093</v>
      </c>
      <c r="D3030" t="s">
        <v>13</v>
      </c>
      <c r="E3030" t="s">
        <v>50</v>
      </c>
      <c r="F3030" t="s">
        <v>1220</v>
      </c>
      <c r="G3030">
        <v>168</v>
      </c>
      <c r="H3030">
        <v>58500</v>
      </c>
      <c r="I3030">
        <v>9828000</v>
      </c>
    </row>
    <row r="3031" spans="1:10" hidden="1" x14ac:dyDescent="0.25">
      <c r="A3031" s="210" t="s">
        <v>1632</v>
      </c>
      <c r="B3031">
        <v>8049</v>
      </c>
      <c r="C3031" s="100">
        <v>46093</v>
      </c>
      <c r="D3031" t="s">
        <v>13</v>
      </c>
      <c r="E3031" t="s">
        <v>50</v>
      </c>
      <c r="F3031" t="s">
        <v>1221</v>
      </c>
      <c r="G3031">
        <v>232</v>
      </c>
      <c r="H3031">
        <v>58500</v>
      </c>
      <c r="I3031">
        <v>13572000</v>
      </c>
      <c r="J3031">
        <v>3600</v>
      </c>
    </row>
    <row r="3032" spans="1:10" hidden="1" x14ac:dyDescent="0.25">
      <c r="A3032" s="210" t="s">
        <v>1632</v>
      </c>
      <c r="B3032">
        <v>8048</v>
      </c>
      <c r="C3032" s="100">
        <v>46093</v>
      </c>
      <c r="D3032" t="s">
        <v>13</v>
      </c>
      <c r="E3032" t="s">
        <v>17</v>
      </c>
      <c r="F3032" t="s">
        <v>834</v>
      </c>
      <c r="G3032">
        <v>2392</v>
      </c>
      <c r="H3032">
        <v>64500</v>
      </c>
      <c r="I3032">
        <v>154284000</v>
      </c>
    </row>
    <row r="3033" spans="1:10" hidden="1" x14ac:dyDescent="0.25">
      <c r="A3033" s="210" t="s">
        <v>1632</v>
      </c>
      <c r="B3033">
        <v>8048</v>
      </c>
      <c r="C3033" s="100">
        <v>46093</v>
      </c>
      <c r="D3033" t="s">
        <v>13</v>
      </c>
      <c r="E3033" t="s">
        <v>17</v>
      </c>
      <c r="F3033" t="s">
        <v>1219</v>
      </c>
      <c r="G3033">
        <v>2715</v>
      </c>
      <c r="H3033">
        <v>62000</v>
      </c>
      <c r="I3033">
        <v>168330000</v>
      </c>
    </row>
    <row r="3034" spans="1:10" hidden="1" x14ac:dyDescent="0.25">
      <c r="A3034" s="210" t="s">
        <v>1632</v>
      </c>
      <c r="B3034">
        <v>8048</v>
      </c>
      <c r="C3034" s="100">
        <v>46093</v>
      </c>
      <c r="D3034" t="s">
        <v>13</v>
      </c>
      <c r="E3034" t="s">
        <v>17</v>
      </c>
      <c r="F3034" t="s">
        <v>1188</v>
      </c>
      <c r="G3034">
        <v>1189</v>
      </c>
      <c r="H3034">
        <v>62000</v>
      </c>
      <c r="I3034">
        <v>73718000</v>
      </c>
    </row>
    <row r="3035" spans="1:10" hidden="1" x14ac:dyDescent="0.25">
      <c r="A3035" s="210" t="s">
        <v>1632</v>
      </c>
      <c r="B3035">
        <v>8048</v>
      </c>
      <c r="C3035" s="100">
        <v>46093</v>
      </c>
      <c r="D3035" t="s">
        <v>13</v>
      </c>
      <c r="E3035" t="s">
        <v>17</v>
      </c>
      <c r="F3035" t="s">
        <v>689</v>
      </c>
      <c r="G3035">
        <v>1242</v>
      </c>
      <c r="H3035">
        <v>63000</v>
      </c>
      <c r="I3035">
        <v>78246000</v>
      </c>
    </row>
    <row r="3036" spans="1:10" hidden="1" x14ac:dyDescent="0.25">
      <c r="A3036" s="210" t="s">
        <v>1630</v>
      </c>
      <c r="B3036">
        <v>8047</v>
      </c>
      <c r="C3036" s="100">
        <v>46093</v>
      </c>
      <c r="D3036" t="s">
        <v>13</v>
      </c>
      <c r="E3036" t="s">
        <v>854</v>
      </c>
      <c r="F3036" t="s">
        <v>1216</v>
      </c>
      <c r="G3036">
        <v>620</v>
      </c>
      <c r="H3036">
        <v>40000</v>
      </c>
      <c r="I3036">
        <v>24800000</v>
      </c>
    </row>
    <row r="3037" spans="1:10" hidden="1" x14ac:dyDescent="0.25">
      <c r="A3037" s="210" t="s">
        <v>1524</v>
      </c>
      <c r="B3037">
        <v>8046</v>
      </c>
      <c r="C3037" s="100">
        <v>46093</v>
      </c>
      <c r="D3037" t="s">
        <v>49</v>
      </c>
      <c r="E3037" t="s">
        <v>253</v>
      </c>
      <c r="F3037" t="s">
        <v>251</v>
      </c>
      <c r="G3037">
        <v>1695</v>
      </c>
      <c r="I3037">
        <v>0</v>
      </c>
    </row>
    <row r="3038" spans="1:10" hidden="1" x14ac:dyDescent="0.25">
      <c r="A3038" s="210" t="s">
        <v>1512</v>
      </c>
      <c r="B3038">
        <v>8045</v>
      </c>
      <c r="C3038" s="100">
        <v>46093</v>
      </c>
      <c r="D3038" t="s">
        <v>13</v>
      </c>
      <c r="E3038" t="s">
        <v>43</v>
      </c>
      <c r="F3038" t="s">
        <v>78</v>
      </c>
      <c r="G3038">
        <v>425</v>
      </c>
      <c r="H3038">
        <v>59000</v>
      </c>
      <c r="I3038">
        <v>25075000</v>
      </c>
    </row>
    <row r="3039" spans="1:10" hidden="1" x14ac:dyDescent="0.25">
      <c r="A3039" s="210" t="s">
        <v>1573</v>
      </c>
      <c r="B3039">
        <v>8044</v>
      </c>
      <c r="C3039" s="100">
        <v>46093</v>
      </c>
      <c r="D3039" t="s">
        <v>13</v>
      </c>
      <c r="E3039" t="s">
        <v>43</v>
      </c>
      <c r="F3039" t="s">
        <v>371</v>
      </c>
      <c r="G3039">
        <v>602</v>
      </c>
      <c r="H3039">
        <v>58000</v>
      </c>
      <c r="I3039">
        <v>34916000</v>
      </c>
    </row>
    <row r="3040" spans="1:10" hidden="1" x14ac:dyDescent="0.25">
      <c r="A3040" s="210" t="s">
        <v>1587</v>
      </c>
      <c r="B3040">
        <v>8042</v>
      </c>
      <c r="C3040" s="100">
        <v>46093</v>
      </c>
      <c r="D3040" t="s">
        <v>13</v>
      </c>
      <c r="E3040" t="s">
        <v>14</v>
      </c>
      <c r="F3040" t="s">
        <v>220</v>
      </c>
      <c r="G3040">
        <v>832</v>
      </c>
      <c r="H3040">
        <v>43000</v>
      </c>
      <c r="I3040">
        <v>35776000</v>
      </c>
    </row>
    <row r="3041" spans="1:11" hidden="1" x14ac:dyDescent="0.25">
      <c r="A3041" s="210" t="s">
        <v>1568</v>
      </c>
      <c r="B3041">
        <v>8041</v>
      </c>
      <c r="C3041" s="100">
        <v>46093</v>
      </c>
      <c r="D3041" t="s">
        <v>13</v>
      </c>
      <c r="E3041" t="s">
        <v>17</v>
      </c>
      <c r="F3041" t="s">
        <v>873</v>
      </c>
      <c r="G3041">
        <v>1778</v>
      </c>
      <c r="H3041">
        <v>58500</v>
      </c>
      <c r="I3041">
        <v>104013000</v>
      </c>
      <c r="K3041" t="s">
        <v>128</v>
      </c>
    </row>
    <row r="3042" spans="1:11" hidden="1" x14ac:dyDescent="0.25">
      <c r="A3042" s="210" t="s">
        <v>1568</v>
      </c>
      <c r="B3042">
        <v>8041</v>
      </c>
      <c r="C3042" s="100">
        <v>46093</v>
      </c>
      <c r="D3042" t="s">
        <v>13</v>
      </c>
      <c r="E3042" t="s">
        <v>17</v>
      </c>
      <c r="F3042" t="s">
        <v>25</v>
      </c>
      <c r="G3042">
        <v>480</v>
      </c>
      <c r="H3042">
        <v>58500</v>
      </c>
      <c r="I3042">
        <v>28080000</v>
      </c>
    </row>
    <row r="3043" spans="1:11" hidden="1" x14ac:dyDescent="0.25">
      <c r="A3043" s="210" t="s">
        <v>1568</v>
      </c>
      <c r="B3043">
        <v>8041</v>
      </c>
      <c r="C3043" s="100">
        <v>46093</v>
      </c>
      <c r="D3043" t="s">
        <v>13</v>
      </c>
      <c r="E3043" t="s">
        <v>17</v>
      </c>
      <c r="F3043" t="s">
        <v>956</v>
      </c>
      <c r="G3043">
        <v>1886</v>
      </c>
      <c r="H3043">
        <v>58500</v>
      </c>
      <c r="I3043">
        <v>110331000</v>
      </c>
    </row>
    <row r="3044" spans="1:11" hidden="1" x14ac:dyDescent="0.25">
      <c r="A3044" s="210" t="s">
        <v>1548</v>
      </c>
      <c r="B3044">
        <v>8040</v>
      </c>
      <c r="C3044" s="100">
        <v>46093</v>
      </c>
      <c r="D3044" t="s">
        <v>13</v>
      </c>
      <c r="E3044" t="s">
        <v>150</v>
      </c>
      <c r="F3044" t="s">
        <v>390</v>
      </c>
      <c r="G3044">
        <v>1598</v>
      </c>
      <c r="H3044">
        <v>34000</v>
      </c>
      <c r="I3044">
        <v>54332000</v>
      </c>
    </row>
    <row r="3045" spans="1:11" hidden="1" x14ac:dyDescent="0.25">
      <c r="A3045" s="210" t="s">
        <v>1582</v>
      </c>
      <c r="B3045">
        <v>8038</v>
      </c>
      <c r="C3045" s="100">
        <v>46093</v>
      </c>
      <c r="D3045" t="s">
        <v>13</v>
      </c>
      <c r="E3045" t="s">
        <v>68</v>
      </c>
      <c r="F3045" t="s">
        <v>1005</v>
      </c>
      <c r="G3045">
        <v>614</v>
      </c>
      <c r="H3045">
        <v>43000</v>
      </c>
      <c r="I3045">
        <v>26402000</v>
      </c>
    </row>
    <row r="3046" spans="1:11" hidden="1" x14ac:dyDescent="0.25">
      <c r="A3046" s="210" t="s">
        <v>1582</v>
      </c>
      <c r="B3046">
        <v>8038</v>
      </c>
      <c r="C3046" s="100">
        <v>46093</v>
      </c>
      <c r="D3046" t="s">
        <v>13</v>
      </c>
      <c r="E3046" t="s">
        <v>26</v>
      </c>
      <c r="F3046" t="s">
        <v>211</v>
      </c>
      <c r="G3046">
        <v>854</v>
      </c>
      <c r="H3046">
        <v>36000</v>
      </c>
      <c r="I3046">
        <v>30744000</v>
      </c>
    </row>
    <row r="3047" spans="1:11" hidden="1" x14ac:dyDescent="0.25">
      <c r="A3047" s="210" t="s">
        <v>1491</v>
      </c>
      <c r="B3047">
        <v>8037</v>
      </c>
      <c r="C3047" s="100">
        <v>46093</v>
      </c>
      <c r="D3047" t="s">
        <v>13</v>
      </c>
      <c r="E3047" t="s">
        <v>17</v>
      </c>
      <c r="F3047" t="s">
        <v>162</v>
      </c>
      <c r="G3047">
        <v>1746</v>
      </c>
      <c r="H3047">
        <v>59000</v>
      </c>
      <c r="I3047">
        <v>103014000</v>
      </c>
    </row>
    <row r="3048" spans="1:11" hidden="1" x14ac:dyDescent="0.25">
      <c r="A3048" s="210" t="s">
        <v>1491</v>
      </c>
      <c r="B3048">
        <v>8037</v>
      </c>
      <c r="C3048" s="100">
        <v>46093</v>
      </c>
      <c r="D3048" t="s">
        <v>13</v>
      </c>
      <c r="E3048" t="s">
        <v>17</v>
      </c>
      <c r="F3048" t="s">
        <v>251</v>
      </c>
      <c r="G3048">
        <v>1534</v>
      </c>
      <c r="H3048">
        <v>62000</v>
      </c>
      <c r="I3048">
        <v>95108000</v>
      </c>
    </row>
    <row r="3049" spans="1:11" hidden="1" x14ac:dyDescent="0.25">
      <c r="A3049" s="210" t="s">
        <v>1545</v>
      </c>
      <c r="B3049">
        <v>8036</v>
      </c>
      <c r="C3049" s="100">
        <v>46093</v>
      </c>
      <c r="D3049" t="s">
        <v>13</v>
      </c>
      <c r="E3049" t="s">
        <v>278</v>
      </c>
      <c r="F3049" t="s">
        <v>134</v>
      </c>
      <c r="G3049">
        <v>1044</v>
      </c>
      <c r="H3049">
        <v>62000</v>
      </c>
      <c r="I3049">
        <v>64728000</v>
      </c>
    </row>
    <row r="3050" spans="1:11" hidden="1" x14ac:dyDescent="0.25">
      <c r="A3050" s="210" t="s">
        <v>1545</v>
      </c>
      <c r="B3050">
        <v>8036</v>
      </c>
      <c r="C3050" s="100">
        <v>46093</v>
      </c>
      <c r="D3050" t="s">
        <v>13</v>
      </c>
      <c r="E3050" t="s">
        <v>43</v>
      </c>
      <c r="F3050" t="s">
        <v>188</v>
      </c>
      <c r="G3050">
        <v>684</v>
      </c>
      <c r="H3050">
        <v>56500</v>
      </c>
      <c r="I3050">
        <v>38646000</v>
      </c>
    </row>
    <row r="3051" spans="1:11" hidden="1" x14ac:dyDescent="0.25">
      <c r="A3051" s="210" t="s">
        <v>1479</v>
      </c>
      <c r="B3051">
        <v>8035</v>
      </c>
      <c r="C3051" s="100">
        <v>46093</v>
      </c>
      <c r="D3051" t="s">
        <v>13</v>
      </c>
      <c r="E3051" t="s">
        <v>43</v>
      </c>
      <c r="F3051" t="s">
        <v>163</v>
      </c>
      <c r="G3051">
        <v>2040</v>
      </c>
      <c r="H3051">
        <v>59000</v>
      </c>
      <c r="I3051">
        <v>120360000</v>
      </c>
    </row>
    <row r="3052" spans="1:11" hidden="1" x14ac:dyDescent="0.25">
      <c r="A3052" s="210" t="s">
        <v>1479</v>
      </c>
      <c r="B3052">
        <v>8035</v>
      </c>
      <c r="C3052" s="100">
        <v>46093</v>
      </c>
      <c r="D3052" t="s">
        <v>13</v>
      </c>
      <c r="E3052" t="s">
        <v>43</v>
      </c>
      <c r="F3052" t="s">
        <v>149</v>
      </c>
      <c r="G3052">
        <v>2060</v>
      </c>
      <c r="H3052">
        <v>58000</v>
      </c>
      <c r="I3052">
        <v>119480000</v>
      </c>
    </row>
    <row r="3053" spans="1:11" hidden="1" x14ac:dyDescent="0.25">
      <c r="A3053" s="210" t="s">
        <v>1566</v>
      </c>
      <c r="B3053">
        <v>8034</v>
      </c>
      <c r="C3053" s="100">
        <v>46093</v>
      </c>
      <c r="D3053" t="s">
        <v>13</v>
      </c>
      <c r="E3053" t="s">
        <v>43</v>
      </c>
      <c r="F3053" t="s">
        <v>331</v>
      </c>
      <c r="G3053">
        <v>402</v>
      </c>
      <c r="H3053">
        <v>58000</v>
      </c>
      <c r="I3053">
        <v>23316000</v>
      </c>
    </row>
    <row r="3054" spans="1:11" hidden="1" x14ac:dyDescent="0.25">
      <c r="A3054" s="210" t="s">
        <v>1541</v>
      </c>
      <c r="B3054">
        <v>8033</v>
      </c>
      <c r="C3054" s="100">
        <v>46093</v>
      </c>
      <c r="D3054" t="s">
        <v>13</v>
      </c>
      <c r="E3054" t="s">
        <v>45</v>
      </c>
      <c r="F3054" t="s">
        <v>46</v>
      </c>
      <c r="G3054">
        <v>526</v>
      </c>
      <c r="H3054">
        <v>32500</v>
      </c>
      <c r="I3054">
        <v>17095000</v>
      </c>
      <c r="K3054" t="s">
        <v>128</v>
      </c>
    </row>
    <row r="3055" spans="1:11" hidden="1" x14ac:dyDescent="0.25">
      <c r="A3055" s="210" t="s">
        <v>1541</v>
      </c>
      <c r="B3055">
        <v>8033</v>
      </c>
      <c r="C3055" s="100">
        <v>46093</v>
      </c>
      <c r="D3055" t="s">
        <v>13</v>
      </c>
      <c r="E3055" t="s">
        <v>17</v>
      </c>
      <c r="F3055" t="s">
        <v>211</v>
      </c>
      <c r="G3055">
        <v>407</v>
      </c>
      <c r="H3055">
        <v>61000</v>
      </c>
      <c r="I3055">
        <v>24827000</v>
      </c>
      <c r="K3055" t="s">
        <v>128</v>
      </c>
    </row>
    <row r="3056" spans="1:11" hidden="1" x14ac:dyDescent="0.25">
      <c r="A3056" s="210" t="s">
        <v>1541</v>
      </c>
      <c r="B3056">
        <v>8033</v>
      </c>
      <c r="C3056" s="100">
        <v>46093</v>
      </c>
      <c r="D3056" t="s">
        <v>13</v>
      </c>
      <c r="E3056" t="s">
        <v>17</v>
      </c>
      <c r="F3056" t="s">
        <v>25</v>
      </c>
      <c r="G3056">
        <v>480</v>
      </c>
      <c r="H3056">
        <v>58500</v>
      </c>
      <c r="I3056">
        <v>28080000</v>
      </c>
      <c r="K3056" t="s">
        <v>128</v>
      </c>
    </row>
    <row r="3057" spans="1:11" hidden="1" x14ac:dyDescent="0.25">
      <c r="A3057" s="210" t="s">
        <v>1595</v>
      </c>
      <c r="B3057">
        <v>8032</v>
      </c>
      <c r="C3057" s="100">
        <v>46093</v>
      </c>
      <c r="D3057" t="s">
        <v>13</v>
      </c>
      <c r="E3057" t="s">
        <v>68</v>
      </c>
      <c r="F3057" t="s">
        <v>1070</v>
      </c>
      <c r="G3057">
        <v>308</v>
      </c>
      <c r="H3057">
        <v>41000</v>
      </c>
      <c r="I3057">
        <v>12628000</v>
      </c>
      <c r="K3057" t="s">
        <v>128</v>
      </c>
    </row>
    <row r="3058" spans="1:11" hidden="1" x14ac:dyDescent="0.25">
      <c r="A3058" s="210" t="s">
        <v>1595</v>
      </c>
      <c r="B3058">
        <v>8032</v>
      </c>
      <c r="C3058" s="100">
        <v>46093</v>
      </c>
      <c r="D3058" t="s">
        <v>13</v>
      </c>
      <c r="E3058" t="s">
        <v>68</v>
      </c>
      <c r="F3058" t="s">
        <v>1071</v>
      </c>
      <c r="G3058">
        <v>492</v>
      </c>
      <c r="H3058">
        <v>41000</v>
      </c>
      <c r="I3058">
        <v>20172000</v>
      </c>
      <c r="K3058" t="s">
        <v>128</v>
      </c>
    </row>
    <row r="3059" spans="1:11" hidden="1" x14ac:dyDescent="0.25">
      <c r="A3059" s="210" t="s">
        <v>1595</v>
      </c>
      <c r="B3059">
        <v>8032</v>
      </c>
      <c r="C3059" s="100">
        <v>46093</v>
      </c>
      <c r="D3059" t="s">
        <v>13</v>
      </c>
      <c r="E3059" t="s">
        <v>68</v>
      </c>
      <c r="F3059" t="s">
        <v>161</v>
      </c>
      <c r="G3059">
        <v>628</v>
      </c>
      <c r="H3059">
        <v>40000</v>
      </c>
      <c r="I3059">
        <v>25120000</v>
      </c>
      <c r="K3059" t="s">
        <v>128</v>
      </c>
    </row>
    <row r="3060" spans="1:11" hidden="1" x14ac:dyDescent="0.25">
      <c r="A3060" s="210" t="s">
        <v>1595</v>
      </c>
      <c r="B3060">
        <v>8032</v>
      </c>
      <c r="C3060" s="100">
        <v>46093</v>
      </c>
      <c r="D3060" t="s">
        <v>13</v>
      </c>
      <c r="E3060" t="s">
        <v>68</v>
      </c>
      <c r="F3060" t="s">
        <v>1072</v>
      </c>
      <c r="G3060">
        <v>508</v>
      </c>
      <c r="H3060">
        <v>36000</v>
      </c>
      <c r="I3060">
        <v>18288000</v>
      </c>
      <c r="K3060" t="s">
        <v>128</v>
      </c>
    </row>
    <row r="3061" spans="1:11" hidden="1" x14ac:dyDescent="0.25">
      <c r="A3061" s="210" t="s">
        <v>1595</v>
      </c>
      <c r="B3061">
        <v>8032</v>
      </c>
      <c r="C3061" s="100">
        <v>46093</v>
      </c>
      <c r="D3061" t="s">
        <v>13</v>
      </c>
      <c r="E3061" t="s">
        <v>68</v>
      </c>
      <c r="F3061" t="s">
        <v>1073</v>
      </c>
      <c r="G3061">
        <v>1048</v>
      </c>
      <c r="H3061">
        <v>36000</v>
      </c>
      <c r="I3061">
        <v>37728000</v>
      </c>
      <c r="K3061" t="s">
        <v>128</v>
      </c>
    </row>
    <row r="3062" spans="1:11" hidden="1" x14ac:dyDescent="0.25">
      <c r="A3062" s="210" t="s">
        <v>1595</v>
      </c>
      <c r="B3062">
        <v>8032</v>
      </c>
      <c r="C3062" s="100">
        <v>46093</v>
      </c>
      <c r="D3062" t="s">
        <v>13</v>
      </c>
      <c r="E3062" t="s">
        <v>109</v>
      </c>
      <c r="F3062" t="s">
        <v>1074</v>
      </c>
      <c r="G3062">
        <v>1386</v>
      </c>
      <c r="H3062">
        <v>55000</v>
      </c>
      <c r="I3062">
        <v>76230000</v>
      </c>
      <c r="K3062" t="s">
        <v>128</v>
      </c>
    </row>
    <row r="3063" spans="1:11" hidden="1" x14ac:dyDescent="0.25">
      <c r="A3063" s="210" t="s">
        <v>1595</v>
      </c>
      <c r="B3063">
        <v>8032</v>
      </c>
      <c r="C3063" s="100">
        <v>46093</v>
      </c>
      <c r="D3063" t="s">
        <v>13</v>
      </c>
      <c r="E3063" t="s">
        <v>150</v>
      </c>
      <c r="F3063" t="s">
        <v>1075</v>
      </c>
      <c r="G3063">
        <v>1856</v>
      </c>
      <c r="H3063">
        <v>33000</v>
      </c>
      <c r="I3063">
        <v>61248000</v>
      </c>
      <c r="K3063" t="s">
        <v>128</v>
      </c>
    </row>
    <row r="3064" spans="1:11" hidden="1" x14ac:dyDescent="0.25">
      <c r="A3064" s="210" t="s">
        <v>1595</v>
      </c>
      <c r="B3064">
        <v>8032</v>
      </c>
      <c r="C3064" s="100">
        <v>46093</v>
      </c>
      <c r="D3064" t="s">
        <v>13</v>
      </c>
      <c r="E3064" t="s">
        <v>50</v>
      </c>
      <c r="F3064" t="s">
        <v>117</v>
      </c>
      <c r="G3064">
        <v>784</v>
      </c>
      <c r="H3064">
        <v>56000</v>
      </c>
      <c r="I3064">
        <v>43904000</v>
      </c>
      <c r="K3064" t="s">
        <v>128</v>
      </c>
    </row>
    <row r="3065" spans="1:11" hidden="1" x14ac:dyDescent="0.25">
      <c r="A3065" s="210" t="s">
        <v>1628</v>
      </c>
      <c r="B3065">
        <v>8031</v>
      </c>
      <c r="C3065" s="100">
        <v>46093</v>
      </c>
      <c r="D3065" t="s">
        <v>13</v>
      </c>
      <c r="E3065" t="s">
        <v>43</v>
      </c>
      <c r="F3065" t="s">
        <v>139</v>
      </c>
      <c r="G3065">
        <v>934</v>
      </c>
      <c r="H3065">
        <v>55000</v>
      </c>
      <c r="I3065">
        <v>51370000</v>
      </c>
    </row>
    <row r="3066" spans="1:11" hidden="1" x14ac:dyDescent="0.25">
      <c r="A3066" s="210" t="s">
        <v>1520</v>
      </c>
      <c r="B3066">
        <v>8030</v>
      </c>
      <c r="C3066" s="100">
        <v>46093</v>
      </c>
      <c r="D3066" t="s">
        <v>13</v>
      </c>
      <c r="E3066" t="s">
        <v>103</v>
      </c>
      <c r="F3066" t="s">
        <v>448</v>
      </c>
      <c r="G3066">
        <v>154</v>
      </c>
      <c r="H3066">
        <v>39000</v>
      </c>
      <c r="I3066">
        <v>6006000</v>
      </c>
    </row>
    <row r="3067" spans="1:11" hidden="1" x14ac:dyDescent="0.25">
      <c r="A3067" s="210" t="s">
        <v>1526</v>
      </c>
      <c r="B3067">
        <v>8029</v>
      </c>
      <c r="C3067" s="100">
        <v>46093</v>
      </c>
      <c r="D3067" t="s">
        <v>13</v>
      </c>
      <c r="E3067" t="s">
        <v>361</v>
      </c>
      <c r="F3067" t="s">
        <v>432</v>
      </c>
      <c r="G3067">
        <v>65</v>
      </c>
      <c r="H3067">
        <v>120000</v>
      </c>
      <c r="I3067">
        <v>7800000</v>
      </c>
    </row>
    <row r="3068" spans="1:11" hidden="1" x14ac:dyDescent="0.25">
      <c r="A3068" s="210" t="s">
        <v>1526</v>
      </c>
      <c r="B3068">
        <v>8029</v>
      </c>
      <c r="C3068" s="100">
        <v>46093</v>
      </c>
      <c r="D3068" t="s">
        <v>13</v>
      </c>
      <c r="E3068" t="s">
        <v>361</v>
      </c>
      <c r="F3068" t="s">
        <v>433</v>
      </c>
      <c r="G3068">
        <v>115</v>
      </c>
      <c r="H3068">
        <v>190000</v>
      </c>
      <c r="I3068">
        <v>21850000</v>
      </c>
    </row>
    <row r="3069" spans="1:11" hidden="1" x14ac:dyDescent="0.25">
      <c r="A3069" s="210" t="s">
        <v>1610</v>
      </c>
      <c r="B3069">
        <v>8028</v>
      </c>
      <c r="C3069" s="100">
        <v>46093</v>
      </c>
      <c r="D3069" t="s">
        <v>13</v>
      </c>
      <c r="E3069" t="s">
        <v>109</v>
      </c>
      <c r="F3069" t="s">
        <v>1147</v>
      </c>
      <c r="G3069">
        <v>1644</v>
      </c>
      <c r="H3069">
        <v>56000</v>
      </c>
      <c r="I3069">
        <v>92064000</v>
      </c>
      <c r="K3069" t="s">
        <v>128</v>
      </c>
    </row>
    <row r="3070" spans="1:11" hidden="1" x14ac:dyDescent="0.25">
      <c r="A3070" s="210" t="s">
        <v>1610</v>
      </c>
      <c r="B3070">
        <v>8028</v>
      </c>
      <c r="C3070" s="100">
        <v>46093</v>
      </c>
      <c r="D3070" t="s">
        <v>13</v>
      </c>
      <c r="E3070" t="s">
        <v>109</v>
      </c>
      <c r="F3070" t="s">
        <v>1148</v>
      </c>
      <c r="G3070">
        <v>3656</v>
      </c>
      <c r="H3070">
        <v>56000</v>
      </c>
      <c r="I3070">
        <v>204736000</v>
      </c>
      <c r="K3070" t="s">
        <v>128</v>
      </c>
    </row>
    <row r="3071" spans="1:11" hidden="1" x14ac:dyDescent="0.25">
      <c r="A3071" s="210" t="s">
        <v>1518</v>
      </c>
      <c r="B3071">
        <v>8027</v>
      </c>
      <c r="C3071" s="100">
        <v>46093</v>
      </c>
      <c r="D3071" t="s">
        <v>13</v>
      </c>
      <c r="E3071" t="s">
        <v>43</v>
      </c>
      <c r="F3071" t="s">
        <v>188</v>
      </c>
      <c r="G3071">
        <v>520</v>
      </c>
      <c r="H3071">
        <v>56000</v>
      </c>
      <c r="I3071">
        <v>29120000</v>
      </c>
    </row>
    <row r="3072" spans="1:11" hidden="1" x14ac:dyDescent="0.25">
      <c r="A3072" s="210" t="s">
        <v>1518</v>
      </c>
      <c r="B3072">
        <v>8027</v>
      </c>
      <c r="C3072" s="100">
        <v>46093</v>
      </c>
      <c r="D3072" t="s">
        <v>13</v>
      </c>
      <c r="E3072" t="s">
        <v>103</v>
      </c>
      <c r="F3072" t="s">
        <v>179</v>
      </c>
      <c r="G3072">
        <v>176</v>
      </c>
      <c r="H3072">
        <v>38000</v>
      </c>
      <c r="I3072">
        <v>6688000</v>
      </c>
    </row>
    <row r="3073" spans="1:11" hidden="1" x14ac:dyDescent="0.25">
      <c r="A3073" s="210" t="s">
        <v>1627</v>
      </c>
      <c r="B3073">
        <v>8026</v>
      </c>
      <c r="C3073" s="100">
        <v>46093</v>
      </c>
      <c r="D3073" t="s">
        <v>13</v>
      </c>
      <c r="E3073" t="s">
        <v>26</v>
      </c>
      <c r="F3073" t="s">
        <v>1199</v>
      </c>
      <c r="G3073">
        <v>2998</v>
      </c>
      <c r="H3073">
        <v>36000</v>
      </c>
      <c r="I3073">
        <v>107928000</v>
      </c>
    </row>
    <row r="3074" spans="1:11" hidden="1" x14ac:dyDescent="0.25">
      <c r="A3074" s="210" t="s">
        <v>1627</v>
      </c>
      <c r="B3074">
        <v>8026</v>
      </c>
      <c r="C3074" s="100">
        <v>46093</v>
      </c>
      <c r="D3074" t="s">
        <v>13</v>
      </c>
      <c r="E3074" t="s">
        <v>1200</v>
      </c>
      <c r="F3074" t="s">
        <v>1201</v>
      </c>
      <c r="G3074">
        <v>1080</v>
      </c>
      <c r="H3074">
        <v>40000</v>
      </c>
      <c r="I3074">
        <v>43200000</v>
      </c>
    </row>
    <row r="3075" spans="1:11" hidden="1" x14ac:dyDescent="0.25">
      <c r="A3075" s="210" t="s">
        <v>1627</v>
      </c>
      <c r="B3075">
        <v>8026</v>
      </c>
      <c r="C3075" s="100">
        <v>46093</v>
      </c>
      <c r="D3075" t="s">
        <v>13</v>
      </c>
      <c r="E3075" t="s">
        <v>103</v>
      </c>
      <c r="F3075" t="s">
        <v>218</v>
      </c>
      <c r="G3075">
        <v>74</v>
      </c>
      <c r="H3075">
        <v>37500</v>
      </c>
      <c r="I3075">
        <v>2775000</v>
      </c>
    </row>
    <row r="3076" spans="1:11" hidden="1" x14ac:dyDescent="0.25">
      <c r="A3076" s="210" t="s">
        <v>1618</v>
      </c>
      <c r="B3076">
        <v>8025</v>
      </c>
      <c r="C3076" s="100">
        <v>46093</v>
      </c>
      <c r="D3076" t="s">
        <v>13</v>
      </c>
      <c r="E3076" t="s">
        <v>301</v>
      </c>
      <c r="F3076" t="s">
        <v>942</v>
      </c>
      <c r="G3076">
        <v>9702</v>
      </c>
      <c r="H3076">
        <v>26500</v>
      </c>
      <c r="I3076">
        <v>257103000</v>
      </c>
    </row>
    <row r="3077" spans="1:11" hidden="1" x14ac:dyDescent="0.25">
      <c r="A3077" s="210" t="s">
        <v>1524</v>
      </c>
      <c r="B3077">
        <v>8024</v>
      </c>
      <c r="C3077" s="100">
        <v>46093</v>
      </c>
      <c r="D3077" t="s">
        <v>49</v>
      </c>
      <c r="E3077" t="s">
        <v>43</v>
      </c>
      <c r="F3077" t="s">
        <v>161</v>
      </c>
      <c r="G3077">
        <v>5004</v>
      </c>
      <c r="I3077">
        <v>0</v>
      </c>
    </row>
    <row r="3078" spans="1:11" hidden="1" x14ac:dyDescent="0.25">
      <c r="A3078" s="210" t="s">
        <v>1525</v>
      </c>
      <c r="B3078">
        <v>8023</v>
      </c>
      <c r="C3078" s="100">
        <v>46093</v>
      </c>
      <c r="D3078" t="s">
        <v>13</v>
      </c>
      <c r="E3078" t="s">
        <v>671</v>
      </c>
      <c r="F3078" t="s">
        <v>672</v>
      </c>
      <c r="G3078">
        <v>4927</v>
      </c>
      <c r="H3078">
        <v>61000</v>
      </c>
      <c r="I3078">
        <v>300547000</v>
      </c>
    </row>
    <row r="3079" spans="1:11" hidden="1" x14ac:dyDescent="0.25">
      <c r="A3079" s="210" t="s">
        <v>1618</v>
      </c>
      <c r="B3079">
        <v>8022</v>
      </c>
      <c r="C3079" s="100">
        <v>46093</v>
      </c>
      <c r="D3079" t="s">
        <v>13</v>
      </c>
      <c r="E3079" t="s">
        <v>301</v>
      </c>
      <c r="F3079" t="s">
        <v>942</v>
      </c>
      <c r="G3079">
        <v>9420</v>
      </c>
      <c r="H3079">
        <v>26500</v>
      </c>
      <c r="I3079">
        <v>249630000</v>
      </c>
    </row>
    <row r="3080" spans="1:11" hidden="1" x14ac:dyDescent="0.25">
      <c r="A3080" s="210" t="s">
        <v>1524</v>
      </c>
      <c r="B3080">
        <v>8021</v>
      </c>
      <c r="C3080" s="100">
        <v>46093</v>
      </c>
      <c r="D3080" t="s">
        <v>49</v>
      </c>
      <c r="E3080" t="s">
        <v>301</v>
      </c>
      <c r="F3080" t="s">
        <v>486</v>
      </c>
      <c r="G3080">
        <v>1878</v>
      </c>
      <c r="I3080">
        <v>0</v>
      </c>
    </row>
    <row r="3081" spans="1:11" hidden="1" x14ac:dyDescent="0.25">
      <c r="A3081" s="210" t="s">
        <v>1524</v>
      </c>
      <c r="B3081">
        <v>8021</v>
      </c>
      <c r="C3081" s="100">
        <v>46093</v>
      </c>
      <c r="D3081" t="s">
        <v>49</v>
      </c>
      <c r="E3081" t="s">
        <v>45</v>
      </c>
      <c r="F3081" t="s">
        <v>487</v>
      </c>
      <c r="G3081">
        <v>720</v>
      </c>
      <c r="I3081">
        <v>0</v>
      </c>
    </row>
    <row r="3082" spans="1:11" hidden="1" x14ac:dyDescent="0.25">
      <c r="A3082" s="210" t="s">
        <v>1532</v>
      </c>
      <c r="B3082">
        <v>8019</v>
      </c>
      <c r="C3082" s="100">
        <v>46092</v>
      </c>
      <c r="D3082" t="s">
        <v>49</v>
      </c>
      <c r="E3082" t="s">
        <v>26</v>
      </c>
      <c r="F3082" t="s">
        <v>733</v>
      </c>
      <c r="G3082">
        <v>25944</v>
      </c>
      <c r="I3082">
        <v>0</v>
      </c>
    </row>
    <row r="3083" spans="1:11" hidden="1" x14ac:dyDescent="0.25">
      <c r="A3083" s="210" t="s">
        <v>1539</v>
      </c>
      <c r="B3083">
        <v>8018</v>
      </c>
      <c r="C3083" s="100">
        <v>46092</v>
      </c>
      <c r="D3083" t="s">
        <v>13</v>
      </c>
      <c r="E3083" t="s">
        <v>14</v>
      </c>
      <c r="F3083" t="s">
        <v>141</v>
      </c>
      <c r="G3083">
        <v>558</v>
      </c>
      <c r="H3083">
        <v>41500</v>
      </c>
      <c r="I3083">
        <v>23157000</v>
      </c>
    </row>
    <row r="3084" spans="1:11" hidden="1" x14ac:dyDescent="0.25">
      <c r="A3084" s="210" t="s">
        <v>1490</v>
      </c>
      <c r="B3084">
        <v>8017</v>
      </c>
      <c r="C3084" s="100">
        <v>46092</v>
      </c>
      <c r="D3084" t="s">
        <v>13</v>
      </c>
      <c r="E3084" t="s">
        <v>17</v>
      </c>
      <c r="F3084" t="s">
        <v>33</v>
      </c>
      <c r="G3084">
        <v>1566</v>
      </c>
      <c r="H3084">
        <v>59000</v>
      </c>
      <c r="I3084">
        <v>92394000</v>
      </c>
    </row>
    <row r="3085" spans="1:11" hidden="1" x14ac:dyDescent="0.25">
      <c r="A3085" s="210" t="s">
        <v>1626</v>
      </c>
      <c r="B3085">
        <v>8016</v>
      </c>
      <c r="C3085" s="100">
        <v>46092</v>
      </c>
      <c r="D3085" t="s">
        <v>13</v>
      </c>
      <c r="E3085" t="s">
        <v>1191</v>
      </c>
      <c r="F3085" t="s">
        <v>1192</v>
      </c>
      <c r="G3085">
        <v>338</v>
      </c>
      <c r="H3085">
        <v>37500</v>
      </c>
      <c r="I3085">
        <v>12675000</v>
      </c>
    </row>
    <row r="3086" spans="1:11" hidden="1" x14ac:dyDescent="0.25">
      <c r="A3086" s="210" t="s">
        <v>1478</v>
      </c>
      <c r="B3086">
        <v>8015</v>
      </c>
      <c r="C3086" s="100">
        <v>46092</v>
      </c>
      <c r="D3086" t="s">
        <v>13</v>
      </c>
      <c r="E3086" t="s">
        <v>17</v>
      </c>
      <c r="F3086" t="s">
        <v>137</v>
      </c>
      <c r="G3086">
        <v>1874</v>
      </c>
      <c r="H3086">
        <v>57000</v>
      </c>
      <c r="I3086">
        <v>106818000</v>
      </c>
      <c r="K3086" t="s">
        <v>128</v>
      </c>
    </row>
    <row r="3087" spans="1:11" hidden="1" x14ac:dyDescent="0.25">
      <c r="A3087" s="210" t="s">
        <v>1478</v>
      </c>
      <c r="B3087">
        <v>8015</v>
      </c>
      <c r="C3087" s="100">
        <v>46092</v>
      </c>
      <c r="D3087" t="s">
        <v>13</v>
      </c>
      <c r="E3087" t="s">
        <v>17</v>
      </c>
      <c r="F3087" t="s">
        <v>33</v>
      </c>
      <c r="G3087">
        <v>1886</v>
      </c>
      <c r="H3087">
        <v>57000</v>
      </c>
      <c r="I3087">
        <v>107502000</v>
      </c>
    </row>
    <row r="3088" spans="1:11" hidden="1" x14ac:dyDescent="0.25">
      <c r="A3088" s="210" t="s">
        <v>1478</v>
      </c>
      <c r="B3088">
        <v>8015</v>
      </c>
      <c r="C3088" s="100">
        <v>46092</v>
      </c>
      <c r="D3088" t="s">
        <v>13</v>
      </c>
      <c r="E3088" t="s">
        <v>17</v>
      </c>
      <c r="F3088" t="s">
        <v>138</v>
      </c>
      <c r="G3088">
        <v>1380</v>
      </c>
      <c r="H3088">
        <v>57000</v>
      </c>
      <c r="I3088">
        <v>78660000</v>
      </c>
    </row>
    <row r="3089" spans="1:11" hidden="1" x14ac:dyDescent="0.25">
      <c r="A3089" s="210" t="s">
        <v>1478</v>
      </c>
      <c r="B3089">
        <v>8015</v>
      </c>
      <c r="C3089" s="100">
        <v>46092</v>
      </c>
      <c r="D3089" t="s">
        <v>13</v>
      </c>
      <c r="E3089" t="s">
        <v>17</v>
      </c>
      <c r="F3089" t="s">
        <v>46</v>
      </c>
      <c r="G3089">
        <v>822</v>
      </c>
      <c r="H3089">
        <v>57000</v>
      </c>
      <c r="I3089">
        <v>46854000</v>
      </c>
    </row>
    <row r="3090" spans="1:11" hidden="1" x14ac:dyDescent="0.25">
      <c r="A3090" s="210" t="s">
        <v>1478</v>
      </c>
      <c r="B3090">
        <v>8015</v>
      </c>
      <c r="C3090" s="100">
        <v>46092</v>
      </c>
      <c r="D3090" t="s">
        <v>13</v>
      </c>
      <c r="E3090" t="s">
        <v>26</v>
      </c>
      <c r="F3090" t="s">
        <v>35</v>
      </c>
      <c r="G3090">
        <v>2796</v>
      </c>
      <c r="H3090">
        <v>32000</v>
      </c>
      <c r="I3090">
        <v>89472000</v>
      </c>
    </row>
    <row r="3091" spans="1:11" hidden="1" x14ac:dyDescent="0.25">
      <c r="A3091" s="210" t="s">
        <v>1478</v>
      </c>
      <c r="B3091">
        <v>8015</v>
      </c>
      <c r="C3091" s="100">
        <v>46092</v>
      </c>
      <c r="D3091" t="s">
        <v>13</v>
      </c>
      <c r="E3091" t="s">
        <v>17</v>
      </c>
      <c r="F3091" t="s">
        <v>25</v>
      </c>
      <c r="G3091">
        <v>488</v>
      </c>
      <c r="H3091">
        <v>57000</v>
      </c>
      <c r="I3091">
        <v>27816000</v>
      </c>
      <c r="J3091">
        <v>112000000</v>
      </c>
    </row>
    <row r="3092" spans="1:11" hidden="1" x14ac:dyDescent="0.25">
      <c r="A3092" s="210" t="s">
        <v>1504</v>
      </c>
      <c r="B3092">
        <v>8014</v>
      </c>
      <c r="C3092" s="100">
        <v>46092</v>
      </c>
      <c r="D3092" t="s">
        <v>13</v>
      </c>
      <c r="E3092" t="s">
        <v>26</v>
      </c>
      <c r="F3092" t="s">
        <v>313</v>
      </c>
      <c r="G3092">
        <v>1182</v>
      </c>
      <c r="H3092">
        <v>37000</v>
      </c>
      <c r="I3092">
        <v>43734000</v>
      </c>
    </row>
    <row r="3093" spans="1:11" hidden="1" x14ac:dyDescent="0.25">
      <c r="A3093" s="210" t="s">
        <v>1554</v>
      </c>
      <c r="B3093">
        <v>8013</v>
      </c>
      <c r="C3093" s="100">
        <v>46092</v>
      </c>
      <c r="D3093" t="s">
        <v>13</v>
      </c>
      <c r="E3093" t="s">
        <v>17</v>
      </c>
      <c r="F3093" t="s">
        <v>211</v>
      </c>
      <c r="G3093">
        <v>184</v>
      </c>
      <c r="H3093">
        <v>59000</v>
      </c>
      <c r="I3093">
        <v>10856000</v>
      </c>
      <c r="K3093" t="s">
        <v>128</v>
      </c>
    </row>
    <row r="3094" spans="1:11" hidden="1" x14ac:dyDescent="0.25">
      <c r="A3094" s="210" t="s">
        <v>1554</v>
      </c>
      <c r="B3094">
        <v>8013</v>
      </c>
      <c r="C3094" s="100">
        <v>46092</v>
      </c>
      <c r="D3094" t="s">
        <v>13</v>
      </c>
      <c r="E3094" t="s">
        <v>17</v>
      </c>
      <c r="F3094" t="s">
        <v>33</v>
      </c>
      <c r="G3094">
        <v>1166</v>
      </c>
      <c r="H3094">
        <v>58500</v>
      </c>
      <c r="I3094">
        <v>68211000</v>
      </c>
      <c r="K3094" t="s">
        <v>128</v>
      </c>
    </row>
    <row r="3095" spans="1:11" hidden="1" x14ac:dyDescent="0.25">
      <c r="A3095" s="210" t="s">
        <v>1554</v>
      </c>
      <c r="B3095">
        <v>8013</v>
      </c>
      <c r="C3095" s="100">
        <v>46092</v>
      </c>
      <c r="D3095" t="s">
        <v>13</v>
      </c>
      <c r="E3095" t="s">
        <v>17</v>
      </c>
      <c r="F3095" t="s">
        <v>46</v>
      </c>
      <c r="G3095">
        <v>1850</v>
      </c>
      <c r="H3095">
        <v>58500</v>
      </c>
      <c r="I3095">
        <v>108225000</v>
      </c>
      <c r="K3095" t="s">
        <v>128</v>
      </c>
    </row>
    <row r="3096" spans="1:11" hidden="1" x14ac:dyDescent="0.25">
      <c r="A3096" s="210" t="s">
        <v>1552</v>
      </c>
      <c r="B3096">
        <v>8012</v>
      </c>
      <c r="C3096" s="100">
        <v>46092</v>
      </c>
      <c r="D3096" t="s">
        <v>13</v>
      </c>
      <c r="E3096" t="s">
        <v>265</v>
      </c>
      <c r="F3096" t="s">
        <v>211</v>
      </c>
      <c r="G3096">
        <v>1558</v>
      </c>
      <c r="H3096">
        <v>63000</v>
      </c>
      <c r="I3096">
        <v>98154000</v>
      </c>
    </row>
    <row r="3097" spans="1:11" hidden="1" x14ac:dyDescent="0.25">
      <c r="A3097" s="210" t="s">
        <v>1593</v>
      </c>
      <c r="B3097">
        <v>8011</v>
      </c>
      <c r="C3097" s="100">
        <v>46092</v>
      </c>
      <c r="D3097" t="s">
        <v>13</v>
      </c>
      <c r="E3097" t="s">
        <v>270</v>
      </c>
      <c r="F3097" t="s">
        <v>163</v>
      </c>
      <c r="G3097">
        <v>1226</v>
      </c>
      <c r="H3097">
        <v>61500</v>
      </c>
      <c r="I3097">
        <v>75399000</v>
      </c>
    </row>
    <row r="3098" spans="1:11" hidden="1" x14ac:dyDescent="0.25">
      <c r="A3098" s="210" t="s">
        <v>1493</v>
      </c>
      <c r="B3098">
        <v>8010</v>
      </c>
      <c r="C3098" s="100">
        <v>46092</v>
      </c>
      <c r="D3098" t="s">
        <v>13</v>
      </c>
      <c r="E3098" t="s">
        <v>43</v>
      </c>
      <c r="F3098" t="s">
        <v>246</v>
      </c>
      <c r="G3098">
        <v>496</v>
      </c>
      <c r="H3098">
        <v>60000</v>
      </c>
      <c r="I3098">
        <v>29760000</v>
      </c>
    </row>
    <row r="3099" spans="1:11" hidden="1" x14ac:dyDescent="0.25">
      <c r="A3099" s="210" t="s">
        <v>1493</v>
      </c>
      <c r="B3099">
        <v>8010</v>
      </c>
      <c r="C3099" s="100">
        <v>46092</v>
      </c>
      <c r="D3099" t="s">
        <v>13</v>
      </c>
      <c r="E3099" t="s">
        <v>265</v>
      </c>
      <c r="F3099" t="s">
        <v>220</v>
      </c>
      <c r="G3099">
        <v>494</v>
      </c>
      <c r="H3099">
        <v>64000</v>
      </c>
      <c r="I3099">
        <v>31616000</v>
      </c>
    </row>
    <row r="3100" spans="1:11" hidden="1" x14ac:dyDescent="0.25">
      <c r="A3100" s="210" t="s">
        <v>1575</v>
      </c>
      <c r="B3100">
        <v>8009</v>
      </c>
      <c r="C3100" s="100">
        <v>46092</v>
      </c>
      <c r="D3100" t="s">
        <v>13</v>
      </c>
      <c r="E3100" t="s">
        <v>36</v>
      </c>
      <c r="F3100" t="s">
        <v>968</v>
      </c>
      <c r="G3100">
        <v>1260</v>
      </c>
      <c r="H3100">
        <v>56000</v>
      </c>
      <c r="I3100">
        <v>70560000</v>
      </c>
    </row>
    <row r="3101" spans="1:11" hidden="1" x14ac:dyDescent="0.25">
      <c r="A3101" s="210" t="s">
        <v>1575</v>
      </c>
      <c r="B3101">
        <v>8009</v>
      </c>
      <c r="C3101" s="100">
        <v>46092</v>
      </c>
      <c r="D3101" t="s">
        <v>84</v>
      </c>
      <c r="E3101" t="s">
        <v>36</v>
      </c>
      <c r="F3101" t="s">
        <v>968</v>
      </c>
      <c r="G3101">
        <v>1260</v>
      </c>
      <c r="H3101">
        <v>2000</v>
      </c>
      <c r="I3101">
        <v>2520000</v>
      </c>
    </row>
    <row r="3102" spans="1:11" hidden="1" x14ac:dyDescent="0.25">
      <c r="A3102" s="210" t="s">
        <v>1479</v>
      </c>
      <c r="B3102">
        <v>8008</v>
      </c>
      <c r="C3102" s="100">
        <v>46092</v>
      </c>
      <c r="D3102" t="s">
        <v>13</v>
      </c>
      <c r="E3102" t="s">
        <v>43</v>
      </c>
      <c r="F3102" t="s">
        <v>162</v>
      </c>
      <c r="G3102">
        <v>2072</v>
      </c>
      <c r="H3102">
        <v>58000</v>
      </c>
      <c r="I3102">
        <v>120176000</v>
      </c>
    </row>
    <row r="3103" spans="1:11" hidden="1" x14ac:dyDescent="0.25">
      <c r="A3103" s="210" t="s">
        <v>1485</v>
      </c>
      <c r="B3103">
        <v>8007</v>
      </c>
      <c r="C3103" s="100">
        <v>46092</v>
      </c>
      <c r="D3103" t="s">
        <v>13</v>
      </c>
      <c r="E3103" t="s">
        <v>150</v>
      </c>
      <c r="F3103" t="s">
        <v>197</v>
      </c>
      <c r="G3103">
        <v>4328</v>
      </c>
      <c r="H3103">
        <v>33500</v>
      </c>
      <c r="I3103">
        <v>144988000</v>
      </c>
    </row>
    <row r="3104" spans="1:11" hidden="1" x14ac:dyDescent="0.25">
      <c r="A3104" s="210" t="s">
        <v>1489</v>
      </c>
      <c r="B3104">
        <v>8005</v>
      </c>
      <c r="C3104" s="100">
        <v>46092</v>
      </c>
      <c r="D3104" t="s">
        <v>13</v>
      </c>
      <c r="E3104" t="s">
        <v>68</v>
      </c>
      <c r="F3104" t="s">
        <v>221</v>
      </c>
      <c r="G3104">
        <v>24</v>
      </c>
      <c r="H3104">
        <v>42000</v>
      </c>
      <c r="I3104">
        <v>1008000</v>
      </c>
      <c r="K3104" t="s">
        <v>128</v>
      </c>
    </row>
    <row r="3105" spans="1:11" hidden="1" x14ac:dyDescent="0.25">
      <c r="A3105" s="210" t="s">
        <v>1587</v>
      </c>
      <c r="B3105">
        <v>8004</v>
      </c>
      <c r="C3105" s="100">
        <v>46092</v>
      </c>
      <c r="D3105" t="s">
        <v>13</v>
      </c>
      <c r="E3105" t="s">
        <v>14</v>
      </c>
      <c r="F3105" t="s">
        <v>65</v>
      </c>
      <c r="G3105">
        <v>534</v>
      </c>
      <c r="H3105">
        <v>45000</v>
      </c>
      <c r="I3105">
        <v>24030000</v>
      </c>
    </row>
    <row r="3106" spans="1:11" hidden="1" x14ac:dyDescent="0.25">
      <c r="A3106" s="210" t="s">
        <v>1587</v>
      </c>
      <c r="B3106">
        <v>8004</v>
      </c>
      <c r="C3106" s="100">
        <v>46092</v>
      </c>
      <c r="D3106" t="s">
        <v>13</v>
      </c>
      <c r="E3106" t="s">
        <v>14</v>
      </c>
      <c r="F3106" t="s">
        <v>220</v>
      </c>
      <c r="G3106">
        <v>132</v>
      </c>
      <c r="H3106">
        <v>43000</v>
      </c>
      <c r="I3106">
        <v>5676000</v>
      </c>
    </row>
    <row r="3107" spans="1:11" hidden="1" x14ac:dyDescent="0.25">
      <c r="A3107" s="210" t="s">
        <v>1536</v>
      </c>
      <c r="B3107">
        <v>8003</v>
      </c>
      <c r="C3107" s="100">
        <v>46092</v>
      </c>
      <c r="D3107" t="s">
        <v>838</v>
      </c>
      <c r="E3107" t="s">
        <v>839</v>
      </c>
      <c r="F3107" t="s">
        <v>840</v>
      </c>
      <c r="G3107">
        <v>2038</v>
      </c>
      <c r="I3107">
        <v>0</v>
      </c>
    </row>
    <row r="3108" spans="1:11" hidden="1" x14ac:dyDescent="0.25">
      <c r="A3108" s="210" t="s">
        <v>1525</v>
      </c>
      <c r="B3108">
        <v>8002</v>
      </c>
      <c r="C3108" s="100">
        <v>46092</v>
      </c>
      <c r="D3108" t="s">
        <v>13</v>
      </c>
      <c r="E3108" t="s">
        <v>32</v>
      </c>
      <c r="F3108" t="s">
        <v>670</v>
      </c>
      <c r="G3108">
        <v>1126</v>
      </c>
      <c r="H3108">
        <v>41500</v>
      </c>
      <c r="I3108">
        <v>46729000</v>
      </c>
    </row>
    <row r="3109" spans="1:11" hidden="1" x14ac:dyDescent="0.25">
      <c r="A3109" s="210" t="s">
        <v>1524</v>
      </c>
      <c r="B3109">
        <v>8001</v>
      </c>
      <c r="C3109" s="100">
        <v>46092</v>
      </c>
      <c r="D3109" t="s">
        <v>49</v>
      </c>
      <c r="E3109" t="s">
        <v>17</v>
      </c>
      <c r="F3109" t="s">
        <v>211</v>
      </c>
      <c r="G3109">
        <v>5410</v>
      </c>
      <c r="I3109">
        <v>0</v>
      </c>
    </row>
    <row r="3110" spans="1:11" hidden="1" x14ac:dyDescent="0.25">
      <c r="A3110" s="210" t="s">
        <v>2547</v>
      </c>
      <c r="B3110">
        <v>8000</v>
      </c>
      <c r="C3110" s="100">
        <v>46092</v>
      </c>
      <c r="D3110" t="s">
        <v>13</v>
      </c>
      <c r="E3110" t="s">
        <v>703</v>
      </c>
      <c r="F3110" t="s">
        <v>1113</v>
      </c>
      <c r="G3110">
        <v>3886</v>
      </c>
      <c r="H3110">
        <v>32000</v>
      </c>
      <c r="I3110">
        <v>124352000</v>
      </c>
    </row>
    <row r="3111" spans="1:11" hidden="1" x14ac:dyDescent="0.25">
      <c r="A3111" s="210" t="s">
        <v>1568</v>
      </c>
      <c r="B3111">
        <v>7998</v>
      </c>
      <c r="C3111" s="100">
        <v>46092</v>
      </c>
      <c r="D3111" t="s">
        <v>13</v>
      </c>
      <c r="E3111" t="s">
        <v>17</v>
      </c>
      <c r="F3111" t="s">
        <v>163</v>
      </c>
      <c r="G3111">
        <v>641</v>
      </c>
      <c r="H3111">
        <v>58500</v>
      </c>
      <c r="I3111">
        <v>37498500</v>
      </c>
      <c r="K3111" t="s">
        <v>128</v>
      </c>
    </row>
    <row r="3112" spans="1:11" hidden="1" x14ac:dyDescent="0.25">
      <c r="A3112" s="210" t="s">
        <v>1568</v>
      </c>
      <c r="B3112">
        <v>7998</v>
      </c>
      <c r="C3112" s="100">
        <v>46092</v>
      </c>
      <c r="D3112" t="s">
        <v>13</v>
      </c>
      <c r="E3112" t="s">
        <v>17</v>
      </c>
      <c r="F3112" t="s">
        <v>127</v>
      </c>
      <c r="G3112">
        <v>1330</v>
      </c>
      <c r="H3112">
        <v>58500</v>
      </c>
      <c r="I3112">
        <v>77805000</v>
      </c>
    </row>
    <row r="3113" spans="1:11" hidden="1" x14ac:dyDescent="0.25">
      <c r="A3113" s="210" t="s">
        <v>1524</v>
      </c>
      <c r="B3113">
        <v>7997</v>
      </c>
      <c r="C3113" s="100">
        <v>46092</v>
      </c>
      <c r="D3113" t="s">
        <v>49</v>
      </c>
      <c r="E3113" t="s">
        <v>17</v>
      </c>
      <c r="F3113" t="s">
        <v>162</v>
      </c>
      <c r="G3113">
        <v>1510</v>
      </c>
      <c r="I3113">
        <v>0</v>
      </c>
      <c r="K3113" t="s">
        <v>485</v>
      </c>
    </row>
    <row r="3114" spans="1:11" hidden="1" x14ac:dyDescent="0.25">
      <c r="A3114" s="210" t="s">
        <v>1524</v>
      </c>
      <c r="B3114">
        <v>7997</v>
      </c>
      <c r="C3114" s="100">
        <v>46092</v>
      </c>
      <c r="D3114" t="s">
        <v>49</v>
      </c>
      <c r="E3114" t="s">
        <v>14</v>
      </c>
      <c r="F3114" t="s">
        <v>141</v>
      </c>
      <c r="G3114">
        <v>4856</v>
      </c>
      <c r="I3114">
        <v>0</v>
      </c>
    </row>
    <row r="3115" spans="1:11" hidden="1" x14ac:dyDescent="0.25">
      <c r="A3115" s="210" t="s">
        <v>1524</v>
      </c>
      <c r="B3115">
        <v>7997</v>
      </c>
      <c r="C3115" s="100">
        <v>46092</v>
      </c>
      <c r="D3115" t="s">
        <v>49</v>
      </c>
      <c r="E3115" t="s">
        <v>17</v>
      </c>
      <c r="F3115" t="s">
        <v>211</v>
      </c>
      <c r="G3115">
        <v>5530</v>
      </c>
      <c r="I3115">
        <v>0</v>
      </c>
    </row>
    <row r="3116" spans="1:11" hidden="1" x14ac:dyDescent="0.25">
      <c r="A3116" s="210" t="s">
        <v>1624</v>
      </c>
      <c r="B3116">
        <v>7996</v>
      </c>
      <c r="C3116" s="100">
        <v>46092</v>
      </c>
      <c r="D3116" t="s">
        <v>13</v>
      </c>
      <c r="E3116" t="s">
        <v>43</v>
      </c>
      <c r="F3116" t="s">
        <v>44</v>
      </c>
      <c r="G3116">
        <v>1168</v>
      </c>
      <c r="H3116">
        <v>58000</v>
      </c>
      <c r="I3116">
        <v>67744000</v>
      </c>
    </row>
    <row r="3117" spans="1:11" hidden="1" x14ac:dyDescent="0.25">
      <c r="A3117" s="210" t="s">
        <v>1487</v>
      </c>
      <c r="B3117">
        <v>7995</v>
      </c>
      <c r="C3117" s="100">
        <v>46092</v>
      </c>
      <c r="D3117" t="s">
        <v>13</v>
      </c>
      <c r="E3117" t="s">
        <v>43</v>
      </c>
      <c r="F3117" t="s">
        <v>44</v>
      </c>
      <c r="G3117">
        <v>1878</v>
      </c>
      <c r="H3117">
        <v>58000</v>
      </c>
      <c r="I3117">
        <v>108924000</v>
      </c>
    </row>
    <row r="3118" spans="1:11" hidden="1" x14ac:dyDescent="0.25">
      <c r="A3118" s="210" t="s">
        <v>1623</v>
      </c>
      <c r="B3118">
        <v>7994</v>
      </c>
      <c r="C3118" s="100">
        <v>46092</v>
      </c>
      <c r="D3118" t="s">
        <v>13</v>
      </c>
      <c r="E3118" t="s">
        <v>135</v>
      </c>
      <c r="F3118" t="s">
        <v>283</v>
      </c>
      <c r="G3118">
        <v>5844</v>
      </c>
      <c r="H3118">
        <v>37000</v>
      </c>
      <c r="I3118">
        <v>216228000</v>
      </c>
    </row>
    <row r="3119" spans="1:11" hidden="1" x14ac:dyDescent="0.25">
      <c r="A3119" s="210" t="s">
        <v>1622</v>
      </c>
      <c r="B3119">
        <v>7993</v>
      </c>
      <c r="C3119" s="100">
        <v>46092</v>
      </c>
      <c r="D3119" t="s">
        <v>13</v>
      </c>
      <c r="E3119" t="s">
        <v>252</v>
      </c>
      <c r="F3119" t="s">
        <v>161</v>
      </c>
      <c r="G3119">
        <v>536</v>
      </c>
      <c r="H3119">
        <v>38500</v>
      </c>
      <c r="I3119">
        <v>20636000</v>
      </c>
    </row>
    <row r="3120" spans="1:11" hidden="1" x14ac:dyDescent="0.25">
      <c r="A3120" s="210" t="s">
        <v>1622</v>
      </c>
      <c r="B3120">
        <v>7993</v>
      </c>
      <c r="C3120" s="100">
        <v>46092</v>
      </c>
      <c r="D3120" t="s">
        <v>13</v>
      </c>
      <c r="E3120" t="s">
        <v>252</v>
      </c>
      <c r="F3120" t="s">
        <v>220</v>
      </c>
      <c r="G3120">
        <v>558</v>
      </c>
      <c r="H3120">
        <v>40000</v>
      </c>
      <c r="I3120">
        <v>22320000</v>
      </c>
    </row>
    <row r="3121" spans="1:11" hidden="1" x14ac:dyDescent="0.25">
      <c r="A3121" s="210" t="s">
        <v>1622</v>
      </c>
      <c r="B3121">
        <v>7993</v>
      </c>
      <c r="C3121" s="100">
        <v>46092</v>
      </c>
      <c r="D3121" t="s">
        <v>13</v>
      </c>
      <c r="E3121" t="s">
        <v>270</v>
      </c>
      <c r="F3121" t="s">
        <v>163</v>
      </c>
      <c r="G3121">
        <v>542</v>
      </c>
      <c r="H3121">
        <v>61500</v>
      </c>
      <c r="I3121">
        <v>33333000</v>
      </c>
    </row>
    <row r="3122" spans="1:11" hidden="1" x14ac:dyDescent="0.25">
      <c r="A3122" s="210" t="s">
        <v>1512</v>
      </c>
      <c r="B3122">
        <v>7991</v>
      </c>
      <c r="C3122" s="100">
        <v>46093</v>
      </c>
      <c r="D3122" t="s">
        <v>13</v>
      </c>
      <c r="E3122" t="s">
        <v>17</v>
      </c>
      <c r="F3122" t="s">
        <v>41</v>
      </c>
      <c r="G3122">
        <v>1227</v>
      </c>
      <c r="H3122">
        <v>60000</v>
      </c>
      <c r="I3122">
        <v>73620000</v>
      </c>
    </row>
    <row r="3123" spans="1:11" hidden="1" x14ac:dyDescent="0.25">
      <c r="A3123" s="210" t="s">
        <v>1583</v>
      </c>
      <c r="B3123">
        <v>7989</v>
      </c>
      <c r="C3123" s="100">
        <v>46092</v>
      </c>
      <c r="D3123" t="s">
        <v>13</v>
      </c>
      <c r="E3123" t="s">
        <v>170</v>
      </c>
      <c r="F3123" t="s">
        <v>1011</v>
      </c>
      <c r="G3123">
        <v>102</v>
      </c>
      <c r="H3123">
        <v>62000</v>
      </c>
      <c r="I3123">
        <v>6324000</v>
      </c>
    </row>
    <row r="3124" spans="1:11" hidden="1" x14ac:dyDescent="0.25">
      <c r="A3124" s="210" t="s">
        <v>1583</v>
      </c>
      <c r="B3124">
        <v>7989</v>
      </c>
      <c r="C3124" s="100">
        <v>46092</v>
      </c>
      <c r="D3124" t="s">
        <v>13</v>
      </c>
      <c r="E3124" t="s">
        <v>170</v>
      </c>
      <c r="F3124" t="s">
        <v>1012</v>
      </c>
      <c r="G3124">
        <v>70</v>
      </c>
      <c r="H3124">
        <v>61000</v>
      </c>
      <c r="I3124">
        <v>4270000</v>
      </c>
    </row>
    <row r="3125" spans="1:11" hidden="1" x14ac:dyDescent="0.25">
      <c r="A3125" s="210" t="s">
        <v>1583</v>
      </c>
      <c r="B3125">
        <v>7989</v>
      </c>
      <c r="C3125" s="100">
        <v>46092</v>
      </c>
      <c r="D3125" t="s">
        <v>13</v>
      </c>
      <c r="E3125" t="s">
        <v>103</v>
      </c>
      <c r="F3125" t="s">
        <v>1013</v>
      </c>
      <c r="G3125">
        <v>712</v>
      </c>
      <c r="H3125">
        <v>38500</v>
      </c>
      <c r="I3125">
        <v>27412000</v>
      </c>
    </row>
    <row r="3126" spans="1:11" hidden="1" x14ac:dyDescent="0.25">
      <c r="A3126" s="210" t="s">
        <v>1621</v>
      </c>
      <c r="B3126">
        <v>7988</v>
      </c>
      <c r="C3126" s="100">
        <v>46092</v>
      </c>
      <c r="D3126" t="s">
        <v>13</v>
      </c>
      <c r="E3126" t="s">
        <v>43</v>
      </c>
      <c r="F3126" t="s">
        <v>469</v>
      </c>
      <c r="G3126">
        <v>641</v>
      </c>
      <c r="H3126">
        <v>60000</v>
      </c>
      <c r="I3126">
        <v>38460000</v>
      </c>
      <c r="K3126" t="s">
        <v>128</v>
      </c>
    </row>
    <row r="3127" spans="1:11" hidden="1" x14ac:dyDescent="0.25">
      <c r="A3127" s="210" t="s">
        <v>1621</v>
      </c>
      <c r="B3127">
        <v>7988</v>
      </c>
      <c r="C3127" s="100">
        <v>46092</v>
      </c>
      <c r="D3127" t="s">
        <v>13</v>
      </c>
      <c r="E3127" t="s">
        <v>26</v>
      </c>
      <c r="F3127" t="s">
        <v>230</v>
      </c>
      <c r="G3127">
        <v>470</v>
      </c>
      <c r="H3127">
        <v>38000</v>
      </c>
      <c r="I3127">
        <v>17860000</v>
      </c>
      <c r="K3127" t="s">
        <v>128</v>
      </c>
    </row>
    <row r="3128" spans="1:11" hidden="1" x14ac:dyDescent="0.25">
      <c r="A3128" s="210" t="s">
        <v>1554</v>
      </c>
      <c r="B3128">
        <v>7987</v>
      </c>
      <c r="C3128" s="100">
        <v>46091</v>
      </c>
      <c r="D3128" t="s">
        <v>13</v>
      </c>
      <c r="E3128" t="s">
        <v>26</v>
      </c>
      <c r="F3128" t="s">
        <v>33</v>
      </c>
      <c r="G3128">
        <v>482</v>
      </c>
      <c r="H3128">
        <v>34000</v>
      </c>
      <c r="I3128">
        <v>16388000</v>
      </c>
    </row>
    <row r="3129" spans="1:11" hidden="1" x14ac:dyDescent="0.25">
      <c r="A3129" s="210" t="s">
        <v>1554</v>
      </c>
      <c r="B3129">
        <v>7987</v>
      </c>
      <c r="C3129" s="100">
        <v>46091</v>
      </c>
      <c r="D3129" t="s">
        <v>13</v>
      </c>
      <c r="E3129" t="s">
        <v>17</v>
      </c>
      <c r="F3129" t="s">
        <v>127</v>
      </c>
      <c r="G3129">
        <v>978</v>
      </c>
      <c r="H3129">
        <v>58500</v>
      </c>
      <c r="I3129">
        <v>57213000</v>
      </c>
    </row>
    <row r="3130" spans="1:11" hidden="1" x14ac:dyDescent="0.25">
      <c r="A3130" s="210" t="s">
        <v>1554</v>
      </c>
      <c r="B3130">
        <v>7987</v>
      </c>
      <c r="C3130" s="100">
        <v>46091</v>
      </c>
      <c r="D3130" t="s">
        <v>13</v>
      </c>
      <c r="E3130" t="s">
        <v>17</v>
      </c>
      <c r="F3130" t="s">
        <v>920</v>
      </c>
      <c r="G3130">
        <v>1018</v>
      </c>
      <c r="H3130">
        <v>58500</v>
      </c>
      <c r="I3130">
        <v>59553000</v>
      </c>
    </row>
    <row r="3131" spans="1:11" hidden="1" x14ac:dyDescent="0.25">
      <c r="A3131" s="210" t="s">
        <v>1554</v>
      </c>
      <c r="B3131">
        <v>7987</v>
      </c>
      <c r="C3131" s="100">
        <v>46091</v>
      </c>
      <c r="D3131" t="s">
        <v>13</v>
      </c>
      <c r="E3131" t="s">
        <v>17</v>
      </c>
      <c r="F3131" t="s">
        <v>33</v>
      </c>
      <c r="G3131">
        <v>2502</v>
      </c>
      <c r="H3131">
        <v>58500</v>
      </c>
      <c r="I3131">
        <v>146367000</v>
      </c>
    </row>
    <row r="3132" spans="1:11" hidden="1" x14ac:dyDescent="0.25">
      <c r="A3132" s="210" t="s">
        <v>1582</v>
      </c>
      <c r="B3132">
        <v>7986</v>
      </c>
      <c r="C3132" s="100">
        <v>46091</v>
      </c>
      <c r="D3132" t="s">
        <v>13</v>
      </c>
      <c r="E3132" t="s">
        <v>26</v>
      </c>
      <c r="F3132" t="s">
        <v>46</v>
      </c>
      <c r="G3132">
        <v>1180</v>
      </c>
      <c r="H3132">
        <v>33500</v>
      </c>
      <c r="I3132">
        <v>39530000</v>
      </c>
    </row>
    <row r="3133" spans="1:11" hidden="1" x14ac:dyDescent="0.25">
      <c r="A3133" s="210" t="s">
        <v>1582</v>
      </c>
      <c r="B3133">
        <v>7986</v>
      </c>
      <c r="C3133" s="100">
        <v>46091</v>
      </c>
      <c r="D3133" t="s">
        <v>13</v>
      </c>
      <c r="E3133" t="s">
        <v>17</v>
      </c>
      <c r="F3133" t="s">
        <v>127</v>
      </c>
      <c r="G3133">
        <v>980</v>
      </c>
      <c r="H3133">
        <v>64000</v>
      </c>
      <c r="I3133">
        <v>62720000</v>
      </c>
    </row>
    <row r="3134" spans="1:11" hidden="1" x14ac:dyDescent="0.25">
      <c r="A3134" s="210" t="s">
        <v>1582</v>
      </c>
      <c r="B3134">
        <v>7986</v>
      </c>
      <c r="C3134" s="100">
        <v>46091</v>
      </c>
      <c r="D3134" t="s">
        <v>13</v>
      </c>
      <c r="E3134" t="s">
        <v>1004</v>
      </c>
      <c r="F3134" t="s">
        <v>33</v>
      </c>
      <c r="G3134">
        <v>502</v>
      </c>
      <c r="H3134">
        <v>64000</v>
      </c>
      <c r="I3134">
        <v>32128000</v>
      </c>
    </row>
    <row r="3135" spans="1:11" hidden="1" x14ac:dyDescent="0.25">
      <c r="A3135" s="210" t="s">
        <v>1520</v>
      </c>
      <c r="B3135">
        <v>7984</v>
      </c>
      <c r="C3135" s="100">
        <v>46122</v>
      </c>
      <c r="D3135" t="s">
        <v>13</v>
      </c>
      <c r="E3135" t="s">
        <v>103</v>
      </c>
      <c r="F3135" t="s">
        <v>447</v>
      </c>
      <c r="G3135">
        <v>2494</v>
      </c>
      <c r="H3135">
        <v>37000</v>
      </c>
      <c r="I3135">
        <v>92278000</v>
      </c>
    </row>
    <row r="3136" spans="1:11" hidden="1" x14ac:dyDescent="0.25">
      <c r="A3136" s="210" t="s">
        <v>1489</v>
      </c>
      <c r="B3136">
        <v>7983</v>
      </c>
      <c r="C3136" s="100">
        <v>46091</v>
      </c>
      <c r="D3136" t="s">
        <v>13</v>
      </c>
      <c r="E3136" t="s">
        <v>14</v>
      </c>
      <c r="F3136" t="s">
        <v>62</v>
      </c>
      <c r="G3136">
        <v>146</v>
      </c>
      <c r="H3136">
        <v>42000</v>
      </c>
      <c r="I3136">
        <v>6132000</v>
      </c>
    </row>
    <row r="3137" spans="1:11" hidden="1" x14ac:dyDescent="0.25">
      <c r="A3137" s="210" t="s">
        <v>1606</v>
      </c>
      <c r="B3137">
        <v>7983</v>
      </c>
      <c r="C3137" s="100">
        <v>46091</v>
      </c>
      <c r="D3137" t="s">
        <v>13</v>
      </c>
      <c r="E3137" t="s">
        <v>68</v>
      </c>
      <c r="F3137" t="s">
        <v>69</v>
      </c>
      <c r="G3137">
        <v>90</v>
      </c>
      <c r="H3137">
        <v>42000</v>
      </c>
      <c r="I3137">
        <v>3780000</v>
      </c>
    </row>
    <row r="3138" spans="1:11" hidden="1" x14ac:dyDescent="0.25">
      <c r="A3138" s="210" t="s">
        <v>1499</v>
      </c>
      <c r="B3138">
        <v>7982</v>
      </c>
      <c r="C3138" s="100">
        <v>46091</v>
      </c>
      <c r="D3138" t="s">
        <v>13</v>
      </c>
      <c r="E3138" t="s">
        <v>109</v>
      </c>
      <c r="F3138" t="s">
        <v>151</v>
      </c>
      <c r="G3138">
        <v>180</v>
      </c>
      <c r="H3138">
        <v>57000</v>
      </c>
      <c r="I3138">
        <v>10260000</v>
      </c>
    </row>
    <row r="3139" spans="1:11" hidden="1" x14ac:dyDescent="0.25">
      <c r="A3139" s="210" t="s">
        <v>1580</v>
      </c>
      <c r="B3139">
        <v>7981</v>
      </c>
      <c r="C3139" s="100">
        <v>46091</v>
      </c>
      <c r="D3139" t="s">
        <v>13</v>
      </c>
      <c r="E3139" t="s">
        <v>135</v>
      </c>
      <c r="F3139" t="s">
        <v>134</v>
      </c>
      <c r="G3139">
        <v>882</v>
      </c>
      <c r="H3139">
        <v>36000</v>
      </c>
      <c r="I3139">
        <v>31752000</v>
      </c>
      <c r="K3139" t="s">
        <v>128</v>
      </c>
    </row>
    <row r="3140" spans="1:11" hidden="1" x14ac:dyDescent="0.25">
      <c r="A3140" s="210" t="s">
        <v>1485</v>
      </c>
      <c r="B3140">
        <v>7979</v>
      </c>
      <c r="C3140" s="100">
        <v>46091</v>
      </c>
      <c r="D3140" t="s">
        <v>13</v>
      </c>
      <c r="E3140" t="s">
        <v>192</v>
      </c>
      <c r="F3140" t="s">
        <v>141</v>
      </c>
      <c r="G3140">
        <v>830</v>
      </c>
      <c r="H3140">
        <v>32000</v>
      </c>
      <c r="I3140">
        <v>26560000</v>
      </c>
    </row>
    <row r="3141" spans="1:11" hidden="1" x14ac:dyDescent="0.25">
      <c r="A3141" s="210" t="s">
        <v>1485</v>
      </c>
      <c r="B3141">
        <v>7979</v>
      </c>
      <c r="C3141" s="100">
        <v>46091</v>
      </c>
      <c r="D3141" t="s">
        <v>13</v>
      </c>
      <c r="E3141" t="s">
        <v>36</v>
      </c>
      <c r="F3141" t="s">
        <v>193</v>
      </c>
      <c r="G3141">
        <v>180</v>
      </c>
      <c r="H3141">
        <v>58000</v>
      </c>
      <c r="I3141">
        <v>10440000</v>
      </c>
    </row>
    <row r="3142" spans="1:11" hidden="1" x14ac:dyDescent="0.25">
      <c r="A3142" s="210" t="s">
        <v>1485</v>
      </c>
      <c r="B3142">
        <v>7979</v>
      </c>
      <c r="C3142" s="100">
        <v>46091</v>
      </c>
      <c r="D3142" t="s">
        <v>13</v>
      </c>
      <c r="E3142" t="s">
        <v>36</v>
      </c>
      <c r="F3142" t="s">
        <v>194</v>
      </c>
      <c r="G3142">
        <v>338</v>
      </c>
      <c r="H3142">
        <v>58000</v>
      </c>
      <c r="I3142">
        <v>19604000</v>
      </c>
    </row>
    <row r="3143" spans="1:11" hidden="1" x14ac:dyDescent="0.25">
      <c r="A3143" s="210" t="s">
        <v>1485</v>
      </c>
      <c r="B3143">
        <v>7979</v>
      </c>
      <c r="C3143" s="100">
        <v>46091</v>
      </c>
      <c r="D3143" t="s">
        <v>13</v>
      </c>
      <c r="E3143" t="s">
        <v>195</v>
      </c>
      <c r="F3143" t="s">
        <v>196</v>
      </c>
      <c r="G3143">
        <v>5390</v>
      </c>
      <c r="H3143">
        <v>24000</v>
      </c>
      <c r="I3143">
        <v>129360000</v>
      </c>
    </row>
    <row r="3144" spans="1:11" hidden="1" x14ac:dyDescent="0.25">
      <c r="A3144" s="210" t="s">
        <v>1491</v>
      </c>
      <c r="B3144">
        <v>7978</v>
      </c>
      <c r="C3144" s="100">
        <v>46091</v>
      </c>
      <c r="D3144" t="s">
        <v>13</v>
      </c>
      <c r="E3144" t="s">
        <v>43</v>
      </c>
      <c r="F3144" t="s">
        <v>250</v>
      </c>
      <c r="G3144">
        <v>1690</v>
      </c>
      <c r="H3144">
        <v>56500</v>
      </c>
      <c r="I3144">
        <v>95485000</v>
      </c>
    </row>
    <row r="3145" spans="1:11" hidden="1" x14ac:dyDescent="0.25">
      <c r="A3145" s="210" t="s">
        <v>1547</v>
      </c>
      <c r="B3145">
        <v>7977</v>
      </c>
      <c r="C3145" s="100">
        <v>46091</v>
      </c>
      <c r="D3145" t="s">
        <v>13</v>
      </c>
      <c r="E3145" t="s">
        <v>17</v>
      </c>
      <c r="F3145" t="s">
        <v>211</v>
      </c>
      <c r="G3145">
        <v>2634</v>
      </c>
      <c r="H3145">
        <v>64000</v>
      </c>
      <c r="I3145">
        <v>168576000</v>
      </c>
    </row>
    <row r="3146" spans="1:11" hidden="1" x14ac:dyDescent="0.25">
      <c r="A3146" s="210" t="s">
        <v>1547</v>
      </c>
      <c r="B3146">
        <v>7977</v>
      </c>
      <c r="C3146" s="100">
        <v>46091</v>
      </c>
      <c r="D3146" t="s">
        <v>13</v>
      </c>
      <c r="E3146" t="s">
        <v>43</v>
      </c>
      <c r="F3146" t="s">
        <v>689</v>
      </c>
      <c r="G3146">
        <v>1700</v>
      </c>
      <c r="H3146">
        <v>58000</v>
      </c>
      <c r="I3146">
        <v>98600000</v>
      </c>
    </row>
    <row r="3147" spans="1:11" hidden="1" x14ac:dyDescent="0.25">
      <c r="A3147" s="210" t="s">
        <v>1579</v>
      </c>
      <c r="B3147">
        <v>7977</v>
      </c>
      <c r="C3147" s="100">
        <v>46092</v>
      </c>
      <c r="D3147" t="s">
        <v>242</v>
      </c>
      <c r="E3147" t="s">
        <v>26</v>
      </c>
      <c r="F3147" t="s">
        <v>40</v>
      </c>
      <c r="G3147">
        <v>-1458</v>
      </c>
      <c r="H3147">
        <v>34500</v>
      </c>
      <c r="I3147">
        <v>-50301000</v>
      </c>
    </row>
    <row r="3148" spans="1:11" hidden="1" x14ac:dyDescent="0.25">
      <c r="A3148" s="210" t="s">
        <v>1579</v>
      </c>
      <c r="B3148">
        <v>7976</v>
      </c>
      <c r="C3148" s="100">
        <v>46091</v>
      </c>
      <c r="D3148" t="s">
        <v>13</v>
      </c>
      <c r="E3148" t="s">
        <v>26</v>
      </c>
      <c r="F3148" t="s">
        <v>40</v>
      </c>
      <c r="G3148">
        <v>1458</v>
      </c>
      <c r="H3148">
        <v>34500</v>
      </c>
      <c r="I3148">
        <v>50301000</v>
      </c>
    </row>
    <row r="3149" spans="1:11" hidden="1" x14ac:dyDescent="0.25">
      <c r="A3149" s="210" t="s">
        <v>1493</v>
      </c>
      <c r="B3149">
        <v>7975</v>
      </c>
      <c r="C3149" s="100">
        <v>46091</v>
      </c>
      <c r="D3149" t="s">
        <v>13</v>
      </c>
      <c r="E3149" t="s">
        <v>26</v>
      </c>
      <c r="F3149" t="s">
        <v>161</v>
      </c>
      <c r="G3149">
        <v>874</v>
      </c>
      <c r="H3149">
        <v>33500</v>
      </c>
      <c r="I3149">
        <v>29279000</v>
      </c>
    </row>
    <row r="3150" spans="1:11" hidden="1" x14ac:dyDescent="0.25">
      <c r="A3150" s="210" t="s">
        <v>1493</v>
      </c>
      <c r="B3150">
        <v>7975</v>
      </c>
      <c r="C3150" s="100">
        <v>46091</v>
      </c>
      <c r="D3150" t="s">
        <v>13</v>
      </c>
      <c r="E3150" t="s">
        <v>43</v>
      </c>
      <c r="F3150" t="s">
        <v>211</v>
      </c>
      <c r="G3150">
        <v>620</v>
      </c>
      <c r="H3150">
        <v>63000</v>
      </c>
      <c r="I3150">
        <v>39060000</v>
      </c>
    </row>
    <row r="3151" spans="1:11" hidden="1" x14ac:dyDescent="0.25">
      <c r="A3151" s="210" t="s">
        <v>1493</v>
      </c>
      <c r="B3151">
        <v>7975</v>
      </c>
      <c r="C3151" s="100">
        <v>46091</v>
      </c>
      <c r="D3151" t="s">
        <v>13</v>
      </c>
      <c r="E3151" t="s">
        <v>14</v>
      </c>
      <c r="F3151" t="s">
        <v>161</v>
      </c>
      <c r="G3151">
        <v>1040</v>
      </c>
      <c r="H3151">
        <v>41500</v>
      </c>
      <c r="I3151">
        <v>43160000</v>
      </c>
    </row>
    <row r="3152" spans="1:11" hidden="1" x14ac:dyDescent="0.25">
      <c r="A3152" s="210" t="s">
        <v>1491</v>
      </c>
      <c r="B3152">
        <v>7974</v>
      </c>
      <c r="C3152" s="100">
        <v>46091</v>
      </c>
      <c r="D3152" t="s">
        <v>13</v>
      </c>
      <c r="E3152" t="s">
        <v>43</v>
      </c>
      <c r="F3152" t="s">
        <v>154</v>
      </c>
      <c r="G3152">
        <v>1222</v>
      </c>
      <c r="H3152">
        <v>56500</v>
      </c>
      <c r="I3152">
        <v>69043000</v>
      </c>
    </row>
    <row r="3153" spans="1:10" hidden="1" x14ac:dyDescent="0.25">
      <c r="A3153" s="210" t="s">
        <v>1491</v>
      </c>
      <c r="B3153">
        <v>7974</v>
      </c>
      <c r="C3153" s="100">
        <v>46091</v>
      </c>
      <c r="D3153" t="s">
        <v>13</v>
      </c>
      <c r="E3153" t="s">
        <v>43</v>
      </c>
      <c r="F3153" t="s">
        <v>248</v>
      </c>
      <c r="G3153">
        <v>1440</v>
      </c>
      <c r="H3153">
        <v>56500</v>
      </c>
      <c r="I3153">
        <v>81360000</v>
      </c>
    </row>
    <row r="3154" spans="1:10" hidden="1" x14ac:dyDescent="0.25">
      <c r="A3154" s="210" t="s">
        <v>1491</v>
      </c>
      <c r="B3154">
        <v>7974</v>
      </c>
      <c r="C3154" s="100">
        <v>46091</v>
      </c>
      <c r="D3154" t="s">
        <v>13</v>
      </c>
      <c r="E3154" t="s">
        <v>17</v>
      </c>
      <c r="F3154" t="s">
        <v>146</v>
      </c>
      <c r="G3154">
        <v>1220</v>
      </c>
      <c r="H3154">
        <v>57000</v>
      </c>
      <c r="I3154">
        <v>69540000</v>
      </c>
    </row>
    <row r="3155" spans="1:10" hidden="1" x14ac:dyDescent="0.25">
      <c r="A3155" s="210" t="s">
        <v>1491</v>
      </c>
      <c r="B3155">
        <v>7974</v>
      </c>
      <c r="C3155" s="100">
        <v>46091</v>
      </c>
      <c r="D3155" t="s">
        <v>13</v>
      </c>
      <c r="E3155" t="s">
        <v>26</v>
      </c>
      <c r="F3155" t="s">
        <v>249</v>
      </c>
      <c r="G3155">
        <v>751</v>
      </c>
      <c r="H3155">
        <v>36000</v>
      </c>
      <c r="I3155">
        <v>27036000</v>
      </c>
    </row>
    <row r="3156" spans="1:10" hidden="1" x14ac:dyDescent="0.25">
      <c r="A3156" s="210" t="s">
        <v>1620</v>
      </c>
      <c r="B3156">
        <v>7972</v>
      </c>
      <c r="C3156" s="100">
        <v>46091</v>
      </c>
      <c r="D3156" t="s">
        <v>13</v>
      </c>
      <c r="E3156" t="s">
        <v>14</v>
      </c>
      <c r="F3156" t="s">
        <v>41</v>
      </c>
      <c r="G3156">
        <v>1914</v>
      </c>
      <c r="H3156">
        <v>41500</v>
      </c>
      <c r="I3156">
        <v>79431000</v>
      </c>
    </row>
    <row r="3157" spans="1:10" hidden="1" x14ac:dyDescent="0.25">
      <c r="A3157" s="210" t="s">
        <v>1613</v>
      </c>
      <c r="B3157">
        <v>7971</v>
      </c>
      <c r="C3157" s="100">
        <v>46091</v>
      </c>
      <c r="D3157" t="s">
        <v>13</v>
      </c>
      <c r="E3157" t="s">
        <v>26</v>
      </c>
      <c r="F3157" t="s">
        <v>149</v>
      </c>
      <c r="G3157">
        <v>1122</v>
      </c>
      <c r="H3157">
        <v>34000</v>
      </c>
      <c r="I3157">
        <v>38148000</v>
      </c>
    </row>
    <row r="3158" spans="1:10" hidden="1" x14ac:dyDescent="0.25">
      <c r="A3158" s="210" t="s">
        <v>1505</v>
      </c>
      <c r="B3158">
        <v>7970</v>
      </c>
      <c r="C3158" s="100">
        <v>46091</v>
      </c>
      <c r="D3158" t="s">
        <v>13</v>
      </c>
      <c r="E3158" t="s">
        <v>43</v>
      </c>
      <c r="F3158" t="s">
        <v>348</v>
      </c>
      <c r="G3158">
        <v>1704</v>
      </c>
      <c r="H3158">
        <v>56000</v>
      </c>
      <c r="I3158">
        <v>95424000</v>
      </c>
      <c r="J3158">
        <v>125</v>
      </c>
    </row>
    <row r="3159" spans="1:10" hidden="1" x14ac:dyDescent="0.25">
      <c r="A3159" s="210" t="s">
        <v>1490</v>
      </c>
      <c r="B3159">
        <v>7969</v>
      </c>
      <c r="C3159" s="100">
        <v>46091</v>
      </c>
      <c r="D3159" t="s">
        <v>13</v>
      </c>
      <c r="E3159" t="s">
        <v>17</v>
      </c>
      <c r="F3159" t="s">
        <v>25</v>
      </c>
      <c r="G3159">
        <v>1190</v>
      </c>
      <c r="H3159">
        <v>59000</v>
      </c>
      <c r="I3159">
        <v>70210000</v>
      </c>
    </row>
    <row r="3160" spans="1:10" hidden="1" x14ac:dyDescent="0.25">
      <c r="A3160" s="210" t="s">
        <v>1618</v>
      </c>
      <c r="B3160">
        <v>7968</v>
      </c>
      <c r="C3160" s="100">
        <v>46091</v>
      </c>
      <c r="D3160" t="s">
        <v>13</v>
      </c>
      <c r="E3160" t="s">
        <v>301</v>
      </c>
      <c r="F3160" t="s">
        <v>1175</v>
      </c>
      <c r="G3160">
        <v>5922</v>
      </c>
      <c r="H3160">
        <v>26500</v>
      </c>
      <c r="I3160">
        <v>156933000</v>
      </c>
    </row>
    <row r="3161" spans="1:10" hidden="1" x14ac:dyDescent="0.25">
      <c r="A3161" s="210" t="s">
        <v>1618</v>
      </c>
      <c r="B3161">
        <v>7967</v>
      </c>
      <c r="C3161" s="100">
        <v>46091</v>
      </c>
      <c r="D3161" t="s">
        <v>13</v>
      </c>
      <c r="E3161" t="s">
        <v>301</v>
      </c>
      <c r="F3161" t="s">
        <v>1175</v>
      </c>
      <c r="G3161">
        <v>9254</v>
      </c>
      <c r="H3161">
        <v>26500</v>
      </c>
      <c r="I3161">
        <v>245231000</v>
      </c>
    </row>
    <row r="3162" spans="1:10" hidden="1" x14ac:dyDescent="0.25">
      <c r="A3162" s="210" t="s">
        <v>1536</v>
      </c>
      <c r="B3162">
        <v>7964</v>
      </c>
      <c r="C3162" s="100">
        <v>46090</v>
      </c>
      <c r="D3162" t="s">
        <v>13</v>
      </c>
      <c r="E3162" t="s">
        <v>317</v>
      </c>
      <c r="F3162" t="s">
        <v>836</v>
      </c>
      <c r="G3162">
        <v>64</v>
      </c>
      <c r="H3162">
        <v>58000</v>
      </c>
      <c r="I3162">
        <v>3712000</v>
      </c>
    </row>
    <row r="3163" spans="1:10" hidden="1" x14ac:dyDescent="0.25">
      <c r="A3163" s="210" t="s">
        <v>1536</v>
      </c>
      <c r="B3163">
        <v>7964</v>
      </c>
      <c r="C3163" s="100">
        <v>46090</v>
      </c>
      <c r="D3163" t="s">
        <v>13</v>
      </c>
      <c r="E3163" t="s">
        <v>17</v>
      </c>
      <c r="F3163" t="s">
        <v>220</v>
      </c>
      <c r="G3163">
        <v>136</v>
      </c>
      <c r="H3163">
        <v>59000</v>
      </c>
      <c r="I3163">
        <v>8024000</v>
      </c>
    </row>
    <row r="3164" spans="1:10" hidden="1" x14ac:dyDescent="0.25">
      <c r="A3164" s="210" t="s">
        <v>1536</v>
      </c>
      <c r="B3164">
        <v>7964</v>
      </c>
      <c r="C3164" s="100">
        <v>46090</v>
      </c>
      <c r="D3164" t="s">
        <v>13</v>
      </c>
      <c r="E3164" t="s">
        <v>109</v>
      </c>
      <c r="F3164" t="s">
        <v>110</v>
      </c>
      <c r="G3164">
        <v>394</v>
      </c>
      <c r="H3164">
        <v>55000</v>
      </c>
      <c r="I3164">
        <v>21670000</v>
      </c>
    </row>
    <row r="3165" spans="1:10" hidden="1" x14ac:dyDescent="0.25">
      <c r="A3165" s="210" t="s">
        <v>1536</v>
      </c>
      <c r="B3165">
        <v>7964</v>
      </c>
      <c r="C3165" s="100">
        <v>46090</v>
      </c>
      <c r="D3165" t="s">
        <v>13</v>
      </c>
      <c r="E3165" t="s">
        <v>50</v>
      </c>
      <c r="F3165" t="s">
        <v>380</v>
      </c>
      <c r="G3165">
        <v>10</v>
      </c>
      <c r="H3165">
        <v>59000</v>
      </c>
      <c r="I3165">
        <v>590000</v>
      </c>
    </row>
    <row r="3166" spans="1:10" hidden="1" x14ac:dyDescent="0.25">
      <c r="A3166" s="210" t="s">
        <v>1536</v>
      </c>
      <c r="B3166">
        <v>7964</v>
      </c>
      <c r="C3166" s="100">
        <v>46090</v>
      </c>
      <c r="D3166" t="s">
        <v>13</v>
      </c>
      <c r="E3166" t="s">
        <v>109</v>
      </c>
      <c r="F3166" t="s">
        <v>837</v>
      </c>
      <c r="G3166">
        <v>1074</v>
      </c>
      <c r="H3166">
        <v>55500</v>
      </c>
      <c r="I3166">
        <v>59607000</v>
      </c>
    </row>
    <row r="3167" spans="1:10" hidden="1" x14ac:dyDescent="0.25">
      <c r="A3167" s="210" t="s">
        <v>1536</v>
      </c>
      <c r="B3167">
        <v>7964</v>
      </c>
      <c r="C3167" s="100">
        <v>46090</v>
      </c>
      <c r="D3167" t="s">
        <v>13</v>
      </c>
      <c r="E3167" t="s">
        <v>14</v>
      </c>
      <c r="F3167" t="s">
        <v>65</v>
      </c>
      <c r="G3167">
        <v>260</v>
      </c>
      <c r="H3167">
        <v>44000</v>
      </c>
      <c r="I3167">
        <v>11440000</v>
      </c>
    </row>
    <row r="3168" spans="1:10" hidden="1" x14ac:dyDescent="0.25">
      <c r="A3168" s="210" t="s">
        <v>1536</v>
      </c>
      <c r="B3168">
        <v>7964</v>
      </c>
      <c r="C3168" s="100">
        <v>46090</v>
      </c>
      <c r="D3168" t="s">
        <v>13</v>
      </c>
      <c r="E3168" t="s">
        <v>135</v>
      </c>
      <c r="F3168" t="s">
        <v>179</v>
      </c>
      <c r="G3168">
        <v>244</v>
      </c>
      <c r="H3168">
        <v>36500</v>
      </c>
      <c r="I3168">
        <v>8906000</v>
      </c>
    </row>
    <row r="3169" spans="1:11" hidden="1" x14ac:dyDescent="0.25">
      <c r="A3169" s="210" t="s">
        <v>1536</v>
      </c>
      <c r="B3169">
        <v>7964</v>
      </c>
      <c r="C3169" s="100">
        <v>46090</v>
      </c>
      <c r="D3169" t="s">
        <v>13</v>
      </c>
      <c r="E3169" t="s">
        <v>50</v>
      </c>
      <c r="F3169" t="s">
        <v>146</v>
      </c>
      <c r="G3169">
        <v>180</v>
      </c>
      <c r="H3169">
        <v>58000</v>
      </c>
      <c r="I3169">
        <v>10440000</v>
      </c>
    </row>
    <row r="3170" spans="1:11" hidden="1" x14ac:dyDescent="0.25">
      <c r="A3170" s="210" t="s">
        <v>1530</v>
      </c>
      <c r="B3170">
        <v>7963</v>
      </c>
      <c r="C3170" s="100">
        <v>46090</v>
      </c>
      <c r="D3170" t="s">
        <v>13</v>
      </c>
      <c r="E3170" t="s">
        <v>26</v>
      </c>
      <c r="F3170" t="s">
        <v>689</v>
      </c>
      <c r="G3170">
        <v>2509</v>
      </c>
      <c r="H3170">
        <v>33000</v>
      </c>
      <c r="I3170">
        <v>82797000</v>
      </c>
    </row>
    <row r="3171" spans="1:11" hidden="1" x14ac:dyDescent="0.25">
      <c r="A3171" s="210" t="s">
        <v>1476</v>
      </c>
      <c r="B3171">
        <v>7962</v>
      </c>
      <c r="C3171" s="100">
        <v>46090</v>
      </c>
      <c r="D3171" t="s">
        <v>49</v>
      </c>
      <c r="E3171" t="s">
        <v>36</v>
      </c>
      <c r="F3171" t="s">
        <v>63</v>
      </c>
      <c r="G3171">
        <v>1260</v>
      </c>
      <c r="I3171">
        <v>0</v>
      </c>
      <c r="K3171" t="s">
        <v>64</v>
      </c>
    </row>
    <row r="3172" spans="1:11" hidden="1" x14ac:dyDescent="0.25">
      <c r="A3172" s="210" t="s">
        <v>1476</v>
      </c>
      <c r="B3172">
        <v>7962</v>
      </c>
      <c r="C3172" s="100">
        <v>46090</v>
      </c>
      <c r="D3172" t="s">
        <v>49</v>
      </c>
      <c r="E3172" t="s">
        <v>26</v>
      </c>
      <c r="F3172" t="s">
        <v>65</v>
      </c>
      <c r="G3172">
        <v>280</v>
      </c>
      <c r="I3172">
        <v>0</v>
      </c>
      <c r="K3172" t="s">
        <v>66</v>
      </c>
    </row>
    <row r="3173" spans="1:11" hidden="1" x14ac:dyDescent="0.25">
      <c r="A3173" s="210" t="s">
        <v>1504</v>
      </c>
      <c r="B3173">
        <v>7961</v>
      </c>
      <c r="C3173" s="100">
        <v>46090</v>
      </c>
      <c r="D3173" t="s">
        <v>13</v>
      </c>
      <c r="E3173" t="s">
        <v>54</v>
      </c>
      <c r="F3173" t="s">
        <v>309</v>
      </c>
      <c r="G3173">
        <v>102</v>
      </c>
      <c r="H3173">
        <v>36000</v>
      </c>
      <c r="I3173">
        <v>3672000</v>
      </c>
    </row>
    <row r="3174" spans="1:11" hidden="1" x14ac:dyDescent="0.25">
      <c r="A3174" s="210" t="s">
        <v>1504</v>
      </c>
      <c r="B3174">
        <v>7961</v>
      </c>
      <c r="C3174" s="100">
        <v>46090</v>
      </c>
      <c r="D3174" t="s">
        <v>13</v>
      </c>
      <c r="E3174" t="s">
        <v>173</v>
      </c>
      <c r="F3174" t="s">
        <v>310</v>
      </c>
      <c r="G3174">
        <v>100</v>
      </c>
      <c r="H3174">
        <v>74000</v>
      </c>
      <c r="I3174">
        <v>7400000</v>
      </c>
    </row>
    <row r="3175" spans="1:11" hidden="1" x14ac:dyDescent="0.25">
      <c r="A3175" s="210" t="s">
        <v>1504</v>
      </c>
      <c r="B3175">
        <v>7961</v>
      </c>
      <c r="C3175" s="100">
        <v>46090</v>
      </c>
      <c r="D3175" t="s">
        <v>13</v>
      </c>
      <c r="E3175" t="s">
        <v>311</v>
      </c>
      <c r="F3175" t="s">
        <v>312</v>
      </c>
      <c r="G3175">
        <v>996</v>
      </c>
      <c r="H3175">
        <v>38000</v>
      </c>
      <c r="I3175">
        <v>37848000</v>
      </c>
    </row>
    <row r="3176" spans="1:11" hidden="1" x14ac:dyDescent="0.25">
      <c r="A3176" s="210" t="s">
        <v>1504</v>
      </c>
      <c r="B3176">
        <v>7961</v>
      </c>
      <c r="C3176" s="100">
        <v>46090</v>
      </c>
      <c r="D3176" t="s">
        <v>13</v>
      </c>
      <c r="E3176" t="s">
        <v>43</v>
      </c>
      <c r="F3176" t="s">
        <v>78</v>
      </c>
      <c r="G3176">
        <v>428</v>
      </c>
      <c r="H3176">
        <v>64000</v>
      </c>
      <c r="I3176">
        <v>27392000</v>
      </c>
    </row>
    <row r="3177" spans="1:11" hidden="1" x14ac:dyDescent="0.25">
      <c r="A3177" s="210" t="s">
        <v>1524</v>
      </c>
      <c r="B3177">
        <v>7960</v>
      </c>
      <c r="C3177" s="100">
        <v>46090</v>
      </c>
      <c r="D3177" t="s">
        <v>49</v>
      </c>
      <c r="E3177" t="s">
        <v>77</v>
      </c>
      <c r="F3177" t="s">
        <v>478</v>
      </c>
      <c r="G3177">
        <v>1014</v>
      </c>
      <c r="I3177">
        <v>0</v>
      </c>
      <c r="K3177" t="s">
        <v>479</v>
      </c>
    </row>
    <row r="3178" spans="1:11" hidden="1" x14ac:dyDescent="0.25">
      <c r="A3178" s="210" t="s">
        <v>1524</v>
      </c>
      <c r="B3178">
        <v>7960</v>
      </c>
      <c r="C3178" s="100">
        <v>46090</v>
      </c>
      <c r="D3178" t="s">
        <v>49</v>
      </c>
      <c r="E3178" t="s">
        <v>77</v>
      </c>
      <c r="F3178" t="s">
        <v>480</v>
      </c>
      <c r="G3178">
        <v>1856</v>
      </c>
      <c r="I3178">
        <v>0</v>
      </c>
      <c r="K3178" t="s">
        <v>481</v>
      </c>
    </row>
    <row r="3179" spans="1:11" hidden="1" x14ac:dyDescent="0.25">
      <c r="A3179" s="210" t="s">
        <v>1524</v>
      </c>
      <c r="B3179">
        <v>7960</v>
      </c>
      <c r="C3179" s="100">
        <v>46090</v>
      </c>
      <c r="D3179" t="s">
        <v>49</v>
      </c>
      <c r="E3179" t="s">
        <v>17</v>
      </c>
      <c r="F3179" t="s">
        <v>482</v>
      </c>
      <c r="G3179">
        <v>5600</v>
      </c>
      <c r="I3179">
        <v>0</v>
      </c>
      <c r="K3179" t="s">
        <v>483</v>
      </c>
    </row>
    <row r="3180" spans="1:11" hidden="1" x14ac:dyDescent="0.25">
      <c r="A3180" s="210" t="s">
        <v>1524</v>
      </c>
      <c r="B3180">
        <v>7960</v>
      </c>
      <c r="C3180" s="100">
        <v>46090</v>
      </c>
      <c r="D3180" t="s">
        <v>49</v>
      </c>
      <c r="E3180" t="s">
        <v>17</v>
      </c>
      <c r="F3180" t="s">
        <v>484</v>
      </c>
      <c r="G3180">
        <v>3146</v>
      </c>
      <c r="I3180">
        <v>0</v>
      </c>
    </row>
    <row r="3181" spans="1:11" hidden="1" x14ac:dyDescent="0.25">
      <c r="A3181" s="210" t="s">
        <v>1539</v>
      </c>
      <c r="B3181">
        <v>7959</v>
      </c>
      <c r="C3181" s="100">
        <v>46090</v>
      </c>
      <c r="D3181" t="s">
        <v>13</v>
      </c>
      <c r="E3181" t="s">
        <v>43</v>
      </c>
      <c r="F3181" t="s">
        <v>246</v>
      </c>
      <c r="G3181">
        <v>510</v>
      </c>
      <c r="H3181">
        <v>55500</v>
      </c>
      <c r="I3181">
        <v>28305000</v>
      </c>
    </row>
    <row r="3182" spans="1:11" hidden="1" x14ac:dyDescent="0.25">
      <c r="A3182" s="210" t="s">
        <v>1502</v>
      </c>
      <c r="B3182">
        <v>7958</v>
      </c>
      <c r="C3182" s="100">
        <v>46090</v>
      </c>
      <c r="D3182" t="s">
        <v>13</v>
      </c>
      <c r="E3182" t="s">
        <v>50</v>
      </c>
      <c r="F3182" t="s">
        <v>296</v>
      </c>
      <c r="G3182">
        <v>2252</v>
      </c>
      <c r="H3182">
        <v>54000</v>
      </c>
      <c r="I3182">
        <v>121608000</v>
      </c>
    </row>
    <row r="3183" spans="1:11" hidden="1" x14ac:dyDescent="0.25">
      <c r="A3183" s="210" t="s">
        <v>1524</v>
      </c>
      <c r="B3183">
        <v>7957</v>
      </c>
      <c r="C3183" s="100">
        <v>46090</v>
      </c>
      <c r="D3183" t="s">
        <v>49</v>
      </c>
      <c r="E3183" t="s">
        <v>26</v>
      </c>
      <c r="F3183" t="s">
        <v>65</v>
      </c>
      <c r="G3183">
        <v>1091</v>
      </c>
      <c r="I3183">
        <v>0</v>
      </c>
      <c r="K3183" t="s">
        <v>475</v>
      </c>
    </row>
    <row r="3184" spans="1:11" hidden="1" x14ac:dyDescent="0.25">
      <c r="A3184" s="210" t="s">
        <v>1524</v>
      </c>
      <c r="B3184">
        <v>7957</v>
      </c>
      <c r="C3184" s="100">
        <v>46090</v>
      </c>
      <c r="D3184" t="s">
        <v>49</v>
      </c>
      <c r="E3184" t="s">
        <v>26</v>
      </c>
      <c r="F3184" t="s">
        <v>65</v>
      </c>
      <c r="G3184">
        <v>1717</v>
      </c>
      <c r="I3184">
        <v>0</v>
      </c>
      <c r="K3184" t="s">
        <v>476</v>
      </c>
    </row>
    <row r="3185" spans="1:11" hidden="1" x14ac:dyDescent="0.25">
      <c r="A3185" s="210" t="s">
        <v>1524</v>
      </c>
      <c r="B3185">
        <v>7957</v>
      </c>
      <c r="C3185" s="100">
        <v>46090</v>
      </c>
      <c r="D3185" t="s">
        <v>49</v>
      </c>
      <c r="E3185" t="s">
        <v>26</v>
      </c>
      <c r="F3185" t="s">
        <v>211</v>
      </c>
      <c r="G3185">
        <v>1458</v>
      </c>
      <c r="I3185">
        <v>0</v>
      </c>
      <c r="K3185" t="s">
        <v>475</v>
      </c>
    </row>
    <row r="3186" spans="1:11" hidden="1" x14ac:dyDescent="0.25">
      <c r="A3186" s="210" t="s">
        <v>1524</v>
      </c>
      <c r="B3186">
        <v>7957</v>
      </c>
      <c r="C3186" s="100">
        <v>46090</v>
      </c>
      <c r="D3186" t="s">
        <v>49</v>
      </c>
      <c r="E3186" t="s">
        <v>26</v>
      </c>
      <c r="F3186" t="s">
        <v>477</v>
      </c>
      <c r="G3186">
        <v>4177</v>
      </c>
      <c r="I3186">
        <v>0</v>
      </c>
    </row>
    <row r="3187" spans="1:11" hidden="1" x14ac:dyDescent="0.25">
      <c r="A3187" s="210" t="s">
        <v>1554</v>
      </c>
      <c r="B3187">
        <v>7956</v>
      </c>
      <c r="C3187" s="100">
        <v>46090</v>
      </c>
      <c r="D3187" t="s">
        <v>13</v>
      </c>
      <c r="E3187" t="s">
        <v>43</v>
      </c>
      <c r="F3187" t="s">
        <v>211</v>
      </c>
      <c r="G3187">
        <v>348</v>
      </c>
      <c r="H3187">
        <v>59000</v>
      </c>
      <c r="I3187">
        <v>20532000</v>
      </c>
      <c r="K3187" t="s">
        <v>128</v>
      </c>
    </row>
    <row r="3188" spans="1:11" hidden="1" x14ac:dyDescent="0.25">
      <c r="A3188" s="210" t="s">
        <v>1554</v>
      </c>
      <c r="B3188">
        <v>7956</v>
      </c>
      <c r="C3188" s="100">
        <v>46090</v>
      </c>
      <c r="D3188" t="s">
        <v>13</v>
      </c>
      <c r="E3188" t="s">
        <v>17</v>
      </c>
      <c r="F3188" t="s">
        <v>211</v>
      </c>
      <c r="G3188">
        <v>156</v>
      </c>
      <c r="H3188">
        <v>59000</v>
      </c>
      <c r="I3188">
        <v>9204000</v>
      </c>
      <c r="K3188" t="s">
        <v>128</v>
      </c>
    </row>
    <row r="3189" spans="1:11" hidden="1" x14ac:dyDescent="0.25">
      <c r="A3189" s="210" t="s">
        <v>1554</v>
      </c>
      <c r="B3189">
        <v>7956</v>
      </c>
      <c r="C3189" s="100">
        <v>46090</v>
      </c>
      <c r="D3189" t="s">
        <v>13</v>
      </c>
      <c r="E3189" t="s">
        <v>17</v>
      </c>
      <c r="F3189" t="s">
        <v>220</v>
      </c>
      <c r="G3189">
        <v>156</v>
      </c>
      <c r="H3189">
        <v>59000</v>
      </c>
      <c r="I3189">
        <v>9204000</v>
      </c>
      <c r="K3189" t="s">
        <v>128</v>
      </c>
    </row>
    <row r="3190" spans="1:11" hidden="1" x14ac:dyDescent="0.25">
      <c r="A3190" s="210" t="s">
        <v>1554</v>
      </c>
      <c r="B3190">
        <v>7956</v>
      </c>
      <c r="C3190" s="100">
        <v>46090</v>
      </c>
      <c r="D3190" t="s">
        <v>13</v>
      </c>
      <c r="E3190" t="s">
        <v>17</v>
      </c>
      <c r="F3190" t="s">
        <v>33</v>
      </c>
      <c r="G3190">
        <v>1004</v>
      </c>
      <c r="H3190">
        <v>58500</v>
      </c>
      <c r="I3190">
        <v>58734000</v>
      </c>
      <c r="K3190" t="s">
        <v>128</v>
      </c>
    </row>
    <row r="3191" spans="1:11" hidden="1" x14ac:dyDescent="0.25">
      <c r="A3191" s="210" t="s">
        <v>1615</v>
      </c>
      <c r="B3191">
        <v>7955</v>
      </c>
      <c r="C3191" s="100">
        <v>46090</v>
      </c>
      <c r="D3191" t="s">
        <v>13</v>
      </c>
      <c r="E3191" t="s">
        <v>54</v>
      </c>
      <c r="F3191" t="s">
        <v>1170</v>
      </c>
      <c r="G3191">
        <v>826</v>
      </c>
      <c r="H3191">
        <v>38000</v>
      </c>
      <c r="I3191">
        <v>31388000</v>
      </c>
    </row>
    <row r="3192" spans="1:11" hidden="1" x14ac:dyDescent="0.25">
      <c r="A3192" s="210" t="s">
        <v>1615</v>
      </c>
      <c r="B3192">
        <v>7955</v>
      </c>
      <c r="C3192" s="100">
        <v>46090</v>
      </c>
      <c r="D3192" t="s">
        <v>13</v>
      </c>
      <c r="E3192" t="s">
        <v>54</v>
      </c>
      <c r="F3192" t="s">
        <v>1171</v>
      </c>
      <c r="G3192">
        <v>52</v>
      </c>
      <c r="H3192">
        <v>38000</v>
      </c>
      <c r="I3192">
        <v>1976000</v>
      </c>
    </row>
    <row r="3193" spans="1:11" hidden="1" x14ac:dyDescent="0.25">
      <c r="A3193" s="210" t="s">
        <v>1593</v>
      </c>
      <c r="B3193">
        <v>7954</v>
      </c>
      <c r="C3193" s="100">
        <v>46088</v>
      </c>
      <c r="D3193" t="s">
        <v>13</v>
      </c>
      <c r="E3193" t="s">
        <v>252</v>
      </c>
      <c r="F3193" t="s">
        <v>41</v>
      </c>
      <c r="G3193">
        <v>2094</v>
      </c>
      <c r="H3193">
        <v>38500</v>
      </c>
      <c r="I3193">
        <v>80619000</v>
      </c>
    </row>
    <row r="3194" spans="1:11" hidden="1" x14ac:dyDescent="0.25">
      <c r="A3194" s="210" t="s">
        <v>1525</v>
      </c>
      <c r="B3194">
        <v>7952</v>
      </c>
      <c r="C3194" s="100">
        <v>46090</v>
      </c>
      <c r="D3194" t="s">
        <v>13</v>
      </c>
      <c r="E3194" t="s">
        <v>17</v>
      </c>
      <c r="F3194" t="s">
        <v>40</v>
      </c>
      <c r="G3194">
        <v>180</v>
      </c>
      <c r="H3194">
        <v>64000</v>
      </c>
      <c r="I3194">
        <v>11520000</v>
      </c>
    </row>
    <row r="3195" spans="1:11" hidden="1" x14ac:dyDescent="0.25">
      <c r="A3195" s="210" t="s">
        <v>1551</v>
      </c>
      <c r="B3195">
        <v>7951</v>
      </c>
      <c r="C3195" s="100">
        <v>46090</v>
      </c>
      <c r="D3195" t="s">
        <v>13</v>
      </c>
      <c r="E3195" t="s">
        <v>43</v>
      </c>
      <c r="F3195" t="s">
        <v>469</v>
      </c>
      <c r="G3195">
        <v>180</v>
      </c>
      <c r="H3195">
        <v>63000</v>
      </c>
      <c r="I3195">
        <v>11340000</v>
      </c>
    </row>
    <row r="3196" spans="1:11" hidden="1" x14ac:dyDescent="0.25">
      <c r="A3196" s="210" t="s">
        <v>1488</v>
      </c>
      <c r="B3196">
        <v>7950</v>
      </c>
      <c r="C3196" s="100">
        <v>46090</v>
      </c>
      <c r="D3196" t="s">
        <v>13</v>
      </c>
      <c r="E3196" t="s">
        <v>135</v>
      </c>
      <c r="F3196" t="s">
        <v>139</v>
      </c>
      <c r="G3196">
        <v>3520</v>
      </c>
      <c r="H3196">
        <v>36000</v>
      </c>
      <c r="I3196">
        <v>126720000</v>
      </c>
    </row>
    <row r="3197" spans="1:11" hidden="1" x14ac:dyDescent="0.25">
      <c r="A3197" s="210" t="s">
        <v>1614</v>
      </c>
      <c r="B3197">
        <v>7949</v>
      </c>
      <c r="C3197" s="100">
        <v>46090</v>
      </c>
      <c r="D3197" t="s">
        <v>13</v>
      </c>
      <c r="E3197" t="s">
        <v>43</v>
      </c>
      <c r="F3197" t="s">
        <v>1168</v>
      </c>
      <c r="G3197">
        <v>2354</v>
      </c>
      <c r="H3197">
        <v>55500</v>
      </c>
      <c r="I3197">
        <v>130647000</v>
      </c>
      <c r="J3197">
        <v>-1320</v>
      </c>
    </row>
    <row r="3198" spans="1:11" hidden="1" x14ac:dyDescent="0.25">
      <c r="A3198" s="210" t="s">
        <v>1590</v>
      </c>
      <c r="B3198">
        <v>7948</v>
      </c>
      <c r="C3198" s="100">
        <v>46090</v>
      </c>
      <c r="D3198" t="s">
        <v>13</v>
      </c>
      <c r="E3198" t="s">
        <v>68</v>
      </c>
      <c r="F3198" t="s">
        <v>1042</v>
      </c>
      <c r="G3198">
        <v>2670</v>
      </c>
      <c r="H3198">
        <v>40500</v>
      </c>
      <c r="I3198">
        <v>108135000</v>
      </c>
    </row>
    <row r="3199" spans="1:11" hidden="1" x14ac:dyDescent="0.25">
      <c r="A3199" s="210" t="s">
        <v>1590</v>
      </c>
      <c r="B3199">
        <v>7948</v>
      </c>
      <c r="C3199" s="100">
        <v>46090</v>
      </c>
      <c r="D3199" t="s">
        <v>13</v>
      </c>
      <c r="E3199" t="s">
        <v>68</v>
      </c>
      <c r="F3199" t="s">
        <v>1043</v>
      </c>
      <c r="G3199">
        <v>1348</v>
      </c>
      <c r="H3199">
        <v>40500</v>
      </c>
      <c r="I3199">
        <v>54594000</v>
      </c>
    </row>
    <row r="3200" spans="1:11" hidden="1" x14ac:dyDescent="0.25">
      <c r="A3200" s="210" t="s">
        <v>1544</v>
      </c>
      <c r="B3200">
        <v>7947</v>
      </c>
      <c r="C3200" s="100">
        <v>46090</v>
      </c>
      <c r="D3200" t="s">
        <v>13</v>
      </c>
      <c r="E3200" t="s">
        <v>43</v>
      </c>
      <c r="F3200" t="s">
        <v>429</v>
      </c>
      <c r="G3200">
        <v>1630</v>
      </c>
      <c r="H3200">
        <v>56000</v>
      </c>
      <c r="I3200">
        <v>91280000</v>
      </c>
      <c r="K3200" t="s">
        <v>900</v>
      </c>
    </row>
    <row r="3201" spans="1:11" hidden="1" x14ac:dyDescent="0.25">
      <c r="A3201" s="210" t="s">
        <v>1544</v>
      </c>
      <c r="B3201">
        <v>7947</v>
      </c>
      <c r="C3201" s="100">
        <v>46090</v>
      </c>
      <c r="D3201" t="s">
        <v>13</v>
      </c>
      <c r="E3201" t="s">
        <v>43</v>
      </c>
      <c r="F3201" t="s">
        <v>146</v>
      </c>
      <c r="G3201">
        <v>450</v>
      </c>
      <c r="H3201">
        <v>56000</v>
      </c>
      <c r="I3201">
        <v>25200000</v>
      </c>
      <c r="J3201">
        <v>3200</v>
      </c>
      <c r="K3201" t="s">
        <v>900</v>
      </c>
    </row>
    <row r="3202" spans="1:11" hidden="1" x14ac:dyDescent="0.25">
      <c r="A3202" s="210" t="s">
        <v>1609</v>
      </c>
      <c r="B3202">
        <v>7946</v>
      </c>
      <c r="C3202" s="100">
        <v>46090</v>
      </c>
      <c r="D3202" t="s">
        <v>13</v>
      </c>
      <c r="E3202" t="s">
        <v>1085</v>
      </c>
      <c r="F3202" t="s">
        <v>206</v>
      </c>
      <c r="G3202">
        <v>4275</v>
      </c>
      <c r="H3202">
        <v>36000</v>
      </c>
      <c r="I3202">
        <v>153900000</v>
      </c>
    </row>
    <row r="3203" spans="1:11" hidden="1" x14ac:dyDescent="0.25">
      <c r="A3203" s="210" t="s">
        <v>1490</v>
      </c>
      <c r="B3203">
        <v>7944</v>
      </c>
      <c r="C3203" s="100">
        <v>46090</v>
      </c>
      <c r="D3203" t="s">
        <v>13</v>
      </c>
      <c r="E3203" t="s">
        <v>17</v>
      </c>
      <c r="F3203" t="s">
        <v>65</v>
      </c>
      <c r="G3203">
        <v>308</v>
      </c>
      <c r="H3203">
        <v>58000</v>
      </c>
      <c r="I3203">
        <v>17864000</v>
      </c>
      <c r="K3203" t="s">
        <v>128</v>
      </c>
    </row>
    <row r="3204" spans="1:11" hidden="1" x14ac:dyDescent="0.25">
      <c r="A3204" s="210" t="s">
        <v>1490</v>
      </c>
      <c r="B3204">
        <v>7944</v>
      </c>
      <c r="C3204" s="100">
        <v>46090</v>
      </c>
      <c r="D3204" t="s">
        <v>13</v>
      </c>
      <c r="E3204" t="s">
        <v>17</v>
      </c>
      <c r="F3204" t="s">
        <v>220</v>
      </c>
      <c r="G3204">
        <v>312</v>
      </c>
      <c r="H3204">
        <v>58000</v>
      </c>
      <c r="I3204">
        <v>18096000</v>
      </c>
    </row>
    <row r="3205" spans="1:11" hidden="1" x14ac:dyDescent="0.25">
      <c r="A3205" s="210" t="s">
        <v>1532</v>
      </c>
      <c r="B3205">
        <v>7943</v>
      </c>
      <c r="C3205" s="100">
        <v>46090</v>
      </c>
      <c r="D3205" t="s">
        <v>49</v>
      </c>
      <c r="E3205" t="s">
        <v>729</v>
      </c>
      <c r="F3205" t="s">
        <v>731</v>
      </c>
      <c r="G3205">
        <v>3712</v>
      </c>
      <c r="I3205">
        <v>0</v>
      </c>
    </row>
    <row r="3206" spans="1:11" hidden="1" x14ac:dyDescent="0.25">
      <c r="A3206" s="210" t="s">
        <v>1532</v>
      </c>
      <c r="B3206">
        <v>7943</v>
      </c>
      <c r="C3206" s="100">
        <v>46090</v>
      </c>
      <c r="D3206" t="s">
        <v>49</v>
      </c>
      <c r="E3206" t="s">
        <v>729</v>
      </c>
      <c r="F3206" t="s">
        <v>732</v>
      </c>
      <c r="G3206">
        <v>305</v>
      </c>
      <c r="I3206">
        <v>0</v>
      </c>
    </row>
    <row r="3207" spans="1:11" hidden="1" x14ac:dyDescent="0.25">
      <c r="A3207" s="210" t="s">
        <v>1613</v>
      </c>
      <c r="B3207">
        <v>7942</v>
      </c>
      <c r="C3207" s="100">
        <v>46088</v>
      </c>
      <c r="D3207" t="s">
        <v>13</v>
      </c>
      <c r="E3207" t="s">
        <v>135</v>
      </c>
      <c r="F3207" t="s">
        <v>41</v>
      </c>
      <c r="G3207">
        <v>5042</v>
      </c>
      <c r="H3207">
        <v>37000</v>
      </c>
      <c r="I3207">
        <v>186554000</v>
      </c>
    </row>
    <row r="3208" spans="1:11" hidden="1" x14ac:dyDescent="0.25">
      <c r="A3208" s="210" t="s">
        <v>1524</v>
      </c>
      <c r="B3208">
        <v>7941</v>
      </c>
      <c r="C3208" s="100">
        <v>46090</v>
      </c>
      <c r="D3208" t="s">
        <v>49</v>
      </c>
      <c r="E3208" t="s">
        <v>17</v>
      </c>
      <c r="F3208" t="s">
        <v>415</v>
      </c>
      <c r="G3208">
        <v>5730</v>
      </c>
      <c r="I3208">
        <v>0</v>
      </c>
      <c r="K3208" t="s">
        <v>474</v>
      </c>
    </row>
    <row r="3209" spans="1:11" hidden="1" x14ac:dyDescent="0.25">
      <c r="A3209" s="210" t="s">
        <v>1530</v>
      </c>
      <c r="B3209">
        <v>7940</v>
      </c>
      <c r="C3209" s="100">
        <v>46090</v>
      </c>
      <c r="D3209" t="s">
        <v>13</v>
      </c>
      <c r="E3209" t="s">
        <v>50</v>
      </c>
      <c r="F3209" t="s">
        <v>688</v>
      </c>
      <c r="G3209">
        <v>470</v>
      </c>
      <c r="H3209">
        <v>57000</v>
      </c>
      <c r="I3209">
        <v>26790000</v>
      </c>
    </row>
    <row r="3210" spans="1:11" hidden="1" x14ac:dyDescent="0.25">
      <c r="A3210" s="210" t="s">
        <v>1530</v>
      </c>
      <c r="B3210">
        <v>7940</v>
      </c>
      <c r="C3210" s="100">
        <v>46090</v>
      </c>
      <c r="D3210" t="s">
        <v>13</v>
      </c>
      <c r="E3210" t="s">
        <v>43</v>
      </c>
      <c r="F3210" t="s">
        <v>248</v>
      </c>
      <c r="G3210">
        <v>2700</v>
      </c>
      <c r="H3210">
        <v>58000</v>
      </c>
      <c r="I3210">
        <v>156600000</v>
      </c>
    </row>
    <row r="3211" spans="1:11" hidden="1" x14ac:dyDescent="0.25">
      <c r="A3211" s="210" t="s">
        <v>1523</v>
      </c>
      <c r="B3211">
        <v>7939</v>
      </c>
      <c r="C3211" s="100">
        <v>46088</v>
      </c>
      <c r="D3211" t="s">
        <v>13</v>
      </c>
      <c r="E3211" t="s">
        <v>17</v>
      </c>
      <c r="F3211" t="s">
        <v>211</v>
      </c>
      <c r="G3211">
        <v>22</v>
      </c>
      <c r="H3211">
        <v>70000</v>
      </c>
      <c r="I3211">
        <v>1540000</v>
      </c>
    </row>
    <row r="3212" spans="1:11" hidden="1" x14ac:dyDescent="0.25">
      <c r="A3212" s="210" t="s">
        <v>1591</v>
      </c>
      <c r="B3212">
        <v>7938</v>
      </c>
      <c r="C3212" s="100">
        <v>46088</v>
      </c>
      <c r="D3212" t="s">
        <v>13</v>
      </c>
      <c r="E3212" t="s">
        <v>265</v>
      </c>
      <c r="F3212" t="s">
        <v>65</v>
      </c>
      <c r="G3212">
        <v>498</v>
      </c>
      <c r="H3212">
        <v>64000</v>
      </c>
      <c r="I3212">
        <v>31872000</v>
      </c>
    </row>
    <row r="3213" spans="1:11" hidden="1" x14ac:dyDescent="0.25">
      <c r="A3213" s="210" t="s">
        <v>1591</v>
      </c>
      <c r="B3213">
        <v>7938</v>
      </c>
      <c r="C3213" s="100">
        <v>46088</v>
      </c>
      <c r="D3213" t="s">
        <v>13</v>
      </c>
      <c r="E3213" t="s">
        <v>109</v>
      </c>
      <c r="F3213" t="s">
        <v>1046</v>
      </c>
      <c r="G3213">
        <v>356</v>
      </c>
      <c r="H3213">
        <v>56500</v>
      </c>
      <c r="I3213">
        <v>20114000</v>
      </c>
    </row>
    <row r="3214" spans="1:11" hidden="1" x14ac:dyDescent="0.25">
      <c r="A3214" s="210" t="s">
        <v>1547</v>
      </c>
      <c r="B3214">
        <v>7937</v>
      </c>
      <c r="C3214" s="100">
        <v>46088</v>
      </c>
      <c r="D3214" t="s">
        <v>13</v>
      </c>
      <c r="E3214" t="s">
        <v>26</v>
      </c>
      <c r="F3214" t="s">
        <v>230</v>
      </c>
      <c r="G3214">
        <v>966</v>
      </c>
      <c r="H3214">
        <v>36000</v>
      </c>
      <c r="I3214">
        <v>34776000</v>
      </c>
    </row>
    <row r="3215" spans="1:11" hidden="1" x14ac:dyDescent="0.25">
      <c r="A3215" s="210" t="s">
        <v>1511</v>
      </c>
      <c r="B3215">
        <v>7936</v>
      </c>
      <c r="C3215" s="100">
        <v>46088</v>
      </c>
      <c r="D3215" t="s">
        <v>13</v>
      </c>
      <c r="E3215" t="s">
        <v>50</v>
      </c>
      <c r="F3215" t="s">
        <v>383</v>
      </c>
      <c r="G3215">
        <v>46</v>
      </c>
      <c r="H3215">
        <v>60000</v>
      </c>
      <c r="I3215">
        <v>2760000</v>
      </c>
      <c r="J3215">
        <v>2760000</v>
      </c>
    </row>
    <row r="3216" spans="1:11" hidden="1" x14ac:dyDescent="0.25">
      <c r="A3216" s="210" t="s">
        <v>2548</v>
      </c>
      <c r="B3216">
        <v>7935</v>
      </c>
      <c r="C3216" s="100">
        <v>46088</v>
      </c>
      <c r="D3216" t="s">
        <v>13</v>
      </c>
      <c r="E3216" t="s">
        <v>1029</v>
      </c>
      <c r="F3216" t="s">
        <v>1154</v>
      </c>
      <c r="G3216">
        <v>6978</v>
      </c>
      <c r="H3216">
        <v>29500</v>
      </c>
      <c r="I3216">
        <v>205851000</v>
      </c>
    </row>
    <row r="3217" spans="1:11" hidden="1" x14ac:dyDescent="0.25">
      <c r="A3217" s="210" t="s">
        <v>2548</v>
      </c>
      <c r="B3217">
        <v>7935</v>
      </c>
      <c r="C3217" s="100">
        <v>46088</v>
      </c>
      <c r="D3217" t="s">
        <v>13</v>
      </c>
      <c r="E3217" t="s">
        <v>1029</v>
      </c>
      <c r="F3217" t="s">
        <v>1155</v>
      </c>
      <c r="G3217">
        <v>6600</v>
      </c>
      <c r="H3217">
        <v>29500</v>
      </c>
      <c r="I3217">
        <v>194700000</v>
      </c>
    </row>
    <row r="3218" spans="1:11" hidden="1" x14ac:dyDescent="0.25">
      <c r="A3218" s="210" t="s">
        <v>2548</v>
      </c>
      <c r="B3218">
        <v>7935</v>
      </c>
      <c r="C3218" s="100">
        <v>46088</v>
      </c>
      <c r="D3218" t="s">
        <v>13</v>
      </c>
      <c r="E3218" t="s">
        <v>1029</v>
      </c>
      <c r="F3218" t="s">
        <v>1156</v>
      </c>
      <c r="G3218">
        <v>7594</v>
      </c>
      <c r="H3218">
        <v>33500</v>
      </c>
      <c r="I3218">
        <v>254399000</v>
      </c>
    </row>
    <row r="3219" spans="1:11" hidden="1" x14ac:dyDescent="0.25">
      <c r="A3219" s="210" t="s">
        <v>1610</v>
      </c>
      <c r="B3219">
        <v>7934</v>
      </c>
      <c r="C3219" s="100">
        <v>46088</v>
      </c>
      <c r="D3219" t="s">
        <v>13</v>
      </c>
      <c r="E3219" t="s">
        <v>26</v>
      </c>
      <c r="F3219" t="s">
        <v>1146</v>
      </c>
      <c r="G3219">
        <v>2137</v>
      </c>
      <c r="H3219">
        <v>31000</v>
      </c>
      <c r="I3219">
        <v>66247000</v>
      </c>
      <c r="K3219" t="s">
        <v>128</v>
      </c>
    </row>
    <row r="3220" spans="1:11" hidden="1" x14ac:dyDescent="0.25">
      <c r="A3220" s="210" t="s">
        <v>1511</v>
      </c>
      <c r="B3220">
        <v>7933</v>
      </c>
      <c r="C3220" s="100">
        <v>46088</v>
      </c>
      <c r="D3220" t="s">
        <v>13</v>
      </c>
      <c r="E3220" t="s">
        <v>68</v>
      </c>
      <c r="F3220" t="s">
        <v>381</v>
      </c>
      <c r="G3220">
        <v>30</v>
      </c>
      <c r="H3220">
        <v>47000</v>
      </c>
      <c r="I3220">
        <v>1410000</v>
      </c>
      <c r="J3220">
        <v>1410000</v>
      </c>
      <c r="K3220" t="s">
        <v>382</v>
      </c>
    </row>
    <row r="3221" spans="1:11" hidden="1" x14ac:dyDescent="0.25">
      <c r="A3221" s="210" t="s">
        <v>1609</v>
      </c>
      <c r="B3221">
        <v>7932</v>
      </c>
      <c r="C3221" s="100">
        <v>46088</v>
      </c>
      <c r="D3221" t="s">
        <v>13</v>
      </c>
      <c r="E3221" t="s">
        <v>1085</v>
      </c>
      <c r="F3221" t="s">
        <v>1082</v>
      </c>
      <c r="G3221">
        <v>2013</v>
      </c>
      <c r="H3221">
        <v>36000</v>
      </c>
      <c r="I3221">
        <v>72468000</v>
      </c>
    </row>
    <row r="3222" spans="1:11" hidden="1" x14ac:dyDescent="0.25">
      <c r="A3222" s="210" t="s">
        <v>1609</v>
      </c>
      <c r="B3222">
        <v>7932</v>
      </c>
      <c r="C3222" s="100">
        <v>46088</v>
      </c>
      <c r="D3222" t="s">
        <v>1140</v>
      </c>
      <c r="E3222" t="s">
        <v>1085</v>
      </c>
      <c r="F3222" t="s">
        <v>1082</v>
      </c>
      <c r="G3222">
        <v>2013</v>
      </c>
      <c r="H3222">
        <v>2000</v>
      </c>
      <c r="I3222">
        <v>4026000</v>
      </c>
    </row>
    <row r="3223" spans="1:11" hidden="1" x14ac:dyDescent="0.25">
      <c r="A3223" s="210" t="s">
        <v>1597</v>
      </c>
      <c r="B3223">
        <v>7931</v>
      </c>
      <c r="C3223" s="100">
        <v>46088</v>
      </c>
      <c r="D3223" t="s">
        <v>13</v>
      </c>
      <c r="E3223" t="s">
        <v>50</v>
      </c>
      <c r="F3223" t="s">
        <v>1092</v>
      </c>
      <c r="G3223">
        <v>130</v>
      </c>
      <c r="H3223">
        <v>58000</v>
      </c>
      <c r="I3223">
        <v>7540000</v>
      </c>
    </row>
    <row r="3224" spans="1:11" hidden="1" x14ac:dyDescent="0.25">
      <c r="A3224" s="210" t="s">
        <v>1597</v>
      </c>
      <c r="B3224">
        <v>7931</v>
      </c>
      <c r="C3224" s="100">
        <v>46088</v>
      </c>
      <c r="D3224" t="s">
        <v>13</v>
      </c>
      <c r="E3224" t="s">
        <v>50</v>
      </c>
      <c r="F3224" t="s">
        <v>1093</v>
      </c>
      <c r="G3224">
        <v>114</v>
      </c>
      <c r="H3224">
        <v>58000</v>
      </c>
      <c r="I3224">
        <v>6612000</v>
      </c>
    </row>
    <row r="3225" spans="1:11" hidden="1" x14ac:dyDescent="0.25">
      <c r="A3225" s="210" t="s">
        <v>1541</v>
      </c>
      <c r="B3225">
        <v>7930</v>
      </c>
      <c r="C3225" s="100">
        <v>46088</v>
      </c>
      <c r="D3225" t="s">
        <v>13</v>
      </c>
      <c r="E3225" t="s">
        <v>32</v>
      </c>
      <c r="F3225" t="s">
        <v>883</v>
      </c>
      <c r="G3225">
        <v>342</v>
      </c>
      <c r="H3225">
        <v>42500</v>
      </c>
      <c r="I3225">
        <v>14535000</v>
      </c>
    </row>
    <row r="3226" spans="1:11" hidden="1" x14ac:dyDescent="0.25">
      <c r="A3226" s="210" t="s">
        <v>1608</v>
      </c>
      <c r="B3226">
        <v>7929</v>
      </c>
      <c r="C3226" s="100">
        <v>46088</v>
      </c>
      <c r="D3226" t="s">
        <v>13</v>
      </c>
      <c r="E3226" t="s">
        <v>103</v>
      </c>
      <c r="F3226" t="s">
        <v>1127</v>
      </c>
      <c r="G3226">
        <v>1054</v>
      </c>
      <c r="H3226">
        <v>36000</v>
      </c>
      <c r="I3226">
        <v>37944000</v>
      </c>
    </row>
    <row r="3227" spans="1:11" hidden="1" x14ac:dyDescent="0.25">
      <c r="A3227" s="210" t="s">
        <v>1608</v>
      </c>
      <c r="B3227">
        <v>7929</v>
      </c>
      <c r="C3227" s="100">
        <v>46088</v>
      </c>
      <c r="D3227" t="s">
        <v>13</v>
      </c>
      <c r="E3227" t="s">
        <v>103</v>
      </c>
      <c r="F3227" t="s">
        <v>887</v>
      </c>
      <c r="G3227">
        <v>524</v>
      </c>
      <c r="H3227">
        <v>36000</v>
      </c>
      <c r="I3227">
        <v>18864000</v>
      </c>
    </row>
    <row r="3228" spans="1:11" hidden="1" x14ac:dyDescent="0.25">
      <c r="A3228" s="210" t="s">
        <v>1608</v>
      </c>
      <c r="B3228">
        <v>7929</v>
      </c>
      <c r="C3228" s="100">
        <v>46088</v>
      </c>
      <c r="D3228" t="s">
        <v>13</v>
      </c>
      <c r="E3228" t="s">
        <v>50</v>
      </c>
      <c r="F3228" t="s">
        <v>1128</v>
      </c>
      <c r="G3228">
        <v>646</v>
      </c>
      <c r="H3228">
        <v>55500</v>
      </c>
      <c r="I3228">
        <v>35853000</v>
      </c>
    </row>
    <row r="3229" spans="1:11" hidden="1" x14ac:dyDescent="0.25">
      <c r="A3229" s="210" t="s">
        <v>1608</v>
      </c>
      <c r="B3229">
        <v>7929</v>
      </c>
      <c r="C3229" s="100">
        <v>46088</v>
      </c>
      <c r="D3229" t="s">
        <v>13</v>
      </c>
      <c r="E3229" t="s">
        <v>43</v>
      </c>
      <c r="F3229" t="s">
        <v>214</v>
      </c>
      <c r="G3229">
        <v>286</v>
      </c>
      <c r="H3229">
        <v>55500</v>
      </c>
      <c r="I3229">
        <v>15873000</v>
      </c>
    </row>
    <row r="3230" spans="1:11" hidden="1" x14ac:dyDescent="0.25">
      <c r="A3230" s="210" t="s">
        <v>1608</v>
      </c>
      <c r="B3230">
        <v>7929</v>
      </c>
      <c r="C3230" s="100">
        <v>46088</v>
      </c>
      <c r="D3230" t="s">
        <v>13</v>
      </c>
      <c r="E3230" t="s">
        <v>50</v>
      </c>
      <c r="F3230" t="s">
        <v>1129</v>
      </c>
      <c r="G3230">
        <v>1682</v>
      </c>
      <c r="H3230">
        <v>55500</v>
      </c>
      <c r="I3230">
        <v>93351000</v>
      </c>
    </row>
    <row r="3231" spans="1:11" hidden="1" x14ac:dyDescent="0.25">
      <c r="A3231" s="210" t="s">
        <v>1608</v>
      </c>
      <c r="B3231">
        <v>7929</v>
      </c>
      <c r="C3231" s="100">
        <v>46088</v>
      </c>
      <c r="D3231" t="s">
        <v>13</v>
      </c>
      <c r="E3231" t="s">
        <v>50</v>
      </c>
      <c r="F3231" t="s">
        <v>1130</v>
      </c>
      <c r="G3231">
        <v>550</v>
      </c>
      <c r="H3231">
        <v>56500</v>
      </c>
      <c r="I3231">
        <v>31075000</v>
      </c>
    </row>
    <row r="3232" spans="1:11" hidden="1" x14ac:dyDescent="0.25">
      <c r="A3232" s="210" t="s">
        <v>1524</v>
      </c>
      <c r="B3232">
        <v>7928</v>
      </c>
      <c r="C3232" s="100">
        <v>46088</v>
      </c>
      <c r="D3232" t="s">
        <v>49</v>
      </c>
      <c r="E3232" t="s">
        <v>472</v>
      </c>
      <c r="F3232" t="s">
        <v>62</v>
      </c>
      <c r="G3232">
        <v>1180</v>
      </c>
      <c r="I3232">
        <v>0</v>
      </c>
      <c r="K3232" t="s">
        <v>473</v>
      </c>
    </row>
    <row r="3233" spans="1:9" hidden="1" x14ac:dyDescent="0.25">
      <c r="A3233" s="210" t="s">
        <v>1502</v>
      </c>
      <c r="B3233">
        <v>7927</v>
      </c>
      <c r="C3233" s="100">
        <v>46088</v>
      </c>
      <c r="D3233" t="s">
        <v>13</v>
      </c>
      <c r="E3233" t="s">
        <v>50</v>
      </c>
      <c r="F3233" t="s">
        <v>296</v>
      </c>
      <c r="G3233">
        <v>1178</v>
      </c>
      <c r="H3233">
        <v>54000</v>
      </c>
      <c r="I3233">
        <v>63612000</v>
      </c>
    </row>
    <row r="3234" spans="1:9" hidden="1" x14ac:dyDescent="0.25">
      <c r="A3234" s="210" t="s">
        <v>1600</v>
      </c>
      <c r="B3234">
        <v>7926</v>
      </c>
      <c r="C3234" s="100">
        <v>46088</v>
      </c>
      <c r="D3234" t="s">
        <v>13</v>
      </c>
      <c r="E3234" t="s">
        <v>135</v>
      </c>
      <c r="F3234" t="s">
        <v>273</v>
      </c>
      <c r="G3234">
        <v>5035</v>
      </c>
      <c r="H3234">
        <v>36500</v>
      </c>
      <c r="I3234">
        <v>183777500</v>
      </c>
    </row>
    <row r="3235" spans="1:9" hidden="1" x14ac:dyDescent="0.25">
      <c r="A3235" s="210" t="s">
        <v>1600</v>
      </c>
      <c r="B3235">
        <v>7926</v>
      </c>
      <c r="C3235" s="100">
        <v>46088</v>
      </c>
      <c r="D3235" t="s">
        <v>13</v>
      </c>
      <c r="E3235" t="s">
        <v>135</v>
      </c>
      <c r="F3235" t="s">
        <v>273</v>
      </c>
      <c r="G3235">
        <v>2686</v>
      </c>
      <c r="H3235">
        <v>36500</v>
      </c>
      <c r="I3235">
        <v>98039000</v>
      </c>
    </row>
    <row r="3236" spans="1:9" hidden="1" x14ac:dyDescent="0.25">
      <c r="A3236" s="210" t="s">
        <v>1607</v>
      </c>
      <c r="B3236">
        <v>7925</v>
      </c>
      <c r="C3236" s="100">
        <v>46088</v>
      </c>
      <c r="D3236" t="s">
        <v>13</v>
      </c>
      <c r="E3236" t="s">
        <v>43</v>
      </c>
      <c r="F3236" t="s">
        <v>251</v>
      </c>
      <c r="G3236">
        <v>674</v>
      </c>
      <c r="H3236">
        <v>59000</v>
      </c>
      <c r="I3236">
        <v>39766000</v>
      </c>
    </row>
    <row r="3237" spans="1:9" hidden="1" x14ac:dyDescent="0.25">
      <c r="A3237" s="210" t="s">
        <v>1607</v>
      </c>
      <c r="B3237">
        <v>7925</v>
      </c>
      <c r="C3237" s="100">
        <v>46088</v>
      </c>
      <c r="D3237" t="s">
        <v>13</v>
      </c>
      <c r="E3237" t="s">
        <v>43</v>
      </c>
      <c r="F3237" t="s">
        <v>256</v>
      </c>
      <c r="G3237">
        <v>800</v>
      </c>
      <c r="H3237">
        <v>57000</v>
      </c>
      <c r="I3237">
        <v>45600000</v>
      </c>
    </row>
    <row r="3238" spans="1:9" hidden="1" x14ac:dyDescent="0.25">
      <c r="A3238" s="210" t="s">
        <v>1606</v>
      </c>
      <c r="B3238">
        <v>7923</v>
      </c>
      <c r="C3238" s="100">
        <v>46088</v>
      </c>
      <c r="D3238" t="s">
        <v>13</v>
      </c>
      <c r="E3238" t="s">
        <v>68</v>
      </c>
      <c r="F3238" t="s">
        <v>1115</v>
      </c>
      <c r="G3238">
        <v>238</v>
      </c>
      <c r="H3238">
        <v>41500</v>
      </c>
      <c r="I3238">
        <v>9877000</v>
      </c>
    </row>
    <row r="3239" spans="1:9" hidden="1" x14ac:dyDescent="0.25">
      <c r="A3239" s="210" t="s">
        <v>1606</v>
      </c>
      <c r="B3239">
        <v>7923</v>
      </c>
      <c r="C3239" s="100">
        <v>46088</v>
      </c>
      <c r="D3239" t="s">
        <v>13</v>
      </c>
      <c r="E3239" t="s">
        <v>68</v>
      </c>
      <c r="F3239" t="s">
        <v>1116</v>
      </c>
      <c r="G3239">
        <v>188</v>
      </c>
      <c r="H3239">
        <v>41500</v>
      </c>
      <c r="I3239">
        <v>7802000</v>
      </c>
    </row>
    <row r="3240" spans="1:9" hidden="1" x14ac:dyDescent="0.25">
      <c r="A3240" s="210" t="s">
        <v>1606</v>
      </c>
      <c r="B3240">
        <v>7923</v>
      </c>
      <c r="C3240" s="100">
        <v>46088</v>
      </c>
      <c r="D3240" t="s">
        <v>13</v>
      </c>
      <c r="E3240" t="s">
        <v>68</v>
      </c>
      <c r="F3240" t="s">
        <v>176</v>
      </c>
      <c r="G3240">
        <v>348</v>
      </c>
      <c r="H3240">
        <v>42500</v>
      </c>
      <c r="I3240">
        <v>14790000</v>
      </c>
    </row>
    <row r="3241" spans="1:9" hidden="1" x14ac:dyDescent="0.25">
      <c r="A3241" s="210" t="s">
        <v>1491</v>
      </c>
      <c r="B3241">
        <v>7922</v>
      </c>
      <c r="C3241" s="100">
        <v>46088</v>
      </c>
      <c r="D3241" t="s">
        <v>13</v>
      </c>
      <c r="E3241" t="s">
        <v>43</v>
      </c>
      <c r="F3241" t="s">
        <v>246</v>
      </c>
      <c r="G3241">
        <v>1760</v>
      </c>
      <c r="H3241">
        <v>57500</v>
      </c>
      <c r="I3241">
        <v>101200000</v>
      </c>
    </row>
    <row r="3242" spans="1:9" hidden="1" x14ac:dyDescent="0.25">
      <c r="A3242" s="210" t="s">
        <v>1491</v>
      </c>
      <c r="B3242">
        <v>7922</v>
      </c>
      <c r="C3242" s="100">
        <v>46088</v>
      </c>
      <c r="D3242" t="s">
        <v>13</v>
      </c>
      <c r="E3242" t="s">
        <v>43</v>
      </c>
      <c r="F3242" t="s">
        <v>141</v>
      </c>
      <c r="G3242">
        <v>1244</v>
      </c>
      <c r="H3242">
        <v>56500</v>
      </c>
      <c r="I3242">
        <v>70286000</v>
      </c>
    </row>
    <row r="3243" spans="1:9" hidden="1" x14ac:dyDescent="0.25">
      <c r="A3243" s="210" t="s">
        <v>1491</v>
      </c>
      <c r="B3243">
        <v>7922</v>
      </c>
      <c r="C3243" s="100">
        <v>46088</v>
      </c>
      <c r="D3243" t="s">
        <v>13</v>
      </c>
      <c r="E3243" t="s">
        <v>43</v>
      </c>
      <c r="F3243" t="s">
        <v>44</v>
      </c>
      <c r="G3243">
        <v>1466</v>
      </c>
      <c r="H3243">
        <v>56500</v>
      </c>
      <c r="I3243">
        <v>82829000</v>
      </c>
    </row>
    <row r="3244" spans="1:9" hidden="1" x14ac:dyDescent="0.25">
      <c r="A3244" s="210" t="s">
        <v>1491</v>
      </c>
      <c r="B3244">
        <v>7922</v>
      </c>
      <c r="C3244" s="100">
        <v>46088</v>
      </c>
      <c r="D3244" t="s">
        <v>13</v>
      </c>
      <c r="E3244" t="s">
        <v>17</v>
      </c>
      <c r="F3244" t="s">
        <v>146</v>
      </c>
      <c r="G3244">
        <v>1338</v>
      </c>
      <c r="H3244">
        <v>57000</v>
      </c>
      <c r="I3244">
        <v>76266000</v>
      </c>
    </row>
    <row r="3245" spans="1:9" hidden="1" x14ac:dyDescent="0.25">
      <c r="A3245" s="210" t="s">
        <v>1491</v>
      </c>
      <c r="B3245">
        <v>7922</v>
      </c>
      <c r="C3245" s="100">
        <v>46088</v>
      </c>
      <c r="D3245" t="s">
        <v>13</v>
      </c>
      <c r="E3245" t="s">
        <v>17</v>
      </c>
      <c r="F3245" t="s">
        <v>136</v>
      </c>
      <c r="G3245">
        <v>1292</v>
      </c>
      <c r="H3245">
        <v>59500</v>
      </c>
      <c r="I3245">
        <v>76874000</v>
      </c>
    </row>
    <row r="3246" spans="1:9" hidden="1" x14ac:dyDescent="0.25">
      <c r="A3246" s="210" t="s">
        <v>1491</v>
      </c>
      <c r="B3246">
        <v>7922</v>
      </c>
      <c r="C3246" s="100">
        <v>46088</v>
      </c>
      <c r="D3246" t="s">
        <v>13</v>
      </c>
      <c r="E3246" t="s">
        <v>36</v>
      </c>
      <c r="F3246" t="s">
        <v>60</v>
      </c>
      <c r="G3246">
        <v>220</v>
      </c>
      <c r="H3246">
        <v>60000</v>
      </c>
      <c r="I3246">
        <v>13200000</v>
      </c>
    </row>
    <row r="3247" spans="1:9" hidden="1" x14ac:dyDescent="0.25">
      <c r="A3247" s="210" t="s">
        <v>1491</v>
      </c>
      <c r="B3247">
        <v>7922</v>
      </c>
      <c r="C3247" s="100">
        <v>46088</v>
      </c>
      <c r="D3247" t="s">
        <v>13</v>
      </c>
      <c r="E3247" t="s">
        <v>36</v>
      </c>
      <c r="F3247" t="s">
        <v>247</v>
      </c>
      <c r="G3247">
        <v>54</v>
      </c>
      <c r="H3247">
        <v>60000</v>
      </c>
      <c r="I3247">
        <v>3240000</v>
      </c>
    </row>
    <row r="3248" spans="1:9" hidden="1" x14ac:dyDescent="0.25">
      <c r="A3248" s="210" t="s">
        <v>1479</v>
      </c>
      <c r="B3248">
        <v>7921</v>
      </c>
      <c r="C3248" s="100">
        <v>46088</v>
      </c>
      <c r="D3248" t="s">
        <v>13</v>
      </c>
      <c r="E3248" t="s">
        <v>43</v>
      </c>
      <c r="F3248" t="s">
        <v>161</v>
      </c>
      <c r="G3248">
        <v>2214</v>
      </c>
      <c r="H3248">
        <v>58000</v>
      </c>
      <c r="I3248">
        <v>128412000</v>
      </c>
    </row>
    <row r="3249" spans="1:11" hidden="1" x14ac:dyDescent="0.25">
      <c r="A3249" s="210" t="s">
        <v>1518</v>
      </c>
      <c r="B3249">
        <v>7919</v>
      </c>
      <c r="C3249" s="100">
        <v>46088</v>
      </c>
      <c r="D3249" t="s">
        <v>13</v>
      </c>
      <c r="E3249" t="s">
        <v>43</v>
      </c>
      <c r="F3249" t="s">
        <v>248</v>
      </c>
      <c r="G3249">
        <v>680</v>
      </c>
      <c r="H3249">
        <v>56000</v>
      </c>
      <c r="I3249">
        <v>38080000</v>
      </c>
    </row>
    <row r="3250" spans="1:11" hidden="1" x14ac:dyDescent="0.25">
      <c r="A3250" s="210" t="s">
        <v>1518</v>
      </c>
      <c r="B3250">
        <v>7919</v>
      </c>
      <c r="C3250" s="100">
        <v>46088</v>
      </c>
      <c r="D3250" t="s">
        <v>13</v>
      </c>
      <c r="E3250" t="s">
        <v>43</v>
      </c>
      <c r="F3250" t="s">
        <v>146</v>
      </c>
      <c r="G3250">
        <v>756</v>
      </c>
      <c r="H3250">
        <v>56000</v>
      </c>
      <c r="I3250">
        <v>42336000</v>
      </c>
    </row>
    <row r="3251" spans="1:11" hidden="1" x14ac:dyDescent="0.25">
      <c r="A3251" s="210" t="s">
        <v>2547</v>
      </c>
      <c r="B3251">
        <v>7918</v>
      </c>
      <c r="C3251" s="100">
        <v>46119</v>
      </c>
      <c r="D3251" t="s">
        <v>13</v>
      </c>
      <c r="E3251" t="s">
        <v>26</v>
      </c>
      <c r="F3251" t="s">
        <v>267</v>
      </c>
      <c r="G3251">
        <v>2001</v>
      </c>
      <c r="H3251">
        <v>32000</v>
      </c>
      <c r="I3251">
        <v>64032000</v>
      </c>
    </row>
    <row r="3252" spans="1:11" hidden="1" x14ac:dyDescent="0.25">
      <c r="A3252" s="210" t="s">
        <v>2547</v>
      </c>
      <c r="B3252">
        <v>7918</v>
      </c>
      <c r="C3252" s="100">
        <v>46119</v>
      </c>
      <c r="D3252" t="s">
        <v>13</v>
      </c>
      <c r="E3252" t="s">
        <v>17</v>
      </c>
      <c r="F3252" t="s">
        <v>251</v>
      </c>
      <c r="G3252">
        <v>66</v>
      </c>
      <c r="H3252">
        <v>63000</v>
      </c>
      <c r="I3252">
        <v>4158000</v>
      </c>
    </row>
    <row r="3253" spans="1:11" hidden="1" x14ac:dyDescent="0.25">
      <c r="A3253" s="210" t="s">
        <v>1580</v>
      </c>
      <c r="B3253">
        <v>7917</v>
      </c>
      <c r="C3253" s="100">
        <v>46088</v>
      </c>
      <c r="D3253" t="s">
        <v>13</v>
      </c>
      <c r="E3253" t="s">
        <v>50</v>
      </c>
      <c r="F3253" t="s">
        <v>997</v>
      </c>
      <c r="G3253">
        <v>922</v>
      </c>
      <c r="H3253">
        <v>55000</v>
      </c>
      <c r="I3253">
        <v>50710000</v>
      </c>
      <c r="K3253" t="s">
        <v>128</v>
      </c>
    </row>
    <row r="3254" spans="1:11" hidden="1" x14ac:dyDescent="0.25">
      <c r="A3254" s="210" t="s">
        <v>1580</v>
      </c>
      <c r="B3254">
        <v>7917</v>
      </c>
      <c r="C3254" s="100">
        <v>46088</v>
      </c>
      <c r="D3254" t="s">
        <v>13</v>
      </c>
      <c r="E3254" t="s">
        <v>26</v>
      </c>
      <c r="F3254" t="s">
        <v>998</v>
      </c>
      <c r="G3254">
        <v>692</v>
      </c>
      <c r="H3254">
        <v>34000</v>
      </c>
      <c r="I3254">
        <v>23528000</v>
      </c>
      <c r="K3254" t="s">
        <v>128</v>
      </c>
    </row>
    <row r="3255" spans="1:11" hidden="1" x14ac:dyDescent="0.25">
      <c r="A3255" s="210" t="s">
        <v>1489</v>
      </c>
      <c r="B3255">
        <v>7916</v>
      </c>
      <c r="C3255" s="100">
        <v>46088</v>
      </c>
      <c r="D3255" t="s">
        <v>13</v>
      </c>
      <c r="E3255" t="s">
        <v>219</v>
      </c>
      <c r="F3255" t="s">
        <v>220</v>
      </c>
      <c r="G3255">
        <v>56</v>
      </c>
      <c r="H3255">
        <v>45000</v>
      </c>
      <c r="I3255">
        <v>2520000</v>
      </c>
      <c r="K3255" t="s">
        <v>128</v>
      </c>
    </row>
    <row r="3256" spans="1:11" hidden="1" x14ac:dyDescent="0.25">
      <c r="A3256" s="210" t="s">
        <v>1504</v>
      </c>
      <c r="B3256">
        <v>7915</v>
      </c>
      <c r="C3256" s="100">
        <v>46088</v>
      </c>
      <c r="D3256" t="s">
        <v>13</v>
      </c>
      <c r="E3256" t="s">
        <v>305</v>
      </c>
      <c r="F3256" t="s">
        <v>308</v>
      </c>
      <c r="G3256">
        <v>218</v>
      </c>
      <c r="H3256">
        <v>41000</v>
      </c>
      <c r="I3256">
        <v>8938000</v>
      </c>
    </row>
    <row r="3257" spans="1:11" hidden="1" x14ac:dyDescent="0.25">
      <c r="A3257" s="210" t="s">
        <v>1534</v>
      </c>
      <c r="B3257">
        <v>7914</v>
      </c>
      <c r="C3257" s="100">
        <v>46088</v>
      </c>
      <c r="D3257" t="s">
        <v>13</v>
      </c>
      <c r="E3257" t="s">
        <v>746</v>
      </c>
      <c r="F3257" t="s">
        <v>796</v>
      </c>
      <c r="G3257">
        <v>1266</v>
      </c>
      <c r="H3257">
        <v>30000</v>
      </c>
      <c r="I3257">
        <v>37980000</v>
      </c>
    </row>
    <row r="3258" spans="1:11" hidden="1" x14ac:dyDescent="0.25">
      <c r="A3258" s="210" t="s">
        <v>1534</v>
      </c>
      <c r="B3258">
        <v>7914</v>
      </c>
      <c r="C3258" s="100">
        <v>46088</v>
      </c>
      <c r="D3258" t="s">
        <v>13</v>
      </c>
      <c r="E3258" t="s">
        <v>746</v>
      </c>
      <c r="F3258" t="s">
        <v>807</v>
      </c>
      <c r="G3258">
        <v>648</v>
      </c>
      <c r="H3258">
        <v>30000</v>
      </c>
      <c r="I3258">
        <v>19440000</v>
      </c>
    </row>
    <row r="3259" spans="1:11" hidden="1" x14ac:dyDescent="0.25">
      <c r="A3259" s="210" t="s">
        <v>1524</v>
      </c>
      <c r="B3259">
        <v>7913</v>
      </c>
      <c r="C3259" s="100">
        <v>46088</v>
      </c>
      <c r="D3259" t="s">
        <v>49</v>
      </c>
      <c r="E3259" t="s">
        <v>470</v>
      </c>
      <c r="F3259" t="s">
        <v>65</v>
      </c>
      <c r="G3259">
        <v>1140</v>
      </c>
      <c r="I3259">
        <v>0</v>
      </c>
      <c r="K3259" t="s">
        <v>471</v>
      </c>
    </row>
    <row r="3260" spans="1:11" hidden="1" x14ac:dyDescent="0.25">
      <c r="A3260" s="210" t="s">
        <v>1527</v>
      </c>
      <c r="B3260">
        <v>7912</v>
      </c>
      <c r="C3260" s="100">
        <v>46088</v>
      </c>
      <c r="D3260" t="s">
        <v>13</v>
      </c>
      <c r="E3260" t="s">
        <v>27</v>
      </c>
      <c r="F3260" t="s">
        <v>675</v>
      </c>
      <c r="G3260">
        <v>1062</v>
      </c>
      <c r="H3260">
        <v>56000</v>
      </c>
      <c r="I3260">
        <v>59472000</v>
      </c>
    </row>
    <row r="3261" spans="1:11" hidden="1" x14ac:dyDescent="0.25">
      <c r="A3261" s="210" t="s">
        <v>1527</v>
      </c>
      <c r="B3261">
        <v>7912</v>
      </c>
      <c r="C3261" s="100">
        <v>46088</v>
      </c>
      <c r="D3261" t="s">
        <v>13</v>
      </c>
      <c r="E3261" t="s">
        <v>27</v>
      </c>
      <c r="F3261" t="s">
        <v>676</v>
      </c>
      <c r="G3261">
        <v>1194</v>
      </c>
      <c r="H3261">
        <v>56000</v>
      </c>
      <c r="I3261">
        <v>66864000</v>
      </c>
    </row>
    <row r="3262" spans="1:11" hidden="1" x14ac:dyDescent="0.25">
      <c r="A3262" s="210" t="s">
        <v>1527</v>
      </c>
      <c r="B3262">
        <v>7912</v>
      </c>
      <c r="C3262" s="100">
        <v>46088</v>
      </c>
      <c r="D3262" t="s">
        <v>13</v>
      </c>
      <c r="E3262" t="s">
        <v>27</v>
      </c>
      <c r="F3262" t="s">
        <v>677</v>
      </c>
      <c r="G3262">
        <v>1090</v>
      </c>
      <c r="H3262">
        <v>56000</v>
      </c>
      <c r="I3262">
        <v>61040000</v>
      </c>
    </row>
    <row r="3263" spans="1:11" hidden="1" x14ac:dyDescent="0.25">
      <c r="A3263" s="210" t="s">
        <v>1527</v>
      </c>
      <c r="B3263">
        <v>7912</v>
      </c>
      <c r="C3263" s="100">
        <v>46088</v>
      </c>
      <c r="D3263" t="s">
        <v>13</v>
      </c>
      <c r="E3263" t="s">
        <v>27</v>
      </c>
      <c r="F3263" t="s">
        <v>678</v>
      </c>
      <c r="G3263">
        <v>214</v>
      </c>
      <c r="H3263">
        <v>56000</v>
      </c>
      <c r="I3263">
        <v>11984000</v>
      </c>
    </row>
    <row r="3264" spans="1:11" hidden="1" x14ac:dyDescent="0.25">
      <c r="A3264" s="210" t="s">
        <v>1527</v>
      </c>
      <c r="B3264">
        <v>7912</v>
      </c>
      <c r="C3264" s="100">
        <v>46088</v>
      </c>
      <c r="D3264" t="s">
        <v>13</v>
      </c>
      <c r="E3264" t="s">
        <v>27</v>
      </c>
      <c r="F3264" t="s">
        <v>679</v>
      </c>
      <c r="G3264">
        <v>510</v>
      </c>
      <c r="H3264">
        <v>56000</v>
      </c>
      <c r="I3264">
        <v>28560000</v>
      </c>
    </row>
    <row r="3265" spans="1:10" hidden="1" x14ac:dyDescent="0.25">
      <c r="A3265" s="210" t="s">
        <v>1527</v>
      </c>
      <c r="B3265">
        <v>7912</v>
      </c>
      <c r="C3265" s="100">
        <v>46088</v>
      </c>
      <c r="D3265" t="s">
        <v>13</v>
      </c>
      <c r="E3265" t="s">
        <v>43</v>
      </c>
      <c r="F3265" t="s">
        <v>41</v>
      </c>
      <c r="G3265">
        <v>616</v>
      </c>
      <c r="H3265">
        <v>58000</v>
      </c>
      <c r="I3265">
        <v>35728000</v>
      </c>
    </row>
    <row r="3266" spans="1:10" hidden="1" x14ac:dyDescent="0.25">
      <c r="A3266" s="210" t="s">
        <v>1527</v>
      </c>
      <c r="B3266">
        <v>7912</v>
      </c>
      <c r="C3266" s="100">
        <v>46088</v>
      </c>
      <c r="D3266" t="s">
        <v>680</v>
      </c>
      <c r="E3266" t="s">
        <v>118</v>
      </c>
      <c r="F3266" t="s">
        <v>118</v>
      </c>
      <c r="G3266">
        <v>-8</v>
      </c>
      <c r="H3266">
        <v>56000</v>
      </c>
      <c r="I3266">
        <v>-448000</v>
      </c>
    </row>
    <row r="3267" spans="1:10" hidden="1" x14ac:dyDescent="0.25">
      <c r="A3267" s="210" t="s">
        <v>1475</v>
      </c>
      <c r="B3267">
        <v>7911</v>
      </c>
      <c r="C3267" s="100">
        <v>46088</v>
      </c>
      <c r="D3267" t="s">
        <v>13</v>
      </c>
      <c r="E3267" t="s">
        <v>17</v>
      </c>
      <c r="F3267" t="s">
        <v>25</v>
      </c>
      <c r="G3267">
        <v>1930</v>
      </c>
      <c r="H3267">
        <v>57000</v>
      </c>
      <c r="I3267">
        <v>110010000</v>
      </c>
    </row>
    <row r="3268" spans="1:10" hidden="1" x14ac:dyDescent="0.25">
      <c r="A3268" s="210" t="s">
        <v>1475</v>
      </c>
      <c r="B3268">
        <v>7911</v>
      </c>
      <c r="C3268" s="100">
        <v>46088</v>
      </c>
      <c r="D3268" t="s">
        <v>13</v>
      </c>
      <c r="E3268" t="s">
        <v>26</v>
      </c>
      <c r="F3268" t="s">
        <v>25</v>
      </c>
      <c r="G3268">
        <v>1306</v>
      </c>
      <c r="H3268">
        <v>32000</v>
      </c>
      <c r="I3268">
        <v>41792000</v>
      </c>
    </row>
    <row r="3269" spans="1:10" hidden="1" x14ac:dyDescent="0.25">
      <c r="A3269" s="210" t="s">
        <v>1475</v>
      </c>
      <c r="B3269">
        <v>7911</v>
      </c>
      <c r="C3269" s="100">
        <v>46088</v>
      </c>
      <c r="D3269" t="s">
        <v>13</v>
      </c>
      <c r="E3269" t="s">
        <v>27</v>
      </c>
      <c r="F3269" t="s">
        <v>28</v>
      </c>
      <c r="G3269">
        <v>214</v>
      </c>
      <c r="H3269">
        <v>56000</v>
      </c>
      <c r="I3269">
        <v>11984000</v>
      </c>
    </row>
    <row r="3270" spans="1:10" hidden="1" x14ac:dyDescent="0.25">
      <c r="A3270" s="210" t="s">
        <v>1475</v>
      </c>
      <c r="B3270">
        <v>7911</v>
      </c>
      <c r="C3270" s="100">
        <v>46088</v>
      </c>
      <c r="D3270" t="s">
        <v>13</v>
      </c>
      <c r="E3270" t="s">
        <v>27</v>
      </c>
      <c r="F3270" t="s">
        <v>29</v>
      </c>
      <c r="G3270">
        <v>138</v>
      </c>
      <c r="H3270">
        <v>56000</v>
      </c>
      <c r="I3270">
        <v>7728000</v>
      </c>
    </row>
    <row r="3271" spans="1:10" hidden="1" x14ac:dyDescent="0.25">
      <c r="A3271" s="210" t="s">
        <v>1475</v>
      </c>
      <c r="B3271">
        <v>7911</v>
      </c>
      <c r="C3271" s="100">
        <v>46088</v>
      </c>
      <c r="D3271" t="s">
        <v>13</v>
      </c>
      <c r="E3271" t="s">
        <v>27</v>
      </c>
      <c r="F3271" t="s">
        <v>30</v>
      </c>
      <c r="G3271">
        <v>814</v>
      </c>
      <c r="H3271">
        <v>57000</v>
      </c>
      <c r="I3271">
        <v>46398000</v>
      </c>
    </row>
    <row r="3272" spans="1:10" hidden="1" x14ac:dyDescent="0.25">
      <c r="A3272" s="210" t="s">
        <v>1475</v>
      </c>
      <c r="B3272">
        <v>7911</v>
      </c>
      <c r="C3272" s="100">
        <v>46088</v>
      </c>
      <c r="D3272" t="s">
        <v>13</v>
      </c>
      <c r="E3272" t="s">
        <v>2029</v>
      </c>
      <c r="F3272">
        <v>0.1</v>
      </c>
      <c r="G3272">
        <v>1</v>
      </c>
      <c r="H3272">
        <v>4725000</v>
      </c>
      <c r="I3272">
        <v>4725000</v>
      </c>
    </row>
    <row r="3273" spans="1:10" hidden="1" x14ac:dyDescent="0.25">
      <c r="A3273" s="210" t="s">
        <v>1515</v>
      </c>
      <c r="B3273">
        <v>7910</v>
      </c>
      <c r="C3273" s="100">
        <v>46087</v>
      </c>
      <c r="D3273" t="s">
        <v>13</v>
      </c>
      <c r="E3273" t="s">
        <v>77</v>
      </c>
      <c r="F3273" t="s">
        <v>429</v>
      </c>
      <c r="G3273">
        <v>2383</v>
      </c>
      <c r="H3273">
        <v>33000</v>
      </c>
      <c r="I3273">
        <v>78639000</v>
      </c>
    </row>
    <row r="3274" spans="1:10" hidden="1" x14ac:dyDescent="0.25">
      <c r="A3274" s="210" t="s">
        <v>1600</v>
      </c>
      <c r="B3274">
        <v>7909</v>
      </c>
      <c r="C3274" s="100">
        <v>46087</v>
      </c>
      <c r="D3274" t="s">
        <v>13</v>
      </c>
      <c r="E3274" t="s">
        <v>170</v>
      </c>
      <c r="F3274" t="s">
        <v>1099</v>
      </c>
      <c r="G3274">
        <v>1854</v>
      </c>
      <c r="H3274">
        <v>59000</v>
      </c>
      <c r="I3274">
        <v>109386000</v>
      </c>
    </row>
    <row r="3275" spans="1:10" hidden="1" x14ac:dyDescent="0.25">
      <c r="A3275" s="210" t="s">
        <v>1511</v>
      </c>
      <c r="B3275">
        <v>7908</v>
      </c>
      <c r="C3275" s="100">
        <v>46087</v>
      </c>
      <c r="D3275" t="s">
        <v>13</v>
      </c>
      <c r="E3275" t="s">
        <v>54</v>
      </c>
      <c r="F3275" t="s">
        <v>221</v>
      </c>
      <c r="G3275">
        <v>76</v>
      </c>
      <c r="H3275">
        <v>35000</v>
      </c>
      <c r="I3275">
        <v>2660000</v>
      </c>
      <c r="J3275">
        <v>2660000</v>
      </c>
    </row>
    <row r="3276" spans="1:10" hidden="1" x14ac:dyDescent="0.25">
      <c r="A3276" s="210" t="s">
        <v>1511</v>
      </c>
      <c r="B3276">
        <v>7908</v>
      </c>
      <c r="C3276" s="100">
        <v>46087</v>
      </c>
      <c r="D3276" t="s">
        <v>13</v>
      </c>
      <c r="E3276" t="s">
        <v>54</v>
      </c>
      <c r="F3276" t="s">
        <v>380</v>
      </c>
      <c r="G3276">
        <v>36</v>
      </c>
      <c r="H3276">
        <v>35000</v>
      </c>
      <c r="I3276">
        <v>1260000</v>
      </c>
      <c r="J3276">
        <v>1260000</v>
      </c>
    </row>
    <row r="3277" spans="1:10" hidden="1" x14ac:dyDescent="0.25">
      <c r="A3277" s="210" t="s">
        <v>1524</v>
      </c>
      <c r="B3277">
        <v>7907</v>
      </c>
      <c r="C3277" s="100">
        <v>46087</v>
      </c>
      <c r="D3277" t="s">
        <v>49</v>
      </c>
      <c r="E3277" t="s">
        <v>17</v>
      </c>
      <c r="F3277" t="s">
        <v>469</v>
      </c>
      <c r="G3277">
        <v>9355</v>
      </c>
      <c r="I3277">
        <v>0</v>
      </c>
    </row>
    <row r="3278" spans="1:10" hidden="1" x14ac:dyDescent="0.25">
      <c r="A3278" s="210" t="s">
        <v>1509</v>
      </c>
      <c r="B3278">
        <v>7906</v>
      </c>
      <c r="C3278" s="100">
        <v>46087</v>
      </c>
      <c r="D3278" t="s">
        <v>13</v>
      </c>
      <c r="E3278" t="s">
        <v>17</v>
      </c>
      <c r="F3278" t="s">
        <v>40</v>
      </c>
      <c r="G3278">
        <v>5268</v>
      </c>
      <c r="H3278">
        <v>63500</v>
      </c>
      <c r="I3278">
        <v>334518000</v>
      </c>
    </row>
    <row r="3279" spans="1:10" hidden="1" x14ac:dyDescent="0.25">
      <c r="A3279" s="210" t="s">
        <v>1587</v>
      </c>
      <c r="B3279">
        <v>7905</v>
      </c>
      <c r="C3279" s="100">
        <v>46087</v>
      </c>
      <c r="D3279" t="s">
        <v>13</v>
      </c>
      <c r="E3279" t="s">
        <v>14</v>
      </c>
      <c r="F3279" t="s">
        <v>134</v>
      </c>
      <c r="G3279">
        <v>538</v>
      </c>
      <c r="H3279">
        <v>41000</v>
      </c>
      <c r="I3279">
        <v>22058000</v>
      </c>
    </row>
    <row r="3280" spans="1:10" hidden="1" x14ac:dyDescent="0.25">
      <c r="A3280" s="210" t="s">
        <v>1524</v>
      </c>
      <c r="B3280">
        <v>7903</v>
      </c>
      <c r="C3280" s="100">
        <v>46087</v>
      </c>
      <c r="D3280" t="s">
        <v>49</v>
      </c>
      <c r="E3280" t="s">
        <v>17</v>
      </c>
      <c r="F3280" t="s">
        <v>468</v>
      </c>
      <c r="G3280">
        <v>5720</v>
      </c>
      <c r="I3280">
        <v>0</v>
      </c>
    </row>
    <row r="3281" spans="1:11" hidden="1" x14ac:dyDescent="0.25">
      <c r="A3281" s="210" t="s">
        <v>1536</v>
      </c>
      <c r="B3281">
        <v>7903</v>
      </c>
      <c r="C3281" s="100">
        <v>46087</v>
      </c>
      <c r="D3281" t="s">
        <v>13</v>
      </c>
      <c r="E3281" t="s">
        <v>26</v>
      </c>
      <c r="F3281" t="s">
        <v>834</v>
      </c>
      <c r="G3281">
        <v>6073</v>
      </c>
      <c r="H3281">
        <v>34000</v>
      </c>
      <c r="I3281">
        <v>206482000</v>
      </c>
    </row>
    <row r="3282" spans="1:11" hidden="1" x14ac:dyDescent="0.25">
      <c r="A3282" s="210" t="s">
        <v>1536</v>
      </c>
      <c r="B3282">
        <v>7903</v>
      </c>
      <c r="C3282" s="100">
        <v>46087</v>
      </c>
      <c r="D3282" t="s">
        <v>84</v>
      </c>
      <c r="E3282" t="s">
        <v>26</v>
      </c>
      <c r="F3282" t="s">
        <v>834</v>
      </c>
      <c r="G3282">
        <v>6073</v>
      </c>
      <c r="H3282">
        <v>500</v>
      </c>
      <c r="I3282">
        <v>3036500</v>
      </c>
    </row>
    <row r="3283" spans="1:11" hidden="1" x14ac:dyDescent="0.25">
      <c r="A3283" s="210" t="s">
        <v>1536</v>
      </c>
      <c r="B3283">
        <v>7903</v>
      </c>
      <c r="C3283" s="100">
        <v>46087</v>
      </c>
      <c r="D3283" t="s">
        <v>13</v>
      </c>
      <c r="E3283" t="s">
        <v>103</v>
      </c>
      <c r="F3283" t="s">
        <v>117</v>
      </c>
      <c r="G3283">
        <v>98</v>
      </c>
      <c r="H3283">
        <v>36000</v>
      </c>
      <c r="I3283">
        <v>3528000</v>
      </c>
    </row>
    <row r="3284" spans="1:11" hidden="1" x14ac:dyDescent="0.25">
      <c r="A3284" s="210" t="s">
        <v>1536</v>
      </c>
      <c r="B3284">
        <v>7903</v>
      </c>
      <c r="C3284" s="100">
        <v>46087</v>
      </c>
      <c r="D3284" t="s">
        <v>13</v>
      </c>
      <c r="E3284" t="s">
        <v>103</v>
      </c>
      <c r="F3284" t="s">
        <v>835</v>
      </c>
      <c r="G3284">
        <v>272</v>
      </c>
      <c r="H3284">
        <v>0</v>
      </c>
      <c r="I3284">
        <v>0</v>
      </c>
    </row>
    <row r="3285" spans="1:11" hidden="1" x14ac:dyDescent="0.25">
      <c r="A3285" s="210" t="s">
        <v>1536</v>
      </c>
      <c r="B3285">
        <v>7903</v>
      </c>
      <c r="C3285" s="100">
        <v>46087</v>
      </c>
      <c r="D3285" t="s">
        <v>13</v>
      </c>
      <c r="E3285" t="s">
        <v>68</v>
      </c>
      <c r="F3285" t="s">
        <v>380</v>
      </c>
      <c r="G3285">
        <v>24</v>
      </c>
      <c r="H3285">
        <v>41000</v>
      </c>
      <c r="I3285">
        <v>984000</v>
      </c>
    </row>
    <row r="3286" spans="1:11" hidden="1" x14ac:dyDescent="0.25">
      <c r="A3286" s="210" t="s">
        <v>1541</v>
      </c>
      <c r="B3286">
        <v>7901</v>
      </c>
      <c r="C3286" s="100">
        <v>46087</v>
      </c>
      <c r="D3286" t="s">
        <v>13</v>
      </c>
      <c r="E3286" t="s">
        <v>17</v>
      </c>
      <c r="F3286" t="s">
        <v>882</v>
      </c>
      <c r="G3286">
        <v>546</v>
      </c>
      <c r="H3286">
        <v>57000</v>
      </c>
      <c r="I3286">
        <v>31122000</v>
      </c>
      <c r="K3286" t="s">
        <v>128</v>
      </c>
    </row>
    <row r="3287" spans="1:11" hidden="1" x14ac:dyDescent="0.25">
      <c r="A3287" s="210" t="s">
        <v>1541</v>
      </c>
      <c r="B3287">
        <v>7901</v>
      </c>
      <c r="C3287" s="100">
        <v>46087</v>
      </c>
      <c r="D3287" t="s">
        <v>13</v>
      </c>
      <c r="E3287" t="s">
        <v>17</v>
      </c>
      <c r="F3287" t="s">
        <v>46</v>
      </c>
      <c r="G3287">
        <v>614</v>
      </c>
      <c r="H3287">
        <v>57000</v>
      </c>
      <c r="I3287">
        <v>34998000</v>
      </c>
      <c r="K3287" t="s">
        <v>128</v>
      </c>
    </row>
    <row r="3288" spans="1:11" hidden="1" x14ac:dyDescent="0.25">
      <c r="A3288" s="210" t="s">
        <v>1597</v>
      </c>
      <c r="B3288">
        <v>7900</v>
      </c>
      <c r="C3288" s="100">
        <v>46087</v>
      </c>
      <c r="D3288" t="s">
        <v>13</v>
      </c>
      <c r="E3288" t="s">
        <v>27</v>
      </c>
      <c r="F3288" t="s">
        <v>1090</v>
      </c>
      <c r="G3288">
        <v>160</v>
      </c>
      <c r="H3288">
        <v>57000</v>
      </c>
      <c r="I3288">
        <v>9120000</v>
      </c>
    </row>
    <row r="3289" spans="1:11" hidden="1" x14ac:dyDescent="0.25">
      <c r="A3289" s="210" t="s">
        <v>1597</v>
      </c>
      <c r="B3289">
        <v>7900</v>
      </c>
      <c r="C3289" s="100">
        <v>46087</v>
      </c>
      <c r="D3289" t="s">
        <v>13</v>
      </c>
      <c r="E3289" t="s">
        <v>27</v>
      </c>
      <c r="F3289" t="s">
        <v>1091</v>
      </c>
      <c r="G3289">
        <v>148</v>
      </c>
      <c r="H3289">
        <v>57000</v>
      </c>
      <c r="I3289">
        <v>8436000</v>
      </c>
    </row>
    <row r="3290" spans="1:11" hidden="1" x14ac:dyDescent="0.25">
      <c r="A3290" s="210" t="s">
        <v>1597</v>
      </c>
      <c r="B3290">
        <v>7900</v>
      </c>
      <c r="C3290" s="100">
        <v>46087</v>
      </c>
      <c r="D3290" t="s">
        <v>13</v>
      </c>
      <c r="E3290" t="s">
        <v>317</v>
      </c>
      <c r="F3290" t="s">
        <v>62</v>
      </c>
      <c r="G3290">
        <v>542</v>
      </c>
      <c r="H3290">
        <v>60500</v>
      </c>
      <c r="I3290">
        <v>32791000</v>
      </c>
    </row>
    <row r="3291" spans="1:11" hidden="1" x14ac:dyDescent="0.25">
      <c r="A3291" s="210" t="s">
        <v>1478</v>
      </c>
      <c r="B3291">
        <v>7899</v>
      </c>
      <c r="C3291" s="100">
        <v>46087</v>
      </c>
      <c r="D3291" t="s">
        <v>13</v>
      </c>
      <c r="E3291" t="s">
        <v>135</v>
      </c>
      <c r="F3291" t="s">
        <v>136</v>
      </c>
      <c r="G3291">
        <v>556</v>
      </c>
      <c r="H3291">
        <v>35000</v>
      </c>
      <c r="I3291">
        <v>19460000</v>
      </c>
      <c r="K3291" t="s">
        <v>128</v>
      </c>
    </row>
    <row r="3292" spans="1:11" hidden="1" x14ac:dyDescent="0.25">
      <c r="A3292" s="210" t="s">
        <v>1596</v>
      </c>
      <c r="B3292">
        <v>7898</v>
      </c>
      <c r="C3292" s="100">
        <v>46087</v>
      </c>
      <c r="D3292" t="s">
        <v>49</v>
      </c>
      <c r="E3292" t="s">
        <v>26</v>
      </c>
      <c r="F3292" t="s">
        <v>62</v>
      </c>
      <c r="G3292">
        <v>1993</v>
      </c>
      <c r="I3292">
        <v>0</v>
      </c>
    </row>
    <row r="3293" spans="1:11" hidden="1" x14ac:dyDescent="0.25">
      <c r="A3293" s="210" t="s">
        <v>1595</v>
      </c>
      <c r="B3293">
        <v>7897</v>
      </c>
      <c r="C3293" s="100">
        <v>46087</v>
      </c>
      <c r="D3293" t="s">
        <v>13</v>
      </c>
      <c r="E3293" t="s">
        <v>317</v>
      </c>
      <c r="F3293" t="s">
        <v>1065</v>
      </c>
      <c r="G3293">
        <v>780</v>
      </c>
      <c r="H3293">
        <v>56000</v>
      </c>
      <c r="I3293">
        <v>43680000</v>
      </c>
      <c r="K3293" t="s">
        <v>128</v>
      </c>
    </row>
    <row r="3294" spans="1:11" hidden="1" x14ac:dyDescent="0.25">
      <c r="A3294" s="210" t="s">
        <v>1595</v>
      </c>
      <c r="B3294">
        <v>7897</v>
      </c>
      <c r="C3294" s="100">
        <v>46087</v>
      </c>
      <c r="D3294" t="s">
        <v>13</v>
      </c>
      <c r="E3294" t="s">
        <v>103</v>
      </c>
      <c r="F3294" t="s">
        <v>1066</v>
      </c>
      <c r="G3294">
        <v>1052</v>
      </c>
      <c r="H3294">
        <v>35000</v>
      </c>
      <c r="I3294">
        <v>36820000</v>
      </c>
      <c r="K3294" t="s">
        <v>128</v>
      </c>
    </row>
    <row r="3295" spans="1:11" hidden="1" x14ac:dyDescent="0.25">
      <c r="A3295" s="210" t="s">
        <v>1595</v>
      </c>
      <c r="B3295">
        <v>7897</v>
      </c>
      <c r="C3295" s="100">
        <v>46087</v>
      </c>
      <c r="D3295" t="s">
        <v>13</v>
      </c>
      <c r="E3295" t="s">
        <v>103</v>
      </c>
      <c r="F3295" t="s">
        <v>1067</v>
      </c>
      <c r="G3295">
        <v>504</v>
      </c>
      <c r="H3295">
        <v>35000</v>
      </c>
      <c r="I3295">
        <v>17640000</v>
      </c>
      <c r="K3295" t="s">
        <v>128</v>
      </c>
    </row>
    <row r="3296" spans="1:11" hidden="1" x14ac:dyDescent="0.25">
      <c r="A3296" s="210" t="s">
        <v>1595</v>
      </c>
      <c r="B3296">
        <v>7897</v>
      </c>
      <c r="C3296" s="100">
        <v>46087</v>
      </c>
      <c r="D3296" t="s">
        <v>13</v>
      </c>
      <c r="E3296" t="s">
        <v>109</v>
      </c>
      <c r="F3296" t="s">
        <v>1068</v>
      </c>
      <c r="G3296">
        <v>2036</v>
      </c>
      <c r="H3296">
        <v>53000</v>
      </c>
      <c r="I3296">
        <v>107908000</v>
      </c>
      <c r="K3296" t="s">
        <v>128</v>
      </c>
    </row>
    <row r="3297" spans="1:11" hidden="1" x14ac:dyDescent="0.25">
      <c r="A3297" s="210" t="s">
        <v>1595</v>
      </c>
      <c r="B3297">
        <v>7897</v>
      </c>
      <c r="C3297" s="100">
        <v>46087</v>
      </c>
      <c r="D3297" t="s">
        <v>13</v>
      </c>
      <c r="E3297" t="s">
        <v>109</v>
      </c>
      <c r="F3297" t="s">
        <v>1069</v>
      </c>
      <c r="G3297">
        <v>1596</v>
      </c>
      <c r="H3297">
        <v>53000</v>
      </c>
      <c r="I3297">
        <v>84588000</v>
      </c>
      <c r="K3297" t="s">
        <v>128</v>
      </c>
    </row>
    <row r="3298" spans="1:11" hidden="1" x14ac:dyDescent="0.25">
      <c r="A3298" s="210" t="s">
        <v>1524</v>
      </c>
      <c r="B3298">
        <v>7896</v>
      </c>
      <c r="C3298" s="100">
        <v>46087</v>
      </c>
      <c r="D3298" t="s">
        <v>49</v>
      </c>
      <c r="E3298" t="s">
        <v>77</v>
      </c>
      <c r="F3298" t="s">
        <v>211</v>
      </c>
      <c r="G3298">
        <v>1329</v>
      </c>
      <c r="I3298">
        <v>0</v>
      </c>
    </row>
    <row r="3299" spans="1:11" hidden="1" x14ac:dyDescent="0.25">
      <c r="A3299" s="210" t="s">
        <v>1524</v>
      </c>
      <c r="B3299">
        <v>7896</v>
      </c>
      <c r="C3299" s="100">
        <v>46087</v>
      </c>
      <c r="D3299" t="s">
        <v>49</v>
      </c>
      <c r="E3299" t="s">
        <v>77</v>
      </c>
      <c r="F3299" t="s">
        <v>211</v>
      </c>
      <c r="G3299">
        <v>1896</v>
      </c>
      <c r="I3299">
        <v>0</v>
      </c>
      <c r="K3299" t="s">
        <v>467</v>
      </c>
    </row>
    <row r="3300" spans="1:11" hidden="1" x14ac:dyDescent="0.25">
      <c r="A3300" s="210" t="s">
        <v>1490</v>
      </c>
      <c r="B3300">
        <v>7895</v>
      </c>
      <c r="C3300" s="100">
        <v>46087</v>
      </c>
      <c r="D3300" t="s">
        <v>13</v>
      </c>
      <c r="E3300" t="s">
        <v>26</v>
      </c>
      <c r="F3300" t="s">
        <v>235</v>
      </c>
      <c r="G3300">
        <v>1600</v>
      </c>
      <c r="H3300">
        <v>32000</v>
      </c>
      <c r="I3300">
        <v>51200000</v>
      </c>
      <c r="K3300" t="s">
        <v>128</v>
      </c>
    </row>
    <row r="3301" spans="1:11" hidden="1" x14ac:dyDescent="0.25">
      <c r="A3301" s="210" t="s">
        <v>1554</v>
      </c>
      <c r="B3301">
        <v>7894</v>
      </c>
      <c r="C3301" s="100">
        <v>46087</v>
      </c>
      <c r="D3301" t="s">
        <v>13</v>
      </c>
      <c r="E3301" t="s">
        <v>17</v>
      </c>
      <c r="F3301" t="s">
        <v>873</v>
      </c>
      <c r="G3301">
        <v>1412</v>
      </c>
      <c r="H3301">
        <v>57000</v>
      </c>
      <c r="I3301">
        <v>80484000</v>
      </c>
    </row>
    <row r="3302" spans="1:11" hidden="1" x14ac:dyDescent="0.25">
      <c r="A3302" s="210" t="s">
        <v>1554</v>
      </c>
      <c r="B3302">
        <v>7894</v>
      </c>
      <c r="C3302" s="100">
        <v>46087</v>
      </c>
      <c r="D3302" t="s">
        <v>13</v>
      </c>
      <c r="E3302" t="s">
        <v>17</v>
      </c>
      <c r="F3302" t="s">
        <v>919</v>
      </c>
      <c r="G3302">
        <v>1772</v>
      </c>
      <c r="H3302">
        <v>57000</v>
      </c>
      <c r="I3302">
        <v>101004000</v>
      </c>
    </row>
    <row r="3303" spans="1:11" hidden="1" x14ac:dyDescent="0.25">
      <c r="A3303" s="210" t="s">
        <v>1554</v>
      </c>
      <c r="B3303">
        <v>7894</v>
      </c>
      <c r="C3303" s="100">
        <v>46087</v>
      </c>
      <c r="D3303" t="s">
        <v>13</v>
      </c>
      <c r="E3303" t="s">
        <v>17</v>
      </c>
      <c r="F3303" t="s">
        <v>127</v>
      </c>
      <c r="G3303">
        <v>970</v>
      </c>
      <c r="H3303">
        <v>57000</v>
      </c>
      <c r="I3303">
        <v>55290000</v>
      </c>
    </row>
    <row r="3304" spans="1:11" hidden="1" x14ac:dyDescent="0.25">
      <c r="A3304" s="210" t="s">
        <v>1554</v>
      </c>
      <c r="B3304">
        <v>7894</v>
      </c>
      <c r="C3304" s="100">
        <v>46087</v>
      </c>
      <c r="D3304" t="s">
        <v>13</v>
      </c>
      <c r="E3304" t="s">
        <v>17</v>
      </c>
      <c r="F3304" t="s">
        <v>920</v>
      </c>
      <c r="G3304">
        <v>1094</v>
      </c>
      <c r="H3304">
        <v>57000</v>
      </c>
      <c r="I3304">
        <v>62358000</v>
      </c>
    </row>
    <row r="3305" spans="1:11" hidden="1" x14ac:dyDescent="0.25">
      <c r="A3305" s="210" t="s">
        <v>1554</v>
      </c>
      <c r="B3305">
        <v>7894</v>
      </c>
      <c r="C3305" s="100">
        <v>46087</v>
      </c>
      <c r="D3305" t="s">
        <v>13</v>
      </c>
      <c r="E3305" t="s">
        <v>17</v>
      </c>
      <c r="F3305" t="s">
        <v>258</v>
      </c>
      <c r="G3305">
        <v>364</v>
      </c>
      <c r="H3305">
        <v>58000</v>
      </c>
      <c r="I3305">
        <v>21112000</v>
      </c>
    </row>
    <row r="3306" spans="1:11" hidden="1" x14ac:dyDescent="0.25">
      <c r="A3306" s="210" t="s">
        <v>1554</v>
      </c>
      <c r="B3306">
        <v>7894</v>
      </c>
      <c r="C3306" s="100">
        <v>46087</v>
      </c>
      <c r="D3306" t="s">
        <v>13</v>
      </c>
      <c r="E3306" t="s">
        <v>32</v>
      </c>
      <c r="F3306" t="s">
        <v>46</v>
      </c>
      <c r="G3306">
        <v>606</v>
      </c>
      <c r="H3306">
        <v>41000</v>
      </c>
      <c r="I3306">
        <v>24846000</v>
      </c>
    </row>
    <row r="3307" spans="1:11" hidden="1" x14ac:dyDescent="0.25">
      <c r="A3307" s="210" t="s">
        <v>1593</v>
      </c>
      <c r="B3307">
        <v>7892</v>
      </c>
      <c r="C3307" s="100">
        <v>46087</v>
      </c>
      <c r="D3307" t="s">
        <v>13</v>
      </c>
      <c r="E3307" t="s">
        <v>50</v>
      </c>
      <c r="F3307" t="s">
        <v>246</v>
      </c>
      <c r="G3307">
        <v>48</v>
      </c>
      <c r="H3307">
        <v>60000</v>
      </c>
      <c r="I3307">
        <v>2880000</v>
      </c>
    </row>
    <row r="3308" spans="1:11" hidden="1" x14ac:dyDescent="0.25">
      <c r="A3308" s="210" t="s">
        <v>1593</v>
      </c>
      <c r="B3308">
        <v>7892</v>
      </c>
      <c r="C3308" s="100">
        <v>46087</v>
      </c>
      <c r="D3308" t="s">
        <v>13</v>
      </c>
      <c r="E3308" t="s">
        <v>252</v>
      </c>
      <c r="F3308" t="s">
        <v>136</v>
      </c>
      <c r="G3308">
        <v>1158</v>
      </c>
      <c r="H3308">
        <v>38500</v>
      </c>
      <c r="I3308">
        <v>44583000</v>
      </c>
    </row>
    <row r="3309" spans="1:11" hidden="1" x14ac:dyDescent="0.25">
      <c r="A3309" s="210" t="s">
        <v>1592</v>
      </c>
      <c r="B3309">
        <v>7891</v>
      </c>
      <c r="C3309" s="100">
        <v>46087</v>
      </c>
      <c r="D3309" t="s">
        <v>49</v>
      </c>
      <c r="E3309" t="s">
        <v>43</v>
      </c>
      <c r="F3309" t="s">
        <v>78</v>
      </c>
      <c r="G3309">
        <v>532</v>
      </c>
      <c r="I3309">
        <v>0</v>
      </c>
    </row>
    <row r="3310" spans="1:11" hidden="1" x14ac:dyDescent="0.25">
      <c r="A3310" s="210" t="s">
        <v>1592</v>
      </c>
      <c r="B3310">
        <v>7890</v>
      </c>
      <c r="C3310" s="100">
        <v>46087</v>
      </c>
      <c r="D3310" t="s">
        <v>13</v>
      </c>
      <c r="E3310" t="s">
        <v>1048</v>
      </c>
      <c r="F3310" t="s">
        <v>148</v>
      </c>
      <c r="G3310">
        <v>5758</v>
      </c>
      <c r="H3310">
        <v>68500</v>
      </c>
      <c r="I3310">
        <v>394423000</v>
      </c>
    </row>
    <row r="3311" spans="1:11" hidden="1" x14ac:dyDescent="0.25">
      <c r="A3311" s="210" t="s">
        <v>1591</v>
      </c>
      <c r="B3311">
        <v>7889</v>
      </c>
      <c r="C3311" s="100">
        <v>46087</v>
      </c>
      <c r="D3311" t="s">
        <v>13</v>
      </c>
      <c r="E3311" t="s">
        <v>50</v>
      </c>
      <c r="F3311" t="s">
        <v>1045</v>
      </c>
      <c r="G3311">
        <v>160</v>
      </c>
      <c r="H3311">
        <v>57000</v>
      </c>
      <c r="I3311">
        <v>9120000</v>
      </c>
    </row>
    <row r="3312" spans="1:11" hidden="1" x14ac:dyDescent="0.25">
      <c r="A3312" s="210" t="s">
        <v>1591</v>
      </c>
      <c r="B3312">
        <v>7889</v>
      </c>
      <c r="C3312" s="100">
        <v>46087</v>
      </c>
      <c r="D3312" t="s">
        <v>13</v>
      </c>
      <c r="E3312" t="s">
        <v>50</v>
      </c>
      <c r="F3312" t="s">
        <v>717</v>
      </c>
      <c r="G3312">
        <v>720</v>
      </c>
      <c r="H3312">
        <v>57000</v>
      </c>
      <c r="I3312">
        <v>41040000</v>
      </c>
    </row>
    <row r="3313" spans="1:9" hidden="1" x14ac:dyDescent="0.25">
      <c r="A3313" s="210" t="s">
        <v>1591</v>
      </c>
      <c r="B3313">
        <v>7889</v>
      </c>
      <c r="C3313" s="100">
        <v>46087</v>
      </c>
      <c r="D3313" t="s">
        <v>13</v>
      </c>
      <c r="E3313" t="s">
        <v>50</v>
      </c>
      <c r="F3313" t="s">
        <v>714</v>
      </c>
      <c r="G3313">
        <v>540</v>
      </c>
      <c r="H3313">
        <v>57000</v>
      </c>
      <c r="I3313">
        <v>30780000</v>
      </c>
    </row>
    <row r="3314" spans="1:9" hidden="1" x14ac:dyDescent="0.25">
      <c r="A3314" s="210" t="s">
        <v>1591</v>
      </c>
      <c r="B3314">
        <v>7889</v>
      </c>
      <c r="C3314" s="100">
        <v>46087</v>
      </c>
      <c r="D3314" t="s">
        <v>13</v>
      </c>
      <c r="E3314" t="s">
        <v>270</v>
      </c>
      <c r="F3314" t="s">
        <v>41</v>
      </c>
      <c r="G3314">
        <v>1004</v>
      </c>
      <c r="H3314">
        <v>62000</v>
      </c>
      <c r="I3314">
        <v>62248000</v>
      </c>
    </row>
    <row r="3315" spans="1:9" hidden="1" x14ac:dyDescent="0.25">
      <c r="A3315" s="210" t="s">
        <v>1591</v>
      </c>
      <c r="B3315">
        <v>7889</v>
      </c>
      <c r="C3315" s="100">
        <v>46087</v>
      </c>
      <c r="D3315" t="s">
        <v>13</v>
      </c>
      <c r="E3315" t="s">
        <v>270</v>
      </c>
      <c r="F3315" t="s">
        <v>136</v>
      </c>
      <c r="G3315">
        <v>750</v>
      </c>
      <c r="H3315">
        <v>61000</v>
      </c>
      <c r="I3315">
        <v>45750000</v>
      </c>
    </row>
    <row r="3316" spans="1:9" hidden="1" x14ac:dyDescent="0.25">
      <c r="A3316" s="210" t="s">
        <v>1591</v>
      </c>
      <c r="B3316">
        <v>7889</v>
      </c>
      <c r="C3316" s="100">
        <v>46087</v>
      </c>
      <c r="D3316" t="s">
        <v>13</v>
      </c>
      <c r="E3316" t="s">
        <v>252</v>
      </c>
      <c r="F3316" t="s">
        <v>41</v>
      </c>
      <c r="G3316">
        <v>534</v>
      </c>
      <c r="H3316">
        <v>39000</v>
      </c>
      <c r="I3316">
        <v>20826000</v>
      </c>
    </row>
    <row r="3317" spans="1:9" hidden="1" x14ac:dyDescent="0.25">
      <c r="A3317" s="210" t="s">
        <v>1590</v>
      </c>
      <c r="B3317">
        <v>7888</v>
      </c>
      <c r="C3317" s="100">
        <v>46087</v>
      </c>
      <c r="D3317" t="s">
        <v>13</v>
      </c>
      <c r="E3317" t="s">
        <v>50</v>
      </c>
      <c r="F3317" t="s">
        <v>717</v>
      </c>
      <c r="G3317">
        <v>1287</v>
      </c>
      <c r="H3317">
        <v>55000</v>
      </c>
      <c r="I3317">
        <v>70785000</v>
      </c>
    </row>
    <row r="3318" spans="1:9" hidden="1" x14ac:dyDescent="0.25">
      <c r="A3318" s="210" t="s">
        <v>1643</v>
      </c>
      <c r="B3318">
        <v>7887</v>
      </c>
      <c r="C3318" s="100">
        <v>46087</v>
      </c>
      <c r="D3318" t="s">
        <v>13</v>
      </c>
      <c r="E3318" t="s">
        <v>17</v>
      </c>
      <c r="F3318" t="s">
        <v>1034</v>
      </c>
      <c r="G3318">
        <v>288</v>
      </c>
      <c r="H3318">
        <v>54000</v>
      </c>
      <c r="I3318">
        <v>15552000</v>
      </c>
    </row>
    <row r="3319" spans="1:9" hidden="1" x14ac:dyDescent="0.25">
      <c r="A3319" s="210" t="s">
        <v>1643</v>
      </c>
      <c r="B3319">
        <v>7887</v>
      </c>
      <c r="C3319" s="100">
        <v>46087</v>
      </c>
      <c r="D3319" t="s">
        <v>13</v>
      </c>
      <c r="E3319" t="s">
        <v>17</v>
      </c>
      <c r="F3319" t="s">
        <v>1035</v>
      </c>
      <c r="G3319">
        <v>3246</v>
      </c>
      <c r="H3319">
        <v>54000</v>
      </c>
      <c r="I3319">
        <v>175284000</v>
      </c>
    </row>
    <row r="3320" spans="1:9" hidden="1" x14ac:dyDescent="0.25">
      <c r="A3320" s="210" t="s">
        <v>1587</v>
      </c>
      <c r="B3320">
        <v>7886</v>
      </c>
      <c r="C3320" s="100">
        <v>46087</v>
      </c>
      <c r="D3320" t="s">
        <v>13</v>
      </c>
      <c r="E3320" t="s">
        <v>14</v>
      </c>
      <c r="F3320" t="s">
        <v>1025</v>
      </c>
      <c r="G3320">
        <v>1906</v>
      </c>
      <c r="H3320">
        <v>42500</v>
      </c>
      <c r="I3320">
        <v>81005000</v>
      </c>
    </row>
    <row r="3321" spans="1:9" hidden="1" x14ac:dyDescent="0.25">
      <c r="A3321" s="210" t="s">
        <v>1587</v>
      </c>
      <c r="B3321">
        <v>7886</v>
      </c>
      <c r="C3321" s="100">
        <v>46087</v>
      </c>
      <c r="D3321" t="s">
        <v>13</v>
      </c>
      <c r="E3321" t="s">
        <v>14</v>
      </c>
      <c r="F3321" t="s">
        <v>1026</v>
      </c>
      <c r="G3321">
        <v>894</v>
      </c>
      <c r="H3321">
        <v>41000</v>
      </c>
      <c r="I3321">
        <v>36654000</v>
      </c>
    </row>
    <row r="3322" spans="1:9" hidden="1" x14ac:dyDescent="0.25">
      <c r="A3322" s="210" t="s">
        <v>1587</v>
      </c>
      <c r="B3322">
        <v>7886</v>
      </c>
      <c r="C3322" s="100">
        <v>46087</v>
      </c>
      <c r="D3322" t="s">
        <v>13</v>
      </c>
      <c r="E3322" t="s">
        <v>14</v>
      </c>
      <c r="F3322" t="s">
        <v>1027</v>
      </c>
      <c r="G3322">
        <v>294</v>
      </c>
      <c r="H3322">
        <v>41000</v>
      </c>
      <c r="I3322">
        <v>12054000</v>
      </c>
    </row>
    <row r="3323" spans="1:9" hidden="1" x14ac:dyDescent="0.25">
      <c r="A3323" s="210" t="s">
        <v>1568</v>
      </c>
      <c r="B3323">
        <v>7885</v>
      </c>
      <c r="C3323" s="100">
        <v>46087</v>
      </c>
      <c r="D3323" t="s">
        <v>13</v>
      </c>
      <c r="E3323" t="s">
        <v>26</v>
      </c>
      <c r="F3323" t="s">
        <v>40</v>
      </c>
      <c r="G3323">
        <v>198</v>
      </c>
      <c r="H3323">
        <v>34000</v>
      </c>
      <c r="I3323">
        <v>6732000</v>
      </c>
    </row>
    <row r="3324" spans="1:9" hidden="1" x14ac:dyDescent="0.25">
      <c r="A3324" s="210" t="s">
        <v>1568</v>
      </c>
      <c r="B3324">
        <v>7885</v>
      </c>
      <c r="C3324" s="100">
        <v>46087</v>
      </c>
      <c r="D3324" t="s">
        <v>13</v>
      </c>
      <c r="E3324" t="s">
        <v>43</v>
      </c>
      <c r="F3324" t="s">
        <v>62</v>
      </c>
      <c r="G3324">
        <v>556</v>
      </c>
      <c r="H3324">
        <v>55000</v>
      </c>
      <c r="I3324">
        <v>30580000</v>
      </c>
    </row>
    <row r="3325" spans="1:9" hidden="1" x14ac:dyDescent="0.25">
      <c r="A3325" s="210" t="s">
        <v>1568</v>
      </c>
      <c r="B3325">
        <v>7885</v>
      </c>
      <c r="C3325" s="100">
        <v>46087</v>
      </c>
      <c r="D3325" t="s">
        <v>13</v>
      </c>
      <c r="E3325" t="s">
        <v>43</v>
      </c>
      <c r="F3325" t="s">
        <v>955</v>
      </c>
      <c r="G3325">
        <v>1171</v>
      </c>
      <c r="H3325">
        <v>52000</v>
      </c>
      <c r="I3325">
        <v>60892000</v>
      </c>
    </row>
    <row r="3326" spans="1:9" hidden="1" x14ac:dyDescent="0.25">
      <c r="A3326" s="210" t="s">
        <v>1524</v>
      </c>
      <c r="B3326">
        <v>7884</v>
      </c>
      <c r="C3326" s="100">
        <v>46087</v>
      </c>
      <c r="D3326" t="s">
        <v>49</v>
      </c>
      <c r="E3326" t="s">
        <v>301</v>
      </c>
      <c r="F3326" t="s">
        <v>465</v>
      </c>
      <c r="G3326">
        <v>3338</v>
      </c>
      <c r="I3326">
        <v>0</v>
      </c>
    </row>
    <row r="3327" spans="1:9" hidden="1" x14ac:dyDescent="0.25">
      <c r="A3327" s="210" t="s">
        <v>1524</v>
      </c>
      <c r="B3327">
        <v>7884</v>
      </c>
      <c r="C3327" s="100">
        <v>46087</v>
      </c>
      <c r="D3327" t="s">
        <v>49</v>
      </c>
      <c r="E3327" t="s">
        <v>301</v>
      </c>
      <c r="F3327" t="s">
        <v>466</v>
      </c>
      <c r="G3327">
        <v>6644</v>
      </c>
      <c r="I3327">
        <v>0</v>
      </c>
    </row>
    <row r="3328" spans="1:9" hidden="1" x14ac:dyDescent="0.25">
      <c r="A3328" s="210" t="s">
        <v>1487</v>
      </c>
      <c r="B3328">
        <v>7883</v>
      </c>
      <c r="C3328" s="100">
        <v>46087</v>
      </c>
      <c r="D3328" t="s">
        <v>13</v>
      </c>
      <c r="E3328" t="s">
        <v>26</v>
      </c>
      <c r="F3328" t="s">
        <v>65</v>
      </c>
      <c r="G3328">
        <v>1634</v>
      </c>
      <c r="H3328">
        <v>35000</v>
      </c>
      <c r="I3328">
        <v>57190000</v>
      </c>
    </row>
    <row r="3329" spans="1:11" hidden="1" x14ac:dyDescent="0.25">
      <c r="A3329" s="210" t="s">
        <v>1496</v>
      </c>
      <c r="B3329">
        <v>7882</v>
      </c>
      <c r="C3329" s="100">
        <v>46087</v>
      </c>
      <c r="D3329" t="s">
        <v>13</v>
      </c>
      <c r="E3329" t="s">
        <v>17</v>
      </c>
      <c r="F3329" t="s">
        <v>40</v>
      </c>
      <c r="G3329">
        <v>1432</v>
      </c>
      <c r="H3329">
        <v>62000</v>
      </c>
      <c r="I3329">
        <v>88784000</v>
      </c>
    </row>
    <row r="3330" spans="1:11" hidden="1" x14ac:dyDescent="0.25">
      <c r="A3330" s="210" t="s">
        <v>1637</v>
      </c>
      <c r="B3330">
        <v>7881</v>
      </c>
      <c r="C3330" s="100">
        <v>46087</v>
      </c>
      <c r="D3330" t="s">
        <v>13</v>
      </c>
      <c r="E3330" t="s">
        <v>68</v>
      </c>
      <c r="F3330" t="s">
        <v>1019</v>
      </c>
      <c r="G3330">
        <v>568</v>
      </c>
      <c r="H3330">
        <v>43000</v>
      </c>
      <c r="I3330">
        <v>24424000</v>
      </c>
    </row>
    <row r="3331" spans="1:11" hidden="1" x14ac:dyDescent="0.25">
      <c r="A3331" s="210" t="s">
        <v>1583</v>
      </c>
      <c r="B3331">
        <v>7880</v>
      </c>
      <c r="C3331" s="100">
        <v>46087</v>
      </c>
      <c r="D3331" t="s">
        <v>13</v>
      </c>
      <c r="E3331" t="s">
        <v>68</v>
      </c>
      <c r="F3331" t="s">
        <v>116</v>
      </c>
      <c r="G3331">
        <v>730</v>
      </c>
      <c r="H3331">
        <v>40000</v>
      </c>
      <c r="I3331">
        <v>29200000</v>
      </c>
    </row>
    <row r="3332" spans="1:11" hidden="1" x14ac:dyDescent="0.25">
      <c r="A3332" s="210" t="s">
        <v>1583</v>
      </c>
      <c r="B3332">
        <v>7880</v>
      </c>
      <c r="C3332" s="100">
        <v>46087</v>
      </c>
      <c r="D3332" t="s">
        <v>13</v>
      </c>
      <c r="E3332" t="s">
        <v>68</v>
      </c>
      <c r="F3332" t="s">
        <v>1010</v>
      </c>
      <c r="G3332">
        <v>222</v>
      </c>
      <c r="H3332">
        <v>40000</v>
      </c>
      <c r="I3332">
        <v>8880000</v>
      </c>
    </row>
    <row r="3333" spans="1:11" hidden="1" x14ac:dyDescent="0.25">
      <c r="A3333" s="210" t="s">
        <v>1582</v>
      </c>
      <c r="B3333">
        <v>7876</v>
      </c>
      <c r="C3333" s="100">
        <v>46086</v>
      </c>
      <c r="D3333" t="s">
        <v>13</v>
      </c>
      <c r="E3333" t="s">
        <v>17</v>
      </c>
      <c r="F3333" t="s">
        <v>31</v>
      </c>
      <c r="G3333">
        <v>1162</v>
      </c>
      <c r="H3333">
        <v>62000</v>
      </c>
      <c r="I3333">
        <v>72044000</v>
      </c>
    </row>
    <row r="3334" spans="1:11" hidden="1" x14ac:dyDescent="0.25">
      <c r="A3334" s="210" t="s">
        <v>1582</v>
      </c>
      <c r="B3334">
        <v>7876</v>
      </c>
      <c r="C3334" s="100">
        <v>46086</v>
      </c>
      <c r="D3334" t="s">
        <v>13</v>
      </c>
      <c r="E3334" t="s">
        <v>17</v>
      </c>
      <c r="F3334" t="s">
        <v>25</v>
      </c>
      <c r="G3334">
        <v>484</v>
      </c>
      <c r="H3334">
        <v>62000</v>
      </c>
      <c r="I3334">
        <v>30008000</v>
      </c>
    </row>
    <row r="3335" spans="1:11" hidden="1" x14ac:dyDescent="0.25">
      <c r="A3335" s="210" t="s">
        <v>1582</v>
      </c>
      <c r="B3335">
        <v>7876</v>
      </c>
      <c r="C3335" s="100">
        <v>46086</v>
      </c>
      <c r="D3335" t="s">
        <v>13</v>
      </c>
      <c r="E3335" t="s">
        <v>26</v>
      </c>
      <c r="F3335" t="s">
        <v>136</v>
      </c>
      <c r="G3335">
        <v>198</v>
      </c>
      <c r="H3335">
        <v>36000</v>
      </c>
      <c r="I3335">
        <v>7128000</v>
      </c>
    </row>
    <row r="3336" spans="1:11" hidden="1" x14ac:dyDescent="0.25">
      <c r="A3336" s="210" t="s">
        <v>1582</v>
      </c>
      <c r="B3336">
        <v>7876</v>
      </c>
      <c r="C3336" s="100">
        <v>46086</v>
      </c>
      <c r="D3336" t="s">
        <v>13</v>
      </c>
      <c r="E3336" t="s">
        <v>26</v>
      </c>
      <c r="F3336" t="s">
        <v>134</v>
      </c>
      <c r="G3336">
        <v>88</v>
      </c>
      <c r="H3336">
        <v>36000</v>
      </c>
      <c r="I3336">
        <v>3168000</v>
      </c>
    </row>
    <row r="3337" spans="1:11" hidden="1" x14ac:dyDescent="0.25">
      <c r="A3337" s="210" t="s">
        <v>1582</v>
      </c>
      <c r="B3337">
        <v>7876</v>
      </c>
      <c r="C3337" s="100">
        <v>46086</v>
      </c>
      <c r="D3337" t="s">
        <v>13</v>
      </c>
      <c r="E3337" t="s">
        <v>14</v>
      </c>
      <c r="F3337" t="s">
        <v>146</v>
      </c>
      <c r="G3337">
        <v>352</v>
      </c>
      <c r="H3337">
        <v>41000</v>
      </c>
      <c r="I3337">
        <v>14432000</v>
      </c>
    </row>
    <row r="3338" spans="1:11" hidden="1" x14ac:dyDescent="0.25">
      <c r="A3338" s="210" t="s">
        <v>1582</v>
      </c>
      <c r="B3338">
        <v>7876</v>
      </c>
      <c r="C3338" s="100">
        <v>46086</v>
      </c>
      <c r="D3338" t="s">
        <v>13</v>
      </c>
      <c r="E3338" t="s">
        <v>1003</v>
      </c>
      <c r="F3338" t="s">
        <v>40</v>
      </c>
      <c r="G3338">
        <v>1502</v>
      </c>
      <c r="H3338">
        <v>42000</v>
      </c>
      <c r="I3338">
        <v>63084000</v>
      </c>
    </row>
    <row r="3339" spans="1:11" hidden="1" x14ac:dyDescent="0.25">
      <c r="A3339" s="210" t="s">
        <v>1489</v>
      </c>
      <c r="B3339">
        <v>7875</v>
      </c>
      <c r="C3339" s="100">
        <v>46086</v>
      </c>
      <c r="D3339" t="s">
        <v>13</v>
      </c>
      <c r="E3339" t="s">
        <v>14</v>
      </c>
      <c r="F3339" t="s">
        <v>185</v>
      </c>
      <c r="G3339">
        <v>292</v>
      </c>
      <c r="H3339">
        <v>41000</v>
      </c>
      <c r="I3339">
        <v>11972000</v>
      </c>
      <c r="K3339" t="s">
        <v>128</v>
      </c>
    </row>
    <row r="3340" spans="1:11" hidden="1" x14ac:dyDescent="0.25">
      <c r="A3340" s="210" t="s">
        <v>1489</v>
      </c>
      <c r="B3340">
        <v>7875</v>
      </c>
      <c r="C3340" s="100">
        <v>46086</v>
      </c>
      <c r="D3340" t="s">
        <v>13</v>
      </c>
      <c r="E3340" t="s">
        <v>14</v>
      </c>
      <c r="F3340" t="s">
        <v>62</v>
      </c>
      <c r="G3340">
        <v>116</v>
      </c>
      <c r="H3340">
        <v>41000</v>
      </c>
      <c r="I3340">
        <v>4756000</v>
      </c>
      <c r="K3340" t="s">
        <v>128</v>
      </c>
    </row>
    <row r="3341" spans="1:11" hidden="1" x14ac:dyDescent="0.25">
      <c r="A3341" s="210" t="s">
        <v>1489</v>
      </c>
      <c r="B3341">
        <v>7875</v>
      </c>
      <c r="C3341" s="100">
        <v>46086</v>
      </c>
      <c r="D3341" t="s">
        <v>13</v>
      </c>
      <c r="E3341" t="s">
        <v>14</v>
      </c>
      <c r="F3341" t="s">
        <v>41</v>
      </c>
      <c r="G3341">
        <v>158</v>
      </c>
      <c r="H3341">
        <v>41000</v>
      </c>
      <c r="I3341">
        <v>6478000</v>
      </c>
      <c r="K3341" t="s">
        <v>128</v>
      </c>
    </row>
    <row r="3342" spans="1:11" hidden="1" x14ac:dyDescent="0.25">
      <c r="A3342" s="210" t="s">
        <v>1496</v>
      </c>
      <c r="B3342">
        <v>7872</v>
      </c>
      <c r="C3342" s="100">
        <v>46086</v>
      </c>
      <c r="D3342" t="s">
        <v>13</v>
      </c>
      <c r="E3342" t="s">
        <v>45</v>
      </c>
      <c r="F3342" t="s">
        <v>25</v>
      </c>
      <c r="G3342">
        <v>472</v>
      </c>
      <c r="H3342">
        <v>34000</v>
      </c>
      <c r="I3342">
        <v>16048000</v>
      </c>
    </row>
    <row r="3343" spans="1:11" hidden="1" x14ac:dyDescent="0.25">
      <c r="A3343" s="210" t="s">
        <v>1518</v>
      </c>
      <c r="B3343">
        <v>7870</v>
      </c>
      <c r="C3343" s="100">
        <v>46086</v>
      </c>
      <c r="D3343" t="s">
        <v>13</v>
      </c>
      <c r="E3343" t="s">
        <v>17</v>
      </c>
      <c r="F3343" t="s">
        <v>254</v>
      </c>
      <c r="G3343">
        <v>627</v>
      </c>
      <c r="H3343">
        <v>58000</v>
      </c>
      <c r="I3343">
        <v>36366000</v>
      </c>
    </row>
    <row r="3344" spans="1:11" hidden="1" x14ac:dyDescent="0.25">
      <c r="A3344" s="210" t="s">
        <v>1518</v>
      </c>
      <c r="B3344">
        <v>7870</v>
      </c>
      <c r="C3344" s="100">
        <v>46086</v>
      </c>
      <c r="D3344" t="s">
        <v>13</v>
      </c>
      <c r="E3344" t="s">
        <v>43</v>
      </c>
      <c r="F3344" t="s">
        <v>440</v>
      </c>
      <c r="G3344">
        <v>628</v>
      </c>
      <c r="H3344">
        <v>54000</v>
      </c>
      <c r="I3344">
        <v>33912000</v>
      </c>
    </row>
    <row r="3345" spans="1:11" hidden="1" x14ac:dyDescent="0.25">
      <c r="A3345" s="210" t="s">
        <v>1518</v>
      </c>
      <c r="B3345">
        <v>7870</v>
      </c>
      <c r="C3345" s="100">
        <v>46086</v>
      </c>
      <c r="D3345" t="s">
        <v>13</v>
      </c>
      <c r="E3345" t="s">
        <v>17</v>
      </c>
      <c r="F3345" t="s">
        <v>40</v>
      </c>
      <c r="G3345">
        <v>518</v>
      </c>
      <c r="H3345">
        <v>62500</v>
      </c>
      <c r="I3345">
        <v>32375000</v>
      </c>
    </row>
    <row r="3346" spans="1:11" hidden="1" x14ac:dyDescent="0.25">
      <c r="A3346" s="210" t="s">
        <v>1580</v>
      </c>
      <c r="B3346">
        <v>7869</v>
      </c>
      <c r="C3346" s="100">
        <v>46086</v>
      </c>
      <c r="D3346" t="s">
        <v>13</v>
      </c>
      <c r="E3346" t="s">
        <v>43</v>
      </c>
      <c r="F3346" t="s">
        <v>204</v>
      </c>
      <c r="G3346">
        <v>251</v>
      </c>
      <c r="H3346">
        <v>57000</v>
      </c>
      <c r="I3346">
        <v>14307000</v>
      </c>
      <c r="K3346" t="s">
        <v>128</v>
      </c>
    </row>
    <row r="3347" spans="1:11" hidden="1" x14ac:dyDescent="0.25">
      <c r="A3347" s="210" t="s">
        <v>1526</v>
      </c>
      <c r="B3347">
        <v>7868</v>
      </c>
      <c r="C3347" s="100">
        <v>46086</v>
      </c>
      <c r="D3347" t="s">
        <v>13</v>
      </c>
      <c r="E3347" t="s">
        <v>36</v>
      </c>
      <c r="F3347" t="s">
        <v>116</v>
      </c>
      <c r="G3347">
        <v>774</v>
      </c>
      <c r="H3347">
        <v>58000</v>
      </c>
      <c r="I3347">
        <v>44892000</v>
      </c>
    </row>
    <row r="3348" spans="1:11" hidden="1" x14ac:dyDescent="0.25">
      <c r="A3348" s="210" t="s">
        <v>1579</v>
      </c>
      <c r="B3348">
        <v>7867</v>
      </c>
      <c r="C3348" s="100">
        <v>46086</v>
      </c>
      <c r="D3348" t="s">
        <v>13</v>
      </c>
      <c r="E3348" t="s">
        <v>26</v>
      </c>
      <c r="F3348" t="s">
        <v>40</v>
      </c>
      <c r="G3348">
        <v>336</v>
      </c>
      <c r="H3348">
        <v>37000</v>
      </c>
      <c r="I3348">
        <v>12432000</v>
      </c>
    </row>
    <row r="3349" spans="1:11" hidden="1" x14ac:dyDescent="0.25">
      <c r="A3349" s="210" t="s">
        <v>1579</v>
      </c>
      <c r="B3349">
        <v>7867</v>
      </c>
      <c r="C3349" s="100">
        <v>46086</v>
      </c>
      <c r="D3349" t="s">
        <v>13</v>
      </c>
      <c r="E3349" t="s">
        <v>26</v>
      </c>
      <c r="F3349" t="s">
        <v>134</v>
      </c>
      <c r="G3349">
        <v>476</v>
      </c>
      <c r="H3349">
        <v>36000</v>
      </c>
      <c r="I3349">
        <v>17136000</v>
      </c>
    </row>
    <row r="3350" spans="1:11" hidden="1" x14ac:dyDescent="0.25">
      <c r="A3350" s="210" t="s">
        <v>1493</v>
      </c>
      <c r="B3350">
        <v>7866</v>
      </c>
      <c r="C3350" s="100">
        <v>46086</v>
      </c>
      <c r="D3350" t="s">
        <v>13</v>
      </c>
      <c r="E3350" t="s">
        <v>26</v>
      </c>
      <c r="F3350" t="s">
        <v>136</v>
      </c>
      <c r="G3350">
        <v>1025</v>
      </c>
      <c r="H3350">
        <v>33500</v>
      </c>
      <c r="I3350">
        <v>34337500</v>
      </c>
    </row>
    <row r="3351" spans="1:11" hidden="1" x14ac:dyDescent="0.25">
      <c r="A3351" s="210" t="s">
        <v>1493</v>
      </c>
      <c r="B3351">
        <v>7866</v>
      </c>
      <c r="C3351" s="100">
        <v>46086</v>
      </c>
      <c r="D3351" t="s">
        <v>13</v>
      </c>
      <c r="E3351" t="s">
        <v>26</v>
      </c>
      <c r="F3351" t="s">
        <v>134</v>
      </c>
      <c r="G3351">
        <v>820</v>
      </c>
      <c r="H3351">
        <v>35000</v>
      </c>
      <c r="I3351">
        <v>28700000</v>
      </c>
    </row>
    <row r="3352" spans="1:11" hidden="1" x14ac:dyDescent="0.25">
      <c r="A3352" s="210" t="s">
        <v>1577</v>
      </c>
      <c r="B3352">
        <v>7865</v>
      </c>
      <c r="C3352" s="100">
        <v>46086</v>
      </c>
      <c r="D3352" t="s">
        <v>13</v>
      </c>
      <c r="E3352" t="s">
        <v>50</v>
      </c>
      <c r="F3352" t="s">
        <v>977</v>
      </c>
      <c r="G3352">
        <v>1165</v>
      </c>
      <c r="H3352">
        <v>54000</v>
      </c>
      <c r="I3352">
        <v>62910000</v>
      </c>
    </row>
    <row r="3353" spans="1:11" hidden="1" x14ac:dyDescent="0.25">
      <c r="A3353" s="210" t="s">
        <v>1577</v>
      </c>
      <c r="B3353">
        <v>7865</v>
      </c>
      <c r="C3353" s="100">
        <v>46086</v>
      </c>
      <c r="D3353" t="s">
        <v>13</v>
      </c>
      <c r="E3353" t="s">
        <v>50</v>
      </c>
      <c r="F3353" t="s">
        <v>73</v>
      </c>
      <c r="G3353">
        <v>2270</v>
      </c>
      <c r="H3353">
        <v>54000</v>
      </c>
      <c r="I3353">
        <v>122580000</v>
      </c>
    </row>
    <row r="3354" spans="1:11" hidden="1" x14ac:dyDescent="0.25">
      <c r="A3354" s="210" t="s">
        <v>1577</v>
      </c>
      <c r="B3354">
        <v>7865</v>
      </c>
      <c r="C3354" s="100">
        <v>46086</v>
      </c>
      <c r="D3354" t="s">
        <v>13</v>
      </c>
      <c r="E3354" t="s">
        <v>50</v>
      </c>
      <c r="F3354" t="s">
        <v>978</v>
      </c>
      <c r="G3354">
        <v>1452</v>
      </c>
      <c r="H3354">
        <v>55000</v>
      </c>
      <c r="I3354">
        <v>79860000</v>
      </c>
    </row>
    <row r="3355" spans="1:11" hidden="1" x14ac:dyDescent="0.25">
      <c r="A3355" s="210" t="s">
        <v>1575</v>
      </c>
      <c r="B3355">
        <v>7864</v>
      </c>
      <c r="C3355" s="100">
        <v>46086</v>
      </c>
      <c r="D3355" t="s">
        <v>13</v>
      </c>
      <c r="E3355" t="s">
        <v>109</v>
      </c>
      <c r="F3355" t="s">
        <v>354</v>
      </c>
      <c r="G3355">
        <v>1800</v>
      </c>
      <c r="H3355">
        <v>55000</v>
      </c>
      <c r="I3355">
        <v>99000000</v>
      </c>
    </row>
    <row r="3356" spans="1:11" hidden="1" x14ac:dyDescent="0.25">
      <c r="A3356" s="210" t="s">
        <v>1575</v>
      </c>
      <c r="B3356">
        <v>7864</v>
      </c>
      <c r="C3356" s="100">
        <v>46086</v>
      </c>
      <c r="D3356" t="s">
        <v>13</v>
      </c>
      <c r="E3356" t="s">
        <v>43</v>
      </c>
      <c r="F3356" t="s">
        <v>146</v>
      </c>
      <c r="G3356">
        <v>558</v>
      </c>
      <c r="H3356">
        <v>56000</v>
      </c>
      <c r="I3356">
        <v>31248000</v>
      </c>
    </row>
    <row r="3357" spans="1:11" hidden="1" x14ac:dyDescent="0.25">
      <c r="A3357" s="210" t="s">
        <v>1573</v>
      </c>
      <c r="B3357">
        <v>7863</v>
      </c>
      <c r="C3357" s="100">
        <v>46086</v>
      </c>
      <c r="D3357" t="s">
        <v>13</v>
      </c>
      <c r="E3357" t="s">
        <v>703</v>
      </c>
      <c r="F3357" t="s">
        <v>965</v>
      </c>
      <c r="G3357">
        <v>90</v>
      </c>
      <c r="H3357">
        <v>35000</v>
      </c>
      <c r="I3357">
        <v>3150000</v>
      </c>
    </row>
    <row r="3358" spans="1:11" hidden="1" x14ac:dyDescent="0.25">
      <c r="A3358" s="210" t="s">
        <v>1573</v>
      </c>
      <c r="B3358">
        <v>7863</v>
      </c>
      <c r="C3358" s="100">
        <v>46086</v>
      </c>
      <c r="D3358" t="s">
        <v>13</v>
      </c>
      <c r="E3358" t="s">
        <v>169</v>
      </c>
      <c r="F3358" t="s">
        <v>41</v>
      </c>
      <c r="G3358">
        <v>80</v>
      </c>
      <c r="H3358">
        <v>40000</v>
      </c>
      <c r="I3358">
        <v>3200000</v>
      </c>
    </row>
    <row r="3359" spans="1:11" hidden="1" x14ac:dyDescent="0.25">
      <c r="A3359" s="210" t="s">
        <v>1541</v>
      </c>
      <c r="B3359">
        <v>7862</v>
      </c>
      <c r="C3359" s="100">
        <v>46086</v>
      </c>
      <c r="D3359" t="s">
        <v>13</v>
      </c>
      <c r="E3359" t="s">
        <v>50</v>
      </c>
      <c r="F3359" t="s">
        <v>221</v>
      </c>
      <c r="G3359">
        <v>556</v>
      </c>
      <c r="H3359">
        <v>56000</v>
      </c>
      <c r="I3359">
        <v>31136000</v>
      </c>
      <c r="K3359" t="s">
        <v>128</v>
      </c>
    </row>
    <row r="3360" spans="1:11" hidden="1" x14ac:dyDescent="0.25">
      <c r="A3360" s="210" t="s">
        <v>1541</v>
      </c>
      <c r="B3360">
        <v>7862</v>
      </c>
      <c r="C3360" s="100">
        <v>46086</v>
      </c>
      <c r="D3360" t="s">
        <v>13</v>
      </c>
      <c r="E3360" t="s">
        <v>50</v>
      </c>
      <c r="F3360" t="s">
        <v>288</v>
      </c>
      <c r="G3360">
        <v>532</v>
      </c>
      <c r="H3360">
        <v>56000</v>
      </c>
      <c r="I3360">
        <v>29792000</v>
      </c>
      <c r="K3360" t="s">
        <v>128</v>
      </c>
    </row>
    <row r="3361" spans="1:11" hidden="1" x14ac:dyDescent="0.25">
      <c r="A3361" s="210" t="s">
        <v>1541</v>
      </c>
      <c r="B3361">
        <v>7862</v>
      </c>
      <c r="C3361" s="100">
        <v>46086</v>
      </c>
      <c r="D3361" t="s">
        <v>13</v>
      </c>
      <c r="E3361" t="s">
        <v>32</v>
      </c>
      <c r="F3361" t="s">
        <v>78</v>
      </c>
      <c r="G3361">
        <v>230</v>
      </c>
      <c r="H3361">
        <v>44000</v>
      </c>
      <c r="I3361">
        <v>10120000</v>
      </c>
      <c r="K3361" t="s">
        <v>128</v>
      </c>
    </row>
    <row r="3362" spans="1:11" hidden="1" x14ac:dyDescent="0.25">
      <c r="A3362" s="210" t="s">
        <v>1541</v>
      </c>
      <c r="B3362">
        <v>7862</v>
      </c>
      <c r="C3362" s="100">
        <v>46086</v>
      </c>
      <c r="D3362" t="s">
        <v>13</v>
      </c>
      <c r="E3362" t="s">
        <v>32</v>
      </c>
      <c r="F3362" t="s">
        <v>62</v>
      </c>
      <c r="G3362">
        <v>208</v>
      </c>
      <c r="H3362">
        <v>42000</v>
      </c>
      <c r="I3362">
        <v>8736000</v>
      </c>
      <c r="K3362" t="s">
        <v>128</v>
      </c>
    </row>
    <row r="3363" spans="1:11" hidden="1" x14ac:dyDescent="0.25">
      <c r="A3363" s="210" t="s">
        <v>1572</v>
      </c>
      <c r="B3363">
        <v>7861</v>
      </c>
      <c r="C3363" s="100">
        <v>46086</v>
      </c>
      <c r="D3363" t="s">
        <v>13</v>
      </c>
      <c r="E3363" t="s">
        <v>50</v>
      </c>
      <c r="F3363" t="s">
        <v>963</v>
      </c>
      <c r="G3363">
        <v>1653</v>
      </c>
      <c r="H3363">
        <v>56500</v>
      </c>
      <c r="I3363">
        <v>93394500</v>
      </c>
    </row>
    <row r="3364" spans="1:11" hidden="1" x14ac:dyDescent="0.25">
      <c r="A3364" s="210" t="s">
        <v>1567</v>
      </c>
      <c r="B3364">
        <v>7860</v>
      </c>
      <c r="C3364" s="100">
        <v>46086</v>
      </c>
      <c r="D3364" t="s">
        <v>13</v>
      </c>
      <c r="E3364" t="s">
        <v>17</v>
      </c>
      <c r="F3364" t="s">
        <v>951</v>
      </c>
      <c r="G3364">
        <v>1102</v>
      </c>
      <c r="H3364">
        <v>57000</v>
      </c>
      <c r="I3364">
        <v>62814000</v>
      </c>
      <c r="K3364" t="s">
        <v>128</v>
      </c>
    </row>
    <row r="3365" spans="1:11" hidden="1" x14ac:dyDescent="0.25">
      <c r="A3365" s="210" t="s">
        <v>1567</v>
      </c>
      <c r="B3365">
        <v>7860</v>
      </c>
      <c r="C3365" s="100">
        <v>46086</v>
      </c>
      <c r="D3365" t="s">
        <v>13</v>
      </c>
      <c r="E3365" t="s">
        <v>17</v>
      </c>
      <c r="F3365" t="s">
        <v>416</v>
      </c>
      <c r="G3365">
        <v>861</v>
      </c>
      <c r="H3365">
        <v>56000</v>
      </c>
      <c r="I3365">
        <v>48216000</v>
      </c>
    </row>
    <row r="3366" spans="1:11" hidden="1" x14ac:dyDescent="0.25">
      <c r="A3366" s="210" t="s">
        <v>1567</v>
      </c>
      <c r="B3366">
        <v>7860</v>
      </c>
      <c r="C3366" s="100">
        <v>46086</v>
      </c>
      <c r="D3366" t="s">
        <v>13</v>
      </c>
      <c r="E3366" t="s">
        <v>17</v>
      </c>
      <c r="F3366" t="s">
        <v>41</v>
      </c>
      <c r="G3366">
        <v>230</v>
      </c>
      <c r="H3366">
        <v>56000</v>
      </c>
      <c r="I3366">
        <v>12880000</v>
      </c>
    </row>
    <row r="3367" spans="1:11" hidden="1" x14ac:dyDescent="0.25">
      <c r="A3367" s="210" t="s">
        <v>1568</v>
      </c>
      <c r="B3367">
        <v>7860</v>
      </c>
      <c r="C3367" s="100">
        <v>46086</v>
      </c>
      <c r="D3367" t="s">
        <v>13</v>
      </c>
      <c r="E3367" t="s">
        <v>17</v>
      </c>
      <c r="F3367" t="s">
        <v>33</v>
      </c>
      <c r="G3367">
        <v>502</v>
      </c>
      <c r="H3367">
        <v>57000</v>
      </c>
      <c r="I3367">
        <v>28614000</v>
      </c>
      <c r="K3367" t="s">
        <v>128</v>
      </c>
    </row>
    <row r="3368" spans="1:11" hidden="1" x14ac:dyDescent="0.25">
      <c r="A3368" s="210" t="s">
        <v>1568</v>
      </c>
      <c r="B3368">
        <v>7860</v>
      </c>
      <c r="C3368" s="100">
        <v>46086</v>
      </c>
      <c r="D3368" t="s">
        <v>13</v>
      </c>
      <c r="E3368" t="s">
        <v>17</v>
      </c>
      <c r="F3368" t="s">
        <v>127</v>
      </c>
      <c r="G3368">
        <v>480</v>
      </c>
      <c r="H3368">
        <v>57000</v>
      </c>
      <c r="I3368">
        <v>27360000</v>
      </c>
      <c r="K3368" t="s">
        <v>128</v>
      </c>
    </row>
    <row r="3369" spans="1:11" hidden="1" x14ac:dyDescent="0.25">
      <c r="A3369" s="210" t="s">
        <v>1568</v>
      </c>
      <c r="B3369">
        <v>7860</v>
      </c>
      <c r="C3369" s="100">
        <v>46086</v>
      </c>
      <c r="D3369" t="s">
        <v>13</v>
      </c>
      <c r="E3369" t="s">
        <v>17</v>
      </c>
      <c r="F3369" t="s">
        <v>873</v>
      </c>
      <c r="G3369">
        <v>1112</v>
      </c>
      <c r="H3369">
        <v>57000</v>
      </c>
      <c r="I3369">
        <v>63384000</v>
      </c>
      <c r="K3369" t="s">
        <v>128</v>
      </c>
    </row>
    <row r="3370" spans="1:11" hidden="1" x14ac:dyDescent="0.25">
      <c r="A3370" s="210" t="s">
        <v>1566</v>
      </c>
      <c r="B3370">
        <v>7859</v>
      </c>
      <c r="C3370" s="100">
        <v>46086</v>
      </c>
      <c r="D3370" t="s">
        <v>13</v>
      </c>
      <c r="E3370" t="s">
        <v>17</v>
      </c>
      <c r="F3370" t="s">
        <v>267</v>
      </c>
      <c r="G3370">
        <v>672</v>
      </c>
      <c r="H3370">
        <v>58500</v>
      </c>
      <c r="I3370">
        <v>39312000</v>
      </c>
    </row>
    <row r="3371" spans="1:11" hidden="1" x14ac:dyDescent="0.25">
      <c r="A3371" s="210" t="s">
        <v>1566</v>
      </c>
      <c r="B3371">
        <v>7859</v>
      </c>
      <c r="C3371" s="100">
        <v>46086</v>
      </c>
      <c r="D3371" t="s">
        <v>13</v>
      </c>
      <c r="E3371" t="s">
        <v>43</v>
      </c>
      <c r="F3371" t="s">
        <v>441</v>
      </c>
      <c r="G3371">
        <v>585</v>
      </c>
      <c r="H3371">
        <v>56000</v>
      </c>
      <c r="I3371">
        <v>32760000</v>
      </c>
    </row>
    <row r="3372" spans="1:11" hidden="1" x14ac:dyDescent="0.25">
      <c r="A3372" s="210" t="s">
        <v>1564</v>
      </c>
      <c r="B3372">
        <v>7858</v>
      </c>
      <c r="C3372" s="100">
        <v>46086</v>
      </c>
      <c r="D3372" t="s">
        <v>13</v>
      </c>
      <c r="E3372" t="s">
        <v>949</v>
      </c>
      <c r="F3372" t="s">
        <v>796</v>
      </c>
      <c r="G3372">
        <v>1654</v>
      </c>
      <c r="H3372">
        <v>29000</v>
      </c>
      <c r="I3372">
        <v>47966000</v>
      </c>
    </row>
    <row r="3373" spans="1:11" hidden="1" x14ac:dyDescent="0.25">
      <c r="A3373" s="210" t="s">
        <v>1530</v>
      </c>
      <c r="B3373">
        <v>7857</v>
      </c>
      <c r="C3373" s="100">
        <v>46086</v>
      </c>
      <c r="D3373" t="s">
        <v>13</v>
      </c>
      <c r="E3373" t="s">
        <v>14</v>
      </c>
      <c r="F3373" t="s">
        <v>687</v>
      </c>
      <c r="G3373">
        <v>98</v>
      </c>
      <c r="H3373">
        <v>44000</v>
      </c>
      <c r="I3373">
        <v>4312000</v>
      </c>
    </row>
    <row r="3374" spans="1:11" hidden="1" x14ac:dyDescent="0.25">
      <c r="A3374" s="210" t="s">
        <v>1562</v>
      </c>
      <c r="B3374">
        <v>7856</v>
      </c>
      <c r="C3374" s="100">
        <v>46086</v>
      </c>
      <c r="D3374" t="s">
        <v>13</v>
      </c>
      <c r="E3374" t="s">
        <v>135</v>
      </c>
      <c r="F3374" t="s">
        <v>134</v>
      </c>
      <c r="G3374">
        <v>496</v>
      </c>
      <c r="H3374">
        <v>38000</v>
      </c>
      <c r="I3374">
        <v>18848000</v>
      </c>
    </row>
    <row r="3375" spans="1:11" hidden="1" x14ac:dyDescent="0.25">
      <c r="A3375" s="210" t="s">
        <v>1558</v>
      </c>
      <c r="B3375">
        <v>7855</v>
      </c>
      <c r="C3375" s="100">
        <v>46086</v>
      </c>
      <c r="D3375" t="s">
        <v>13</v>
      </c>
      <c r="E3375" t="s">
        <v>940</v>
      </c>
      <c r="F3375" t="s">
        <v>941</v>
      </c>
      <c r="G3375">
        <v>2410</v>
      </c>
      <c r="H3375">
        <v>31000</v>
      </c>
      <c r="I3375">
        <v>74710000</v>
      </c>
    </row>
    <row r="3376" spans="1:11" hidden="1" x14ac:dyDescent="0.25">
      <c r="A3376" s="210" t="s">
        <v>1525</v>
      </c>
      <c r="B3376">
        <v>7854</v>
      </c>
      <c r="C3376" s="100">
        <v>46086</v>
      </c>
      <c r="D3376" t="s">
        <v>13</v>
      </c>
      <c r="E3376" t="s">
        <v>17</v>
      </c>
      <c r="F3376" t="s">
        <v>40</v>
      </c>
      <c r="G3376">
        <v>6221</v>
      </c>
      <c r="H3376">
        <v>61000</v>
      </c>
      <c r="I3376">
        <v>379481000</v>
      </c>
    </row>
    <row r="3377" spans="1:11" hidden="1" x14ac:dyDescent="0.25">
      <c r="A3377" s="210" t="s">
        <v>1556</v>
      </c>
      <c r="B3377">
        <v>7853</v>
      </c>
      <c r="C3377" s="100">
        <v>46086</v>
      </c>
      <c r="D3377" t="s">
        <v>13</v>
      </c>
      <c r="E3377" t="s">
        <v>103</v>
      </c>
      <c r="F3377" t="s">
        <v>836</v>
      </c>
      <c r="G3377">
        <v>1226</v>
      </c>
      <c r="H3377">
        <v>36000</v>
      </c>
      <c r="I3377">
        <v>44136000</v>
      </c>
    </row>
    <row r="3378" spans="1:11" hidden="1" x14ac:dyDescent="0.25">
      <c r="A3378" s="210" t="s">
        <v>1511</v>
      </c>
      <c r="B3378">
        <v>7852</v>
      </c>
      <c r="C3378" s="100">
        <v>46085</v>
      </c>
      <c r="D3378" t="s">
        <v>13</v>
      </c>
      <c r="E3378" t="s">
        <v>17</v>
      </c>
      <c r="F3378" t="s">
        <v>46</v>
      </c>
      <c r="G3378">
        <v>55</v>
      </c>
      <c r="H3378">
        <v>62000</v>
      </c>
      <c r="I3378">
        <v>3410000</v>
      </c>
      <c r="J3378">
        <v>3410000</v>
      </c>
    </row>
    <row r="3379" spans="1:11" hidden="1" x14ac:dyDescent="0.25">
      <c r="A3379" s="210" t="s">
        <v>1476</v>
      </c>
      <c r="B3379">
        <v>7851</v>
      </c>
      <c r="C3379" s="100">
        <v>46085</v>
      </c>
      <c r="D3379" t="s">
        <v>49</v>
      </c>
      <c r="E3379" t="s">
        <v>56</v>
      </c>
      <c r="F3379" t="s">
        <v>57</v>
      </c>
      <c r="G3379">
        <v>218</v>
      </c>
      <c r="I3379">
        <v>0</v>
      </c>
    </row>
    <row r="3380" spans="1:11" hidden="1" x14ac:dyDescent="0.25">
      <c r="A3380" s="210" t="s">
        <v>1476</v>
      </c>
      <c r="B3380">
        <v>7851</v>
      </c>
      <c r="C3380" s="100">
        <v>46085</v>
      </c>
      <c r="D3380" t="s">
        <v>49</v>
      </c>
      <c r="E3380" t="s">
        <v>50</v>
      </c>
      <c r="F3380" t="s">
        <v>58</v>
      </c>
      <c r="G3380">
        <v>180</v>
      </c>
      <c r="I3380">
        <v>0</v>
      </c>
    </row>
    <row r="3381" spans="1:11" hidden="1" x14ac:dyDescent="0.25">
      <c r="A3381" s="210" t="s">
        <v>1476</v>
      </c>
      <c r="B3381">
        <v>7851</v>
      </c>
      <c r="C3381" s="100">
        <v>46085</v>
      </c>
      <c r="D3381" t="s">
        <v>49</v>
      </c>
      <c r="E3381" t="s">
        <v>50</v>
      </c>
      <c r="F3381" t="s">
        <v>59</v>
      </c>
      <c r="G3381">
        <v>338</v>
      </c>
      <c r="I3381">
        <v>0</v>
      </c>
    </row>
    <row r="3382" spans="1:11" hidden="1" x14ac:dyDescent="0.25">
      <c r="A3382" s="210" t="s">
        <v>1476</v>
      </c>
      <c r="B3382">
        <v>7851</v>
      </c>
      <c r="C3382" s="100">
        <v>46085</v>
      </c>
      <c r="D3382" t="s">
        <v>49</v>
      </c>
      <c r="E3382" t="s">
        <v>50</v>
      </c>
      <c r="F3382" t="s">
        <v>60</v>
      </c>
      <c r="G3382">
        <v>220</v>
      </c>
      <c r="I3382">
        <v>0</v>
      </c>
    </row>
    <row r="3383" spans="1:11" hidden="1" x14ac:dyDescent="0.25">
      <c r="A3383" s="210" t="s">
        <v>1476</v>
      </c>
      <c r="B3383">
        <v>7851</v>
      </c>
      <c r="C3383" s="100">
        <v>46085</v>
      </c>
      <c r="D3383" t="s">
        <v>49</v>
      </c>
      <c r="E3383" t="s">
        <v>50</v>
      </c>
      <c r="F3383" t="s">
        <v>61</v>
      </c>
      <c r="G3383">
        <v>54</v>
      </c>
      <c r="I3383">
        <v>0</v>
      </c>
    </row>
    <row r="3384" spans="1:11" hidden="1" x14ac:dyDescent="0.25">
      <c r="A3384" s="210" t="s">
        <v>1476</v>
      </c>
      <c r="B3384">
        <v>7851</v>
      </c>
      <c r="C3384" s="100">
        <v>46085</v>
      </c>
      <c r="D3384" t="s">
        <v>49</v>
      </c>
      <c r="E3384" t="s">
        <v>14</v>
      </c>
      <c r="F3384" t="s">
        <v>62</v>
      </c>
      <c r="G3384">
        <v>56</v>
      </c>
      <c r="I3384">
        <v>0</v>
      </c>
    </row>
    <row r="3385" spans="1:11" hidden="1" x14ac:dyDescent="0.25">
      <c r="A3385" s="210" t="s">
        <v>1476</v>
      </c>
      <c r="B3385">
        <v>7850</v>
      </c>
      <c r="C3385" s="100">
        <v>46085</v>
      </c>
      <c r="D3385" t="s">
        <v>13</v>
      </c>
      <c r="E3385" t="s">
        <v>54</v>
      </c>
      <c r="F3385" t="s">
        <v>55</v>
      </c>
      <c r="G3385">
        <v>684</v>
      </c>
      <c r="H3385">
        <v>34000</v>
      </c>
      <c r="I3385">
        <v>23256000</v>
      </c>
    </row>
    <row r="3386" spans="1:11" hidden="1" x14ac:dyDescent="0.25">
      <c r="A3386" s="210" t="s">
        <v>1555</v>
      </c>
      <c r="B3386">
        <v>7849</v>
      </c>
      <c r="C3386" s="100">
        <v>46085</v>
      </c>
      <c r="D3386" t="s">
        <v>13</v>
      </c>
      <c r="E3386" t="s">
        <v>54</v>
      </c>
      <c r="F3386" t="s">
        <v>932</v>
      </c>
      <c r="G3386">
        <v>160</v>
      </c>
      <c r="H3386">
        <v>33000</v>
      </c>
      <c r="I3386">
        <v>5280000</v>
      </c>
      <c r="K3386" t="s">
        <v>933</v>
      </c>
    </row>
    <row r="3387" spans="1:11" hidden="1" x14ac:dyDescent="0.25">
      <c r="A3387" s="210" t="s">
        <v>1538</v>
      </c>
      <c r="B3387">
        <v>7848</v>
      </c>
      <c r="C3387" s="100">
        <v>46085</v>
      </c>
      <c r="D3387" t="s">
        <v>13</v>
      </c>
      <c r="E3387" t="s">
        <v>14</v>
      </c>
      <c r="F3387" t="s">
        <v>220</v>
      </c>
      <c r="G3387">
        <v>94</v>
      </c>
      <c r="H3387">
        <v>42000</v>
      </c>
      <c r="I3387">
        <v>3948000</v>
      </c>
    </row>
    <row r="3388" spans="1:11" hidden="1" x14ac:dyDescent="0.25">
      <c r="A3388" s="210" t="s">
        <v>1538</v>
      </c>
      <c r="B3388">
        <v>7848</v>
      </c>
      <c r="C3388" s="100">
        <v>46085</v>
      </c>
      <c r="D3388" t="s">
        <v>13</v>
      </c>
      <c r="E3388" t="s">
        <v>32</v>
      </c>
      <c r="F3388" t="s">
        <v>40</v>
      </c>
      <c r="G3388">
        <v>246</v>
      </c>
      <c r="H3388">
        <v>42000</v>
      </c>
      <c r="I3388">
        <v>10332000</v>
      </c>
    </row>
    <row r="3389" spans="1:11" hidden="1" x14ac:dyDescent="0.25">
      <c r="A3389" s="210" t="s">
        <v>1538</v>
      </c>
      <c r="B3389">
        <v>7848</v>
      </c>
      <c r="C3389" s="100">
        <v>46085</v>
      </c>
      <c r="D3389" t="s">
        <v>13</v>
      </c>
      <c r="E3389" t="s">
        <v>32</v>
      </c>
      <c r="F3389" t="s">
        <v>230</v>
      </c>
      <c r="G3389">
        <v>192</v>
      </c>
      <c r="H3389">
        <v>45000</v>
      </c>
      <c r="I3389">
        <v>8640000</v>
      </c>
    </row>
    <row r="3390" spans="1:11" hidden="1" x14ac:dyDescent="0.25">
      <c r="A3390" s="210" t="s">
        <v>1538</v>
      </c>
      <c r="B3390">
        <v>7848</v>
      </c>
      <c r="C3390" s="100">
        <v>46085</v>
      </c>
      <c r="D3390" t="s">
        <v>13</v>
      </c>
      <c r="E3390" t="s">
        <v>103</v>
      </c>
      <c r="F3390" t="s">
        <v>449</v>
      </c>
      <c r="G3390">
        <v>254</v>
      </c>
      <c r="H3390">
        <v>39000</v>
      </c>
      <c r="I3390">
        <v>9906000</v>
      </c>
    </row>
    <row r="3391" spans="1:11" hidden="1" x14ac:dyDescent="0.25">
      <c r="A3391" s="210" t="s">
        <v>1512</v>
      </c>
      <c r="B3391">
        <v>7847</v>
      </c>
      <c r="C3391" s="100">
        <v>46085</v>
      </c>
      <c r="D3391" t="s">
        <v>13</v>
      </c>
      <c r="E3391" t="s">
        <v>32</v>
      </c>
      <c r="F3391" t="s">
        <v>211</v>
      </c>
      <c r="G3391">
        <v>960</v>
      </c>
      <c r="H3391">
        <v>41000</v>
      </c>
      <c r="I3391">
        <v>39360000</v>
      </c>
    </row>
    <row r="3392" spans="1:11" hidden="1" x14ac:dyDescent="0.25">
      <c r="A3392" s="210" t="s">
        <v>1527</v>
      </c>
      <c r="B3392">
        <v>7846</v>
      </c>
      <c r="C3392" s="100">
        <v>46085</v>
      </c>
      <c r="D3392" t="s">
        <v>13</v>
      </c>
      <c r="E3392" t="s">
        <v>43</v>
      </c>
      <c r="F3392" t="s">
        <v>246</v>
      </c>
      <c r="G3392">
        <v>526</v>
      </c>
      <c r="H3392">
        <v>55000</v>
      </c>
      <c r="I3392">
        <v>28930000</v>
      </c>
    </row>
    <row r="3393" spans="1:11" hidden="1" x14ac:dyDescent="0.25">
      <c r="A3393" s="210" t="s">
        <v>1490</v>
      </c>
      <c r="B3393">
        <v>7845</v>
      </c>
      <c r="C3393" s="100">
        <v>46085</v>
      </c>
      <c r="D3393" t="s">
        <v>13</v>
      </c>
      <c r="E3393" t="s">
        <v>26</v>
      </c>
      <c r="F3393" t="s">
        <v>25</v>
      </c>
      <c r="G3393">
        <v>462</v>
      </c>
      <c r="H3393">
        <v>32000</v>
      </c>
      <c r="I3393">
        <v>14784000</v>
      </c>
      <c r="K3393" t="s">
        <v>128</v>
      </c>
    </row>
    <row r="3394" spans="1:11" hidden="1" x14ac:dyDescent="0.25">
      <c r="A3394" s="210" t="s">
        <v>1568</v>
      </c>
      <c r="B3394">
        <v>7845</v>
      </c>
      <c r="C3394" s="100">
        <v>46090</v>
      </c>
      <c r="D3394" t="s">
        <v>13</v>
      </c>
      <c r="E3394" t="s">
        <v>26</v>
      </c>
      <c r="F3394" t="s">
        <v>258</v>
      </c>
      <c r="G3394">
        <v>2585</v>
      </c>
      <c r="H3394">
        <v>32000</v>
      </c>
      <c r="I3394">
        <v>82720000</v>
      </c>
    </row>
    <row r="3395" spans="1:11" hidden="1" x14ac:dyDescent="0.25">
      <c r="A3395" s="210" t="s">
        <v>1554</v>
      </c>
      <c r="B3395">
        <v>7844</v>
      </c>
      <c r="C3395" s="100">
        <v>46085</v>
      </c>
      <c r="D3395" t="s">
        <v>13</v>
      </c>
      <c r="E3395" t="s">
        <v>917</v>
      </c>
      <c r="F3395" t="s">
        <v>918</v>
      </c>
      <c r="G3395">
        <v>620</v>
      </c>
      <c r="H3395">
        <v>40000</v>
      </c>
      <c r="I3395">
        <v>24800000</v>
      </c>
      <c r="K3395" t="s">
        <v>128</v>
      </c>
    </row>
    <row r="3396" spans="1:11" hidden="1" x14ac:dyDescent="0.25">
      <c r="A3396" s="210" t="s">
        <v>1554</v>
      </c>
      <c r="B3396">
        <v>7844</v>
      </c>
      <c r="C3396" s="100">
        <v>46085</v>
      </c>
      <c r="D3396" t="s">
        <v>13</v>
      </c>
      <c r="E3396" t="s">
        <v>290</v>
      </c>
      <c r="F3396" t="s">
        <v>127</v>
      </c>
      <c r="G3396">
        <v>1164</v>
      </c>
      <c r="H3396">
        <v>57000</v>
      </c>
      <c r="I3396">
        <v>66348000</v>
      </c>
      <c r="K3396" t="s">
        <v>128</v>
      </c>
    </row>
    <row r="3397" spans="1:11" hidden="1" x14ac:dyDescent="0.25">
      <c r="A3397" s="210" t="s">
        <v>1554</v>
      </c>
      <c r="B3397">
        <v>7844</v>
      </c>
      <c r="C3397" s="100">
        <v>46085</v>
      </c>
      <c r="D3397" t="s">
        <v>13</v>
      </c>
      <c r="E3397" t="s">
        <v>290</v>
      </c>
      <c r="F3397" t="s">
        <v>873</v>
      </c>
      <c r="G3397">
        <v>1404</v>
      </c>
      <c r="H3397">
        <v>57000</v>
      </c>
      <c r="I3397">
        <v>80028000</v>
      </c>
      <c r="K3397" t="s">
        <v>128</v>
      </c>
    </row>
    <row r="3398" spans="1:11" hidden="1" x14ac:dyDescent="0.25">
      <c r="A3398" s="210" t="s">
        <v>1552</v>
      </c>
      <c r="B3398">
        <v>7843</v>
      </c>
      <c r="C3398" s="100">
        <v>46085</v>
      </c>
      <c r="D3398" t="s">
        <v>13</v>
      </c>
      <c r="E3398" t="s">
        <v>701</v>
      </c>
      <c r="F3398" t="s">
        <v>62</v>
      </c>
      <c r="G3398">
        <v>1796</v>
      </c>
      <c r="H3398">
        <v>42000</v>
      </c>
      <c r="I3398">
        <v>75432000</v>
      </c>
    </row>
    <row r="3399" spans="1:11" hidden="1" x14ac:dyDescent="0.25">
      <c r="A3399" s="210" t="s">
        <v>1552</v>
      </c>
      <c r="B3399">
        <v>7843</v>
      </c>
      <c r="C3399" s="100">
        <v>46085</v>
      </c>
      <c r="D3399" t="s">
        <v>13</v>
      </c>
      <c r="E3399" t="s">
        <v>17</v>
      </c>
      <c r="F3399" t="s">
        <v>134</v>
      </c>
      <c r="G3399">
        <v>1758</v>
      </c>
      <c r="H3399">
        <v>59000</v>
      </c>
      <c r="I3399">
        <v>103722000</v>
      </c>
    </row>
    <row r="3400" spans="1:11" hidden="1" x14ac:dyDescent="0.25">
      <c r="A3400" s="210" t="s">
        <v>1534</v>
      </c>
      <c r="B3400">
        <v>7842</v>
      </c>
      <c r="C3400" s="100">
        <v>46085</v>
      </c>
      <c r="D3400" t="s">
        <v>13</v>
      </c>
      <c r="E3400" t="s">
        <v>729</v>
      </c>
      <c r="F3400" t="s">
        <v>820</v>
      </c>
      <c r="G3400">
        <v>1233</v>
      </c>
      <c r="H3400">
        <v>26800</v>
      </c>
      <c r="I3400">
        <v>33044400</v>
      </c>
    </row>
    <row r="3401" spans="1:11" hidden="1" x14ac:dyDescent="0.25">
      <c r="A3401" s="210" t="s">
        <v>1534</v>
      </c>
      <c r="B3401">
        <v>7842</v>
      </c>
      <c r="C3401" s="100">
        <v>46085</v>
      </c>
      <c r="D3401" t="s">
        <v>13</v>
      </c>
      <c r="E3401" t="s">
        <v>729</v>
      </c>
      <c r="F3401" t="s">
        <v>799</v>
      </c>
      <c r="G3401">
        <v>1494</v>
      </c>
      <c r="H3401">
        <v>26800</v>
      </c>
      <c r="I3401">
        <v>40039200</v>
      </c>
    </row>
    <row r="3402" spans="1:11" hidden="1" x14ac:dyDescent="0.25">
      <c r="A3402" s="210" t="s">
        <v>1551</v>
      </c>
      <c r="B3402">
        <v>7841</v>
      </c>
      <c r="C3402" s="100">
        <v>46085</v>
      </c>
      <c r="D3402" t="s">
        <v>13</v>
      </c>
      <c r="E3402" t="s">
        <v>43</v>
      </c>
      <c r="F3402" t="s">
        <v>913</v>
      </c>
      <c r="G3402">
        <v>2089</v>
      </c>
      <c r="H3402">
        <v>58000</v>
      </c>
      <c r="I3402">
        <v>121162000</v>
      </c>
    </row>
    <row r="3403" spans="1:11" hidden="1" x14ac:dyDescent="0.25">
      <c r="A3403" s="210" t="s">
        <v>1548</v>
      </c>
      <c r="B3403">
        <v>7840</v>
      </c>
      <c r="C3403" s="100">
        <v>46085</v>
      </c>
      <c r="D3403" t="s">
        <v>13</v>
      </c>
      <c r="E3403" t="s">
        <v>50</v>
      </c>
      <c r="F3403" t="s">
        <v>907</v>
      </c>
      <c r="G3403">
        <v>998</v>
      </c>
      <c r="H3403">
        <v>58000</v>
      </c>
      <c r="I3403">
        <v>57884000</v>
      </c>
    </row>
    <row r="3404" spans="1:11" hidden="1" x14ac:dyDescent="0.25">
      <c r="A3404" s="210" t="s">
        <v>1547</v>
      </c>
      <c r="B3404">
        <v>7839</v>
      </c>
      <c r="C3404" s="100">
        <v>46085</v>
      </c>
      <c r="D3404" t="s">
        <v>13</v>
      </c>
      <c r="E3404" t="s">
        <v>17</v>
      </c>
      <c r="F3404" t="s">
        <v>230</v>
      </c>
      <c r="G3404">
        <v>613</v>
      </c>
      <c r="H3404">
        <v>61000</v>
      </c>
      <c r="I3404">
        <v>37393000</v>
      </c>
    </row>
    <row r="3405" spans="1:11" hidden="1" x14ac:dyDescent="0.25">
      <c r="A3405" s="210" t="s">
        <v>1536</v>
      </c>
      <c r="B3405">
        <v>7838</v>
      </c>
      <c r="C3405" s="100">
        <v>46085</v>
      </c>
      <c r="D3405" t="s">
        <v>13</v>
      </c>
      <c r="E3405" t="s">
        <v>109</v>
      </c>
      <c r="F3405" t="s">
        <v>832</v>
      </c>
      <c r="G3405">
        <v>164</v>
      </c>
      <c r="H3405">
        <v>64000</v>
      </c>
      <c r="I3405">
        <v>10496000</v>
      </c>
    </row>
    <row r="3406" spans="1:11" hidden="1" x14ac:dyDescent="0.25">
      <c r="A3406" s="210" t="s">
        <v>1536</v>
      </c>
      <c r="B3406">
        <v>7838</v>
      </c>
      <c r="C3406" s="100">
        <v>46085</v>
      </c>
      <c r="D3406" t="s">
        <v>13</v>
      </c>
      <c r="E3406" t="s">
        <v>109</v>
      </c>
      <c r="F3406" t="s">
        <v>833</v>
      </c>
      <c r="G3406">
        <v>336</v>
      </c>
      <c r="H3406">
        <v>64000</v>
      </c>
      <c r="I3406">
        <v>21504000</v>
      </c>
    </row>
    <row r="3407" spans="1:11" hidden="1" x14ac:dyDescent="0.25">
      <c r="A3407" s="210" t="s">
        <v>1534</v>
      </c>
      <c r="B3407">
        <v>7837</v>
      </c>
      <c r="C3407" s="100">
        <v>46085</v>
      </c>
      <c r="D3407" t="s">
        <v>13</v>
      </c>
      <c r="E3407" t="s">
        <v>77</v>
      </c>
      <c r="F3407" t="s">
        <v>823</v>
      </c>
      <c r="G3407">
        <v>1130</v>
      </c>
      <c r="H3407">
        <v>30000</v>
      </c>
      <c r="I3407">
        <v>33900000</v>
      </c>
    </row>
    <row r="3408" spans="1:11" hidden="1" x14ac:dyDescent="0.25">
      <c r="A3408" s="210" t="s">
        <v>1534</v>
      </c>
      <c r="B3408">
        <v>7837</v>
      </c>
      <c r="C3408" s="100">
        <v>46085</v>
      </c>
      <c r="D3408" t="s">
        <v>13</v>
      </c>
      <c r="E3408" t="s">
        <v>77</v>
      </c>
      <c r="F3408" t="s">
        <v>824</v>
      </c>
      <c r="G3408">
        <v>1078</v>
      </c>
      <c r="H3408">
        <v>30000</v>
      </c>
      <c r="I3408">
        <v>32340000</v>
      </c>
    </row>
    <row r="3409" spans="1:11" hidden="1" x14ac:dyDescent="0.25">
      <c r="A3409" s="210" t="s">
        <v>1487</v>
      </c>
      <c r="B3409">
        <v>7836</v>
      </c>
      <c r="C3409" s="100">
        <v>46085</v>
      </c>
      <c r="D3409" t="s">
        <v>13</v>
      </c>
      <c r="E3409" t="s">
        <v>26</v>
      </c>
      <c r="F3409" t="s">
        <v>206</v>
      </c>
      <c r="G3409">
        <v>3654</v>
      </c>
      <c r="H3409">
        <v>35500</v>
      </c>
      <c r="I3409">
        <v>129717000</v>
      </c>
    </row>
    <row r="3410" spans="1:11" hidden="1" x14ac:dyDescent="0.25">
      <c r="A3410" s="210" t="s">
        <v>1504</v>
      </c>
      <c r="B3410">
        <v>7835</v>
      </c>
      <c r="C3410" s="100">
        <v>46085</v>
      </c>
      <c r="D3410" t="s">
        <v>13</v>
      </c>
      <c r="E3410" t="s">
        <v>54</v>
      </c>
      <c r="F3410" t="s">
        <v>307</v>
      </c>
      <c r="G3410">
        <v>564</v>
      </c>
      <c r="H3410">
        <v>36000</v>
      </c>
      <c r="I3410">
        <v>20304000</v>
      </c>
    </row>
    <row r="3411" spans="1:11" hidden="1" x14ac:dyDescent="0.25">
      <c r="A3411" s="210" t="s">
        <v>1545</v>
      </c>
      <c r="B3411">
        <v>7834</v>
      </c>
      <c r="C3411" s="100">
        <v>46085</v>
      </c>
      <c r="D3411" t="s">
        <v>13</v>
      </c>
      <c r="E3411" t="s">
        <v>43</v>
      </c>
      <c r="F3411" t="s">
        <v>134</v>
      </c>
      <c r="G3411">
        <v>2482</v>
      </c>
      <c r="H3411">
        <v>57000</v>
      </c>
      <c r="I3411">
        <v>141474000</v>
      </c>
    </row>
    <row r="3412" spans="1:11" hidden="1" x14ac:dyDescent="0.25">
      <c r="A3412" s="210" t="s">
        <v>1545</v>
      </c>
      <c r="B3412">
        <v>7834</v>
      </c>
      <c r="C3412" s="100">
        <v>46085</v>
      </c>
      <c r="D3412" t="s">
        <v>13</v>
      </c>
      <c r="E3412" t="s">
        <v>43</v>
      </c>
      <c r="F3412" t="s">
        <v>146</v>
      </c>
      <c r="G3412">
        <v>2078</v>
      </c>
      <c r="H3412">
        <v>58000</v>
      </c>
      <c r="I3412">
        <v>120524000</v>
      </c>
    </row>
    <row r="3413" spans="1:11" hidden="1" x14ac:dyDescent="0.25">
      <c r="A3413" s="210" t="s">
        <v>1545</v>
      </c>
      <c r="B3413">
        <v>7834</v>
      </c>
      <c r="C3413" s="100">
        <v>46085</v>
      </c>
      <c r="D3413" t="s">
        <v>13</v>
      </c>
      <c r="E3413" t="s">
        <v>43</v>
      </c>
      <c r="F3413" t="s">
        <v>206</v>
      </c>
      <c r="G3413">
        <v>1331</v>
      </c>
      <c r="H3413">
        <v>58000</v>
      </c>
      <c r="I3413">
        <v>77198000</v>
      </c>
    </row>
    <row r="3414" spans="1:11" hidden="1" x14ac:dyDescent="0.25">
      <c r="A3414" s="210" t="s">
        <v>1545</v>
      </c>
      <c r="B3414">
        <v>7834</v>
      </c>
      <c r="C3414" s="100">
        <v>46085</v>
      </c>
      <c r="D3414" t="s">
        <v>13</v>
      </c>
      <c r="E3414" t="s">
        <v>43</v>
      </c>
      <c r="F3414" t="s">
        <v>902</v>
      </c>
      <c r="G3414">
        <v>900</v>
      </c>
      <c r="H3414">
        <v>58000</v>
      </c>
      <c r="I3414">
        <v>52200000</v>
      </c>
    </row>
    <row r="3415" spans="1:11" hidden="1" x14ac:dyDescent="0.25">
      <c r="A3415" s="210" t="s">
        <v>1491</v>
      </c>
      <c r="B3415">
        <v>7833</v>
      </c>
      <c r="C3415" s="100">
        <v>46085</v>
      </c>
      <c r="D3415" t="s">
        <v>13</v>
      </c>
      <c r="E3415" t="s">
        <v>109</v>
      </c>
      <c r="F3415" t="s">
        <v>244</v>
      </c>
      <c r="G3415">
        <v>430</v>
      </c>
      <c r="H3415">
        <v>55000</v>
      </c>
      <c r="I3415">
        <v>23650000</v>
      </c>
    </row>
    <row r="3416" spans="1:11" hidden="1" x14ac:dyDescent="0.25">
      <c r="A3416" s="210" t="s">
        <v>1491</v>
      </c>
      <c r="B3416">
        <v>7833</v>
      </c>
      <c r="C3416" s="100">
        <v>46085</v>
      </c>
      <c r="D3416" t="s">
        <v>13</v>
      </c>
      <c r="E3416" t="s">
        <v>109</v>
      </c>
      <c r="F3416" t="s">
        <v>245</v>
      </c>
      <c r="G3416">
        <v>540</v>
      </c>
      <c r="H3416">
        <v>55000</v>
      </c>
      <c r="I3416">
        <v>29700000</v>
      </c>
    </row>
    <row r="3417" spans="1:11" hidden="1" x14ac:dyDescent="0.25">
      <c r="A3417" s="210" t="s">
        <v>1491</v>
      </c>
      <c r="B3417">
        <v>7833</v>
      </c>
      <c r="C3417" s="100">
        <v>46085</v>
      </c>
      <c r="D3417" t="s">
        <v>13</v>
      </c>
      <c r="E3417" t="s">
        <v>17</v>
      </c>
      <c r="F3417" t="s">
        <v>41</v>
      </c>
      <c r="G3417">
        <v>1327</v>
      </c>
      <c r="H3417">
        <v>58500</v>
      </c>
      <c r="I3417">
        <v>77629500</v>
      </c>
    </row>
    <row r="3418" spans="1:11" hidden="1" x14ac:dyDescent="0.25">
      <c r="A3418" s="210" t="s">
        <v>1544</v>
      </c>
      <c r="B3418">
        <v>7832</v>
      </c>
      <c r="C3418" s="100">
        <v>46085</v>
      </c>
      <c r="D3418" t="s">
        <v>13</v>
      </c>
      <c r="E3418" t="s">
        <v>43</v>
      </c>
      <c r="F3418" t="s">
        <v>899</v>
      </c>
      <c r="G3418">
        <v>2162</v>
      </c>
      <c r="H3418">
        <v>57000</v>
      </c>
      <c r="I3418">
        <v>123234000</v>
      </c>
    </row>
    <row r="3419" spans="1:11" hidden="1" x14ac:dyDescent="0.25">
      <c r="A3419" s="210" t="s">
        <v>1488</v>
      </c>
      <c r="B3419">
        <v>7831</v>
      </c>
      <c r="C3419" s="100">
        <v>46085</v>
      </c>
      <c r="D3419" t="s">
        <v>13</v>
      </c>
      <c r="E3419" t="s">
        <v>17</v>
      </c>
      <c r="F3419" t="s">
        <v>40</v>
      </c>
      <c r="G3419">
        <v>338</v>
      </c>
      <c r="H3419">
        <v>63000</v>
      </c>
      <c r="I3419">
        <v>21294000</v>
      </c>
    </row>
    <row r="3420" spans="1:11" hidden="1" x14ac:dyDescent="0.25">
      <c r="A3420" s="210" t="s">
        <v>1488</v>
      </c>
      <c r="B3420">
        <v>7831</v>
      </c>
      <c r="C3420" s="100">
        <v>46085</v>
      </c>
      <c r="D3420" t="s">
        <v>13</v>
      </c>
      <c r="E3420" t="s">
        <v>32</v>
      </c>
      <c r="F3420" t="s">
        <v>211</v>
      </c>
      <c r="G3420">
        <v>372</v>
      </c>
      <c r="H3420">
        <v>42000</v>
      </c>
      <c r="I3420">
        <v>15624000</v>
      </c>
    </row>
    <row r="3421" spans="1:11" hidden="1" x14ac:dyDescent="0.25">
      <c r="A3421" s="210" t="s">
        <v>1574</v>
      </c>
      <c r="B3421">
        <v>7828</v>
      </c>
      <c r="C3421" s="100">
        <v>46084</v>
      </c>
      <c r="D3421" t="s">
        <v>13</v>
      </c>
      <c r="E3421" t="s">
        <v>894</v>
      </c>
      <c r="F3421" t="s">
        <v>895</v>
      </c>
      <c r="G3421">
        <v>526</v>
      </c>
      <c r="H3421">
        <v>55000</v>
      </c>
      <c r="I3421">
        <v>28930000</v>
      </c>
      <c r="K3421" t="s">
        <v>128</v>
      </c>
    </row>
    <row r="3422" spans="1:11" hidden="1" x14ac:dyDescent="0.25">
      <c r="A3422" s="210" t="s">
        <v>1541</v>
      </c>
      <c r="B3422">
        <v>7827</v>
      </c>
      <c r="C3422" s="100">
        <v>46084</v>
      </c>
      <c r="D3422" t="s">
        <v>13</v>
      </c>
      <c r="E3422" t="s">
        <v>109</v>
      </c>
      <c r="F3422" t="s">
        <v>880</v>
      </c>
      <c r="G3422">
        <v>830</v>
      </c>
      <c r="H3422">
        <v>55000</v>
      </c>
      <c r="I3422">
        <v>45650000</v>
      </c>
      <c r="K3422" t="s">
        <v>128</v>
      </c>
    </row>
    <row r="3423" spans="1:11" hidden="1" x14ac:dyDescent="0.25">
      <c r="A3423" s="210" t="s">
        <v>1541</v>
      </c>
      <c r="B3423">
        <v>7827</v>
      </c>
      <c r="C3423" s="100">
        <v>46084</v>
      </c>
      <c r="D3423" t="s">
        <v>13</v>
      </c>
      <c r="E3423" t="s">
        <v>50</v>
      </c>
      <c r="F3423" t="s">
        <v>122</v>
      </c>
      <c r="G3423">
        <v>660</v>
      </c>
      <c r="H3423">
        <v>55000</v>
      </c>
      <c r="I3423">
        <v>36300000</v>
      </c>
      <c r="K3423" t="s">
        <v>128</v>
      </c>
    </row>
    <row r="3424" spans="1:11" hidden="1" x14ac:dyDescent="0.25">
      <c r="A3424" s="210" t="s">
        <v>1541</v>
      </c>
      <c r="B3424">
        <v>7827</v>
      </c>
      <c r="C3424" s="100">
        <v>46084</v>
      </c>
      <c r="D3424" t="s">
        <v>13</v>
      </c>
      <c r="E3424" t="s">
        <v>150</v>
      </c>
      <c r="F3424" t="s">
        <v>881</v>
      </c>
      <c r="G3424">
        <v>296</v>
      </c>
      <c r="H3424">
        <v>34000</v>
      </c>
      <c r="I3424">
        <v>10064000</v>
      </c>
      <c r="K3424" t="s">
        <v>128</v>
      </c>
    </row>
    <row r="3425" spans="1:9" hidden="1" x14ac:dyDescent="0.25">
      <c r="A3425" s="210" t="s">
        <v>1539</v>
      </c>
      <c r="B3425">
        <v>7826</v>
      </c>
      <c r="C3425" s="100">
        <v>46084</v>
      </c>
      <c r="D3425" t="s">
        <v>13</v>
      </c>
      <c r="E3425" t="s">
        <v>876</v>
      </c>
      <c r="F3425" t="s">
        <v>41</v>
      </c>
      <c r="G3425">
        <v>618</v>
      </c>
      <c r="H3425">
        <v>56000</v>
      </c>
      <c r="I3425">
        <v>34608000</v>
      </c>
    </row>
    <row r="3426" spans="1:9" hidden="1" x14ac:dyDescent="0.25">
      <c r="A3426" s="210" t="s">
        <v>1490</v>
      </c>
      <c r="B3426">
        <v>7825</v>
      </c>
      <c r="C3426" s="100">
        <v>46084</v>
      </c>
      <c r="D3426" t="s">
        <v>13</v>
      </c>
      <c r="E3426" t="s">
        <v>17</v>
      </c>
      <c r="F3426" t="s">
        <v>234</v>
      </c>
      <c r="G3426">
        <v>438</v>
      </c>
      <c r="H3426">
        <v>59000</v>
      </c>
      <c r="I3426">
        <v>25842000</v>
      </c>
    </row>
    <row r="3427" spans="1:9" hidden="1" x14ac:dyDescent="0.25">
      <c r="A3427" s="210" t="s">
        <v>1490</v>
      </c>
      <c r="B3427">
        <v>7825</v>
      </c>
      <c r="C3427" s="100">
        <v>46084</v>
      </c>
      <c r="D3427" t="s">
        <v>13</v>
      </c>
      <c r="E3427" t="s">
        <v>17</v>
      </c>
      <c r="F3427" t="s">
        <v>234</v>
      </c>
      <c r="G3427">
        <v>668</v>
      </c>
      <c r="H3427">
        <v>59000</v>
      </c>
      <c r="I3427">
        <v>39412000</v>
      </c>
    </row>
    <row r="3428" spans="1:9" hidden="1" x14ac:dyDescent="0.25">
      <c r="A3428" s="210" t="s">
        <v>1490</v>
      </c>
      <c r="B3428">
        <v>7825</v>
      </c>
      <c r="C3428" s="100">
        <v>46084</v>
      </c>
      <c r="D3428" t="s">
        <v>13</v>
      </c>
      <c r="E3428" t="s">
        <v>17</v>
      </c>
      <c r="F3428" t="s">
        <v>136</v>
      </c>
      <c r="G3428">
        <v>704</v>
      </c>
      <c r="H3428">
        <v>57500</v>
      </c>
      <c r="I3428">
        <v>40480000</v>
      </c>
    </row>
    <row r="3429" spans="1:9" hidden="1" x14ac:dyDescent="0.25">
      <c r="A3429" s="210" t="s">
        <v>1538</v>
      </c>
      <c r="B3429">
        <v>7824</v>
      </c>
      <c r="C3429" s="100">
        <v>46084</v>
      </c>
      <c r="D3429" t="s">
        <v>13</v>
      </c>
      <c r="E3429" t="s">
        <v>17</v>
      </c>
      <c r="F3429" t="s">
        <v>176</v>
      </c>
      <c r="G3429">
        <v>679</v>
      </c>
      <c r="H3429">
        <v>60000</v>
      </c>
      <c r="I3429">
        <v>40740000</v>
      </c>
    </row>
    <row r="3430" spans="1:9" hidden="1" x14ac:dyDescent="0.25">
      <c r="A3430" s="210" t="s">
        <v>1538</v>
      </c>
      <c r="B3430">
        <v>7824</v>
      </c>
      <c r="C3430" s="100">
        <v>46084</v>
      </c>
      <c r="D3430" t="s">
        <v>13</v>
      </c>
      <c r="E3430" t="s">
        <v>32</v>
      </c>
      <c r="F3430" t="s">
        <v>40</v>
      </c>
      <c r="G3430">
        <v>1576</v>
      </c>
      <c r="H3430">
        <v>40000</v>
      </c>
      <c r="I3430">
        <v>63040000</v>
      </c>
    </row>
    <row r="3431" spans="1:9" hidden="1" x14ac:dyDescent="0.25">
      <c r="A3431" s="210" t="s">
        <v>1505</v>
      </c>
      <c r="B3431">
        <v>7823</v>
      </c>
      <c r="C3431" s="100">
        <v>46084</v>
      </c>
      <c r="D3431" t="s">
        <v>13</v>
      </c>
      <c r="E3431" t="s">
        <v>236</v>
      </c>
      <c r="F3431" t="s">
        <v>133</v>
      </c>
      <c r="G3431">
        <v>1621</v>
      </c>
      <c r="H3431">
        <v>59500</v>
      </c>
      <c r="I3431">
        <v>96449500</v>
      </c>
    </row>
    <row r="3432" spans="1:9" hidden="1" x14ac:dyDescent="0.25">
      <c r="A3432" s="210" t="s">
        <v>1536</v>
      </c>
      <c r="B3432">
        <v>7822</v>
      </c>
      <c r="C3432" s="100">
        <v>46084</v>
      </c>
      <c r="D3432" t="s">
        <v>13</v>
      </c>
      <c r="E3432" t="s">
        <v>103</v>
      </c>
      <c r="F3432" t="s">
        <v>117</v>
      </c>
      <c r="G3432">
        <v>118</v>
      </c>
      <c r="H3432">
        <v>35000</v>
      </c>
      <c r="I3432">
        <v>4130000</v>
      </c>
    </row>
    <row r="3433" spans="1:9" hidden="1" x14ac:dyDescent="0.25">
      <c r="A3433" s="210" t="s">
        <v>1536</v>
      </c>
      <c r="B3433">
        <v>7822</v>
      </c>
      <c r="C3433" s="100">
        <v>46084</v>
      </c>
      <c r="D3433" t="s">
        <v>13</v>
      </c>
      <c r="E3433" t="s">
        <v>103</v>
      </c>
      <c r="F3433" t="s">
        <v>116</v>
      </c>
      <c r="G3433">
        <v>184</v>
      </c>
      <c r="H3433">
        <v>35000</v>
      </c>
      <c r="I3433">
        <v>6440000</v>
      </c>
    </row>
    <row r="3434" spans="1:9" hidden="1" x14ac:dyDescent="0.25">
      <c r="A3434" s="210" t="s">
        <v>1536</v>
      </c>
      <c r="B3434">
        <v>7822</v>
      </c>
      <c r="C3434" s="100">
        <v>46084</v>
      </c>
      <c r="D3434" t="s">
        <v>13</v>
      </c>
      <c r="E3434" t="s">
        <v>109</v>
      </c>
      <c r="F3434" t="s">
        <v>831</v>
      </c>
      <c r="G3434">
        <v>854</v>
      </c>
      <c r="H3434">
        <v>55500</v>
      </c>
      <c r="I3434">
        <v>47397000</v>
      </c>
    </row>
    <row r="3435" spans="1:9" hidden="1" x14ac:dyDescent="0.25">
      <c r="A3435" s="210" t="s">
        <v>1536</v>
      </c>
      <c r="B3435">
        <v>7822</v>
      </c>
      <c r="C3435" s="100">
        <v>46084</v>
      </c>
      <c r="D3435" t="s">
        <v>13</v>
      </c>
      <c r="E3435" t="s">
        <v>109</v>
      </c>
      <c r="F3435" t="s">
        <v>110</v>
      </c>
      <c r="G3435">
        <v>462</v>
      </c>
      <c r="H3435">
        <v>55000</v>
      </c>
      <c r="I3435">
        <v>25410000</v>
      </c>
    </row>
    <row r="3436" spans="1:9" hidden="1" x14ac:dyDescent="0.25">
      <c r="A3436" s="210" t="s">
        <v>1536</v>
      </c>
      <c r="B3436">
        <v>7822</v>
      </c>
      <c r="C3436" s="100">
        <v>46084</v>
      </c>
      <c r="D3436" t="s">
        <v>13</v>
      </c>
      <c r="E3436" t="s">
        <v>103</v>
      </c>
      <c r="F3436" t="s">
        <v>288</v>
      </c>
      <c r="G3436">
        <v>58</v>
      </c>
      <c r="H3436">
        <v>35000</v>
      </c>
      <c r="I3436">
        <v>2030000</v>
      </c>
    </row>
    <row r="3437" spans="1:9" hidden="1" x14ac:dyDescent="0.25">
      <c r="A3437" s="210" t="s">
        <v>1536</v>
      </c>
      <c r="B3437">
        <v>7822</v>
      </c>
      <c r="C3437" s="100">
        <v>46084</v>
      </c>
      <c r="D3437" t="s">
        <v>13</v>
      </c>
      <c r="E3437" t="s">
        <v>103</v>
      </c>
      <c r="F3437" t="s">
        <v>117</v>
      </c>
      <c r="G3437">
        <v>58</v>
      </c>
      <c r="H3437">
        <v>35000</v>
      </c>
      <c r="I3437">
        <v>2030000</v>
      </c>
    </row>
    <row r="3438" spans="1:9" hidden="1" x14ac:dyDescent="0.25">
      <c r="A3438" s="210" t="s">
        <v>1536</v>
      </c>
      <c r="B3438">
        <v>7822</v>
      </c>
      <c r="C3438" s="100">
        <v>46084</v>
      </c>
      <c r="D3438" t="s">
        <v>13</v>
      </c>
      <c r="E3438" t="s">
        <v>43</v>
      </c>
      <c r="F3438" t="s">
        <v>117</v>
      </c>
      <c r="G3438">
        <v>699</v>
      </c>
      <c r="H3438">
        <v>55000</v>
      </c>
      <c r="I3438">
        <v>38445000</v>
      </c>
    </row>
    <row r="3439" spans="1:9" hidden="1" x14ac:dyDescent="0.25">
      <c r="A3439" s="210" t="s">
        <v>1536</v>
      </c>
      <c r="B3439">
        <v>7822</v>
      </c>
      <c r="C3439" s="100">
        <v>46084</v>
      </c>
      <c r="D3439" t="s">
        <v>13</v>
      </c>
      <c r="E3439" t="s">
        <v>43</v>
      </c>
      <c r="F3439" t="s">
        <v>154</v>
      </c>
      <c r="G3439">
        <v>810</v>
      </c>
      <c r="H3439">
        <v>54000</v>
      </c>
      <c r="I3439">
        <v>43740000</v>
      </c>
    </row>
    <row r="3440" spans="1:9" hidden="1" x14ac:dyDescent="0.25">
      <c r="A3440" s="210" t="s">
        <v>1524</v>
      </c>
      <c r="B3440">
        <v>7821</v>
      </c>
      <c r="C3440" s="100">
        <v>46084</v>
      </c>
      <c r="D3440" t="s">
        <v>49</v>
      </c>
      <c r="E3440" t="s">
        <v>301</v>
      </c>
      <c r="F3440" t="s">
        <v>464</v>
      </c>
      <c r="G3440">
        <v>2110</v>
      </c>
      <c r="H3440">
        <v>0</v>
      </c>
      <c r="I3440">
        <v>0</v>
      </c>
    </row>
    <row r="3441" spans="1:11" hidden="1" x14ac:dyDescent="0.25">
      <c r="A3441" s="210" t="s">
        <v>1524</v>
      </c>
      <c r="B3441">
        <v>7821</v>
      </c>
      <c r="C3441" s="100">
        <v>46084</v>
      </c>
      <c r="D3441" t="s">
        <v>49</v>
      </c>
      <c r="E3441" t="s">
        <v>17</v>
      </c>
      <c r="F3441" t="s">
        <v>40</v>
      </c>
      <c r="G3441">
        <v>2001</v>
      </c>
      <c r="H3441">
        <v>0</v>
      </c>
      <c r="I3441">
        <v>0</v>
      </c>
    </row>
    <row r="3442" spans="1:11" hidden="1" x14ac:dyDescent="0.25">
      <c r="A3442" s="210" t="s">
        <v>1478</v>
      </c>
      <c r="B3442">
        <v>7820</v>
      </c>
      <c r="C3442" s="100">
        <v>46084</v>
      </c>
      <c r="D3442" t="s">
        <v>13</v>
      </c>
      <c r="E3442" t="s">
        <v>14</v>
      </c>
      <c r="F3442" t="s">
        <v>133</v>
      </c>
      <c r="G3442">
        <v>1082</v>
      </c>
      <c r="H3442">
        <v>43000</v>
      </c>
      <c r="I3442">
        <v>46526000</v>
      </c>
      <c r="K3442" t="s">
        <v>128</v>
      </c>
    </row>
    <row r="3443" spans="1:11" hidden="1" x14ac:dyDescent="0.25">
      <c r="A3443" s="210" t="s">
        <v>1478</v>
      </c>
      <c r="B3443">
        <v>7820</v>
      </c>
      <c r="C3443" s="100">
        <v>46084</v>
      </c>
      <c r="D3443" t="s">
        <v>13</v>
      </c>
      <c r="E3443" t="s">
        <v>14</v>
      </c>
      <c r="F3443" t="s">
        <v>134</v>
      </c>
      <c r="G3443">
        <v>1210</v>
      </c>
      <c r="H3443">
        <v>40000</v>
      </c>
      <c r="I3443">
        <v>48400000</v>
      </c>
      <c r="K3443" t="s">
        <v>128</v>
      </c>
    </row>
    <row r="3444" spans="1:11" hidden="1" x14ac:dyDescent="0.25">
      <c r="A3444" s="210" t="s">
        <v>1535</v>
      </c>
      <c r="B3444">
        <v>7819</v>
      </c>
      <c r="C3444" s="100">
        <v>46084</v>
      </c>
      <c r="D3444" t="s">
        <v>13</v>
      </c>
      <c r="E3444" t="s">
        <v>43</v>
      </c>
      <c r="F3444" t="s">
        <v>431</v>
      </c>
      <c r="G3444">
        <v>746</v>
      </c>
      <c r="H3444">
        <v>59000</v>
      </c>
      <c r="I3444">
        <v>44014000</v>
      </c>
    </row>
    <row r="3445" spans="1:11" hidden="1" x14ac:dyDescent="0.25">
      <c r="A3445" s="210" t="s">
        <v>1535</v>
      </c>
      <c r="B3445">
        <v>7819</v>
      </c>
      <c r="C3445" s="100">
        <v>46084</v>
      </c>
      <c r="D3445" t="s">
        <v>13</v>
      </c>
      <c r="E3445" t="s">
        <v>17</v>
      </c>
      <c r="F3445" t="s">
        <v>40</v>
      </c>
      <c r="G3445">
        <v>724</v>
      </c>
      <c r="H3445">
        <v>60000</v>
      </c>
      <c r="I3445">
        <v>43440000</v>
      </c>
    </row>
    <row r="3446" spans="1:11" hidden="1" x14ac:dyDescent="0.25">
      <c r="A3446" s="210" t="s">
        <v>1534</v>
      </c>
      <c r="B3446">
        <v>7818</v>
      </c>
      <c r="C3446" s="100">
        <v>46084</v>
      </c>
      <c r="D3446" t="s">
        <v>13</v>
      </c>
      <c r="E3446" t="s">
        <v>26</v>
      </c>
      <c r="F3446" t="s">
        <v>820</v>
      </c>
      <c r="G3446">
        <v>2599</v>
      </c>
      <c r="H3446">
        <v>26800</v>
      </c>
      <c r="I3446">
        <v>69653200</v>
      </c>
    </row>
    <row r="3447" spans="1:11" hidden="1" x14ac:dyDescent="0.25">
      <c r="A3447" s="210" t="s">
        <v>1534</v>
      </c>
      <c r="B3447">
        <v>7818</v>
      </c>
      <c r="C3447" s="100">
        <v>46084</v>
      </c>
      <c r="D3447" t="s">
        <v>13</v>
      </c>
      <c r="E3447" t="s">
        <v>26</v>
      </c>
      <c r="F3447" t="s">
        <v>821</v>
      </c>
      <c r="G3447">
        <v>4813</v>
      </c>
      <c r="H3447">
        <v>26800</v>
      </c>
      <c r="I3447">
        <v>128988400</v>
      </c>
    </row>
    <row r="3448" spans="1:11" hidden="1" x14ac:dyDescent="0.25">
      <c r="A3448" s="210" t="s">
        <v>1534</v>
      </c>
      <c r="B3448">
        <v>7818</v>
      </c>
      <c r="C3448" s="100">
        <v>46084</v>
      </c>
      <c r="D3448" t="s">
        <v>13</v>
      </c>
      <c r="E3448" t="s">
        <v>26</v>
      </c>
      <c r="F3448" t="s">
        <v>822</v>
      </c>
      <c r="G3448">
        <v>1036</v>
      </c>
      <c r="H3448">
        <v>29000</v>
      </c>
      <c r="I3448">
        <v>30044000</v>
      </c>
    </row>
    <row r="3449" spans="1:11" hidden="1" x14ac:dyDescent="0.25">
      <c r="A3449" s="210" t="s">
        <v>1532</v>
      </c>
      <c r="B3449">
        <v>7817</v>
      </c>
      <c r="C3449" s="100">
        <v>46084</v>
      </c>
      <c r="D3449" t="s">
        <v>49</v>
      </c>
      <c r="E3449" t="s">
        <v>729</v>
      </c>
      <c r="F3449" t="s">
        <v>730</v>
      </c>
      <c r="G3449">
        <v>6806</v>
      </c>
      <c r="I3449">
        <v>0</v>
      </c>
    </row>
    <row r="3450" spans="1:11" hidden="1" x14ac:dyDescent="0.25">
      <c r="A3450" s="210" t="s">
        <v>1532</v>
      </c>
      <c r="B3450">
        <v>7817</v>
      </c>
      <c r="C3450" s="100">
        <v>46084</v>
      </c>
      <c r="D3450" t="s">
        <v>49</v>
      </c>
      <c r="E3450" t="s">
        <v>729</v>
      </c>
      <c r="F3450" t="s">
        <v>480</v>
      </c>
      <c r="G3450">
        <v>974</v>
      </c>
      <c r="I3450">
        <v>0</v>
      </c>
    </row>
    <row r="3451" spans="1:11" hidden="1" x14ac:dyDescent="0.25">
      <c r="A3451" s="210" t="s">
        <v>1531</v>
      </c>
      <c r="B3451">
        <v>7816</v>
      </c>
      <c r="C3451" s="100">
        <v>46084</v>
      </c>
      <c r="D3451" t="s">
        <v>13</v>
      </c>
      <c r="E3451" t="s">
        <v>17</v>
      </c>
      <c r="F3451" t="s">
        <v>711</v>
      </c>
      <c r="G3451">
        <v>860</v>
      </c>
      <c r="H3451">
        <v>54000</v>
      </c>
      <c r="I3451">
        <v>46440000</v>
      </c>
      <c r="K3451" t="s">
        <v>128</v>
      </c>
    </row>
    <row r="3452" spans="1:11" hidden="1" x14ac:dyDescent="0.25">
      <c r="A3452" s="210" t="s">
        <v>1530</v>
      </c>
      <c r="B3452">
        <v>7815</v>
      </c>
      <c r="C3452" s="100">
        <v>46084</v>
      </c>
      <c r="D3452" t="s">
        <v>13</v>
      </c>
      <c r="E3452" t="s">
        <v>50</v>
      </c>
      <c r="F3452" t="s">
        <v>2152</v>
      </c>
      <c r="G3452">
        <v>106</v>
      </c>
      <c r="H3452">
        <v>58000</v>
      </c>
      <c r="I3452">
        <v>6148000</v>
      </c>
    </row>
    <row r="3453" spans="1:11" hidden="1" x14ac:dyDescent="0.25">
      <c r="A3453" s="210" t="s">
        <v>1530</v>
      </c>
      <c r="B3453">
        <v>7815</v>
      </c>
      <c r="C3453" s="100">
        <v>46084</v>
      </c>
      <c r="D3453" t="s">
        <v>13</v>
      </c>
      <c r="E3453" t="s">
        <v>50</v>
      </c>
      <c r="F3453" t="s">
        <v>2001</v>
      </c>
      <c r="G3453">
        <v>286</v>
      </c>
      <c r="H3453">
        <v>58000</v>
      </c>
      <c r="I3453">
        <v>16588000</v>
      </c>
    </row>
    <row r="3454" spans="1:11" hidden="1" x14ac:dyDescent="0.25">
      <c r="A3454" s="210" t="s">
        <v>1527</v>
      </c>
      <c r="B3454">
        <v>7814</v>
      </c>
      <c r="C3454" s="100">
        <v>46084</v>
      </c>
      <c r="D3454" t="s">
        <v>13</v>
      </c>
      <c r="E3454" t="s">
        <v>103</v>
      </c>
      <c r="F3454" t="s">
        <v>674</v>
      </c>
      <c r="G3454">
        <v>146</v>
      </c>
      <c r="H3454">
        <v>36000</v>
      </c>
      <c r="I3454">
        <v>5256000</v>
      </c>
    </row>
    <row r="3455" spans="1:11" hidden="1" x14ac:dyDescent="0.25">
      <c r="A3455" s="210" t="s">
        <v>1527</v>
      </c>
      <c r="B3455">
        <v>7814</v>
      </c>
      <c r="C3455" s="100">
        <v>46084</v>
      </c>
      <c r="D3455" t="s">
        <v>13</v>
      </c>
      <c r="E3455" t="s">
        <v>43</v>
      </c>
      <c r="F3455" t="s">
        <v>203</v>
      </c>
      <c r="G3455">
        <v>586</v>
      </c>
      <c r="H3455">
        <v>55000</v>
      </c>
      <c r="I3455">
        <v>32230000</v>
      </c>
    </row>
    <row r="3456" spans="1:11" hidden="1" x14ac:dyDescent="0.25">
      <c r="A3456" s="210" t="s">
        <v>1527</v>
      </c>
      <c r="B3456">
        <v>7814</v>
      </c>
      <c r="C3456" s="100">
        <v>46084</v>
      </c>
      <c r="D3456" t="s">
        <v>13</v>
      </c>
      <c r="E3456" t="s">
        <v>14</v>
      </c>
      <c r="F3456" t="s">
        <v>148</v>
      </c>
      <c r="G3456">
        <v>932</v>
      </c>
      <c r="H3456">
        <v>41000</v>
      </c>
      <c r="I3456">
        <v>38212000</v>
      </c>
    </row>
    <row r="3457" spans="1:11" hidden="1" x14ac:dyDescent="0.25">
      <c r="A3457" s="210" t="s">
        <v>1525</v>
      </c>
      <c r="B3457">
        <v>7813</v>
      </c>
      <c r="C3457" s="100">
        <v>46084</v>
      </c>
      <c r="D3457" t="s">
        <v>13</v>
      </c>
      <c r="E3457" t="s">
        <v>17</v>
      </c>
      <c r="F3457" t="s">
        <v>40</v>
      </c>
      <c r="G3457">
        <v>516</v>
      </c>
      <c r="H3457">
        <v>62000</v>
      </c>
      <c r="I3457">
        <v>31992000</v>
      </c>
    </row>
    <row r="3458" spans="1:11" hidden="1" x14ac:dyDescent="0.25">
      <c r="A3458" s="210" t="s">
        <v>1524</v>
      </c>
      <c r="B3458">
        <v>7812</v>
      </c>
      <c r="C3458" s="100">
        <v>46084</v>
      </c>
      <c r="D3458" t="s">
        <v>49</v>
      </c>
      <c r="E3458" t="s">
        <v>17</v>
      </c>
      <c r="F3458" t="s">
        <v>458</v>
      </c>
      <c r="G3458">
        <v>5790</v>
      </c>
      <c r="H3458">
        <v>0</v>
      </c>
      <c r="I3458">
        <v>0</v>
      </c>
      <c r="K3458" t="s">
        <v>459</v>
      </c>
    </row>
    <row r="3459" spans="1:11" hidden="1" x14ac:dyDescent="0.25">
      <c r="A3459" s="210" t="s">
        <v>1524</v>
      </c>
      <c r="B3459">
        <v>7812</v>
      </c>
      <c r="C3459" s="100">
        <v>46084</v>
      </c>
      <c r="D3459" t="s">
        <v>49</v>
      </c>
      <c r="E3459" t="s">
        <v>26</v>
      </c>
      <c r="F3459" t="s">
        <v>460</v>
      </c>
      <c r="G3459">
        <v>3828</v>
      </c>
      <c r="H3459">
        <v>0</v>
      </c>
      <c r="I3459">
        <v>0</v>
      </c>
      <c r="K3459" t="s">
        <v>461</v>
      </c>
    </row>
    <row r="3460" spans="1:11" hidden="1" x14ac:dyDescent="0.25">
      <c r="A3460" s="210" t="s">
        <v>1524</v>
      </c>
      <c r="B3460">
        <v>7812</v>
      </c>
      <c r="C3460" s="100">
        <v>46084</v>
      </c>
      <c r="D3460" t="s">
        <v>49</v>
      </c>
      <c r="E3460" t="s">
        <v>45</v>
      </c>
      <c r="F3460" t="s">
        <v>462</v>
      </c>
      <c r="G3460">
        <v>958</v>
      </c>
      <c r="H3460">
        <v>0</v>
      </c>
      <c r="I3460">
        <v>0</v>
      </c>
      <c r="K3460" t="s">
        <v>463</v>
      </c>
    </row>
    <row r="3461" spans="1:11" hidden="1" x14ac:dyDescent="0.25">
      <c r="A3461" s="210" t="s">
        <v>1523</v>
      </c>
      <c r="B3461">
        <v>7811</v>
      </c>
      <c r="C3461" s="100">
        <v>46084</v>
      </c>
      <c r="D3461" t="s">
        <v>13</v>
      </c>
      <c r="E3461" t="s">
        <v>150</v>
      </c>
      <c r="F3461" t="s">
        <v>452</v>
      </c>
      <c r="G3461">
        <v>148</v>
      </c>
      <c r="H3461">
        <v>38000</v>
      </c>
      <c r="I3461">
        <v>5624000</v>
      </c>
    </row>
    <row r="3462" spans="1:11" hidden="1" x14ac:dyDescent="0.25">
      <c r="A3462" s="210" t="s">
        <v>1523</v>
      </c>
      <c r="B3462">
        <v>7811</v>
      </c>
      <c r="C3462" s="100">
        <v>46084</v>
      </c>
      <c r="D3462" t="s">
        <v>13</v>
      </c>
      <c r="E3462" t="s">
        <v>453</v>
      </c>
      <c r="F3462" t="s">
        <v>454</v>
      </c>
      <c r="G3462">
        <v>100</v>
      </c>
      <c r="H3462">
        <v>38000</v>
      </c>
      <c r="I3462">
        <v>3800000</v>
      </c>
    </row>
    <row r="3463" spans="1:11" hidden="1" x14ac:dyDescent="0.25">
      <c r="A3463" s="210" t="s">
        <v>1520</v>
      </c>
      <c r="B3463">
        <v>7810</v>
      </c>
      <c r="C3463" s="100">
        <v>46084</v>
      </c>
      <c r="D3463" t="s">
        <v>13</v>
      </c>
      <c r="E3463" t="s">
        <v>43</v>
      </c>
      <c r="F3463" t="s">
        <v>446</v>
      </c>
      <c r="G3463">
        <v>998</v>
      </c>
      <c r="H3463">
        <v>60000</v>
      </c>
      <c r="I3463">
        <v>59880000</v>
      </c>
    </row>
    <row r="3464" spans="1:11" hidden="1" x14ac:dyDescent="0.25">
      <c r="A3464" s="210" t="s">
        <v>1705</v>
      </c>
      <c r="B3464">
        <v>7810</v>
      </c>
      <c r="C3464" s="100">
        <v>46119</v>
      </c>
      <c r="D3464" t="s">
        <v>692</v>
      </c>
      <c r="E3464" t="s">
        <v>1435</v>
      </c>
      <c r="F3464" t="s">
        <v>1438</v>
      </c>
      <c r="G3464">
        <v>186</v>
      </c>
      <c r="H3464">
        <v>-117000</v>
      </c>
      <c r="I3464">
        <v>-21762000</v>
      </c>
    </row>
    <row r="3465" spans="1:11" hidden="1" x14ac:dyDescent="0.25">
      <c r="A3465" s="210" t="s">
        <v>1518</v>
      </c>
      <c r="B3465">
        <v>7809</v>
      </c>
      <c r="C3465" s="100">
        <v>46084</v>
      </c>
      <c r="D3465" t="s">
        <v>13</v>
      </c>
      <c r="E3465" t="s">
        <v>103</v>
      </c>
      <c r="F3465" t="s">
        <v>134</v>
      </c>
      <c r="G3465">
        <v>528</v>
      </c>
      <c r="H3465">
        <v>36000</v>
      </c>
      <c r="I3465">
        <v>19008000</v>
      </c>
    </row>
    <row r="3466" spans="1:11" hidden="1" x14ac:dyDescent="0.25">
      <c r="A3466" s="210" t="s">
        <v>1518</v>
      </c>
      <c r="B3466">
        <v>7809</v>
      </c>
      <c r="C3466" s="100">
        <v>46084</v>
      </c>
      <c r="D3466" t="s">
        <v>13</v>
      </c>
      <c r="E3466" t="s">
        <v>103</v>
      </c>
      <c r="F3466" t="s">
        <v>437</v>
      </c>
      <c r="G3466">
        <v>234</v>
      </c>
      <c r="H3466">
        <v>36000</v>
      </c>
      <c r="I3466">
        <v>8424000</v>
      </c>
    </row>
    <row r="3467" spans="1:11" hidden="1" x14ac:dyDescent="0.25">
      <c r="A3467" s="210" t="s">
        <v>1518</v>
      </c>
      <c r="B3467">
        <v>7809</v>
      </c>
      <c r="C3467" s="100">
        <v>46084</v>
      </c>
      <c r="D3467" t="s">
        <v>13</v>
      </c>
      <c r="E3467" t="s">
        <v>180</v>
      </c>
      <c r="F3467" t="s">
        <v>438</v>
      </c>
      <c r="G3467">
        <v>720</v>
      </c>
      <c r="H3467">
        <v>54000</v>
      </c>
      <c r="I3467">
        <v>38880000</v>
      </c>
    </row>
    <row r="3468" spans="1:11" hidden="1" x14ac:dyDescent="0.25">
      <c r="A3468" s="210" t="s">
        <v>1518</v>
      </c>
      <c r="B3468">
        <v>7809</v>
      </c>
      <c r="C3468" s="100">
        <v>46084</v>
      </c>
      <c r="D3468" t="s">
        <v>13</v>
      </c>
      <c r="E3468" t="s">
        <v>180</v>
      </c>
      <c r="F3468" t="s">
        <v>439</v>
      </c>
      <c r="G3468">
        <v>495</v>
      </c>
      <c r="H3468">
        <v>54000</v>
      </c>
      <c r="I3468">
        <v>26730000</v>
      </c>
    </row>
    <row r="3469" spans="1:11" hidden="1" x14ac:dyDescent="0.25">
      <c r="A3469" s="210" t="s">
        <v>1518</v>
      </c>
      <c r="B3469">
        <v>7809</v>
      </c>
      <c r="C3469" s="100">
        <v>46084</v>
      </c>
      <c r="D3469" t="s">
        <v>84</v>
      </c>
      <c r="E3469" t="s">
        <v>84</v>
      </c>
      <c r="F3469" t="s">
        <v>84</v>
      </c>
      <c r="G3469">
        <v>1215</v>
      </c>
      <c r="H3469">
        <v>1500</v>
      </c>
      <c r="I3469">
        <v>1822500</v>
      </c>
    </row>
    <row r="3470" spans="1:11" hidden="1" x14ac:dyDescent="0.25">
      <c r="A3470" s="210" t="s">
        <v>1526</v>
      </c>
      <c r="B3470">
        <v>7808</v>
      </c>
      <c r="C3470" s="100">
        <v>46084</v>
      </c>
      <c r="D3470" t="s">
        <v>13</v>
      </c>
      <c r="E3470" t="s">
        <v>17</v>
      </c>
      <c r="F3470" t="s">
        <v>62</v>
      </c>
      <c r="G3470">
        <v>708</v>
      </c>
      <c r="H3470">
        <v>59000</v>
      </c>
      <c r="I3470">
        <v>41772000</v>
      </c>
    </row>
    <row r="3471" spans="1:11" hidden="1" x14ac:dyDescent="0.25">
      <c r="A3471" s="210" t="s">
        <v>1526</v>
      </c>
      <c r="B3471">
        <v>7808</v>
      </c>
      <c r="C3471" s="100">
        <v>46084</v>
      </c>
      <c r="D3471" t="s">
        <v>13</v>
      </c>
      <c r="E3471" t="s">
        <v>43</v>
      </c>
      <c r="F3471" t="s">
        <v>136</v>
      </c>
      <c r="G3471">
        <v>510</v>
      </c>
      <c r="H3471">
        <v>56000</v>
      </c>
      <c r="I3471">
        <v>28560000</v>
      </c>
    </row>
    <row r="3472" spans="1:11" hidden="1" x14ac:dyDescent="0.25">
      <c r="A3472" s="210" t="s">
        <v>1526</v>
      </c>
      <c r="B3472">
        <v>7808</v>
      </c>
      <c r="C3472" s="100">
        <v>46084</v>
      </c>
      <c r="D3472" t="s">
        <v>13</v>
      </c>
      <c r="E3472" t="s">
        <v>43</v>
      </c>
      <c r="F3472" t="s">
        <v>256</v>
      </c>
      <c r="G3472">
        <v>345</v>
      </c>
      <c r="H3472">
        <v>56000</v>
      </c>
      <c r="I3472">
        <v>19320000</v>
      </c>
    </row>
    <row r="3473" spans="1:11" hidden="1" x14ac:dyDescent="0.25">
      <c r="A3473" s="210" t="s">
        <v>1526</v>
      </c>
      <c r="B3473">
        <v>7808</v>
      </c>
      <c r="C3473" s="100">
        <v>46084</v>
      </c>
      <c r="D3473" t="s">
        <v>13</v>
      </c>
      <c r="E3473" t="s">
        <v>43</v>
      </c>
      <c r="F3473" t="s">
        <v>431</v>
      </c>
      <c r="G3473">
        <v>484</v>
      </c>
      <c r="H3473">
        <v>57000</v>
      </c>
      <c r="I3473">
        <v>27588000</v>
      </c>
    </row>
    <row r="3474" spans="1:11" hidden="1" x14ac:dyDescent="0.25">
      <c r="A3474" s="210" t="s">
        <v>1526</v>
      </c>
      <c r="B3474">
        <v>7808</v>
      </c>
      <c r="C3474" s="100">
        <v>46084</v>
      </c>
      <c r="D3474" t="s">
        <v>13</v>
      </c>
      <c r="E3474" t="s">
        <v>43</v>
      </c>
      <c r="F3474" t="s">
        <v>62</v>
      </c>
      <c r="G3474">
        <v>502</v>
      </c>
      <c r="H3474">
        <v>57000</v>
      </c>
      <c r="I3474">
        <v>28614000</v>
      </c>
    </row>
    <row r="3475" spans="1:11" hidden="1" x14ac:dyDescent="0.25">
      <c r="A3475" s="210" t="s">
        <v>1526</v>
      </c>
      <c r="B3475">
        <v>7808</v>
      </c>
      <c r="C3475" s="100">
        <v>46084</v>
      </c>
      <c r="D3475" t="s">
        <v>13</v>
      </c>
      <c r="E3475" t="s">
        <v>14</v>
      </c>
      <c r="F3475" t="s">
        <v>146</v>
      </c>
      <c r="G3475">
        <v>424</v>
      </c>
      <c r="H3475">
        <v>40000</v>
      </c>
      <c r="I3475">
        <v>16960000</v>
      </c>
    </row>
    <row r="3476" spans="1:11" hidden="1" x14ac:dyDescent="0.25">
      <c r="A3476" s="210" t="s">
        <v>1515</v>
      </c>
      <c r="B3476">
        <v>7807</v>
      </c>
      <c r="C3476" s="100">
        <v>46084</v>
      </c>
      <c r="D3476" t="s">
        <v>13</v>
      </c>
      <c r="E3476" t="s">
        <v>26</v>
      </c>
      <c r="F3476" t="s">
        <v>78</v>
      </c>
      <c r="G3476">
        <v>1617</v>
      </c>
      <c r="H3476">
        <v>34500</v>
      </c>
      <c r="I3476">
        <v>55786500</v>
      </c>
      <c r="K3476" t="s">
        <v>428</v>
      </c>
    </row>
    <row r="3477" spans="1:11" hidden="1" x14ac:dyDescent="0.25">
      <c r="A3477" s="210" t="s">
        <v>1512</v>
      </c>
      <c r="B3477">
        <v>7806</v>
      </c>
      <c r="C3477" s="100">
        <v>46084</v>
      </c>
      <c r="D3477" t="s">
        <v>13</v>
      </c>
      <c r="E3477" t="s">
        <v>135</v>
      </c>
      <c r="F3477" t="s">
        <v>41</v>
      </c>
      <c r="G3477">
        <v>4100</v>
      </c>
      <c r="H3477">
        <v>35000</v>
      </c>
      <c r="I3477">
        <v>143500000</v>
      </c>
      <c r="K3477" t="s">
        <v>413</v>
      </c>
    </row>
    <row r="3478" spans="1:11" hidden="1" x14ac:dyDescent="0.25">
      <c r="A3478" s="210" t="s">
        <v>1512</v>
      </c>
      <c r="B3478">
        <v>7806</v>
      </c>
      <c r="C3478" s="100">
        <v>46084</v>
      </c>
      <c r="D3478" t="s">
        <v>13</v>
      </c>
      <c r="E3478" t="s">
        <v>17</v>
      </c>
      <c r="F3478" t="s">
        <v>176</v>
      </c>
      <c r="G3478">
        <v>2247</v>
      </c>
      <c r="H3478">
        <v>59000</v>
      </c>
      <c r="I3478">
        <v>132573000</v>
      </c>
    </row>
    <row r="3479" spans="1:11" hidden="1" x14ac:dyDescent="0.25">
      <c r="A3479" s="210" t="s">
        <v>1512</v>
      </c>
      <c r="B3479">
        <v>7806</v>
      </c>
      <c r="C3479" s="100">
        <v>46084</v>
      </c>
      <c r="D3479" t="s">
        <v>13</v>
      </c>
      <c r="E3479" t="s">
        <v>17</v>
      </c>
      <c r="F3479" t="s">
        <v>78</v>
      </c>
      <c r="G3479">
        <v>899</v>
      </c>
      <c r="H3479">
        <v>59500</v>
      </c>
      <c r="I3479">
        <v>53490500</v>
      </c>
    </row>
    <row r="3480" spans="1:11" hidden="1" x14ac:dyDescent="0.25">
      <c r="A3480" s="210" t="s">
        <v>1511</v>
      </c>
      <c r="B3480">
        <v>7805</v>
      </c>
      <c r="C3480" s="100">
        <v>46084</v>
      </c>
      <c r="D3480" t="s">
        <v>13</v>
      </c>
      <c r="E3480" t="s">
        <v>170</v>
      </c>
      <c r="F3480" t="s">
        <v>376</v>
      </c>
      <c r="G3480">
        <v>140</v>
      </c>
      <c r="H3480">
        <v>65000</v>
      </c>
      <c r="I3480">
        <v>9100000</v>
      </c>
      <c r="J3480">
        <v>9100000</v>
      </c>
      <c r="K3480" t="s">
        <v>377</v>
      </c>
    </row>
    <row r="3481" spans="1:11" hidden="1" x14ac:dyDescent="0.25">
      <c r="A3481" s="210" t="s">
        <v>1511</v>
      </c>
      <c r="B3481">
        <v>7805</v>
      </c>
      <c r="C3481" s="100">
        <v>46084</v>
      </c>
      <c r="D3481" t="s">
        <v>13</v>
      </c>
      <c r="E3481" t="s">
        <v>170</v>
      </c>
      <c r="F3481" t="s">
        <v>378</v>
      </c>
      <c r="G3481">
        <v>172</v>
      </c>
      <c r="H3481">
        <v>65000</v>
      </c>
      <c r="I3481">
        <v>11180000</v>
      </c>
      <c r="J3481">
        <v>11180000</v>
      </c>
    </row>
    <row r="3482" spans="1:11" hidden="1" x14ac:dyDescent="0.25">
      <c r="A3482" s="210" t="s">
        <v>1511</v>
      </c>
      <c r="B3482">
        <v>7805</v>
      </c>
      <c r="C3482" s="100">
        <v>46084</v>
      </c>
      <c r="D3482" t="s">
        <v>13</v>
      </c>
      <c r="E3482" t="s">
        <v>170</v>
      </c>
      <c r="F3482" t="s">
        <v>379</v>
      </c>
      <c r="G3482">
        <v>90</v>
      </c>
      <c r="H3482">
        <v>65000</v>
      </c>
      <c r="I3482">
        <v>5850000</v>
      </c>
      <c r="J3482">
        <v>5850000</v>
      </c>
    </row>
    <row r="3483" spans="1:11" hidden="1" x14ac:dyDescent="0.25">
      <c r="A3483" s="210" t="s">
        <v>1509</v>
      </c>
      <c r="B3483">
        <v>7804</v>
      </c>
      <c r="C3483" s="100">
        <v>46084</v>
      </c>
      <c r="D3483" t="s">
        <v>13</v>
      </c>
      <c r="E3483" t="s">
        <v>43</v>
      </c>
      <c r="F3483" t="s">
        <v>134</v>
      </c>
      <c r="G3483">
        <v>790</v>
      </c>
      <c r="H3483">
        <v>56000</v>
      </c>
      <c r="I3483">
        <v>44240000</v>
      </c>
    </row>
    <row r="3484" spans="1:11" hidden="1" x14ac:dyDescent="0.25">
      <c r="A3484" s="210" t="s">
        <v>1507</v>
      </c>
      <c r="B3484">
        <v>7803</v>
      </c>
      <c r="C3484" s="100">
        <v>46084</v>
      </c>
      <c r="D3484" t="s">
        <v>13</v>
      </c>
      <c r="E3484" t="s">
        <v>192</v>
      </c>
      <c r="F3484" t="s">
        <v>366</v>
      </c>
      <c r="G3484">
        <v>958</v>
      </c>
      <c r="H3484">
        <v>34000</v>
      </c>
      <c r="I3484">
        <v>32572000</v>
      </c>
    </row>
    <row r="3485" spans="1:11" hidden="1" x14ac:dyDescent="0.25">
      <c r="A3485" s="210" t="s">
        <v>1506</v>
      </c>
      <c r="B3485">
        <v>7801</v>
      </c>
      <c r="C3485" s="100">
        <v>46084</v>
      </c>
      <c r="D3485" t="s">
        <v>13</v>
      </c>
      <c r="E3485" t="s">
        <v>109</v>
      </c>
      <c r="F3485" t="s">
        <v>350</v>
      </c>
      <c r="G3485">
        <v>1712</v>
      </c>
      <c r="H3485">
        <v>56000</v>
      </c>
      <c r="I3485">
        <v>95872000</v>
      </c>
    </row>
    <row r="3486" spans="1:11" hidden="1" x14ac:dyDescent="0.25">
      <c r="A3486" s="210" t="s">
        <v>1506</v>
      </c>
      <c r="B3486">
        <v>7801</v>
      </c>
      <c r="C3486" s="100">
        <v>46084</v>
      </c>
      <c r="D3486" t="s">
        <v>13</v>
      </c>
      <c r="E3486" t="s">
        <v>351</v>
      </c>
      <c r="F3486" t="s">
        <v>352</v>
      </c>
      <c r="G3486">
        <v>2328</v>
      </c>
      <c r="H3486">
        <v>56000</v>
      </c>
      <c r="I3486">
        <v>130368000</v>
      </c>
    </row>
    <row r="3487" spans="1:11" hidden="1" x14ac:dyDescent="0.25">
      <c r="A3487" s="210" t="s">
        <v>1506</v>
      </c>
      <c r="B3487">
        <v>7801</v>
      </c>
      <c r="C3487" s="100">
        <v>46084</v>
      </c>
      <c r="D3487" t="s">
        <v>13</v>
      </c>
      <c r="E3487" t="s">
        <v>353</v>
      </c>
      <c r="F3487" t="s">
        <v>354</v>
      </c>
      <c r="G3487">
        <v>1800</v>
      </c>
      <c r="H3487">
        <v>56000</v>
      </c>
      <c r="I3487">
        <v>100800000</v>
      </c>
    </row>
    <row r="3488" spans="1:11" hidden="1" x14ac:dyDescent="0.25">
      <c r="A3488" s="210" t="s">
        <v>1506</v>
      </c>
      <c r="B3488">
        <v>7801</v>
      </c>
      <c r="C3488" s="100">
        <v>46084</v>
      </c>
      <c r="D3488" t="s">
        <v>13</v>
      </c>
      <c r="E3488" t="s">
        <v>355</v>
      </c>
      <c r="F3488" t="s">
        <v>356</v>
      </c>
      <c r="G3488">
        <v>1289</v>
      </c>
      <c r="H3488">
        <v>56000</v>
      </c>
      <c r="I3488">
        <v>72184000</v>
      </c>
    </row>
    <row r="3489" spans="1:11" hidden="1" x14ac:dyDescent="0.25">
      <c r="A3489" s="210" t="s">
        <v>1506</v>
      </c>
      <c r="B3489">
        <v>7801</v>
      </c>
      <c r="C3489" s="100">
        <v>46084</v>
      </c>
      <c r="D3489" t="s">
        <v>13</v>
      </c>
      <c r="E3489" t="s">
        <v>357</v>
      </c>
      <c r="F3489" t="s">
        <v>358</v>
      </c>
      <c r="G3489">
        <v>580</v>
      </c>
      <c r="H3489">
        <v>56000</v>
      </c>
      <c r="I3489">
        <v>32480000</v>
      </c>
    </row>
    <row r="3490" spans="1:11" hidden="1" x14ac:dyDescent="0.25">
      <c r="A3490" s="210" t="s">
        <v>1506</v>
      </c>
      <c r="B3490">
        <v>7801</v>
      </c>
      <c r="C3490" s="100">
        <v>46084</v>
      </c>
      <c r="D3490" t="s">
        <v>13</v>
      </c>
      <c r="E3490" t="s">
        <v>359</v>
      </c>
      <c r="F3490" t="s">
        <v>360</v>
      </c>
      <c r="G3490">
        <v>718</v>
      </c>
      <c r="H3490">
        <v>56000</v>
      </c>
      <c r="I3490">
        <v>40208000</v>
      </c>
    </row>
    <row r="3491" spans="1:11" hidden="1" x14ac:dyDescent="0.25">
      <c r="A3491" s="210" t="s">
        <v>1506</v>
      </c>
      <c r="B3491">
        <v>7801</v>
      </c>
      <c r="C3491" s="100">
        <v>46084</v>
      </c>
      <c r="D3491" t="s">
        <v>13</v>
      </c>
      <c r="E3491" t="s">
        <v>361</v>
      </c>
      <c r="F3491" t="s">
        <v>362</v>
      </c>
      <c r="G3491">
        <v>66.5</v>
      </c>
      <c r="H3491">
        <v>120000</v>
      </c>
      <c r="I3491">
        <v>7980000</v>
      </c>
    </row>
    <row r="3492" spans="1:11" hidden="1" x14ac:dyDescent="0.25">
      <c r="A3492" s="210" t="s">
        <v>1505</v>
      </c>
      <c r="B3492">
        <v>7800</v>
      </c>
      <c r="C3492" s="100">
        <v>46084</v>
      </c>
      <c r="D3492" t="s">
        <v>13</v>
      </c>
      <c r="E3492" t="s">
        <v>50</v>
      </c>
      <c r="F3492" t="s">
        <v>154</v>
      </c>
      <c r="G3492">
        <v>1170</v>
      </c>
      <c r="H3492">
        <v>56000</v>
      </c>
      <c r="I3492">
        <v>65520000</v>
      </c>
    </row>
    <row r="3493" spans="1:11" hidden="1" x14ac:dyDescent="0.25">
      <c r="A3493" s="210" t="s">
        <v>1504</v>
      </c>
      <c r="B3493">
        <v>7799</v>
      </c>
      <c r="C3493" s="100">
        <v>46084</v>
      </c>
      <c r="D3493" t="s">
        <v>13</v>
      </c>
      <c r="E3493" t="s">
        <v>305</v>
      </c>
      <c r="F3493" t="s">
        <v>306</v>
      </c>
      <c r="G3493">
        <v>158</v>
      </c>
      <c r="H3493">
        <v>40000</v>
      </c>
      <c r="I3493">
        <v>6320000</v>
      </c>
    </row>
    <row r="3494" spans="1:11" hidden="1" x14ac:dyDescent="0.25">
      <c r="A3494" s="210" t="s">
        <v>1476</v>
      </c>
      <c r="B3494">
        <v>7798</v>
      </c>
      <c r="C3494" s="100">
        <v>46084</v>
      </c>
      <c r="D3494" t="s">
        <v>49</v>
      </c>
      <c r="E3494" t="s">
        <v>50</v>
      </c>
      <c r="F3494" t="s">
        <v>53</v>
      </c>
      <c r="G3494">
        <v>774</v>
      </c>
      <c r="I3494">
        <v>0</v>
      </c>
    </row>
    <row r="3495" spans="1:11" hidden="1" x14ac:dyDescent="0.25">
      <c r="A3495" s="210" t="s">
        <v>1502</v>
      </c>
      <c r="B3495">
        <v>7797</v>
      </c>
      <c r="C3495" s="100">
        <v>46084</v>
      </c>
      <c r="D3495" t="s">
        <v>13</v>
      </c>
      <c r="E3495" t="s">
        <v>50</v>
      </c>
      <c r="F3495" t="s">
        <v>295</v>
      </c>
      <c r="G3495">
        <v>1982</v>
      </c>
      <c r="H3495">
        <v>54000</v>
      </c>
      <c r="I3495">
        <v>107028000</v>
      </c>
    </row>
    <row r="3496" spans="1:11" hidden="1" x14ac:dyDescent="0.25">
      <c r="A3496" s="210" t="s">
        <v>1499</v>
      </c>
      <c r="B3496">
        <v>7796</v>
      </c>
      <c r="C3496" s="100">
        <v>46083</v>
      </c>
      <c r="D3496" t="s">
        <v>13</v>
      </c>
      <c r="E3496" t="s">
        <v>170</v>
      </c>
      <c r="F3496" t="s">
        <v>292</v>
      </c>
      <c r="G3496">
        <v>996</v>
      </c>
      <c r="H3496">
        <v>60000</v>
      </c>
      <c r="I3496">
        <v>59760000</v>
      </c>
    </row>
    <row r="3497" spans="1:11" hidden="1" x14ac:dyDescent="0.25">
      <c r="A3497" s="210" t="s">
        <v>1496</v>
      </c>
      <c r="B3497">
        <v>7795</v>
      </c>
      <c r="C3497" s="100">
        <v>46083</v>
      </c>
      <c r="D3497" t="s">
        <v>13</v>
      </c>
      <c r="E3497" t="s">
        <v>17</v>
      </c>
      <c r="F3497" t="s">
        <v>40</v>
      </c>
      <c r="G3497">
        <v>462</v>
      </c>
      <c r="H3497">
        <v>62000</v>
      </c>
      <c r="I3497">
        <v>28644000</v>
      </c>
    </row>
    <row r="3498" spans="1:11" hidden="1" x14ac:dyDescent="0.25">
      <c r="A3498" s="210" t="s">
        <v>1496</v>
      </c>
      <c r="B3498">
        <v>7795</v>
      </c>
      <c r="C3498" s="100">
        <v>46083</v>
      </c>
      <c r="D3498" t="s">
        <v>13</v>
      </c>
      <c r="E3498" t="s">
        <v>26</v>
      </c>
      <c r="F3498" t="s">
        <v>25</v>
      </c>
      <c r="G3498">
        <v>508</v>
      </c>
      <c r="H3498">
        <v>34000</v>
      </c>
      <c r="I3498">
        <v>17272000</v>
      </c>
    </row>
    <row r="3499" spans="1:11" hidden="1" x14ac:dyDescent="0.25">
      <c r="A3499" s="210" t="s">
        <v>1494</v>
      </c>
      <c r="B3499">
        <v>7794</v>
      </c>
      <c r="C3499" s="100">
        <v>46083</v>
      </c>
      <c r="D3499" t="s">
        <v>13</v>
      </c>
      <c r="E3499" t="s">
        <v>43</v>
      </c>
      <c r="F3499" t="s">
        <v>282</v>
      </c>
      <c r="G3499">
        <v>1282</v>
      </c>
      <c r="H3499">
        <v>55000</v>
      </c>
      <c r="I3499">
        <v>70510000</v>
      </c>
    </row>
    <row r="3500" spans="1:11" hidden="1" x14ac:dyDescent="0.25">
      <c r="A3500" s="210" t="s">
        <v>1494</v>
      </c>
      <c r="B3500">
        <v>7794</v>
      </c>
      <c r="C3500" s="100">
        <v>46083</v>
      </c>
      <c r="D3500" t="s">
        <v>13</v>
      </c>
      <c r="E3500" t="s">
        <v>43</v>
      </c>
      <c r="F3500" t="s">
        <v>283</v>
      </c>
      <c r="G3500">
        <v>809</v>
      </c>
      <c r="H3500">
        <v>54000</v>
      </c>
      <c r="I3500">
        <v>43686000</v>
      </c>
    </row>
    <row r="3501" spans="1:11" hidden="1" x14ac:dyDescent="0.25">
      <c r="A3501" s="210" t="s">
        <v>1489</v>
      </c>
      <c r="B3501">
        <v>7793</v>
      </c>
      <c r="C3501" s="100">
        <v>46083</v>
      </c>
      <c r="D3501" t="s">
        <v>13</v>
      </c>
      <c r="E3501" t="s">
        <v>217</v>
      </c>
      <c r="F3501" t="s">
        <v>218</v>
      </c>
      <c r="G3501">
        <v>74</v>
      </c>
      <c r="H3501">
        <v>62000</v>
      </c>
      <c r="I3501">
        <v>4588000</v>
      </c>
      <c r="K3501" t="s">
        <v>128</v>
      </c>
    </row>
    <row r="3502" spans="1:11" hidden="1" x14ac:dyDescent="0.25">
      <c r="A3502" s="210" t="s">
        <v>1493</v>
      </c>
      <c r="B3502">
        <v>7792</v>
      </c>
      <c r="C3502" s="100">
        <v>46083</v>
      </c>
      <c r="D3502" t="s">
        <v>13</v>
      </c>
      <c r="E3502" t="s">
        <v>265</v>
      </c>
      <c r="F3502" t="s">
        <v>266</v>
      </c>
      <c r="G3502">
        <v>2412</v>
      </c>
      <c r="H3502">
        <v>61000</v>
      </c>
      <c r="I3502">
        <v>147132000</v>
      </c>
    </row>
    <row r="3503" spans="1:11" hidden="1" x14ac:dyDescent="0.25">
      <c r="A3503" s="210" t="s">
        <v>1493</v>
      </c>
      <c r="B3503">
        <v>7792</v>
      </c>
      <c r="C3503" s="100">
        <v>46083</v>
      </c>
      <c r="D3503" t="s">
        <v>13</v>
      </c>
      <c r="E3503" t="s">
        <v>265</v>
      </c>
      <c r="F3503" t="s">
        <v>267</v>
      </c>
      <c r="G3503">
        <v>1218</v>
      </c>
      <c r="H3503">
        <v>60000</v>
      </c>
      <c r="I3503">
        <v>73080000</v>
      </c>
    </row>
    <row r="3504" spans="1:11" hidden="1" x14ac:dyDescent="0.25">
      <c r="A3504" s="210" t="s">
        <v>1493</v>
      </c>
      <c r="B3504">
        <v>7792</v>
      </c>
      <c r="C3504" s="100">
        <v>46083</v>
      </c>
      <c r="D3504" t="s">
        <v>13</v>
      </c>
      <c r="E3504" t="s">
        <v>43</v>
      </c>
      <c r="F3504" t="s">
        <v>44</v>
      </c>
      <c r="G3504">
        <v>654</v>
      </c>
      <c r="H3504">
        <v>55000</v>
      </c>
      <c r="I3504">
        <v>35970000</v>
      </c>
    </row>
    <row r="3505" spans="1:11" hidden="1" x14ac:dyDescent="0.25">
      <c r="A3505" s="210" t="s">
        <v>1493</v>
      </c>
      <c r="B3505">
        <v>7792</v>
      </c>
      <c r="C3505" s="100">
        <v>46083</v>
      </c>
      <c r="D3505" t="s">
        <v>13</v>
      </c>
      <c r="E3505" t="s">
        <v>26</v>
      </c>
      <c r="F3505" t="s">
        <v>62</v>
      </c>
      <c r="G3505">
        <v>850</v>
      </c>
      <c r="H3505">
        <v>33000</v>
      </c>
      <c r="I3505">
        <v>28050000</v>
      </c>
    </row>
    <row r="3506" spans="1:11" hidden="1" x14ac:dyDescent="0.25">
      <c r="A3506" s="210" t="s">
        <v>1491</v>
      </c>
      <c r="B3506">
        <v>7791</v>
      </c>
      <c r="C3506" s="100">
        <v>46083</v>
      </c>
      <c r="D3506" t="s">
        <v>13</v>
      </c>
      <c r="E3506" t="s">
        <v>43</v>
      </c>
      <c r="F3506" t="s">
        <v>136</v>
      </c>
      <c r="G3506">
        <v>795</v>
      </c>
      <c r="H3506">
        <v>56000</v>
      </c>
      <c r="I3506">
        <v>44520000</v>
      </c>
    </row>
    <row r="3507" spans="1:11" hidden="1" x14ac:dyDescent="0.25">
      <c r="A3507" s="210" t="s">
        <v>1491</v>
      </c>
      <c r="B3507">
        <v>7791</v>
      </c>
      <c r="C3507" s="100">
        <v>46083</v>
      </c>
      <c r="D3507" t="s">
        <v>13</v>
      </c>
      <c r="E3507" t="s">
        <v>26</v>
      </c>
      <c r="F3507" t="s">
        <v>469</v>
      </c>
      <c r="G3507">
        <v>1237</v>
      </c>
      <c r="H3507">
        <v>34000</v>
      </c>
      <c r="I3507">
        <v>42058000</v>
      </c>
    </row>
    <row r="3508" spans="1:11" hidden="1" x14ac:dyDescent="0.25">
      <c r="A3508" s="210" t="s">
        <v>1485</v>
      </c>
      <c r="B3508">
        <v>7790</v>
      </c>
      <c r="C3508" s="100">
        <v>46083</v>
      </c>
      <c r="D3508" t="s">
        <v>13</v>
      </c>
      <c r="E3508" t="s">
        <v>43</v>
      </c>
      <c r="F3508" t="s">
        <v>189</v>
      </c>
      <c r="G3508">
        <v>4316</v>
      </c>
      <c r="H3508">
        <v>54000</v>
      </c>
      <c r="I3508">
        <v>233064000</v>
      </c>
    </row>
    <row r="3509" spans="1:11" hidden="1" x14ac:dyDescent="0.25">
      <c r="A3509" s="210" t="s">
        <v>1485</v>
      </c>
      <c r="B3509">
        <v>7790</v>
      </c>
      <c r="C3509" s="100">
        <v>46083</v>
      </c>
      <c r="D3509" t="s">
        <v>13</v>
      </c>
      <c r="E3509" t="s">
        <v>43</v>
      </c>
      <c r="F3509" t="s">
        <v>190</v>
      </c>
      <c r="G3509">
        <v>328</v>
      </c>
      <c r="H3509">
        <v>54000</v>
      </c>
      <c r="I3509">
        <v>17712000</v>
      </c>
    </row>
    <row r="3510" spans="1:11" hidden="1" x14ac:dyDescent="0.25">
      <c r="A3510" s="210" t="s">
        <v>1485</v>
      </c>
      <c r="B3510">
        <v>7790</v>
      </c>
      <c r="C3510" s="100">
        <v>46083</v>
      </c>
      <c r="D3510" t="s">
        <v>13</v>
      </c>
      <c r="E3510" t="s">
        <v>36</v>
      </c>
      <c r="F3510" t="s">
        <v>191</v>
      </c>
      <c r="G3510">
        <v>590</v>
      </c>
      <c r="H3510">
        <v>56000</v>
      </c>
      <c r="I3510">
        <v>33040000</v>
      </c>
    </row>
    <row r="3511" spans="1:11" hidden="1" x14ac:dyDescent="0.25">
      <c r="A3511" s="210" t="s">
        <v>1485</v>
      </c>
      <c r="B3511">
        <v>7790</v>
      </c>
      <c r="C3511" s="100">
        <v>46083</v>
      </c>
      <c r="D3511" t="s">
        <v>13</v>
      </c>
      <c r="E3511" t="s">
        <v>36</v>
      </c>
      <c r="F3511" t="s">
        <v>191</v>
      </c>
      <c r="G3511">
        <v>1026</v>
      </c>
      <c r="H3511">
        <v>56000</v>
      </c>
      <c r="I3511">
        <v>57456000</v>
      </c>
    </row>
    <row r="3512" spans="1:11" hidden="1" x14ac:dyDescent="0.25">
      <c r="A3512" s="210" t="s">
        <v>1490</v>
      </c>
      <c r="B3512">
        <v>7788</v>
      </c>
      <c r="C3512" s="100">
        <v>46083</v>
      </c>
      <c r="D3512" t="s">
        <v>13</v>
      </c>
      <c r="E3512" t="s">
        <v>17</v>
      </c>
      <c r="F3512" t="s">
        <v>25</v>
      </c>
      <c r="G3512">
        <v>582</v>
      </c>
      <c r="H3512">
        <v>59000</v>
      </c>
      <c r="I3512">
        <v>34338000</v>
      </c>
    </row>
    <row r="3513" spans="1:11" hidden="1" x14ac:dyDescent="0.25">
      <c r="A3513" s="210" t="s">
        <v>1489</v>
      </c>
      <c r="B3513">
        <v>7787</v>
      </c>
      <c r="C3513" s="100">
        <v>46083</v>
      </c>
      <c r="D3513" t="s">
        <v>13</v>
      </c>
      <c r="E3513" t="s">
        <v>17</v>
      </c>
      <c r="F3513" t="s">
        <v>41</v>
      </c>
      <c r="G3513">
        <v>625</v>
      </c>
      <c r="H3513">
        <v>58000</v>
      </c>
      <c r="I3513">
        <v>36250000</v>
      </c>
      <c r="K3513" t="s">
        <v>128</v>
      </c>
    </row>
    <row r="3514" spans="1:11" hidden="1" x14ac:dyDescent="0.25">
      <c r="A3514" s="210" t="s">
        <v>1488</v>
      </c>
      <c r="B3514">
        <v>7785</v>
      </c>
      <c r="C3514" s="100">
        <v>46083</v>
      </c>
      <c r="D3514" t="s">
        <v>13</v>
      </c>
      <c r="E3514" t="s">
        <v>32</v>
      </c>
      <c r="F3514" t="s">
        <v>40</v>
      </c>
      <c r="G3514">
        <v>5267</v>
      </c>
      <c r="H3514">
        <v>41000</v>
      </c>
      <c r="I3514">
        <v>215947000</v>
      </c>
    </row>
    <row r="3515" spans="1:11" hidden="1" x14ac:dyDescent="0.25">
      <c r="A3515" s="210" t="s">
        <v>1487</v>
      </c>
      <c r="B3515">
        <v>7784</v>
      </c>
      <c r="C3515" s="100">
        <v>46083</v>
      </c>
      <c r="D3515" t="s">
        <v>13</v>
      </c>
      <c r="E3515" t="s">
        <v>43</v>
      </c>
      <c r="F3515" t="s">
        <v>44</v>
      </c>
      <c r="G3515">
        <v>2572</v>
      </c>
      <c r="H3515">
        <v>57000</v>
      </c>
      <c r="I3515">
        <v>146604000</v>
      </c>
    </row>
    <row r="3516" spans="1:11" hidden="1" x14ac:dyDescent="0.25">
      <c r="A3516" s="210" t="s">
        <v>1487</v>
      </c>
      <c r="B3516">
        <v>7784</v>
      </c>
      <c r="C3516" s="100">
        <v>46083</v>
      </c>
      <c r="D3516" t="s">
        <v>13</v>
      </c>
      <c r="E3516" t="s">
        <v>26</v>
      </c>
      <c r="F3516" t="s">
        <v>40</v>
      </c>
      <c r="G3516">
        <v>3310</v>
      </c>
      <c r="H3516">
        <v>35500</v>
      </c>
      <c r="I3516">
        <v>117505000</v>
      </c>
    </row>
    <row r="3517" spans="1:11" hidden="1" x14ac:dyDescent="0.25">
      <c r="A3517" s="210" t="s">
        <v>1485</v>
      </c>
      <c r="B3517">
        <v>7783</v>
      </c>
      <c r="C3517" s="100">
        <v>46083</v>
      </c>
      <c r="D3517" t="s">
        <v>13</v>
      </c>
      <c r="E3517" t="s">
        <v>43</v>
      </c>
      <c r="F3517" t="s">
        <v>188</v>
      </c>
      <c r="G3517">
        <v>780</v>
      </c>
      <c r="H3517">
        <v>54000</v>
      </c>
      <c r="I3517">
        <v>42120000</v>
      </c>
    </row>
    <row r="3518" spans="1:11" hidden="1" x14ac:dyDescent="0.25">
      <c r="A3518" s="210" t="s">
        <v>1485</v>
      </c>
      <c r="B3518">
        <v>7783</v>
      </c>
      <c r="C3518" s="100">
        <v>46083</v>
      </c>
      <c r="D3518" t="s">
        <v>13</v>
      </c>
      <c r="E3518" t="s">
        <v>43</v>
      </c>
      <c r="F3518" t="s">
        <v>148</v>
      </c>
      <c r="G3518">
        <v>5177</v>
      </c>
      <c r="H3518">
        <v>54000</v>
      </c>
      <c r="I3518">
        <v>279558000</v>
      </c>
    </row>
    <row r="3519" spans="1:11" hidden="1" x14ac:dyDescent="0.25">
      <c r="A3519" s="210" t="s">
        <v>1479</v>
      </c>
      <c r="B3519">
        <v>7782</v>
      </c>
      <c r="C3519" s="100">
        <v>46083</v>
      </c>
      <c r="D3519" t="s">
        <v>13</v>
      </c>
      <c r="E3519" t="s">
        <v>50</v>
      </c>
      <c r="F3519" t="s">
        <v>156</v>
      </c>
      <c r="G3519">
        <v>1718</v>
      </c>
      <c r="H3519">
        <v>57500</v>
      </c>
      <c r="I3519">
        <v>98785000</v>
      </c>
    </row>
    <row r="3520" spans="1:11" hidden="1" x14ac:dyDescent="0.25">
      <c r="A3520" s="210" t="s">
        <v>1479</v>
      </c>
      <c r="B3520">
        <v>7782</v>
      </c>
      <c r="C3520" s="100">
        <v>46083</v>
      </c>
      <c r="D3520" t="s">
        <v>13</v>
      </c>
      <c r="E3520" t="s">
        <v>50</v>
      </c>
      <c r="F3520" t="s">
        <v>157</v>
      </c>
      <c r="G3520">
        <v>482</v>
      </c>
      <c r="H3520">
        <v>57500</v>
      </c>
      <c r="I3520">
        <v>27715000</v>
      </c>
    </row>
    <row r="3521" spans="1:11" hidden="1" x14ac:dyDescent="0.25">
      <c r="A3521" s="210" t="s">
        <v>1479</v>
      </c>
      <c r="B3521">
        <v>7782</v>
      </c>
      <c r="C3521" s="100">
        <v>46083</v>
      </c>
      <c r="D3521" t="s">
        <v>13</v>
      </c>
      <c r="E3521" t="s">
        <v>50</v>
      </c>
      <c r="F3521" t="s">
        <v>158</v>
      </c>
      <c r="G3521">
        <v>212</v>
      </c>
      <c r="H3521">
        <v>55000</v>
      </c>
      <c r="I3521">
        <v>11660000</v>
      </c>
    </row>
    <row r="3522" spans="1:11" hidden="1" x14ac:dyDescent="0.25">
      <c r="A3522" s="210" t="s">
        <v>1479</v>
      </c>
      <c r="B3522">
        <v>7782</v>
      </c>
      <c r="C3522" s="100">
        <v>46083</v>
      </c>
      <c r="D3522" t="s">
        <v>13</v>
      </c>
      <c r="E3522" t="s">
        <v>50</v>
      </c>
      <c r="F3522" t="s">
        <v>159</v>
      </c>
      <c r="G3522">
        <v>328</v>
      </c>
      <c r="H3522">
        <v>55000</v>
      </c>
      <c r="I3522">
        <v>18040000</v>
      </c>
    </row>
    <row r="3523" spans="1:11" hidden="1" x14ac:dyDescent="0.25">
      <c r="A3523" s="210" t="s">
        <v>1479</v>
      </c>
      <c r="B3523">
        <v>7782</v>
      </c>
      <c r="C3523" s="100">
        <v>46083</v>
      </c>
      <c r="D3523" t="s">
        <v>13</v>
      </c>
      <c r="E3523" t="s">
        <v>50</v>
      </c>
      <c r="F3523" t="s">
        <v>160</v>
      </c>
      <c r="G3523">
        <v>526</v>
      </c>
      <c r="H3523">
        <v>55000</v>
      </c>
      <c r="I3523">
        <v>28930000</v>
      </c>
    </row>
    <row r="3524" spans="1:11" hidden="1" x14ac:dyDescent="0.25">
      <c r="A3524" s="210" t="s">
        <v>1478</v>
      </c>
      <c r="B3524">
        <v>7781</v>
      </c>
      <c r="C3524" s="100">
        <v>46083</v>
      </c>
      <c r="D3524" t="s">
        <v>13</v>
      </c>
      <c r="E3524" t="s">
        <v>17</v>
      </c>
      <c r="F3524" t="s">
        <v>131</v>
      </c>
      <c r="G3524">
        <v>2976</v>
      </c>
      <c r="H3524">
        <v>56500</v>
      </c>
      <c r="I3524">
        <v>168144000</v>
      </c>
      <c r="K3524" t="s">
        <v>128</v>
      </c>
    </row>
    <row r="3525" spans="1:11" hidden="1" x14ac:dyDescent="0.25">
      <c r="A3525" s="210" t="s">
        <v>1478</v>
      </c>
      <c r="B3525">
        <v>7781</v>
      </c>
      <c r="C3525" s="100">
        <v>46083</v>
      </c>
      <c r="D3525" t="s">
        <v>13</v>
      </c>
      <c r="E3525" t="s">
        <v>17</v>
      </c>
      <c r="F3525" t="s">
        <v>132</v>
      </c>
      <c r="G3525">
        <v>4302</v>
      </c>
      <c r="H3525">
        <v>56500</v>
      </c>
      <c r="I3525">
        <v>243063000</v>
      </c>
      <c r="K3525" t="s">
        <v>128</v>
      </c>
    </row>
    <row r="3526" spans="1:11" hidden="1" x14ac:dyDescent="0.25">
      <c r="A3526" s="210" t="s">
        <v>1477</v>
      </c>
      <c r="B3526">
        <v>7780</v>
      </c>
      <c r="C3526" s="100">
        <v>46083</v>
      </c>
      <c r="D3526" t="s">
        <v>13</v>
      </c>
      <c r="E3526" t="s">
        <v>17</v>
      </c>
      <c r="F3526" t="s">
        <v>124</v>
      </c>
      <c r="G3526">
        <v>890</v>
      </c>
      <c r="H3526">
        <v>55000</v>
      </c>
      <c r="I3526">
        <v>48950000</v>
      </c>
    </row>
    <row r="3527" spans="1:11" hidden="1" x14ac:dyDescent="0.25">
      <c r="A3527" s="210" t="s">
        <v>1477</v>
      </c>
      <c r="B3527">
        <v>7780</v>
      </c>
      <c r="C3527" s="100">
        <v>46083</v>
      </c>
      <c r="D3527" t="s">
        <v>13</v>
      </c>
      <c r="E3527" t="s">
        <v>17</v>
      </c>
      <c r="F3527" t="s">
        <v>125</v>
      </c>
      <c r="G3527">
        <v>310</v>
      </c>
      <c r="H3527">
        <v>55000</v>
      </c>
      <c r="I3527">
        <v>17050000</v>
      </c>
    </row>
    <row r="3528" spans="1:11" hidden="1" x14ac:dyDescent="0.25">
      <c r="A3528" s="210" t="s">
        <v>1477</v>
      </c>
      <c r="B3528">
        <v>7780</v>
      </c>
      <c r="C3528" s="100">
        <v>46083</v>
      </c>
      <c r="D3528" t="s">
        <v>13</v>
      </c>
      <c r="E3528" t="s">
        <v>17</v>
      </c>
      <c r="F3528" t="s">
        <v>126</v>
      </c>
      <c r="G3528">
        <v>750</v>
      </c>
      <c r="H3528">
        <v>55000</v>
      </c>
      <c r="I3528">
        <v>41250000</v>
      </c>
    </row>
    <row r="3529" spans="1:11" hidden="1" x14ac:dyDescent="0.25">
      <c r="A3529" s="210" t="s">
        <v>1477</v>
      </c>
      <c r="B3529">
        <v>7780</v>
      </c>
      <c r="C3529" s="100">
        <v>46083</v>
      </c>
      <c r="D3529" t="s">
        <v>84</v>
      </c>
      <c r="G3529">
        <v>1950</v>
      </c>
      <c r="H3529">
        <v>1000</v>
      </c>
      <c r="I3529">
        <v>1950000</v>
      </c>
    </row>
    <row r="3530" spans="1:11" hidden="1" x14ac:dyDescent="0.25">
      <c r="A3530" s="210" t="s">
        <v>1476</v>
      </c>
      <c r="B3530">
        <v>7779</v>
      </c>
      <c r="C3530" s="100">
        <v>46083</v>
      </c>
      <c r="D3530" t="s">
        <v>49</v>
      </c>
      <c r="E3530" t="s">
        <v>50</v>
      </c>
      <c r="F3530" t="s">
        <v>51</v>
      </c>
      <c r="G3530">
        <v>720</v>
      </c>
      <c r="I3530">
        <v>0</v>
      </c>
    </row>
    <row r="3531" spans="1:11" hidden="1" x14ac:dyDescent="0.25">
      <c r="A3531" s="210" t="s">
        <v>1476</v>
      </c>
      <c r="B3531">
        <v>7779</v>
      </c>
      <c r="C3531" s="100">
        <v>46083</v>
      </c>
      <c r="D3531" t="s">
        <v>49</v>
      </c>
      <c r="E3531" t="s">
        <v>50</v>
      </c>
      <c r="F3531" t="s">
        <v>52</v>
      </c>
      <c r="G3531">
        <v>495</v>
      </c>
      <c r="I3531">
        <v>0</v>
      </c>
    </row>
    <row r="3532" spans="1:11" hidden="1" x14ac:dyDescent="0.25">
      <c r="A3532" s="210" t="s">
        <v>1475</v>
      </c>
      <c r="B3532">
        <v>7778</v>
      </c>
      <c r="C3532" s="100">
        <v>46082</v>
      </c>
      <c r="D3532" t="s">
        <v>13</v>
      </c>
      <c r="E3532" t="s">
        <v>17</v>
      </c>
      <c r="F3532" t="s">
        <v>20</v>
      </c>
      <c r="G3532">
        <v>5472</v>
      </c>
      <c r="H3532">
        <v>57000</v>
      </c>
      <c r="I3532">
        <v>311904000</v>
      </c>
    </row>
    <row r="3533" spans="1:11" hidden="1" x14ac:dyDescent="0.25">
      <c r="A3533" s="210" t="s">
        <v>1475</v>
      </c>
      <c r="B3533">
        <v>7777</v>
      </c>
      <c r="C3533" s="100">
        <v>46082</v>
      </c>
      <c r="D3533" t="s">
        <v>13</v>
      </c>
      <c r="E3533" t="s">
        <v>14</v>
      </c>
      <c r="F3533" t="s">
        <v>15</v>
      </c>
      <c r="G3533">
        <v>334</v>
      </c>
      <c r="H3533">
        <v>42000</v>
      </c>
      <c r="I3533">
        <v>14028000</v>
      </c>
    </row>
    <row r="3534" spans="1:11" hidden="1" x14ac:dyDescent="0.25">
      <c r="A3534" s="210" t="s">
        <v>1475</v>
      </c>
      <c r="B3534">
        <v>7777</v>
      </c>
      <c r="C3534" s="100">
        <v>46082</v>
      </c>
      <c r="D3534" t="s">
        <v>13</v>
      </c>
      <c r="E3534" t="s">
        <v>14</v>
      </c>
      <c r="F3534" t="s">
        <v>16</v>
      </c>
      <c r="G3534">
        <v>1050</v>
      </c>
      <c r="H3534">
        <v>41000</v>
      </c>
      <c r="I3534">
        <v>43050000</v>
      </c>
    </row>
    <row r="3535" spans="1:11" hidden="1" x14ac:dyDescent="0.25">
      <c r="A3535" s="210" t="s">
        <v>1475</v>
      </c>
      <c r="B3535">
        <v>7777</v>
      </c>
      <c r="C3535" s="100">
        <v>46082</v>
      </c>
      <c r="D3535" t="s">
        <v>13</v>
      </c>
      <c r="E3535" t="s">
        <v>17</v>
      </c>
      <c r="F3535" t="s">
        <v>15</v>
      </c>
      <c r="G3535">
        <v>528</v>
      </c>
      <c r="H3535">
        <v>58000</v>
      </c>
      <c r="I3535">
        <v>30624000</v>
      </c>
    </row>
    <row r="3536" spans="1:11" hidden="1" x14ac:dyDescent="0.25">
      <c r="A3536" s="210" t="s">
        <v>1475</v>
      </c>
      <c r="B3536">
        <v>7777</v>
      </c>
      <c r="C3536" s="100">
        <v>46082</v>
      </c>
      <c r="D3536" t="s">
        <v>13</v>
      </c>
      <c r="E3536" t="s">
        <v>17</v>
      </c>
      <c r="F3536" t="s">
        <v>18</v>
      </c>
      <c r="G3536">
        <v>825</v>
      </c>
      <c r="H3536">
        <v>52000</v>
      </c>
      <c r="I3536">
        <v>42900000</v>
      </c>
    </row>
    <row r="3537" spans="1:9" hidden="1" x14ac:dyDescent="0.25">
      <c r="A3537" s="210" t="s">
        <v>1475</v>
      </c>
      <c r="B3537">
        <v>7777</v>
      </c>
      <c r="C3537" s="100">
        <v>46082</v>
      </c>
      <c r="D3537" t="s">
        <v>13</v>
      </c>
      <c r="E3537" t="s">
        <v>17</v>
      </c>
      <c r="F3537" t="s">
        <v>19</v>
      </c>
      <c r="G3537">
        <v>1098</v>
      </c>
      <c r="H3537">
        <v>57000</v>
      </c>
      <c r="I3537">
        <v>62586000</v>
      </c>
    </row>
    <row r="3538" spans="1:9" hidden="1" x14ac:dyDescent="0.25">
      <c r="A3538" s="210" t="s">
        <v>1476</v>
      </c>
      <c r="B3538">
        <v>7774</v>
      </c>
      <c r="C3538" s="100">
        <v>46081</v>
      </c>
      <c r="D3538" t="s">
        <v>49</v>
      </c>
      <c r="E3538" t="s">
        <v>50</v>
      </c>
      <c r="F3538" t="s">
        <v>110</v>
      </c>
      <c r="G3538">
        <v>1026</v>
      </c>
      <c r="I3538">
        <v>0</v>
      </c>
    </row>
    <row r="3539" spans="1:9" hidden="1" x14ac:dyDescent="0.25">
      <c r="A3539" s="210" t="s">
        <v>1476</v>
      </c>
      <c r="B3539">
        <v>7774</v>
      </c>
      <c r="C3539" s="100">
        <v>46081</v>
      </c>
      <c r="D3539" t="s">
        <v>49</v>
      </c>
      <c r="E3539" t="s">
        <v>50</v>
      </c>
      <c r="F3539" t="s">
        <v>122</v>
      </c>
      <c r="G3539">
        <v>590</v>
      </c>
      <c r="I3539">
        <v>0</v>
      </c>
    </row>
    <row r="3540" spans="1:9" hidden="1" x14ac:dyDescent="0.25">
      <c r="A3540" s="210" t="s">
        <v>1476</v>
      </c>
      <c r="B3540">
        <v>7774</v>
      </c>
      <c r="C3540" s="100">
        <v>46081</v>
      </c>
      <c r="D3540" t="s">
        <v>49</v>
      </c>
      <c r="E3540" t="s">
        <v>50</v>
      </c>
      <c r="F3540" t="s">
        <v>116</v>
      </c>
      <c r="G3540">
        <v>74</v>
      </c>
      <c r="I3540">
        <v>0</v>
      </c>
    </row>
    <row r="3541" spans="1:9" hidden="1" x14ac:dyDescent="0.25">
      <c r="A3541" s="210" t="s">
        <v>1524</v>
      </c>
      <c r="B3541">
        <v>7773</v>
      </c>
      <c r="C3541" s="100">
        <v>46081</v>
      </c>
      <c r="D3541" t="s">
        <v>49</v>
      </c>
      <c r="E3541" t="s">
        <v>45</v>
      </c>
      <c r="F3541" t="s">
        <v>2578</v>
      </c>
      <c r="G3541">
        <v>1600</v>
      </c>
      <c r="I3541">
        <v>0</v>
      </c>
    </row>
    <row r="3542" spans="1:9" hidden="1" x14ac:dyDescent="0.25">
      <c r="A3542" s="210" t="s">
        <v>1524</v>
      </c>
      <c r="B3542">
        <v>7773</v>
      </c>
      <c r="C3542" s="100">
        <v>46081</v>
      </c>
      <c r="D3542" t="s">
        <v>49</v>
      </c>
      <c r="E3542" t="s">
        <v>43</v>
      </c>
      <c r="F3542" t="s">
        <v>259</v>
      </c>
      <c r="G3542">
        <v>560</v>
      </c>
      <c r="I3542">
        <v>0</v>
      </c>
    </row>
    <row r="3543" spans="1:9" hidden="1" x14ac:dyDescent="0.25">
      <c r="A3543" s="210" t="s">
        <v>1532</v>
      </c>
      <c r="B3543">
        <v>7766</v>
      </c>
      <c r="C3543" s="100">
        <v>46081</v>
      </c>
      <c r="D3543" t="s">
        <v>49</v>
      </c>
      <c r="E3543" t="s">
        <v>301</v>
      </c>
      <c r="F3543" t="s">
        <v>2577</v>
      </c>
      <c r="G3543">
        <v>4716</v>
      </c>
      <c r="I3543">
        <v>0</v>
      </c>
    </row>
    <row r="3544" spans="1:9" hidden="1" x14ac:dyDescent="0.25">
      <c r="A3544" s="210" t="s">
        <v>1643</v>
      </c>
      <c r="B3544">
        <v>7765</v>
      </c>
      <c r="C3544" s="100">
        <v>46081</v>
      </c>
      <c r="D3544" t="s">
        <v>49</v>
      </c>
      <c r="E3544" t="s">
        <v>45</v>
      </c>
      <c r="F3544" t="s">
        <v>2576</v>
      </c>
      <c r="G3544">
        <v>476</v>
      </c>
      <c r="I3544">
        <v>0</v>
      </c>
    </row>
    <row r="3545" spans="1:9" hidden="1" x14ac:dyDescent="0.25">
      <c r="A3545" s="210" t="s">
        <v>1596</v>
      </c>
      <c r="B3545">
        <v>7759</v>
      </c>
      <c r="C3545" s="100">
        <v>46081</v>
      </c>
      <c r="D3545" t="s">
        <v>49</v>
      </c>
      <c r="E3545" t="s">
        <v>301</v>
      </c>
      <c r="F3545" t="s">
        <v>2321</v>
      </c>
      <c r="G3545">
        <v>9208</v>
      </c>
      <c r="I3545">
        <v>0</v>
      </c>
    </row>
    <row r="3546" spans="1:9" hidden="1" x14ac:dyDescent="0.25">
      <c r="A3546" s="210" t="s">
        <v>1524</v>
      </c>
      <c r="B3546">
        <v>7754</v>
      </c>
      <c r="C3546" s="100">
        <v>46081</v>
      </c>
      <c r="D3546" t="s">
        <v>49</v>
      </c>
      <c r="E3546" t="s">
        <v>17</v>
      </c>
      <c r="F3546" t="s">
        <v>40</v>
      </c>
      <c r="G3546">
        <v>5800</v>
      </c>
      <c r="I3546">
        <v>0</v>
      </c>
    </row>
    <row r="3547" spans="1:9" hidden="1" x14ac:dyDescent="0.25">
      <c r="A3547" s="210" t="s">
        <v>1524</v>
      </c>
      <c r="B3547">
        <v>7754</v>
      </c>
      <c r="C3547" s="100">
        <v>46081</v>
      </c>
      <c r="D3547" t="s">
        <v>49</v>
      </c>
      <c r="E3547" t="s">
        <v>301</v>
      </c>
      <c r="F3547" t="s">
        <v>465</v>
      </c>
      <c r="G3547">
        <v>3314</v>
      </c>
      <c r="I3547">
        <v>0</v>
      </c>
    </row>
    <row r="3548" spans="1:9" hidden="1" x14ac:dyDescent="0.25">
      <c r="A3548" s="210" t="s">
        <v>1596</v>
      </c>
      <c r="B3548">
        <v>7751</v>
      </c>
      <c r="C3548" s="100">
        <v>46080</v>
      </c>
      <c r="D3548" t="s">
        <v>49</v>
      </c>
      <c r="E3548" t="s">
        <v>301</v>
      </c>
      <c r="F3548" t="s">
        <v>81</v>
      </c>
      <c r="G3548">
        <v>4438</v>
      </c>
      <c r="I3548">
        <v>0</v>
      </c>
    </row>
    <row r="3549" spans="1:9" hidden="1" x14ac:dyDescent="0.25">
      <c r="A3549" s="210" t="s">
        <v>1476</v>
      </c>
      <c r="B3549">
        <v>7749</v>
      </c>
      <c r="C3549" s="100">
        <v>46080</v>
      </c>
      <c r="D3549" t="s">
        <v>49</v>
      </c>
      <c r="E3549" t="s">
        <v>56</v>
      </c>
      <c r="F3549" t="s">
        <v>2575</v>
      </c>
      <c r="G3549">
        <v>158</v>
      </c>
      <c r="I3549">
        <v>0</v>
      </c>
    </row>
    <row r="3550" spans="1:9" hidden="1" x14ac:dyDescent="0.25">
      <c r="A3550" s="210" t="s">
        <v>1524</v>
      </c>
      <c r="B3550">
        <v>7735</v>
      </c>
      <c r="C3550" s="100">
        <v>46080</v>
      </c>
      <c r="D3550" t="s">
        <v>49</v>
      </c>
      <c r="E3550" t="s">
        <v>45</v>
      </c>
      <c r="F3550" t="s">
        <v>462</v>
      </c>
      <c r="G3550">
        <v>3066</v>
      </c>
      <c r="I3550">
        <v>0</v>
      </c>
    </row>
    <row r="3551" spans="1:9" hidden="1" x14ac:dyDescent="0.25">
      <c r="A3551" s="210" t="s">
        <v>1524</v>
      </c>
      <c r="B3551">
        <v>7735</v>
      </c>
      <c r="C3551" s="100">
        <v>46080</v>
      </c>
      <c r="D3551" t="s">
        <v>49</v>
      </c>
      <c r="E3551" t="s">
        <v>17</v>
      </c>
      <c r="F3551" t="s">
        <v>469</v>
      </c>
      <c r="G3551">
        <v>8673</v>
      </c>
      <c r="I3551">
        <v>0</v>
      </c>
    </row>
    <row r="3552" spans="1:9" hidden="1" x14ac:dyDescent="0.25">
      <c r="A3552" s="210" t="s">
        <v>1592</v>
      </c>
      <c r="B3552">
        <v>7733</v>
      </c>
      <c r="C3552" s="100">
        <v>46080</v>
      </c>
      <c r="D3552" t="s">
        <v>49</v>
      </c>
      <c r="E3552" t="s">
        <v>17</v>
      </c>
      <c r="F3552" t="s">
        <v>2114</v>
      </c>
      <c r="G3552">
        <v>898</v>
      </c>
      <c r="I3552">
        <v>0</v>
      </c>
    </row>
    <row r="3553" spans="1:9" hidden="1" x14ac:dyDescent="0.25">
      <c r="A3553" s="210" t="s">
        <v>1592</v>
      </c>
      <c r="B3553">
        <v>7733</v>
      </c>
      <c r="C3553" s="100">
        <v>46080</v>
      </c>
      <c r="D3553" t="s">
        <v>49</v>
      </c>
      <c r="E3553" t="s">
        <v>17</v>
      </c>
      <c r="F3553" t="s">
        <v>2573</v>
      </c>
      <c r="G3553">
        <v>307</v>
      </c>
      <c r="I3553">
        <v>0</v>
      </c>
    </row>
    <row r="3554" spans="1:9" hidden="1" x14ac:dyDescent="0.25">
      <c r="A3554" s="210" t="s">
        <v>1592</v>
      </c>
      <c r="B3554">
        <v>7733</v>
      </c>
      <c r="C3554" s="100">
        <v>46080</v>
      </c>
      <c r="D3554" t="s">
        <v>49</v>
      </c>
      <c r="E3554" t="s">
        <v>17</v>
      </c>
      <c r="F3554" t="s">
        <v>2574</v>
      </c>
      <c r="G3554">
        <v>750</v>
      </c>
      <c r="I3554">
        <v>0</v>
      </c>
    </row>
    <row r="3555" spans="1:9" hidden="1" x14ac:dyDescent="0.25">
      <c r="A3555" s="210" t="s">
        <v>1524</v>
      </c>
      <c r="B3555">
        <v>7722</v>
      </c>
      <c r="C3555" s="100">
        <v>46079</v>
      </c>
      <c r="D3555" t="s">
        <v>49</v>
      </c>
      <c r="E3555" t="s">
        <v>17</v>
      </c>
      <c r="F3555" t="s">
        <v>40</v>
      </c>
      <c r="G3555">
        <v>7410</v>
      </c>
      <c r="I3555">
        <v>0</v>
      </c>
    </row>
    <row r="3556" spans="1:9" hidden="1" x14ac:dyDescent="0.25">
      <c r="A3556" s="210" t="s">
        <v>1524</v>
      </c>
      <c r="B3556">
        <v>7709</v>
      </c>
      <c r="C3556" s="100">
        <v>46078</v>
      </c>
      <c r="D3556" t="s">
        <v>49</v>
      </c>
      <c r="E3556" t="s">
        <v>43</v>
      </c>
      <c r="F3556" t="s">
        <v>344</v>
      </c>
      <c r="G3556">
        <v>3196</v>
      </c>
      <c r="I3556">
        <v>0</v>
      </c>
    </row>
    <row r="3557" spans="1:9" hidden="1" x14ac:dyDescent="0.25">
      <c r="A3557" s="210" t="s">
        <v>1476</v>
      </c>
      <c r="B3557">
        <v>7705</v>
      </c>
      <c r="C3557" s="100">
        <v>46078</v>
      </c>
      <c r="D3557" t="s">
        <v>49</v>
      </c>
      <c r="E3557" t="s">
        <v>470</v>
      </c>
      <c r="F3557" t="s">
        <v>81</v>
      </c>
      <c r="G3557">
        <v>420</v>
      </c>
      <c r="I3557">
        <v>0</v>
      </c>
    </row>
    <row r="3558" spans="1:9" hidden="1" x14ac:dyDescent="0.25">
      <c r="A3558" s="210" t="s">
        <v>1524</v>
      </c>
      <c r="B3558">
        <v>7701</v>
      </c>
      <c r="C3558" s="100">
        <v>46078</v>
      </c>
      <c r="D3558" t="s">
        <v>49</v>
      </c>
      <c r="E3558" t="s">
        <v>32</v>
      </c>
      <c r="F3558" t="s">
        <v>40</v>
      </c>
      <c r="G3558">
        <v>4082</v>
      </c>
      <c r="I3558">
        <v>0</v>
      </c>
    </row>
    <row r="3559" spans="1:9" hidden="1" x14ac:dyDescent="0.25">
      <c r="A3559" s="210" t="s">
        <v>1524</v>
      </c>
      <c r="B3559">
        <v>7691</v>
      </c>
      <c r="C3559" s="100">
        <v>46078</v>
      </c>
      <c r="D3559" t="s">
        <v>49</v>
      </c>
      <c r="E3559" t="s">
        <v>43</v>
      </c>
      <c r="F3559" t="s">
        <v>146</v>
      </c>
      <c r="G3559">
        <v>956</v>
      </c>
      <c r="I3559">
        <v>0</v>
      </c>
    </row>
    <row r="3560" spans="1:9" hidden="1" x14ac:dyDescent="0.25">
      <c r="A3560" s="210" t="s">
        <v>1596</v>
      </c>
      <c r="B3560">
        <v>7687</v>
      </c>
      <c r="C3560" s="100">
        <v>46077</v>
      </c>
      <c r="D3560" t="s">
        <v>49</v>
      </c>
      <c r="E3560" t="s">
        <v>26</v>
      </c>
      <c r="F3560" t="s">
        <v>2572</v>
      </c>
      <c r="G3560">
        <v>2361</v>
      </c>
      <c r="I3560">
        <v>0</v>
      </c>
    </row>
    <row r="3561" spans="1:9" hidden="1" x14ac:dyDescent="0.25">
      <c r="A3561" s="210" t="s">
        <v>1524</v>
      </c>
      <c r="B3561">
        <v>7680</v>
      </c>
      <c r="C3561" s="100">
        <v>46077</v>
      </c>
      <c r="D3561" t="s">
        <v>49</v>
      </c>
      <c r="E3561" t="s">
        <v>17</v>
      </c>
      <c r="F3561" t="s">
        <v>1082</v>
      </c>
      <c r="G3561">
        <v>2664</v>
      </c>
      <c r="I3561">
        <v>0</v>
      </c>
    </row>
    <row r="3562" spans="1:9" hidden="1" x14ac:dyDescent="0.25">
      <c r="A3562" s="210" t="s">
        <v>1672</v>
      </c>
      <c r="B3562">
        <v>7678</v>
      </c>
      <c r="C3562" s="100">
        <v>46077</v>
      </c>
      <c r="D3562" t="s">
        <v>49</v>
      </c>
      <c r="E3562" t="s">
        <v>317</v>
      </c>
      <c r="F3562" t="s">
        <v>136</v>
      </c>
      <c r="G3562">
        <v>356</v>
      </c>
      <c r="I3562">
        <v>0</v>
      </c>
    </row>
    <row r="3563" spans="1:9" hidden="1" x14ac:dyDescent="0.25">
      <c r="A3563" s="210" t="s">
        <v>1524</v>
      </c>
      <c r="B3563">
        <v>7672</v>
      </c>
      <c r="C3563" s="100">
        <v>46077</v>
      </c>
      <c r="D3563" t="s">
        <v>49</v>
      </c>
      <c r="E3563" t="s">
        <v>17</v>
      </c>
      <c r="F3563" t="s">
        <v>2570</v>
      </c>
      <c r="G3563">
        <v>924</v>
      </c>
      <c r="I3563">
        <v>0</v>
      </c>
    </row>
    <row r="3564" spans="1:9" hidden="1" x14ac:dyDescent="0.25">
      <c r="A3564" s="210" t="s">
        <v>1524</v>
      </c>
      <c r="B3564">
        <v>7672</v>
      </c>
      <c r="C3564" s="100">
        <v>46077</v>
      </c>
      <c r="D3564" t="s">
        <v>49</v>
      </c>
      <c r="E3564" t="s">
        <v>17</v>
      </c>
      <c r="F3564" t="s">
        <v>2571</v>
      </c>
      <c r="G3564">
        <v>515</v>
      </c>
      <c r="I3564">
        <v>0</v>
      </c>
    </row>
    <row r="3565" spans="1:9" hidden="1" x14ac:dyDescent="0.25">
      <c r="A3565" s="210" t="s">
        <v>1524</v>
      </c>
      <c r="B3565">
        <v>7672</v>
      </c>
      <c r="C3565" s="100">
        <v>46077</v>
      </c>
      <c r="D3565" t="s">
        <v>49</v>
      </c>
      <c r="E3565" t="s">
        <v>17</v>
      </c>
      <c r="F3565" t="s">
        <v>469</v>
      </c>
      <c r="G3565">
        <v>3691</v>
      </c>
      <c r="I3565">
        <v>0</v>
      </c>
    </row>
    <row r="3566" spans="1:9" hidden="1" x14ac:dyDescent="0.25">
      <c r="A3566" s="210" t="s">
        <v>1524</v>
      </c>
      <c r="B3566">
        <v>7672</v>
      </c>
      <c r="C3566" s="100">
        <v>46077</v>
      </c>
      <c r="D3566" t="s">
        <v>49</v>
      </c>
      <c r="E3566" t="s">
        <v>17</v>
      </c>
      <c r="F3566" t="s">
        <v>469</v>
      </c>
      <c r="G3566">
        <v>958</v>
      </c>
      <c r="I3566">
        <v>0</v>
      </c>
    </row>
    <row r="3567" spans="1:9" hidden="1" x14ac:dyDescent="0.25">
      <c r="A3567" s="210" t="s">
        <v>1524</v>
      </c>
      <c r="B3567">
        <v>7672</v>
      </c>
      <c r="C3567" s="100">
        <v>46077</v>
      </c>
      <c r="D3567" t="s">
        <v>49</v>
      </c>
      <c r="E3567" t="s">
        <v>470</v>
      </c>
      <c r="F3567" t="s">
        <v>661</v>
      </c>
      <c r="G3567">
        <v>1020</v>
      </c>
      <c r="I3567">
        <v>0</v>
      </c>
    </row>
    <row r="3568" spans="1:9" hidden="1" x14ac:dyDescent="0.25">
      <c r="A3568" s="210" t="s">
        <v>1592</v>
      </c>
      <c r="B3568">
        <v>7669</v>
      </c>
      <c r="C3568" s="100">
        <v>46076</v>
      </c>
      <c r="D3568" t="s">
        <v>49</v>
      </c>
      <c r="E3568" t="s">
        <v>43</v>
      </c>
      <c r="F3568" t="s">
        <v>146</v>
      </c>
      <c r="G3568">
        <v>5556</v>
      </c>
      <c r="I3568">
        <v>0</v>
      </c>
    </row>
    <row r="3569" spans="1:9" hidden="1" x14ac:dyDescent="0.25">
      <c r="A3569" s="210" t="s">
        <v>1524</v>
      </c>
      <c r="B3569">
        <v>7649</v>
      </c>
      <c r="C3569" s="100">
        <v>46065</v>
      </c>
      <c r="D3569" t="s">
        <v>49</v>
      </c>
      <c r="E3569" t="s">
        <v>17</v>
      </c>
      <c r="F3569" t="s">
        <v>2567</v>
      </c>
      <c r="G3569">
        <v>694</v>
      </c>
      <c r="I3569">
        <v>0</v>
      </c>
    </row>
    <row r="3570" spans="1:9" hidden="1" x14ac:dyDescent="0.25">
      <c r="A3570" s="210" t="s">
        <v>1524</v>
      </c>
      <c r="B3570">
        <v>7649</v>
      </c>
      <c r="C3570" s="100">
        <v>46065</v>
      </c>
      <c r="D3570" t="s">
        <v>49</v>
      </c>
      <c r="E3570" t="s">
        <v>17</v>
      </c>
      <c r="F3570" t="s">
        <v>2568</v>
      </c>
      <c r="G3570">
        <v>657</v>
      </c>
      <c r="I3570">
        <v>0</v>
      </c>
    </row>
    <row r="3571" spans="1:9" hidden="1" x14ac:dyDescent="0.25">
      <c r="A3571" s="210" t="s">
        <v>1524</v>
      </c>
      <c r="B3571">
        <v>7649</v>
      </c>
      <c r="C3571" s="100">
        <v>46065</v>
      </c>
      <c r="D3571" t="s">
        <v>49</v>
      </c>
      <c r="E3571" t="s">
        <v>17</v>
      </c>
      <c r="F3571" t="s">
        <v>2569</v>
      </c>
      <c r="G3571">
        <v>1153</v>
      </c>
      <c r="I3571">
        <v>0</v>
      </c>
    </row>
    <row r="3572" spans="1:9" hidden="1" x14ac:dyDescent="0.25">
      <c r="A3572" s="210" t="s">
        <v>1524</v>
      </c>
      <c r="B3572">
        <v>7649</v>
      </c>
      <c r="C3572" s="100">
        <v>46065</v>
      </c>
      <c r="D3572" t="s">
        <v>49</v>
      </c>
      <c r="E3572" t="s">
        <v>17</v>
      </c>
      <c r="F3572" t="s">
        <v>2114</v>
      </c>
      <c r="G3572">
        <v>1225</v>
      </c>
      <c r="I3572">
        <v>0</v>
      </c>
    </row>
    <row r="3573" spans="1:9" hidden="1" x14ac:dyDescent="0.25">
      <c r="A3573" s="210" t="s">
        <v>1524</v>
      </c>
      <c r="B3573">
        <v>7649</v>
      </c>
      <c r="C3573" s="100">
        <v>46065</v>
      </c>
      <c r="D3573" t="s">
        <v>49</v>
      </c>
      <c r="E3573" t="s">
        <v>17</v>
      </c>
      <c r="F3573" t="s">
        <v>2337</v>
      </c>
      <c r="G3573">
        <v>486</v>
      </c>
      <c r="I3573">
        <v>0</v>
      </c>
    </row>
    <row r="3574" spans="1:9" hidden="1" x14ac:dyDescent="0.25">
      <c r="A3574" s="210" t="s">
        <v>1524</v>
      </c>
      <c r="B3574">
        <v>7648</v>
      </c>
      <c r="C3574" s="100">
        <v>46065</v>
      </c>
      <c r="D3574" t="s">
        <v>49</v>
      </c>
      <c r="E3574" t="s">
        <v>17</v>
      </c>
      <c r="F3574" t="s">
        <v>2114</v>
      </c>
      <c r="G3574">
        <v>2211</v>
      </c>
      <c r="I3574">
        <v>0</v>
      </c>
    </row>
    <row r="3575" spans="1:9" hidden="1" x14ac:dyDescent="0.25">
      <c r="A3575" s="210" t="s">
        <v>1524</v>
      </c>
      <c r="B3575">
        <v>7648</v>
      </c>
      <c r="C3575" s="100">
        <v>46065</v>
      </c>
      <c r="D3575" t="s">
        <v>49</v>
      </c>
      <c r="E3575" t="s">
        <v>17</v>
      </c>
      <c r="F3575" t="s">
        <v>2114</v>
      </c>
      <c r="G3575">
        <v>864</v>
      </c>
      <c r="I3575">
        <v>0</v>
      </c>
    </row>
    <row r="3576" spans="1:9" hidden="1" x14ac:dyDescent="0.25">
      <c r="A3576" s="210" t="s">
        <v>1524</v>
      </c>
      <c r="B3576">
        <v>7648</v>
      </c>
      <c r="C3576" s="100">
        <v>46065</v>
      </c>
      <c r="D3576" t="s">
        <v>49</v>
      </c>
      <c r="E3576" t="s">
        <v>17</v>
      </c>
      <c r="F3576" t="s">
        <v>723</v>
      </c>
      <c r="G3576">
        <v>1966</v>
      </c>
      <c r="I3576">
        <v>0</v>
      </c>
    </row>
    <row r="3577" spans="1:9" hidden="1" x14ac:dyDescent="0.25">
      <c r="A3577" s="210" t="s">
        <v>1532</v>
      </c>
      <c r="B3577">
        <v>7646</v>
      </c>
      <c r="C3577" s="100">
        <v>46065</v>
      </c>
      <c r="D3577" t="s">
        <v>49</v>
      </c>
      <c r="E3577" t="s">
        <v>753</v>
      </c>
      <c r="F3577" t="s">
        <v>2566</v>
      </c>
      <c r="G3577">
        <v>7260</v>
      </c>
      <c r="I3577">
        <v>0</v>
      </c>
    </row>
    <row r="3578" spans="1:9" hidden="1" x14ac:dyDescent="0.25">
      <c r="A3578" s="210" t="s">
        <v>1672</v>
      </c>
      <c r="B3578">
        <v>7644</v>
      </c>
      <c r="C3578" s="100">
        <v>46065</v>
      </c>
      <c r="D3578" t="s">
        <v>49</v>
      </c>
      <c r="E3578" t="s">
        <v>442</v>
      </c>
      <c r="F3578" t="s">
        <v>1322</v>
      </c>
      <c r="G3578">
        <v>7564</v>
      </c>
      <c r="I3578">
        <v>0</v>
      </c>
    </row>
    <row r="3579" spans="1:9" hidden="1" x14ac:dyDescent="0.25">
      <c r="A3579" s="210" t="s">
        <v>1476</v>
      </c>
      <c r="B3579">
        <v>7636</v>
      </c>
      <c r="C3579" s="100">
        <v>46064</v>
      </c>
      <c r="D3579" t="s">
        <v>49</v>
      </c>
      <c r="E3579" t="s">
        <v>50</v>
      </c>
      <c r="F3579" t="s">
        <v>717</v>
      </c>
      <c r="G3579">
        <v>514</v>
      </c>
      <c r="I3579">
        <v>0</v>
      </c>
    </row>
    <row r="3580" spans="1:9" hidden="1" x14ac:dyDescent="0.25">
      <c r="A3580" s="210" t="s">
        <v>1697</v>
      </c>
      <c r="B3580">
        <v>7611</v>
      </c>
      <c r="C3580" s="100">
        <v>46062</v>
      </c>
      <c r="D3580" t="s">
        <v>49</v>
      </c>
      <c r="E3580" t="s">
        <v>442</v>
      </c>
      <c r="F3580" t="s">
        <v>2565</v>
      </c>
      <c r="G3580">
        <v>12860</v>
      </c>
      <c r="I3580">
        <v>0</v>
      </c>
    </row>
    <row r="3581" spans="1:9" hidden="1" x14ac:dyDescent="0.25">
      <c r="A3581" s="210" t="s">
        <v>1524</v>
      </c>
      <c r="B3581">
        <v>7609</v>
      </c>
      <c r="C3581" s="100">
        <v>46062</v>
      </c>
      <c r="D3581" t="s">
        <v>49</v>
      </c>
      <c r="E3581" t="s">
        <v>26</v>
      </c>
      <c r="F3581" t="s">
        <v>2564</v>
      </c>
      <c r="G3581">
        <v>8846</v>
      </c>
      <c r="I3581">
        <v>0</v>
      </c>
    </row>
    <row r="3582" spans="1:9" hidden="1" x14ac:dyDescent="0.25">
      <c r="A3582" s="210" t="s">
        <v>1476</v>
      </c>
      <c r="B3582">
        <v>7603</v>
      </c>
      <c r="C3582" s="100">
        <v>46062</v>
      </c>
      <c r="D3582" t="s">
        <v>49</v>
      </c>
      <c r="E3582" t="s">
        <v>109</v>
      </c>
      <c r="F3582" t="s">
        <v>73</v>
      </c>
      <c r="G3582">
        <v>1292</v>
      </c>
      <c r="I3582">
        <v>0</v>
      </c>
    </row>
    <row r="3583" spans="1:9" hidden="1" x14ac:dyDescent="0.25">
      <c r="A3583" s="210" t="s">
        <v>1524</v>
      </c>
      <c r="B3583">
        <v>7595</v>
      </c>
      <c r="C3583" s="100">
        <v>46059</v>
      </c>
      <c r="D3583" t="s">
        <v>49</v>
      </c>
      <c r="E3583" t="s">
        <v>17</v>
      </c>
      <c r="F3583" t="s">
        <v>469</v>
      </c>
      <c r="G3583">
        <v>8270</v>
      </c>
      <c r="I3583">
        <v>0</v>
      </c>
    </row>
    <row r="3584" spans="1:9" hidden="1" x14ac:dyDescent="0.25">
      <c r="A3584" s="210" t="s">
        <v>1524</v>
      </c>
      <c r="B3584">
        <v>7595</v>
      </c>
      <c r="C3584" s="100">
        <v>46059</v>
      </c>
      <c r="D3584" t="s">
        <v>49</v>
      </c>
      <c r="E3584" t="s">
        <v>26</v>
      </c>
      <c r="F3584" t="s">
        <v>820</v>
      </c>
      <c r="G3584">
        <v>1325</v>
      </c>
      <c r="I3584">
        <v>0</v>
      </c>
    </row>
    <row r="3585" spans="1:9" hidden="1" x14ac:dyDescent="0.25">
      <c r="A3585" s="210" t="s">
        <v>1524</v>
      </c>
      <c r="B3585">
        <v>7574</v>
      </c>
      <c r="C3585" s="100">
        <v>46059</v>
      </c>
      <c r="D3585" t="s">
        <v>49</v>
      </c>
      <c r="E3585" t="s">
        <v>17</v>
      </c>
      <c r="F3585" t="s">
        <v>2563</v>
      </c>
      <c r="G3585">
        <v>5570</v>
      </c>
      <c r="I3585">
        <v>0</v>
      </c>
    </row>
    <row r="3586" spans="1:9" hidden="1" x14ac:dyDescent="0.25">
      <c r="A3586" s="210" t="s">
        <v>1624</v>
      </c>
      <c r="B3586">
        <v>7572</v>
      </c>
      <c r="C3586" s="100">
        <v>46059</v>
      </c>
      <c r="D3586" t="s">
        <v>49</v>
      </c>
      <c r="E3586" t="s">
        <v>703</v>
      </c>
      <c r="F3586" t="s">
        <v>2562</v>
      </c>
      <c r="G3586">
        <v>62</v>
      </c>
      <c r="I3586">
        <v>0</v>
      </c>
    </row>
    <row r="3587" spans="1:9" hidden="1" x14ac:dyDescent="0.25">
      <c r="A3587" s="210" t="s">
        <v>1524</v>
      </c>
      <c r="B3587">
        <v>7570</v>
      </c>
      <c r="C3587" s="100">
        <v>46058</v>
      </c>
      <c r="D3587" t="s">
        <v>49</v>
      </c>
      <c r="E3587" t="s">
        <v>17</v>
      </c>
      <c r="F3587" t="s">
        <v>415</v>
      </c>
      <c r="G3587">
        <v>5420</v>
      </c>
      <c r="I3587">
        <v>0</v>
      </c>
    </row>
    <row r="3588" spans="1:9" hidden="1" x14ac:dyDescent="0.25">
      <c r="A3588" s="210" t="s">
        <v>1524</v>
      </c>
      <c r="B3588">
        <v>7538</v>
      </c>
      <c r="C3588" s="100">
        <v>46057</v>
      </c>
      <c r="D3588" t="s">
        <v>49</v>
      </c>
      <c r="E3588" t="s">
        <v>277</v>
      </c>
      <c r="F3588" t="s">
        <v>2561</v>
      </c>
      <c r="G3588">
        <v>1962</v>
      </c>
      <c r="I3588">
        <v>0</v>
      </c>
    </row>
    <row r="3589" spans="1:9" hidden="1" x14ac:dyDescent="0.25">
      <c r="A3589" s="210" t="s">
        <v>1524</v>
      </c>
      <c r="B3589">
        <v>7538</v>
      </c>
      <c r="C3589" s="100">
        <v>46057</v>
      </c>
      <c r="D3589" t="s">
        <v>49</v>
      </c>
      <c r="E3589" t="s">
        <v>26</v>
      </c>
      <c r="F3589" t="s">
        <v>2457</v>
      </c>
      <c r="G3589">
        <v>1564</v>
      </c>
      <c r="I3589">
        <v>0</v>
      </c>
    </row>
    <row r="3590" spans="1:9" hidden="1" x14ac:dyDescent="0.25">
      <c r="A3590" s="210" t="s">
        <v>1524</v>
      </c>
      <c r="B3590">
        <v>7531</v>
      </c>
      <c r="C3590" s="100">
        <v>46057</v>
      </c>
      <c r="D3590" t="s">
        <v>49</v>
      </c>
      <c r="E3590" t="s">
        <v>43</v>
      </c>
      <c r="F3590" t="s">
        <v>267</v>
      </c>
      <c r="G3590">
        <v>3624</v>
      </c>
      <c r="I3590">
        <v>0</v>
      </c>
    </row>
    <row r="3591" spans="1:9" hidden="1" x14ac:dyDescent="0.25">
      <c r="A3591" s="210" t="s">
        <v>1524</v>
      </c>
      <c r="B3591">
        <v>7531</v>
      </c>
      <c r="C3591" s="100">
        <v>46057</v>
      </c>
      <c r="D3591" t="s">
        <v>49</v>
      </c>
      <c r="E3591" t="s">
        <v>26</v>
      </c>
      <c r="F3591" t="s">
        <v>2457</v>
      </c>
      <c r="G3591">
        <v>1921</v>
      </c>
      <c r="I3591">
        <v>0</v>
      </c>
    </row>
    <row r="3592" spans="1:9" hidden="1" x14ac:dyDescent="0.25">
      <c r="A3592" s="210" t="s">
        <v>1524</v>
      </c>
      <c r="B3592">
        <v>7522</v>
      </c>
      <c r="C3592" s="100">
        <v>46056</v>
      </c>
      <c r="D3592" t="s">
        <v>49</v>
      </c>
      <c r="E3592" t="s">
        <v>17</v>
      </c>
      <c r="F3592" t="s">
        <v>469</v>
      </c>
      <c r="G3592">
        <v>8318</v>
      </c>
      <c r="I3592">
        <v>0</v>
      </c>
    </row>
    <row r="3593" spans="1:9" hidden="1" x14ac:dyDescent="0.25">
      <c r="A3593" s="210" t="s">
        <v>1596</v>
      </c>
      <c r="B3593">
        <v>7520</v>
      </c>
      <c r="C3593" s="100">
        <v>46056</v>
      </c>
      <c r="D3593" t="s">
        <v>49</v>
      </c>
      <c r="E3593" t="s">
        <v>143</v>
      </c>
      <c r="F3593" t="s">
        <v>146</v>
      </c>
      <c r="G3593">
        <v>837</v>
      </c>
      <c r="I3593">
        <v>0</v>
      </c>
    </row>
    <row r="3594" spans="1:9" hidden="1" x14ac:dyDescent="0.25">
      <c r="A3594" s="210" t="s">
        <v>1476</v>
      </c>
      <c r="B3594">
        <v>7519</v>
      </c>
      <c r="C3594" s="100">
        <v>46056</v>
      </c>
      <c r="D3594" t="s">
        <v>49</v>
      </c>
      <c r="E3594" t="s">
        <v>50</v>
      </c>
      <c r="F3594" t="s">
        <v>1094</v>
      </c>
      <c r="G3594">
        <v>234</v>
      </c>
      <c r="I3594">
        <v>0</v>
      </c>
    </row>
    <row r="3595" spans="1:9" hidden="1" x14ac:dyDescent="0.25">
      <c r="A3595" s="210" t="s">
        <v>1524</v>
      </c>
      <c r="B3595">
        <v>7512</v>
      </c>
      <c r="C3595" s="100">
        <v>46056</v>
      </c>
      <c r="D3595" t="s">
        <v>49</v>
      </c>
      <c r="E3595" t="s">
        <v>32</v>
      </c>
      <c r="F3595" t="s">
        <v>40</v>
      </c>
      <c r="G3595">
        <v>5040</v>
      </c>
      <c r="I3595">
        <v>0</v>
      </c>
    </row>
    <row r="3596" spans="1:9" hidden="1" x14ac:dyDescent="0.25">
      <c r="A3596" s="210" t="s">
        <v>1705</v>
      </c>
      <c r="B3596">
        <v>7509</v>
      </c>
      <c r="C3596" s="100">
        <v>46098</v>
      </c>
      <c r="D3596" t="s">
        <v>692</v>
      </c>
      <c r="E3596" t="s">
        <v>1302</v>
      </c>
      <c r="F3596" t="s">
        <v>1437</v>
      </c>
      <c r="G3596">
        <v>93</v>
      </c>
      <c r="H3596">
        <v>-122000</v>
      </c>
      <c r="I3596">
        <v>-11346000</v>
      </c>
    </row>
    <row r="3597" spans="1:9" hidden="1" x14ac:dyDescent="0.25">
      <c r="A3597" s="210" t="s">
        <v>1592</v>
      </c>
      <c r="B3597">
        <v>7507</v>
      </c>
      <c r="C3597" s="100">
        <v>46055</v>
      </c>
      <c r="D3597" t="s">
        <v>49</v>
      </c>
      <c r="E3597" t="s">
        <v>43</v>
      </c>
      <c r="F3597" t="s">
        <v>136</v>
      </c>
      <c r="G3597">
        <v>1490</v>
      </c>
      <c r="I3597">
        <v>0</v>
      </c>
    </row>
    <row r="3598" spans="1:9" hidden="1" x14ac:dyDescent="0.25">
      <c r="A3598" s="210" t="s">
        <v>1697</v>
      </c>
      <c r="B3598">
        <v>7500</v>
      </c>
      <c r="C3598" s="100">
        <v>46055</v>
      </c>
      <c r="D3598" t="s">
        <v>49</v>
      </c>
      <c r="E3598" t="s">
        <v>270</v>
      </c>
      <c r="F3598" t="s">
        <v>1322</v>
      </c>
      <c r="G3598">
        <v>11524</v>
      </c>
      <c r="I3598">
        <v>0</v>
      </c>
    </row>
    <row r="3599" spans="1:9" hidden="1" x14ac:dyDescent="0.25">
      <c r="A3599" s="210" t="s">
        <v>1524</v>
      </c>
      <c r="B3599">
        <v>7487</v>
      </c>
      <c r="C3599" s="100">
        <v>46055</v>
      </c>
      <c r="D3599" t="s">
        <v>49</v>
      </c>
      <c r="E3599" t="s">
        <v>43</v>
      </c>
      <c r="F3599" t="s">
        <v>41</v>
      </c>
      <c r="G3599">
        <v>1777</v>
      </c>
      <c r="I3599">
        <v>0</v>
      </c>
    </row>
    <row r="3600" spans="1:9" hidden="1" x14ac:dyDescent="0.25">
      <c r="A3600" s="210" t="s">
        <v>1524</v>
      </c>
      <c r="B3600">
        <v>7487</v>
      </c>
      <c r="C3600" s="100">
        <v>46055</v>
      </c>
      <c r="D3600" t="s">
        <v>49</v>
      </c>
      <c r="E3600" t="s">
        <v>43</v>
      </c>
      <c r="F3600" t="s">
        <v>146</v>
      </c>
      <c r="G3600">
        <v>2336</v>
      </c>
      <c r="I3600">
        <v>0</v>
      </c>
    </row>
    <row r="3601" spans="1:11" hidden="1" x14ac:dyDescent="0.25">
      <c r="A3601" s="210" t="s">
        <v>1524</v>
      </c>
      <c r="B3601">
        <v>7485</v>
      </c>
      <c r="C3601" s="100">
        <v>46053</v>
      </c>
      <c r="D3601" t="s">
        <v>49</v>
      </c>
      <c r="E3601" t="s">
        <v>17</v>
      </c>
      <c r="F3601" t="s">
        <v>25</v>
      </c>
      <c r="G3601">
        <v>2000</v>
      </c>
      <c r="I3601">
        <v>0</v>
      </c>
      <c r="K3601" t="s">
        <v>2468</v>
      </c>
    </row>
    <row r="3602" spans="1:11" hidden="1" x14ac:dyDescent="0.25">
      <c r="A3602" s="210" t="s">
        <v>1524</v>
      </c>
      <c r="B3602">
        <v>7485</v>
      </c>
      <c r="C3602" s="100">
        <v>46053</v>
      </c>
      <c r="D3602" t="s">
        <v>49</v>
      </c>
      <c r="E3602" t="s">
        <v>17</v>
      </c>
      <c r="F3602" t="s">
        <v>25</v>
      </c>
      <c r="G3602">
        <v>970</v>
      </c>
      <c r="I3602">
        <v>0</v>
      </c>
      <c r="K3602" t="s">
        <v>2469</v>
      </c>
    </row>
    <row r="3603" spans="1:11" hidden="1" x14ac:dyDescent="0.25">
      <c r="A3603" s="210" t="s">
        <v>1524</v>
      </c>
      <c r="B3603">
        <v>7485</v>
      </c>
      <c r="C3603" s="100">
        <v>46053</v>
      </c>
      <c r="D3603" t="s">
        <v>49</v>
      </c>
      <c r="E3603" t="s">
        <v>17</v>
      </c>
      <c r="F3603" t="s">
        <v>469</v>
      </c>
      <c r="G3603">
        <v>15032</v>
      </c>
      <c r="I3603">
        <v>0</v>
      </c>
      <c r="K3603" t="s">
        <v>2470</v>
      </c>
    </row>
    <row r="3604" spans="1:11" hidden="1" x14ac:dyDescent="0.25">
      <c r="A3604" s="210" t="s">
        <v>1532</v>
      </c>
      <c r="B3604">
        <v>7480</v>
      </c>
      <c r="C3604" s="100">
        <v>46052</v>
      </c>
      <c r="D3604" t="s">
        <v>49</v>
      </c>
      <c r="E3604" t="s">
        <v>143</v>
      </c>
      <c r="F3604" t="s">
        <v>469</v>
      </c>
      <c r="G3604">
        <v>55875</v>
      </c>
      <c r="I3604">
        <v>0</v>
      </c>
      <c r="K3604" t="s">
        <v>2467</v>
      </c>
    </row>
    <row r="3605" spans="1:11" hidden="1" x14ac:dyDescent="0.25">
      <c r="A3605" s="210" t="s">
        <v>1476</v>
      </c>
      <c r="B3605">
        <v>7459</v>
      </c>
      <c r="C3605" s="100">
        <v>46051</v>
      </c>
      <c r="D3605" t="s">
        <v>49</v>
      </c>
      <c r="E3605" t="s">
        <v>77</v>
      </c>
      <c r="F3605" t="s">
        <v>81</v>
      </c>
      <c r="G3605">
        <v>418</v>
      </c>
      <c r="I3605">
        <v>0</v>
      </c>
      <c r="K3605" t="s">
        <v>113</v>
      </c>
    </row>
    <row r="3606" spans="1:11" hidden="1" x14ac:dyDescent="0.25">
      <c r="A3606" s="210" t="s">
        <v>1524</v>
      </c>
      <c r="B3606">
        <v>7440</v>
      </c>
      <c r="C3606" s="100">
        <v>46050</v>
      </c>
      <c r="D3606" t="s">
        <v>49</v>
      </c>
      <c r="E3606" t="s">
        <v>26</v>
      </c>
      <c r="F3606" t="s">
        <v>782</v>
      </c>
      <c r="G3606">
        <v>2401</v>
      </c>
      <c r="I3606">
        <v>0</v>
      </c>
      <c r="K3606" t="s">
        <v>2465</v>
      </c>
    </row>
    <row r="3607" spans="1:11" hidden="1" x14ac:dyDescent="0.25">
      <c r="A3607" s="210" t="s">
        <v>1524</v>
      </c>
      <c r="B3607">
        <v>7440</v>
      </c>
      <c r="C3607" s="100">
        <v>46050</v>
      </c>
      <c r="D3607" t="s">
        <v>49</v>
      </c>
      <c r="E3607" t="s">
        <v>17</v>
      </c>
      <c r="F3607" t="s">
        <v>469</v>
      </c>
      <c r="G3607">
        <v>6406</v>
      </c>
      <c r="I3607">
        <v>0</v>
      </c>
      <c r="K3607" t="s">
        <v>2466</v>
      </c>
    </row>
    <row r="3608" spans="1:11" hidden="1" x14ac:dyDescent="0.25">
      <c r="A3608" s="210" t="s">
        <v>1705</v>
      </c>
      <c r="B3608">
        <v>7440</v>
      </c>
      <c r="C3608" s="100">
        <v>46093</v>
      </c>
      <c r="D3608" t="s">
        <v>692</v>
      </c>
      <c r="E3608" t="s">
        <v>1433</v>
      </c>
      <c r="F3608" t="s">
        <v>1434</v>
      </c>
      <c r="G3608">
        <v>115</v>
      </c>
      <c r="H3608">
        <v>-185000</v>
      </c>
      <c r="I3608">
        <v>-21275000</v>
      </c>
    </row>
    <row r="3609" spans="1:11" hidden="1" x14ac:dyDescent="0.25">
      <c r="A3609" s="210" t="s">
        <v>1705</v>
      </c>
      <c r="B3609">
        <v>7440</v>
      </c>
      <c r="C3609" s="100">
        <v>46093</v>
      </c>
      <c r="D3609" t="s">
        <v>692</v>
      </c>
      <c r="E3609" t="s">
        <v>1435</v>
      </c>
      <c r="F3609" t="s">
        <v>1436</v>
      </c>
      <c r="G3609">
        <v>65</v>
      </c>
      <c r="H3609">
        <v>-112000</v>
      </c>
      <c r="I3609">
        <v>-7280000</v>
      </c>
    </row>
    <row r="3610" spans="1:11" hidden="1" x14ac:dyDescent="0.25">
      <c r="A3610" s="210" t="s">
        <v>1524</v>
      </c>
      <c r="B3610">
        <v>7433</v>
      </c>
      <c r="C3610" s="100">
        <v>46050</v>
      </c>
      <c r="D3610" t="s">
        <v>49</v>
      </c>
      <c r="E3610" t="s">
        <v>301</v>
      </c>
      <c r="F3610" t="s">
        <v>2461</v>
      </c>
      <c r="G3610">
        <v>1326</v>
      </c>
      <c r="I3610">
        <v>0</v>
      </c>
      <c r="K3610" t="s">
        <v>2462</v>
      </c>
    </row>
    <row r="3611" spans="1:11" hidden="1" x14ac:dyDescent="0.25">
      <c r="A3611" s="210" t="s">
        <v>1524</v>
      </c>
      <c r="B3611">
        <v>7433</v>
      </c>
      <c r="C3611" s="100">
        <v>46050</v>
      </c>
      <c r="D3611" t="s">
        <v>49</v>
      </c>
      <c r="E3611" t="s">
        <v>301</v>
      </c>
      <c r="F3611" t="s">
        <v>2463</v>
      </c>
      <c r="G3611">
        <v>1204</v>
      </c>
      <c r="I3611">
        <v>0</v>
      </c>
      <c r="K3611" t="s">
        <v>2464</v>
      </c>
    </row>
    <row r="3612" spans="1:11" hidden="1" x14ac:dyDescent="0.25">
      <c r="A3612" s="210" t="s">
        <v>1524</v>
      </c>
      <c r="B3612">
        <v>7414</v>
      </c>
      <c r="C3612" s="100">
        <v>46049</v>
      </c>
      <c r="D3612" t="s">
        <v>49</v>
      </c>
      <c r="E3612" t="s">
        <v>17</v>
      </c>
      <c r="F3612" t="s">
        <v>134</v>
      </c>
      <c r="G3612">
        <v>2761</v>
      </c>
      <c r="I3612">
        <v>0</v>
      </c>
      <c r="K3612" t="s">
        <v>2459</v>
      </c>
    </row>
    <row r="3613" spans="1:11" hidden="1" x14ac:dyDescent="0.25">
      <c r="A3613" s="210" t="s">
        <v>1524</v>
      </c>
      <c r="B3613">
        <v>7406</v>
      </c>
      <c r="C3613" s="100">
        <v>46049</v>
      </c>
      <c r="D3613" t="s">
        <v>49</v>
      </c>
      <c r="E3613" t="s">
        <v>26</v>
      </c>
      <c r="F3613" t="s">
        <v>2457</v>
      </c>
      <c r="G3613">
        <v>4697</v>
      </c>
      <c r="I3613">
        <v>0</v>
      </c>
      <c r="K3613" t="s">
        <v>2458</v>
      </c>
    </row>
    <row r="3614" spans="1:11" hidden="1" x14ac:dyDescent="0.25">
      <c r="A3614" s="210" t="s">
        <v>1476</v>
      </c>
      <c r="B3614">
        <v>7402</v>
      </c>
      <c r="C3614" s="100">
        <v>46049</v>
      </c>
      <c r="D3614" t="s">
        <v>49</v>
      </c>
      <c r="E3614" t="s">
        <v>50</v>
      </c>
      <c r="F3614" t="s">
        <v>2456</v>
      </c>
      <c r="I3614">
        <v>0</v>
      </c>
      <c r="K3614" t="s">
        <v>66</v>
      </c>
    </row>
    <row r="3615" spans="1:11" hidden="1" x14ac:dyDescent="0.25">
      <c r="A3615" s="210" t="s">
        <v>1476</v>
      </c>
      <c r="B3615">
        <v>7402</v>
      </c>
      <c r="C3615" s="100">
        <v>46049</v>
      </c>
      <c r="D3615" t="s">
        <v>49</v>
      </c>
      <c r="E3615" t="s">
        <v>50</v>
      </c>
      <c r="F3615" t="s">
        <v>2455</v>
      </c>
      <c r="I3615">
        <v>0</v>
      </c>
    </row>
    <row r="3616" spans="1:11" hidden="1" x14ac:dyDescent="0.25">
      <c r="A3616" s="210" t="s">
        <v>1524</v>
      </c>
      <c r="B3616">
        <v>7401</v>
      </c>
      <c r="C3616" s="100">
        <v>46048</v>
      </c>
      <c r="D3616" t="s">
        <v>49</v>
      </c>
      <c r="E3616" t="s">
        <v>43</v>
      </c>
      <c r="F3616" t="s">
        <v>41</v>
      </c>
      <c r="G3616">
        <v>882</v>
      </c>
      <c r="I3616">
        <v>0</v>
      </c>
      <c r="K3616" t="s">
        <v>1740</v>
      </c>
    </row>
    <row r="3617" spans="1:11" hidden="1" x14ac:dyDescent="0.25">
      <c r="A3617" s="210" t="s">
        <v>1697</v>
      </c>
      <c r="B3617">
        <v>7390</v>
      </c>
      <c r="C3617" s="100">
        <v>46048</v>
      </c>
      <c r="D3617" t="s">
        <v>49</v>
      </c>
      <c r="E3617" t="s">
        <v>442</v>
      </c>
      <c r="F3617" t="s">
        <v>1322</v>
      </c>
      <c r="G3617">
        <v>11524</v>
      </c>
      <c r="I3617">
        <v>0</v>
      </c>
    </row>
    <row r="3618" spans="1:11" hidden="1" x14ac:dyDescent="0.25">
      <c r="A3618" s="210" t="s">
        <v>1524</v>
      </c>
      <c r="B3618">
        <v>7387</v>
      </c>
      <c r="C3618" s="100">
        <v>46048</v>
      </c>
      <c r="D3618" t="s">
        <v>49</v>
      </c>
      <c r="E3618" t="s">
        <v>660</v>
      </c>
      <c r="F3618" t="s">
        <v>793</v>
      </c>
      <c r="G3618">
        <v>1282</v>
      </c>
      <c r="I3618">
        <v>0</v>
      </c>
      <c r="K3618" t="s">
        <v>2452</v>
      </c>
    </row>
    <row r="3619" spans="1:11" hidden="1" x14ac:dyDescent="0.25">
      <c r="A3619" s="210" t="s">
        <v>1524</v>
      </c>
      <c r="B3619">
        <v>7387</v>
      </c>
      <c r="C3619" s="100">
        <v>46048</v>
      </c>
      <c r="D3619" t="s">
        <v>49</v>
      </c>
      <c r="E3619" t="s">
        <v>841</v>
      </c>
      <c r="F3619" t="s">
        <v>2453</v>
      </c>
      <c r="G3619">
        <v>2987</v>
      </c>
      <c r="I3619">
        <v>0</v>
      </c>
      <c r="K3619" t="s">
        <v>2454</v>
      </c>
    </row>
    <row r="3620" spans="1:11" hidden="1" x14ac:dyDescent="0.25">
      <c r="A3620" s="210" t="s">
        <v>1697</v>
      </c>
      <c r="B3620">
        <v>7345</v>
      </c>
      <c r="C3620" s="100">
        <v>46045</v>
      </c>
      <c r="D3620" t="s">
        <v>49</v>
      </c>
      <c r="E3620" t="s">
        <v>442</v>
      </c>
      <c r="F3620" t="s">
        <v>2450</v>
      </c>
      <c r="G3620">
        <v>11856</v>
      </c>
      <c r="I3620">
        <v>0</v>
      </c>
      <c r="K3620" t="s">
        <v>2451</v>
      </c>
    </row>
    <row r="3621" spans="1:11" hidden="1" x14ac:dyDescent="0.25">
      <c r="A3621" s="210" t="s">
        <v>1524</v>
      </c>
      <c r="B3621">
        <v>7339</v>
      </c>
      <c r="C3621" s="100">
        <v>46045</v>
      </c>
      <c r="D3621" t="s">
        <v>49</v>
      </c>
      <c r="E3621" t="s">
        <v>841</v>
      </c>
      <c r="F3621" t="s">
        <v>2447</v>
      </c>
      <c r="G3621">
        <v>330</v>
      </c>
      <c r="I3621">
        <v>0</v>
      </c>
      <c r="K3621" t="s">
        <v>2448</v>
      </c>
    </row>
    <row r="3622" spans="1:11" hidden="1" x14ac:dyDescent="0.25">
      <c r="A3622" s="210" t="s">
        <v>1524</v>
      </c>
      <c r="B3622">
        <v>7339</v>
      </c>
      <c r="C3622" s="100">
        <v>46045</v>
      </c>
      <c r="D3622" t="s">
        <v>49</v>
      </c>
      <c r="E3622" t="s">
        <v>17</v>
      </c>
      <c r="F3622" t="s">
        <v>482</v>
      </c>
      <c r="G3622">
        <v>5530</v>
      </c>
      <c r="I3622">
        <v>0</v>
      </c>
      <c r="K3622" t="s">
        <v>2449</v>
      </c>
    </row>
    <row r="3623" spans="1:11" hidden="1" x14ac:dyDescent="0.25">
      <c r="A3623" s="210" t="s">
        <v>1592</v>
      </c>
      <c r="B3623">
        <v>7336</v>
      </c>
      <c r="C3623" s="100">
        <v>46045</v>
      </c>
      <c r="D3623" t="s">
        <v>49</v>
      </c>
      <c r="E3623" t="s">
        <v>252</v>
      </c>
      <c r="F3623" t="s">
        <v>136</v>
      </c>
      <c r="G3623">
        <v>5222</v>
      </c>
      <c r="I3623">
        <v>0</v>
      </c>
      <c r="K3623" t="s">
        <v>2446</v>
      </c>
    </row>
    <row r="3624" spans="1:11" hidden="1" x14ac:dyDescent="0.25">
      <c r="A3624" s="210" t="s">
        <v>1524</v>
      </c>
      <c r="B3624">
        <v>7331</v>
      </c>
      <c r="C3624" s="100">
        <v>46044</v>
      </c>
      <c r="D3624" t="s">
        <v>49</v>
      </c>
      <c r="E3624" t="s">
        <v>1048</v>
      </c>
      <c r="F3624" t="s">
        <v>148</v>
      </c>
      <c r="G3624">
        <v>6166</v>
      </c>
      <c r="I3624">
        <v>0</v>
      </c>
      <c r="K3624" t="s">
        <v>2445</v>
      </c>
    </row>
    <row r="3625" spans="1:11" hidden="1" x14ac:dyDescent="0.25">
      <c r="A3625" s="210" t="s">
        <v>1524</v>
      </c>
      <c r="B3625">
        <v>7317</v>
      </c>
      <c r="C3625" s="100">
        <v>46044</v>
      </c>
      <c r="D3625" t="s">
        <v>49</v>
      </c>
      <c r="E3625" t="s">
        <v>26</v>
      </c>
      <c r="F3625" t="s">
        <v>41</v>
      </c>
      <c r="G3625">
        <v>424</v>
      </c>
      <c r="I3625">
        <v>0</v>
      </c>
      <c r="K3625" t="s">
        <v>2444</v>
      </c>
    </row>
    <row r="3626" spans="1:11" hidden="1" x14ac:dyDescent="0.25">
      <c r="A3626" s="210" t="s">
        <v>1524</v>
      </c>
      <c r="B3626">
        <v>7313</v>
      </c>
      <c r="C3626" s="100">
        <v>46044</v>
      </c>
      <c r="D3626" t="s">
        <v>49</v>
      </c>
      <c r="E3626" t="s">
        <v>17</v>
      </c>
      <c r="F3626" t="s">
        <v>254</v>
      </c>
      <c r="G3626">
        <v>1224</v>
      </c>
      <c r="I3626">
        <v>0</v>
      </c>
      <c r="K3626" t="s">
        <v>2439</v>
      </c>
    </row>
    <row r="3627" spans="1:11" hidden="1" x14ac:dyDescent="0.25">
      <c r="A3627" s="210" t="s">
        <v>1524</v>
      </c>
      <c r="B3627">
        <v>7313</v>
      </c>
      <c r="C3627" s="100">
        <v>46044</v>
      </c>
      <c r="D3627" t="s">
        <v>49</v>
      </c>
      <c r="E3627" t="s">
        <v>17</v>
      </c>
      <c r="F3627" t="s">
        <v>2440</v>
      </c>
      <c r="G3627">
        <v>1002</v>
      </c>
      <c r="I3627">
        <v>0</v>
      </c>
      <c r="K3627" t="s">
        <v>2441</v>
      </c>
    </row>
    <row r="3628" spans="1:11" hidden="1" x14ac:dyDescent="0.25">
      <c r="A3628" s="210" t="s">
        <v>1524</v>
      </c>
      <c r="B3628">
        <v>7313</v>
      </c>
      <c r="C3628" s="100">
        <v>46044</v>
      </c>
      <c r="D3628" t="s">
        <v>49</v>
      </c>
      <c r="E3628" t="s">
        <v>301</v>
      </c>
      <c r="F3628" t="s">
        <v>2442</v>
      </c>
      <c r="G3628">
        <v>2008</v>
      </c>
      <c r="I3628">
        <v>0</v>
      </c>
      <c r="K3628" t="s">
        <v>2443</v>
      </c>
    </row>
    <row r="3629" spans="1:11" hidden="1" x14ac:dyDescent="0.25">
      <c r="A3629" s="210" t="s">
        <v>1476</v>
      </c>
      <c r="B3629">
        <v>7311</v>
      </c>
      <c r="C3629" s="100">
        <v>46044</v>
      </c>
      <c r="D3629" t="s">
        <v>49</v>
      </c>
      <c r="E3629" t="s">
        <v>50</v>
      </c>
      <c r="F3629" t="s">
        <v>73</v>
      </c>
      <c r="G3629">
        <v>1154</v>
      </c>
      <c r="I3629">
        <v>0</v>
      </c>
      <c r="K3629" t="s">
        <v>64</v>
      </c>
    </row>
    <row r="3630" spans="1:11" hidden="1" x14ac:dyDescent="0.25">
      <c r="A3630" s="210" t="s">
        <v>1524</v>
      </c>
      <c r="B3630">
        <v>7310</v>
      </c>
      <c r="C3630" s="100">
        <v>46043</v>
      </c>
      <c r="D3630" t="s">
        <v>49</v>
      </c>
      <c r="E3630" t="s">
        <v>26</v>
      </c>
      <c r="F3630" t="s">
        <v>2437</v>
      </c>
      <c r="G3630">
        <v>4750</v>
      </c>
      <c r="I3630">
        <v>0</v>
      </c>
      <c r="K3630" t="s">
        <v>2438</v>
      </c>
    </row>
    <row r="3631" spans="1:11" hidden="1" x14ac:dyDescent="0.25">
      <c r="A3631" s="210" t="s">
        <v>1596</v>
      </c>
      <c r="B3631">
        <v>7309</v>
      </c>
      <c r="C3631" s="100">
        <v>46044</v>
      </c>
      <c r="D3631" t="s">
        <v>49</v>
      </c>
      <c r="E3631" t="s">
        <v>841</v>
      </c>
      <c r="F3631" t="s">
        <v>2435</v>
      </c>
      <c r="G3631">
        <v>1382</v>
      </c>
      <c r="I3631">
        <v>0</v>
      </c>
      <c r="K3631" t="s">
        <v>2436</v>
      </c>
    </row>
    <row r="3632" spans="1:11" hidden="1" x14ac:dyDescent="0.25">
      <c r="A3632" s="210" t="s">
        <v>1524</v>
      </c>
      <c r="B3632">
        <v>7306</v>
      </c>
      <c r="C3632" s="100">
        <v>46043</v>
      </c>
      <c r="D3632" t="s">
        <v>49</v>
      </c>
      <c r="E3632" t="s">
        <v>43</v>
      </c>
      <c r="F3632" t="s">
        <v>134</v>
      </c>
      <c r="G3632">
        <v>940</v>
      </c>
      <c r="I3632">
        <v>0</v>
      </c>
      <c r="K3632" t="s">
        <v>1740</v>
      </c>
    </row>
    <row r="3633" spans="1:11" hidden="1" x14ac:dyDescent="0.25">
      <c r="A3633" s="210" t="s">
        <v>1524</v>
      </c>
      <c r="B3633">
        <v>7306</v>
      </c>
      <c r="C3633" s="100">
        <v>46043</v>
      </c>
      <c r="D3633" t="s">
        <v>49</v>
      </c>
      <c r="E3633" t="s">
        <v>43</v>
      </c>
      <c r="F3633" t="s">
        <v>134</v>
      </c>
      <c r="G3633">
        <v>2726</v>
      </c>
      <c r="I3633">
        <v>0</v>
      </c>
    </row>
    <row r="3634" spans="1:11" hidden="1" x14ac:dyDescent="0.25">
      <c r="A3634" s="210" t="s">
        <v>1524</v>
      </c>
      <c r="B3634">
        <v>7293</v>
      </c>
      <c r="C3634" s="100">
        <v>46042</v>
      </c>
      <c r="D3634" t="s">
        <v>49</v>
      </c>
      <c r="E3634" t="s">
        <v>26</v>
      </c>
      <c r="F3634" t="s">
        <v>40</v>
      </c>
      <c r="G3634">
        <v>3818</v>
      </c>
      <c r="I3634">
        <v>0</v>
      </c>
      <c r="K3634" t="s">
        <v>2434</v>
      </c>
    </row>
    <row r="3635" spans="1:11" hidden="1" x14ac:dyDescent="0.25">
      <c r="A3635" s="210" t="s">
        <v>1524</v>
      </c>
      <c r="B3635">
        <v>7292</v>
      </c>
      <c r="C3635" s="100">
        <v>46042</v>
      </c>
      <c r="D3635" t="s">
        <v>49</v>
      </c>
      <c r="E3635" t="s">
        <v>143</v>
      </c>
      <c r="F3635" t="s">
        <v>251</v>
      </c>
      <c r="G3635">
        <v>404</v>
      </c>
      <c r="I3635">
        <v>0</v>
      </c>
      <c r="K3635" t="s">
        <v>1740</v>
      </c>
    </row>
    <row r="3636" spans="1:11" hidden="1" x14ac:dyDescent="0.25">
      <c r="A3636" s="210" t="s">
        <v>1524</v>
      </c>
      <c r="B3636">
        <v>7292</v>
      </c>
      <c r="C3636" s="100">
        <v>46042</v>
      </c>
      <c r="D3636" t="s">
        <v>49</v>
      </c>
      <c r="E3636" t="s">
        <v>43</v>
      </c>
      <c r="F3636" t="s">
        <v>41</v>
      </c>
      <c r="G3636">
        <v>582</v>
      </c>
      <c r="I3636">
        <v>0</v>
      </c>
      <c r="K3636" t="s">
        <v>1740</v>
      </c>
    </row>
    <row r="3637" spans="1:11" hidden="1" x14ac:dyDescent="0.25">
      <c r="A3637" s="210" t="s">
        <v>1532</v>
      </c>
      <c r="B3637">
        <v>7252</v>
      </c>
      <c r="C3637" s="100">
        <v>46041</v>
      </c>
      <c r="D3637" t="s">
        <v>49</v>
      </c>
      <c r="E3637" t="s">
        <v>17</v>
      </c>
      <c r="F3637" t="s">
        <v>78</v>
      </c>
      <c r="G3637">
        <v>17434</v>
      </c>
      <c r="I3637">
        <v>0</v>
      </c>
      <c r="K3637" t="s">
        <v>2433</v>
      </c>
    </row>
    <row r="3638" spans="1:11" hidden="1" x14ac:dyDescent="0.25">
      <c r="A3638" s="210" t="s">
        <v>1476</v>
      </c>
      <c r="B3638">
        <v>7250</v>
      </c>
      <c r="C3638" s="100">
        <v>46041</v>
      </c>
      <c r="D3638" t="s">
        <v>49</v>
      </c>
      <c r="E3638" t="s">
        <v>50</v>
      </c>
      <c r="F3638" t="s">
        <v>438</v>
      </c>
      <c r="G3638">
        <v>270</v>
      </c>
      <c r="I3638">
        <v>0</v>
      </c>
      <c r="K3638" t="s">
        <v>64</v>
      </c>
    </row>
    <row r="3639" spans="1:11" hidden="1" x14ac:dyDescent="0.25">
      <c r="A3639" s="210" t="s">
        <v>1476</v>
      </c>
      <c r="B3639">
        <v>7250</v>
      </c>
      <c r="C3639" s="100">
        <v>46041</v>
      </c>
      <c r="D3639" t="s">
        <v>49</v>
      </c>
      <c r="E3639" t="s">
        <v>50</v>
      </c>
      <c r="F3639" t="s">
        <v>153</v>
      </c>
      <c r="G3639">
        <v>574</v>
      </c>
      <c r="I3639">
        <v>0</v>
      </c>
      <c r="K3639" t="s">
        <v>64</v>
      </c>
    </row>
    <row r="3640" spans="1:11" hidden="1" x14ac:dyDescent="0.25">
      <c r="A3640" s="210" t="s">
        <v>1524</v>
      </c>
      <c r="B3640">
        <v>7246</v>
      </c>
      <c r="C3640" s="100">
        <v>46039</v>
      </c>
      <c r="D3640" t="s">
        <v>49</v>
      </c>
      <c r="E3640" t="s">
        <v>301</v>
      </c>
      <c r="F3640" t="s">
        <v>2430</v>
      </c>
      <c r="G3640">
        <v>3426</v>
      </c>
      <c r="I3640">
        <v>0</v>
      </c>
      <c r="K3640" t="s">
        <v>2431</v>
      </c>
    </row>
    <row r="3641" spans="1:11" hidden="1" x14ac:dyDescent="0.25">
      <c r="A3641" s="210" t="s">
        <v>1524</v>
      </c>
      <c r="B3641">
        <v>7246</v>
      </c>
      <c r="C3641" s="100">
        <v>46039</v>
      </c>
      <c r="D3641" t="s">
        <v>49</v>
      </c>
      <c r="E3641" t="s">
        <v>17</v>
      </c>
      <c r="F3641" t="s">
        <v>40</v>
      </c>
      <c r="G3641">
        <v>6200</v>
      </c>
      <c r="I3641">
        <v>0</v>
      </c>
      <c r="K3641" t="s">
        <v>2432</v>
      </c>
    </row>
    <row r="3642" spans="1:11" hidden="1" x14ac:dyDescent="0.25">
      <c r="A3642" s="210" t="s">
        <v>1476</v>
      </c>
      <c r="B3642">
        <v>7224</v>
      </c>
      <c r="C3642" s="100">
        <v>46039</v>
      </c>
      <c r="D3642" t="s">
        <v>49</v>
      </c>
      <c r="E3642" t="s">
        <v>50</v>
      </c>
      <c r="F3642" t="s">
        <v>117</v>
      </c>
      <c r="G3642">
        <v>494</v>
      </c>
      <c r="I3642">
        <v>0</v>
      </c>
      <c r="K3642" t="s">
        <v>66</v>
      </c>
    </row>
    <row r="3643" spans="1:11" hidden="1" x14ac:dyDescent="0.25">
      <c r="A3643" s="210" t="s">
        <v>1524</v>
      </c>
      <c r="B3643">
        <v>7205</v>
      </c>
      <c r="C3643" s="100">
        <v>46038</v>
      </c>
      <c r="D3643" t="s">
        <v>49</v>
      </c>
      <c r="E3643" t="s">
        <v>43</v>
      </c>
      <c r="F3643" t="s">
        <v>134</v>
      </c>
      <c r="G3643">
        <v>1068</v>
      </c>
      <c r="I3643">
        <v>0</v>
      </c>
      <c r="K3643" t="s">
        <v>1740</v>
      </c>
    </row>
    <row r="3644" spans="1:11" hidden="1" x14ac:dyDescent="0.25">
      <c r="A3644" s="210" t="s">
        <v>1524</v>
      </c>
      <c r="B3644">
        <v>7199</v>
      </c>
      <c r="C3644" s="100">
        <v>46037</v>
      </c>
      <c r="D3644" t="s">
        <v>49</v>
      </c>
      <c r="E3644" t="s">
        <v>45</v>
      </c>
      <c r="F3644" t="s">
        <v>40</v>
      </c>
      <c r="G3644">
        <v>2212</v>
      </c>
      <c r="I3644">
        <v>0</v>
      </c>
      <c r="K3644" t="s">
        <v>2429</v>
      </c>
    </row>
    <row r="3645" spans="1:11" hidden="1" x14ac:dyDescent="0.25">
      <c r="A3645" s="210" t="s">
        <v>1524</v>
      </c>
      <c r="B3645">
        <v>7194</v>
      </c>
      <c r="C3645" s="100">
        <v>46037</v>
      </c>
      <c r="D3645" t="s">
        <v>49</v>
      </c>
      <c r="E3645" t="s">
        <v>17</v>
      </c>
      <c r="F3645" t="s">
        <v>78</v>
      </c>
      <c r="G3645">
        <v>1517</v>
      </c>
      <c r="I3645">
        <v>0</v>
      </c>
      <c r="K3645" t="s">
        <v>2428</v>
      </c>
    </row>
    <row r="3646" spans="1:11" hidden="1" x14ac:dyDescent="0.25">
      <c r="A3646" s="210" t="s">
        <v>1524</v>
      </c>
      <c r="B3646">
        <v>7194</v>
      </c>
      <c r="C3646" s="100">
        <v>46037</v>
      </c>
      <c r="D3646" t="s">
        <v>49</v>
      </c>
      <c r="E3646" t="s">
        <v>17</v>
      </c>
      <c r="F3646" t="s">
        <v>78</v>
      </c>
      <c r="G3646">
        <v>1040</v>
      </c>
      <c r="I3646">
        <v>0</v>
      </c>
    </row>
    <row r="3647" spans="1:11" hidden="1" x14ac:dyDescent="0.25">
      <c r="A3647" s="210" t="s">
        <v>1524</v>
      </c>
      <c r="B3647">
        <v>7188</v>
      </c>
      <c r="C3647" s="100">
        <v>46037</v>
      </c>
      <c r="D3647" t="s">
        <v>49</v>
      </c>
      <c r="E3647" t="s">
        <v>17</v>
      </c>
      <c r="F3647" t="s">
        <v>2426</v>
      </c>
      <c r="G3647">
        <v>2588</v>
      </c>
      <c r="I3647">
        <v>0</v>
      </c>
      <c r="K3647" t="s">
        <v>2427</v>
      </c>
    </row>
    <row r="3648" spans="1:11" hidden="1" x14ac:dyDescent="0.25">
      <c r="A3648" s="210" t="s">
        <v>1476</v>
      </c>
      <c r="B3648">
        <v>7183</v>
      </c>
      <c r="C3648" s="100">
        <v>46037</v>
      </c>
      <c r="D3648" t="s">
        <v>49</v>
      </c>
      <c r="E3648" t="s">
        <v>50</v>
      </c>
      <c r="F3648" t="s">
        <v>2425</v>
      </c>
      <c r="G3648">
        <v>644</v>
      </c>
      <c r="I3648">
        <v>0</v>
      </c>
      <c r="K3648" t="s">
        <v>66</v>
      </c>
    </row>
    <row r="3649" spans="1:11" hidden="1" x14ac:dyDescent="0.25">
      <c r="A3649" s="210" t="s">
        <v>1524</v>
      </c>
      <c r="B3649">
        <v>7181</v>
      </c>
      <c r="C3649" s="100">
        <v>46037</v>
      </c>
      <c r="D3649" t="s">
        <v>49</v>
      </c>
      <c r="E3649" t="s">
        <v>43</v>
      </c>
      <c r="F3649" t="s">
        <v>251</v>
      </c>
      <c r="G3649">
        <v>3310</v>
      </c>
      <c r="I3649">
        <v>0</v>
      </c>
      <c r="K3649" t="s">
        <v>2415</v>
      </c>
    </row>
    <row r="3650" spans="1:11" hidden="1" x14ac:dyDescent="0.25">
      <c r="A3650" s="210" t="s">
        <v>1524</v>
      </c>
      <c r="B3650">
        <v>7173</v>
      </c>
      <c r="C3650" s="100">
        <v>46036</v>
      </c>
      <c r="D3650" t="s">
        <v>49</v>
      </c>
      <c r="E3650" t="s">
        <v>301</v>
      </c>
      <c r="F3650" t="s">
        <v>2423</v>
      </c>
      <c r="G3650">
        <v>5238</v>
      </c>
      <c r="I3650">
        <v>0</v>
      </c>
      <c r="K3650" t="s">
        <v>2424</v>
      </c>
    </row>
    <row r="3651" spans="1:11" hidden="1" x14ac:dyDescent="0.25">
      <c r="A3651" s="210" t="s">
        <v>1476</v>
      </c>
      <c r="B3651">
        <v>7156</v>
      </c>
      <c r="C3651" s="100">
        <v>46035</v>
      </c>
      <c r="D3651" t="s">
        <v>49</v>
      </c>
      <c r="E3651" t="s">
        <v>50</v>
      </c>
      <c r="F3651" t="s">
        <v>2419</v>
      </c>
      <c r="I3651">
        <v>0</v>
      </c>
      <c r="K3651" t="s">
        <v>2421</v>
      </c>
    </row>
    <row r="3652" spans="1:11" hidden="1" x14ac:dyDescent="0.25">
      <c r="A3652" s="210" t="s">
        <v>1476</v>
      </c>
      <c r="B3652">
        <v>7156</v>
      </c>
      <c r="C3652" s="100">
        <v>46035</v>
      </c>
      <c r="D3652" t="s">
        <v>49</v>
      </c>
      <c r="E3652" t="s">
        <v>50</v>
      </c>
      <c r="F3652" t="s">
        <v>2420</v>
      </c>
      <c r="I3652">
        <v>0</v>
      </c>
      <c r="K3652" t="s">
        <v>2421</v>
      </c>
    </row>
    <row r="3653" spans="1:11" hidden="1" x14ac:dyDescent="0.25">
      <c r="A3653" s="210" t="s">
        <v>1476</v>
      </c>
      <c r="B3653">
        <v>7156</v>
      </c>
      <c r="C3653" s="100">
        <v>46035</v>
      </c>
      <c r="D3653" t="s">
        <v>49</v>
      </c>
      <c r="E3653" t="s">
        <v>50</v>
      </c>
      <c r="F3653" t="s">
        <v>2422</v>
      </c>
      <c r="I3653">
        <v>0</v>
      </c>
      <c r="K3653" t="s">
        <v>2421</v>
      </c>
    </row>
    <row r="3654" spans="1:11" hidden="1" x14ac:dyDescent="0.25">
      <c r="A3654" s="210" t="s">
        <v>1524</v>
      </c>
      <c r="B3654">
        <v>7153</v>
      </c>
      <c r="C3654" s="100">
        <v>46035</v>
      </c>
      <c r="D3654" t="s">
        <v>49</v>
      </c>
      <c r="E3654" t="s">
        <v>45</v>
      </c>
      <c r="F3654" t="s">
        <v>462</v>
      </c>
      <c r="G3654">
        <v>3790</v>
      </c>
      <c r="I3654">
        <v>0</v>
      </c>
      <c r="K3654" t="s">
        <v>2416</v>
      </c>
    </row>
    <row r="3655" spans="1:11" hidden="1" x14ac:dyDescent="0.25">
      <c r="A3655" s="210" t="s">
        <v>1524</v>
      </c>
      <c r="B3655">
        <v>7153</v>
      </c>
      <c r="C3655" s="100">
        <v>46035</v>
      </c>
      <c r="D3655" t="s">
        <v>49</v>
      </c>
      <c r="E3655" t="s">
        <v>940</v>
      </c>
      <c r="F3655" t="s">
        <v>2417</v>
      </c>
      <c r="G3655">
        <v>2706</v>
      </c>
      <c r="I3655">
        <v>0</v>
      </c>
      <c r="K3655" t="s">
        <v>2418</v>
      </c>
    </row>
    <row r="3656" spans="1:11" hidden="1" x14ac:dyDescent="0.25">
      <c r="A3656" s="210" t="s">
        <v>1697</v>
      </c>
      <c r="B3656">
        <v>7151</v>
      </c>
      <c r="C3656" s="100">
        <v>46035</v>
      </c>
      <c r="D3656" t="s">
        <v>49</v>
      </c>
      <c r="E3656" t="s">
        <v>442</v>
      </c>
      <c r="F3656" t="s">
        <v>1397</v>
      </c>
      <c r="G3656">
        <v>12000</v>
      </c>
      <c r="I3656">
        <v>0</v>
      </c>
    </row>
    <row r="3657" spans="1:11" hidden="1" x14ac:dyDescent="0.25">
      <c r="A3657" s="210" t="s">
        <v>1524</v>
      </c>
      <c r="B3657">
        <v>7132</v>
      </c>
      <c r="C3657" s="100">
        <v>46034</v>
      </c>
      <c r="D3657" t="s">
        <v>49</v>
      </c>
      <c r="E3657" t="s">
        <v>43</v>
      </c>
      <c r="F3657" t="s">
        <v>41</v>
      </c>
      <c r="G3657">
        <v>5398</v>
      </c>
      <c r="I3657">
        <v>0</v>
      </c>
      <c r="K3657" t="s">
        <v>2415</v>
      </c>
    </row>
    <row r="3658" spans="1:11" hidden="1" x14ac:dyDescent="0.25">
      <c r="A3658" s="210" t="s">
        <v>1697</v>
      </c>
      <c r="B3658">
        <v>7118</v>
      </c>
      <c r="C3658" s="100">
        <v>46034</v>
      </c>
      <c r="D3658" t="s">
        <v>49</v>
      </c>
      <c r="E3658" t="s">
        <v>442</v>
      </c>
      <c r="F3658" t="s">
        <v>2411</v>
      </c>
      <c r="G3658">
        <v>12038</v>
      </c>
      <c r="I3658">
        <v>0</v>
      </c>
      <c r="K3658" t="s">
        <v>2412</v>
      </c>
    </row>
    <row r="3659" spans="1:11" hidden="1" x14ac:dyDescent="0.25">
      <c r="A3659" s="210" t="s">
        <v>1697</v>
      </c>
      <c r="B3659">
        <v>7118</v>
      </c>
      <c r="C3659" s="100">
        <v>46034</v>
      </c>
      <c r="D3659" t="s">
        <v>49</v>
      </c>
      <c r="E3659" t="s">
        <v>442</v>
      </c>
      <c r="F3659" t="s">
        <v>2413</v>
      </c>
      <c r="G3659">
        <v>12066</v>
      </c>
      <c r="I3659">
        <v>0</v>
      </c>
      <c r="K3659" t="s">
        <v>2414</v>
      </c>
    </row>
    <row r="3660" spans="1:11" hidden="1" x14ac:dyDescent="0.25">
      <c r="A3660" s="210" t="s">
        <v>1524</v>
      </c>
      <c r="B3660">
        <v>7095</v>
      </c>
      <c r="C3660" s="100">
        <v>46032</v>
      </c>
      <c r="D3660" t="s">
        <v>49</v>
      </c>
      <c r="E3660" t="s">
        <v>45</v>
      </c>
      <c r="F3660" t="s">
        <v>487</v>
      </c>
      <c r="G3660">
        <v>4202</v>
      </c>
      <c r="I3660">
        <v>0</v>
      </c>
      <c r="K3660" t="s">
        <v>2409</v>
      </c>
    </row>
    <row r="3661" spans="1:11" hidden="1" x14ac:dyDescent="0.25">
      <c r="A3661" s="210" t="s">
        <v>1524</v>
      </c>
      <c r="B3661">
        <v>7095</v>
      </c>
      <c r="C3661" s="100">
        <v>46032</v>
      </c>
      <c r="D3661" t="s">
        <v>49</v>
      </c>
      <c r="E3661" t="s">
        <v>45</v>
      </c>
      <c r="F3661" t="s">
        <v>462</v>
      </c>
      <c r="G3661">
        <v>3734</v>
      </c>
      <c r="I3661">
        <v>0</v>
      </c>
      <c r="K3661" t="s">
        <v>2410</v>
      </c>
    </row>
    <row r="3662" spans="1:11" hidden="1" x14ac:dyDescent="0.25">
      <c r="A3662" s="210" t="s">
        <v>1524</v>
      </c>
      <c r="B3662">
        <v>7084</v>
      </c>
      <c r="C3662" s="100">
        <v>46031</v>
      </c>
      <c r="D3662" t="s">
        <v>49</v>
      </c>
      <c r="E3662" t="s">
        <v>43</v>
      </c>
      <c r="F3662" t="s">
        <v>146</v>
      </c>
      <c r="G3662">
        <v>1740</v>
      </c>
      <c r="I3662">
        <v>0</v>
      </c>
      <c r="K3662" t="s">
        <v>1740</v>
      </c>
    </row>
    <row r="3663" spans="1:11" hidden="1" x14ac:dyDescent="0.25">
      <c r="A3663" s="210" t="s">
        <v>1524</v>
      </c>
      <c r="B3663">
        <v>7082</v>
      </c>
      <c r="C3663" s="100">
        <v>46031</v>
      </c>
      <c r="D3663" t="s">
        <v>49</v>
      </c>
      <c r="E3663" t="s">
        <v>301</v>
      </c>
      <c r="F3663" t="s">
        <v>2407</v>
      </c>
      <c r="G3663">
        <v>6644</v>
      </c>
      <c r="I3663">
        <v>0</v>
      </c>
      <c r="K3663" t="s">
        <v>2408</v>
      </c>
    </row>
    <row r="3664" spans="1:11" hidden="1" x14ac:dyDescent="0.25">
      <c r="A3664" s="210" t="s">
        <v>1697</v>
      </c>
      <c r="B3664">
        <v>7081</v>
      </c>
      <c r="C3664" s="100">
        <v>46031</v>
      </c>
      <c r="D3664" t="s">
        <v>49</v>
      </c>
      <c r="E3664" t="s">
        <v>442</v>
      </c>
      <c r="F3664" t="s">
        <v>2403</v>
      </c>
      <c r="G3664">
        <v>11856</v>
      </c>
      <c r="I3664">
        <v>0</v>
      </c>
    </row>
    <row r="3665" spans="1:11" hidden="1" x14ac:dyDescent="0.25">
      <c r="A3665" s="210" t="s">
        <v>1532</v>
      </c>
      <c r="B3665">
        <v>7080</v>
      </c>
      <c r="C3665" s="100">
        <v>46031</v>
      </c>
      <c r="D3665" t="s">
        <v>49</v>
      </c>
      <c r="E3665" t="s">
        <v>301</v>
      </c>
      <c r="F3665" t="s">
        <v>2405</v>
      </c>
      <c r="G3665">
        <v>9064</v>
      </c>
      <c r="I3665">
        <v>0</v>
      </c>
      <c r="K3665" t="s">
        <v>2406</v>
      </c>
    </row>
    <row r="3666" spans="1:11" hidden="1" x14ac:dyDescent="0.25">
      <c r="A3666" s="210" t="s">
        <v>1697</v>
      </c>
      <c r="B3666">
        <v>7077</v>
      </c>
      <c r="C3666" s="100">
        <v>46031</v>
      </c>
      <c r="D3666" t="s">
        <v>49</v>
      </c>
      <c r="E3666" t="s">
        <v>442</v>
      </c>
      <c r="F3666" t="s">
        <v>2403</v>
      </c>
      <c r="G3666">
        <v>12042</v>
      </c>
      <c r="I3666">
        <v>0</v>
      </c>
      <c r="K3666" t="s">
        <v>2404</v>
      </c>
    </row>
    <row r="3667" spans="1:11" hidden="1" x14ac:dyDescent="0.25">
      <c r="A3667" s="210" t="s">
        <v>1532</v>
      </c>
      <c r="B3667">
        <v>7076</v>
      </c>
      <c r="C3667" s="100">
        <v>46031</v>
      </c>
      <c r="D3667" t="s">
        <v>49</v>
      </c>
      <c r="E3667" t="s">
        <v>301</v>
      </c>
      <c r="F3667" t="s">
        <v>2390</v>
      </c>
      <c r="G3667">
        <v>946</v>
      </c>
      <c r="I3667">
        <v>0</v>
      </c>
      <c r="K3667" t="s">
        <v>2402</v>
      </c>
    </row>
    <row r="3668" spans="1:11" hidden="1" x14ac:dyDescent="0.25">
      <c r="A3668" s="210" t="s">
        <v>1657</v>
      </c>
      <c r="B3668">
        <v>7070</v>
      </c>
      <c r="C3668" s="100">
        <v>46031</v>
      </c>
      <c r="D3668" t="s">
        <v>49</v>
      </c>
      <c r="E3668" t="s">
        <v>54</v>
      </c>
      <c r="F3668" t="s">
        <v>2400</v>
      </c>
      <c r="G3668">
        <v>504</v>
      </c>
      <c r="I3668">
        <v>0</v>
      </c>
      <c r="K3668" t="s">
        <v>2401</v>
      </c>
    </row>
    <row r="3669" spans="1:11" hidden="1" x14ac:dyDescent="0.25">
      <c r="A3669" s="210" t="s">
        <v>1697</v>
      </c>
      <c r="B3669">
        <v>7068</v>
      </c>
      <c r="C3669" s="100">
        <v>46031</v>
      </c>
      <c r="D3669" t="s">
        <v>49</v>
      </c>
      <c r="E3669" t="s">
        <v>192</v>
      </c>
      <c r="F3669" t="s">
        <v>2399</v>
      </c>
      <c r="G3669">
        <v>5760</v>
      </c>
      <c r="I3669">
        <v>0</v>
      </c>
    </row>
    <row r="3670" spans="1:11" hidden="1" x14ac:dyDescent="0.25">
      <c r="A3670" s="210" t="s">
        <v>1476</v>
      </c>
      <c r="B3670">
        <v>7064</v>
      </c>
      <c r="C3670" s="100">
        <v>46030</v>
      </c>
      <c r="D3670" t="s">
        <v>49</v>
      </c>
      <c r="E3670" t="s">
        <v>470</v>
      </c>
      <c r="F3670" t="s">
        <v>81</v>
      </c>
      <c r="G3670">
        <v>522</v>
      </c>
      <c r="I3670">
        <v>0</v>
      </c>
      <c r="K3670" t="s">
        <v>1985</v>
      </c>
    </row>
    <row r="3671" spans="1:11" hidden="1" x14ac:dyDescent="0.25">
      <c r="A3671" s="210" t="s">
        <v>1524</v>
      </c>
      <c r="B3671">
        <v>7062</v>
      </c>
      <c r="C3671" s="100">
        <v>46030</v>
      </c>
      <c r="D3671" t="s">
        <v>49</v>
      </c>
      <c r="E3671" t="s">
        <v>301</v>
      </c>
      <c r="F3671" t="s">
        <v>2398</v>
      </c>
      <c r="G3671">
        <v>3324</v>
      </c>
      <c r="I3671">
        <v>0</v>
      </c>
      <c r="K3671" t="s">
        <v>2397</v>
      </c>
    </row>
    <row r="3672" spans="1:11" hidden="1" x14ac:dyDescent="0.25">
      <c r="A3672" s="210" t="s">
        <v>1524</v>
      </c>
      <c r="B3672">
        <v>7059</v>
      </c>
      <c r="C3672" s="100">
        <v>46030</v>
      </c>
      <c r="D3672" t="s">
        <v>49</v>
      </c>
      <c r="E3672" t="s">
        <v>301</v>
      </c>
      <c r="F3672" t="s">
        <v>2396</v>
      </c>
      <c r="G3672">
        <v>5140</v>
      </c>
      <c r="I3672">
        <v>0</v>
      </c>
      <c r="K3672" t="s">
        <v>2397</v>
      </c>
    </row>
    <row r="3673" spans="1:11" hidden="1" x14ac:dyDescent="0.25">
      <c r="A3673" s="210" t="s">
        <v>1524</v>
      </c>
      <c r="B3673">
        <v>7051</v>
      </c>
      <c r="C3673" s="100">
        <v>46030</v>
      </c>
      <c r="D3673" t="s">
        <v>49</v>
      </c>
      <c r="E3673" t="s">
        <v>26</v>
      </c>
      <c r="F3673" t="s">
        <v>1760</v>
      </c>
      <c r="G3673">
        <v>6080</v>
      </c>
      <c r="I3673">
        <v>0</v>
      </c>
      <c r="K3673" t="s">
        <v>2395</v>
      </c>
    </row>
    <row r="3674" spans="1:11" hidden="1" x14ac:dyDescent="0.25">
      <c r="A3674" s="210" t="s">
        <v>1532</v>
      </c>
      <c r="B3674">
        <v>7046</v>
      </c>
      <c r="C3674" s="100">
        <v>46030</v>
      </c>
      <c r="D3674" t="s">
        <v>49</v>
      </c>
      <c r="E3674" t="s">
        <v>77</v>
      </c>
      <c r="F3674" t="s">
        <v>2391</v>
      </c>
      <c r="G3674">
        <v>6141</v>
      </c>
      <c r="I3674">
        <v>0</v>
      </c>
      <c r="K3674" t="s">
        <v>2392</v>
      </c>
    </row>
    <row r="3675" spans="1:11" hidden="1" x14ac:dyDescent="0.25">
      <c r="A3675" s="210" t="s">
        <v>1532</v>
      </c>
      <c r="B3675">
        <v>7046</v>
      </c>
      <c r="C3675" s="100">
        <v>46030</v>
      </c>
      <c r="D3675" t="s">
        <v>49</v>
      </c>
      <c r="E3675" t="s">
        <v>77</v>
      </c>
      <c r="F3675" t="s">
        <v>2393</v>
      </c>
      <c r="G3675">
        <v>1632</v>
      </c>
      <c r="I3675">
        <v>0</v>
      </c>
      <c r="K3675" t="s">
        <v>2394</v>
      </c>
    </row>
    <row r="3676" spans="1:11" hidden="1" x14ac:dyDescent="0.25">
      <c r="A3676" s="210" t="s">
        <v>1532</v>
      </c>
      <c r="B3676">
        <v>7045</v>
      </c>
      <c r="C3676" s="100">
        <v>46030</v>
      </c>
      <c r="D3676" t="s">
        <v>49</v>
      </c>
      <c r="E3676" t="s">
        <v>301</v>
      </c>
      <c r="F3676" t="s">
        <v>2390</v>
      </c>
      <c r="G3676">
        <v>1016</v>
      </c>
      <c r="I3676">
        <v>0</v>
      </c>
      <c r="K3676" t="s">
        <v>1770</v>
      </c>
    </row>
    <row r="3677" spans="1:11" hidden="1" x14ac:dyDescent="0.25">
      <c r="A3677" s="210" t="s">
        <v>1476</v>
      </c>
      <c r="B3677">
        <v>7044</v>
      </c>
      <c r="C3677" s="100">
        <v>46030</v>
      </c>
      <c r="D3677" t="s">
        <v>49</v>
      </c>
      <c r="E3677" t="s">
        <v>50</v>
      </c>
      <c r="F3677" t="s">
        <v>438</v>
      </c>
      <c r="G3677">
        <v>90</v>
      </c>
      <c r="I3677">
        <v>0</v>
      </c>
      <c r="K3677" t="s">
        <v>66</v>
      </c>
    </row>
    <row r="3678" spans="1:11" hidden="1" x14ac:dyDescent="0.25">
      <c r="A3678" s="210" t="s">
        <v>1596</v>
      </c>
      <c r="B3678">
        <v>7043</v>
      </c>
      <c r="C3678" s="100">
        <v>46030</v>
      </c>
      <c r="D3678" t="s">
        <v>49</v>
      </c>
      <c r="E3678" t="s">
        <v>841</v>
      </c>
      <c r="F3678" t="s">
        <v>2389</v>
      </c>
      <c r="G3678">
        <v>3358</v>
      </c>
      <c r="I3678">
        <v>0</v>
      </c>
      <c r="K3678" t="s">
        <v>1742</v>
      </c>
    </row>
    <row r="3679" spans="1:11" hidden="1" x14ac:dyDescent="0.25">
      <c r="A3679" s="210" t="s">
        <v>1524</v>
      </c>
      <c r="B3679">
        <v>7041</v>
      </c>
      <c r="C3679" s="100">
        <v>46029</v>
      </c>
      <c r="D3679" t="s">
        <v>49</v>
      </c>
      <c r="E3679" t="s">
        <v>43</v>
      </c>
      <c r="F3679" t="s">
        <v>259</v>
      </c>
      <c r="G3679">
        <v>620</v>
      </c>
      <c r="I3679">
        <v>0</v>
      </c>
      <c r="K3679" t="s">
        <v>2388</v>
      </c>
    </row>
    <row r="3680" spans="1:11" hidden="1" x14ac:dyDescent="0.25">
      <c r="A3680" s="210" t="s">
        <v>1532</v>
      </c>
      <c r="B3680">
        <v>7016</v>
      </c>
      <c r="C3680" s="100">
        <v>46028</v>
      </c>
      <c r="D3680" t="s">
        <v>49</v>
      </c>
      <c r="E3680" t="s">
        <v>192</v>
      </c>
      <c r="F3680" t="s">
        <v>2386</v>
      </c>
      <c r="G3680">
        <v>4900</v>
      </c>
      <c r="I3680">
        <v>0</v>
      </c>
      <c r="K3680" t="s">
        <v>2387</v>
      </c>
    </row>
    <row r="3681" spans="1:11" hidden="1" x14ac:dyDescent="0.25">
      <c r="A3681" s="210" t="s">
        <v>1476</v>
      </c>
      <c r="B3681">
        <v>7014</v>
      </c>
      <c r="C3681" s="100">
        <v>46028</v>
      </c>
      <c r="D3681" t="s">
        <v>49</v>
      </c>
      <c r="E3681" t="s">
        <v>50</v>
      </c>
      <c r="F3681" t="s">
        <v>2381</v>
      </c>
      <c r="G3681">
        <v>138</v>
      </c>
      <c r="I3681">
        <v>0</v>
      </c>
      <c r="K3681" t="s">
        <v>2382</v>
      </c>
    </row>
    <row r="3682" spans="1:11" hidden="1" x14ac:dyDescent="0.25">
      <c r="A3682" s="210" t="s">
        <v>1476</v>
      </c>
      <c r="B3682">
        <v>7014</v>
      </c>
      <c r="C3682" s="100">
        <v>46028</v>
      </c>
      <c r="D3682" t="s">
        <v>49</v>
      </c>
      <c r="E3682" t="s">
        <v>56</v>
      </c>
      <c r="F3682" t="s">
        <v>117</v>
      </c>
      <c r="G3682">
        <v>300</v>
      </c>
      <c r="I3682">
        <v>0</v>
      </c>
      <c r="K3682" t="s">
        <v>2385</v>
      </c>
    </row>
    <row r="3683" spans="1:11" hidden="1" x14ac:dyDescent="0.25">
      <c r="A3683" s="210" t="s">
        <v>1476</v>
      </c>
      <c r="B3683">
        <v>7014</v>
      </c>
      <c r="C3683" s="100">
        <v>46028</v>
      </c>
      <c r="D3683" t="s">
        <v>49</v>
      </c>
      <c r="E3683" t="s">
        <v>2383</v>
      </c>
      <c r="F3683" t="s">
        <v>2384</v>
      </c>
      <c r="I3683">
        <v>0</v>
      </c>
      <c r="K3683" t="s">
        <v>1985</v>
      </c>
    </row>
    <row r="3684" spans="1:11" hidden="1" x14ac:dyDescent="0.25">
      <c r="A3684" s="210" t="s">
        <v>1532</v>
      </c>
      <c r="B3684">
        <v>7013</v>
      </c>
      <c r="C3684" s="100">
        <v>46028</v>
      </c>
      <c r="D3684" t="s">
        <v>49</v>
      </c>
      <c r="E3684" t="s">
        <v>43</v>
      </c>
      <c r="F3684" t="s">
        <v>344</v>
      </c>
      <c r="G3684">
        <v>15778</v>
      </c>
      <c r="I3684">
        <v>0</v>
      </c>
      <c r="K3684" t="s">
        <v>2376</v>
      </c>
    </row>
    <row r="3685" spans="1:11" hidden="1" x14ac:dyDescent="0.25">
      <c r="A3685" s="210" t="s">
        <v>1532</v>
      </c>
      <c r="B3685">
        <v>7013</v>
      </c>
      <c r="C3685" s="100">
        <v>46028</v>
      </c>
      <c r="D3685" t="s">
        <v>49</v>
      </c>
      <c r="E3685" t="s">
        <v>143</v>
      </c>
      <c r="F3685" t="s">
        <v>2333</v>
      </c>
      <c r="G3685">
        <v>17434</v>
      </c>
      <c r="I3685">
        <v>0</v>
      </c>
      <c r="K3685" t="s">
        <v>2377</v>
      </c>
    </row>
    <row r="3686" spans="1:11" hidden="1" x14ac:dyDescent="0.25">
      <c r="A3686" s="210" t="s">
        <v>1532</v>
      </c>
      <c r="B3686">
        <v>7013</v>
      </c>
      <c r="C3686" s="100">
        <v>46028</v>
      </c>
      <c r="D3686" t="s">
        <v>49</v>
      </c>
      <c r="E3686" t="s">
        <v>43</v>
      </c>
      <c r="F3686" t="s">
        <v>2378</v>
      </c>
      <c r="G3686">
        <v>858</v>
      </c>
      <c r="I3686">
        <v>0</v>
      </c>
    </row>
    <row r="3687" spans="1:11" hidden="1" x14ac:dyDescent="0.25">
      <c r="A3687" s="210" t="s">
        <v>1532</v>
      </c>
      <c r="B3687">
        <v>7013</v>
      </c>
      <c r="C3687" s="100">
        <v>46028</v>
      </c>
      <c r="D3687" t="s">
        <v>49</v>
      </c>
      <c r="E3687" t="s">
        <v>43</v>
      </c>
      <c r="F3687" t="s">
        <v>2378</v>
      </c>
      <c r="G3687">
        <v>2819</v>
      </c>
      <c r="I3687">
        <v>0</v>
      </c>
    </row>
    <row r="3688" spans="1:11" hidden="1" x14ac:dyDescent="0.25">
      <c r="A3688" s="210" t="s">
        <v>1532</v>
      </c>
      <c r="B3688">
        <v>7013</v>
      </c>
      <c r="C3688" s="100">
        <v>46028</v>
      </c>
      <c r="D3688" t="s">
        <v>49</v>
      </c>
      <c r="E3688" t="s">
        <v>43</v>
      </c>
      <c r="F3688" t="s">
        <v>2378</v>
      </c>
      <c r="G3688">
        <v>1751</v>
      </c>
      <c r="I3688">
        <v>0</v>
      </c>
    </row>
    <row r="3689" spans="1:11" hidden="1" x14ac:dyDescent="0.25">
      <c r="A3689" s="210" t="s">
        <v>1532</v>
      </c>
      <c r="B3689">
        <v>7013</v>
      </c>
      <c r="C3689" s="100">
        <v>46028</v>
      </c>
      <c r="D3689" t="s">
        <v>49</v>
      </c>
      <c r="E3689" t="s">
        <v>43</v>
      </c>
      <c r="F3689" t="s">
        <v>2379</v>
      </c>
      <c r="G3689">
        <v>931</v>
      </c>
      <c r="I3689">
        <v>0</v>
      </c>
    </row>
    <row r="3690" spans="1:11" hidden="1" x14ac:dyDescent="0.25">
      <c r="A3690" s="210" t="s">
        <v>1532</v>
      </c>
      <c r="B3690">
        <v>7013</v>
      </c>
      <c r="C3690" s="100">
        <v>46028</v>
      </c>
      <c r="D3690" t="s">
        <v>49</v>
      </c>
      <c r="E3690" t="s">
        <v>43</v>
      </c>
      <c r="F3690" t="s">
        <v>2380</v>
      </c>
      <c r="G3690">
        <v>13731</v>
      </c>
      <c r="I3690">
        <v>0</v>
      </c>
    </row>
    <row r="3691" spans="1:11" hidden="1" x14ac:dyDescent="0.25">
      <c r="A3691" s="210" t="s">
        <v>1532</v>
      </c>
      <c r="B3691">
        <v>7013</v>
      </c>
      <c r="C3691" s="100">
        <v>46028</v>
      </c>
      <c r="D3691" t="s">
        <v>49</v>
      </c>
      <c r="E3691" t="s">
        <v>143</v>
      </c>
      <c r="F3691" t="s">
        <v>146</v>
      </c>
      <c r="G3691">
        <v>969</v>
      </c>
      <c r="I3691">
        <v>0</v>
      </c>
    </row>
    <row r="3692" spans="1:11" hidden="1" x14ac:dyDescent="0.25">
      <c r="A3692" s="210" t="s">
        <v>1532</v>
      </c>
      <c r="B3692">
        <v>7013</v>
      </c>
      <c r="C3692" s="100">
        <v>46028</v>
      </c>
      <c r="D3692" t="s">
        <v>49</v>
      </c>
      <c r="E3692" t="s">
        <v>143</v>
      </c>
      <c r="F3692" t="s">
        <v>490</v>
      </c>
      <c r="G3692">
        <v>5331</v>
      </c>
      <c r="I3692">
        <v>0</v>
      </c>
    </row>
    <row r="3693" spans="1:11" hidden="1" x14ac:dyDescent="0.25">
      <c r="A3693" s="210" t="s">
        <v>1524</v>
      </c>
      <c r="B3693">
        <v>7012</v>
      </c>
      <c r="C3693" s="100">
        <v>46028</v>
      </c>
      <c r="D3693" t="s">
        <v>49</v>
      </c>
      <c r="E3693" t="s">
        <v>143</v>
      </c>
      <c r="F3693" t="s">
        <v>469</v>
      </c>
      <c r="G3693">
        <v>5223</v>
      </c>
      <c r="I3693">
        <v>0</v>
      </c>
      <c r="K3693" t="s">
        <v>565</v>
      </c>
    </row>
    <row r="3694" spans="1:11" hidden="1" x14ac:dyDescent="0.25">
      <c r="A3694" s="210" t="s">
        <v>1524</v>
      </c>
      <c r="B3694">
        <v>7009</v>
      </c>
      <c r="C3694" s="100">
        <v>46027</v>
      </c>
      <c r="D3694" t="s">
        <v>49</v>
      </c>
      <c r="E3694" t="s">
        <v>32</v>
      </c>
      <c r="F3694" t="s">
        <v>40</v>
      </c>
      <c r="G3694">
        <v>1424</v>
      </c>
      <c r="I3694">
        <v>0</v>
      </c>
      <c r="K3694" t="s">
        <v>2375</v>
      </c>
    </row>
    <row r="3695" spans="1:11" hidden="1" x14ac:dyDescent="0.25">
      <c r="A3695" s="210" t="s">
        <v>1524</v>
      </c>
      <c r="B3695">
        <v>7006</v>
      </c>
      <c r="C3695" s="100">
        <v>46027</v>
      </c>
      <c r="D3695" t="s">
        <v>49</v>
      </c>
      <c r="E3695" t="s">
        <v>43</v>
      </c>
      <c r="F3695" t="s">
        <v>2372</v>
      </c>
      <c r="G3695">
        <v>237</v>
      </c>
      <c r="I3695">
        <v>0</v>
      </c>
      <c r="K3695" t="s">
        <v>2373</v>
      </c>
    </row>
    <row r="3696" spans="1:11" hidden="1" x14ac:dyDescent="0.25">
      <c r="A3696" s="210" t="s">
        <v>1524</v>
      </c>
      <c r="B3696">
        <v>7006</v>
      </c>
      <c r="C3696" s="100">
        <v>46027</v>
      </c>
      <c r="D3696" t="s">
        <v>49</v>
      </c>
      <c r="E3696" t="s">
        <v>17</v>
      </c>
      <c r="F3696" t="s">
        <v>953</v>
      </c>
      <c r="G3696">
        <v>669</v>
      </c>
      <c r="I3696">
        <v>0</v>
      </c>
      <c r="K3696" t="s">
        <v>2374</v>
      </c>
    </row>
    <row r="3697" spans="1:11" hidden="1" x14ac:dyDescent="0.25">
      <c r="A3697" s="210" t="s">
        <v>1524</v>
      </c>
      <c r="B3697">
        <v>6950</v>
      </c>
      <c r="C3697" s="100">
        <v>46027</v>
      </c>
      <c r="D3697" t="s">
        <v>49</v>
      </c>
      <c r="E3697" t="s">
        <v>43</v>
      </c>
      <c r="F3697" t="s">
        <v>249</v>
      </c>
      <c r="G3697">
        <v>2092</v>
      </c>
      <c r="I3697">
        <v>0</v>
      </c>
      <c r="K3697" t="s">
        <v>2371</v>
      </c>
    </row>
    <row r="3698" spans="1:11" hidden="1" x14ac:dyDescent="0.25">
      <c r="A3698" s="210" t="s">
        <v>1476</v>
      </c>
      <c r="B3698">
        <v>6938</v>
      </c>
      <c r="C3698" s="100">
        <v>46025</v>
      </c>
      <c r="D3698" t="s">
        <v>49</v>
      </c>
      <c r="E3698" t="s">
        <v>150</v>
      </c>
      <c r="F3698" t="s">
        <v>2370</v>
      </c>
      <c r="G3698">
        <v>56</v>
      </c>
      <c r="I3698">
        <v>0</v>
      </c>
    </row>
    <row r="3699" spans="1:11" hidden="1" x14ac:dyDescent="0.25">
      <c r="A3699" s="210" t="s">
        <v>1524</v>
      </c>
      <c r="B3699">
        <v>6925</v>
      </c>
      <c r="C3699" s="100">
        <v>46025</v>
      </c>
      <c r="D3699" t="s">
        <v>49</v>
      </c>
      <c r="E3699" t="s">
        <v>1048</v>
      </c>
      <c r="F3699" t="s">
        <v>148</v>
      </c>
      <c r="G3699">
        <v>5168</v>
      </c>
      <c r="I3699">
        <v>0</v>
      </c>
    </row>
    <row r="3700" spans="1:11" hidden="1" x14ac:dyDescent="0.25">
      <c r="A3700" s="210" t="s">
        <v>1476</v>
      </c>
      <c r="B3700">
        <v>6923</v>
      </c>
      <c r="C3700" s="100">
        <v>46025</v>
      </c>
      <c r="D3700" t="s">
        <v>49</v>
      </c>
      <c r="E3700" t="s">
        <v>56</v>
      </c>
      <c r="F3700" t="s">
        <v>117</v>
      </c>
      <c r="G3700">
        <v>184</v>
      </c>
      <c r="I3700">
        <v>0</v>
      </c>
    </row>
    <row r="3701" spans="1:11" hidden="1" x14ac:dyDescent="0.25">
      <c r="A3701" s="210" t="s">
        <v>1476</v>
      </c>
      <c r="B3701">
        <v>6923</v>
      </c>
      <c r="C3701" s="100">
        <v>46025</v>
      </c>
      <c r="D3701" t="s">
        <v>49</v>
      </c>
      <c r="E3701" t="s">
        <v>56</v>
      </c>
      <c r="F3701" t="s">
        <v>403</v>
      </c>
      <c r="G3701">
        <v>184</v>
      </c>
      <c r="I3701">
        <v>0</v>
      </c>
    </row>
    <row r="3702" spans="1:11" hidden="1" x14ac:dyDescent="0.25">
      <c r="A3702" s="210" t="s">
        <v>1524</v>
      </c>
      <c r="B3702">
        <v>6922</v>
      </c>
      <c r="C3702" s="100">
        <v>46025</v>
      </c>
      <c r="D3702" t="s">
        <v>49</v>
      </c>
      <c r="E3702" t="s">
        <v>143</v>
      </c>
      <c r="F3702" t="s">
        <v>146</v>
      </c>
      <c r="G3702">
        <v>1083</v>
      </c>
      <c r="I3702">
        <v>0</v>
      </c>
      <c r="K3702" t="s">
        <v>1740</v>
      </c>
    </row>
    <row r="3703" spans="1:11" hidden="1" x14ac:dyDescent="0.25">
      <c r="A3703" s="210" t="s">
        <v>1524</v>
      </c>
      <c r="B3703">
        <v>6922</v>
      </c>
      <c r="C3703" s="100">
        <v>46025</v>
      </c>
      <c r="D3703" t="s">
        <v>49</v>
      </c>
      <c r="E3703" t="s">
        <v>43</v>
      </c>
      <c r="F3703" t="s">
        <v>146</v>
      </c>
      <c r="G3703">
        <v>748</v>
      </c>
      <c r="I3703">
        <v>0</v>
      </c>
    </row>
    <row r="3704" spans="1:11" hidden="1" x14ac:dyDescent="0.25">
      <c r="A3704" s="210" t="s">
        <v>1524</v>
      </c>
      <c r="B3704">
        <v>6912</v>
      </c>
      <c r="C3704" s="100">
        <v>46024</v>
      </c>
      <c r="D3704" t="s">
        <v>49</v>
      </c>
      <c r="E3704" t="s">
        <v>17</v>
      </c>
      <c r="F3704" t="s">
        <v>251</v>
      </c>
      <c r="G3704">
        <v>940</v>
      </c>
      <c r="I3704">
        <v>0</v>
      </c>
      <c r="K3704" t="s">
        <v>2369</v>
      </c>
    </row>
    <row r="3705" spans="1:11" hidden="1" x14ac:dyDescent="0.25">
      <c r="A3705" s="210" t="s">
        <v>1524</v>
      </c>
      <c r="B3705">
        <v>6912</v>
      </c>
      <c r="C3705" s="100">
        <v>46024</v>
      </c>
      <c r="D3705" t="s">
        <v>49</v>
      </c>
      <c r="E3705" t="s">
        <v>17</v>
      </c>
      <c r="F3705" t="s">
        <v>62</v>
      </c>
      <c r="G3705">
        <v>5229</v>
      </c>
      <c r="I3705">
        <v>0</v>
      </c>
      <c r="K3705" t="s">
        <v>2369</v>
      </c>
    </row>
    <row r="3706" spans="1:11" hidden="1" x14ac:dyDescent="0.25">
      <c r="A3706" s="210" t="s">
        <v>1524</v>
      </c>
      <c r="B3706">
        <v>6904</v>
      </c>
      <c r="C3706" s="100">
        <v>46024</v>
      </c>
      <c r="D3706" t="s">
        <v>49</v>
      </c>
      <c r="E3706" t="s">
        <v>17</v>
      </c>
      <c r="F3706" t="s">
        <v>230</v>
      </c>
      <c r="G3706">
        <v>1346</v>
      </c>
      <c r="I3706">
        <v>0</v>
      </c>
      <c r="K3706" t="s">
        <v>2367</v>
      </c>
    </row>
    <row r="3707" spans="1:11" hidden="1" x14ac:dyDescent="0.25">
      <c r="A3707" s="210" t="s">
        <v>1524</v>
      </c>
      <c r="B3707">
        <v>6904</v>
      </c>
      <c r="C3707" s="100">
        <v>46024</v>
      </c>
      <c r="D3707" t="s">
        <v>49</v>
      </c>
      <c r="E3707" t="s">
        <v>17</v>
      </c>
      <c r="F3707" t="s">
        <v>40</v>
      </c>
      <c r="G3707">
        <v>714</v>
      </c>
      <c r="I3707">
        <v>0</v>
      </c>
      <c r="K3707" t="s">
        <v>2368</v>
      </c>
    </row>
    <row r="3708" spans="1:11" hidden="1" x14ac:dyDescent="0.25">
      <c r="A3708" s="210" t="s">
        <v>1524</v>
      </c>
      <c r="B3708">
        <v>6904</v>
      </c>
      <c r="C3708" s="100">
        <v>46024</v>
      </c>
      <c r="D3708" t="s">
        <v>49</v>
      </c>
      <c r="E3708" t="s">
        <v>17</v>
      </c>
      <c r="F3708" t="s">
        <v>469</v>
      </c>
      <c r="G3708">
        <v>822</v>
      </c>
      <c r="I3708">
        <v>0</v>
      </c>
      <c r="K3708" t="s">
        <v>565</v>
      </c>
    </row>
    <row r="3709" spans="1:11" hidden="1" x14ac:dyDescent="0.25">
      <c r="A3709" s="210" t="s">
        <v>1524</v>
      </c>
      <c r="B3709">
        <v>6903</v>
      </c>
      <c r="C3709" s="100">
        <v>46024</v>
      </c>
      <c r="D3709" t="s">
        <v>49</v>
      </c>
      <c r="E3709" t="s">
        <v>17</v>
      </c>
      <c r="F3709" t="s">
        <v>469</v>
      </c>
      <c r="G3709">
        <v>8612</v>
      </c>
      <c r="I3709">
        <v>0</v>
      </c>
      <c r="K3709" t="s">
        <v>2366</v>
      </c>
    </row>
    <row r="3710" spans="1:11" hidden="1" x14ac:dyDescent="0.25">
      <c r="A3710" s="210" t="s">
        <v>1624</v>
      </c>
      <c r="B3710">
        <v>6613</v>
      </c>
      <c r="C3710" s="100">
        <v>46153</v>
      </c>
      <c r="D3710" t="s">
        <v>84</v>
      </c>
      <c r="E3710" t="s">
        <v>703</v>
      </c>
      <c r="F3710" t="s">
        <v>1950</v>
      </c>
      <c r="G3710">
        <v>82</v>
      </c>
      <c r="H3710">
        <v>-3000</v>
      </c>
      <c r="I3710">
        <v>-246000</v>
      </c>
    </row>
    <row r="3711" spans="1:11" hidden="1" x14ac:dyDescent="0.25">
      <c r="A3711" s="210" t="s">
        <v>1624</v>
      </c>
      <c r="B3711">
        <v>6578</v>
      </c>
      <c r="C3711" s="100">
        <v>46148</v>
      </c>
      <c r="D3711" t="s">
        <v>426</v>
      </c>
      <c r="E3711" t="s">
        <v>26</v>
      </c>
      <c r="F3711" t="s">
        <v>230</v>
      </c>
      <c r="G3711">
        <v>111</v>
      </c>
      <c r="H3711">
        <v>-69500</v>
      </c>
      <c r="I3711">
        <v>-7714500</v>
      </c>
    </row>
    <row r="3712" spans="1:11" hidden="1" x14ac:dyDescent="0.25">
      <c r="A3712" s="210" t="s">
        <v>1624</v>
      </c>
      <c r="B3712">
        <v>6305</v>
      </c>
      <c r="C3712" s="100">
        <v>46109</v>
      </c>
      <c r="D3712" t="s">
        <v>84</v>
      </c>
      <c r="E3712" t="s">
        <v>77</v>
      </c>
      <c r="F3712" t="s">
        <v>1187</v>
      </c>
      <c r="G3712">
        <v>136</v>
      </c>
      <c r="H3712">
        <v>-3000</v>
      </c>
      <c r="I3712">
        <v>-408000</v>
      </c>
    </row>
    <row r="3713" spans="1:11" hidden="1" x14ac:dyDescent="0.25">
      <c r="A3713" s="210" t="s">
        <v>1524</v>
      </c>
      <c r="B3713">
        <v>5380</v>
      </c>
      <c r="C3713" s="100">
        <v>46175</v>
      </c>
      <c r="D3713" t="s">
        <v>84</v>
      </c>
      <c r="E3713" t="s">
        <v>17</v>
      </c>
      <c r="F3713" t="s">
        <v>2543</v>
      </c>
      <c r="G3713">
        <v>1718</v>
      </c>
      <c r="H3713">
        <v>-550</v>
      </c>
      <c r="I3713">
        <v>-944900</v>
      </c>
    </row>
    <row r="3714" spans="1:11" hidden="1" x14ac:dyDescent="0.25">
      <c r="A3714" s="210" t="s">
        <v>1524</v>
      </c>
      <c r="B3714">
        <v>5377</v>
      </c>
      <c r="C3714" s="100">
        <v>46174</v>
      </c>
      <c r="D3714" t="s">
        <v>426</v>
      </c>
      <c r="E3714" t="s">
        <v>520</v>
      </c>
      <c r="F3714" t="s">
        <v>2554</v>
      </c>
      <c r="G3714">
        <v>894</v>
      </c>
      <c r="I3714">
        <v>0</v>
      </c>
    </row>
    <row r="3715" spans="1:11" hidden="1" x14ac:dyDescent="0.25">
      <c r="A3715" s="210" t="s">
        <v>1524</v>
      </c>
      <c r="B3715">
        <v>5377</v>
      </c>
      <c r="C3715" s="100">
        <v>46174</v>
      </c>
      <c r="D3715" t="s">
        <v>426</v>
      </c>
      <c r="E3715" t="s">
        <v>520</v>
      </c>
      <c r="F3715" t="s">
        <v>2555</v>
      </c>
      <c r="G3715">
        <v>964</v>
      </c>
      <c r="I3715">
        <v>0</v>
      </c>
    </row>
    <row r="3716" spans="1:11" hidden="1" x14ac:dyDescent="0.25">
      <c r="A3716" s="210" t="s">
        <v>1524</v>
      </c>
      <c r="B3716">
        <v>5377</v>
      </c>
      <c r="C3716" s="100">
        <v>46174</v>
      </c>
      <c r="D3716" t="s">
        <v>84</v>
      </c>
      <c r="E3716" t="s">
        <v>17</v>
      </c>
      <c r="F3716" t="s">
        <v>46</v>
      </c>
      <c r="G3716">
        <v>3760</v>
      </c>
      <c r="H3716">
        <v>-550</v>
      </c>
      <c r="I3716">
        <v>-2068000</v>
      </c>
    </row>
    <row r="3717" spans="1:11" hidden="1" x14ac:dyDescent="0.25">
      <c r="A3717" s="210" t="s">
        <v>1524</v>
      </c>
      <c r="B3717">
        <v>5376</v>
      </c>
      <c r="C3717" s="100">
        <v>46174</v>
      </c>
      <c r="D3717" t="s">
        <v>84</v>
      </c>
      <c r="E3717" t="s">
        <v>17</v>
      </c>
      <c r="F3717" t="s">
        <v>891</v>
      </c>
      <c r="G3717">
        <v>4420</v>
      </c>
      <c r="H3717">
        <v>-550</v>
      </c>
      <c r="I3717">
        <v>-2431000</v>
      </c>
    </row>
    <row r="3718" spans="1:11" hidden="1" x14ac:dyDescent="0.25">
      <c r="A3718" s="210" t="s">
        <v>1524</v>
      </c>
      <c r="B3718">
        <v>5375</v>
      </c>
      <c r="C3718" s="100">
        <v>46174</v>
      </c>
      <c r="D3718" t="s">
        <v>84</v>
      </c>
      <c r="E3718" t="s">
        <v>93</v>
      </c>
      <c r="F3718" t="s">
        <v>891</v>
      </c>
      <c r="G3718">
        <v>2130</v>
      </c>
      <c r="H3718">
        <v>-550</v>
      </c>
      <c r="I3718">
        <v>-1171500</v>
      </c>
    </row>
    <row r="3719" spans="1:11" hidden="1" x14ac:dyDescent="0.25">
      <c r="A3719" s="210" t="s">
        <v>1524</v>
      </c>
      <c r="B3719">
        <v>5372</v>
      </c>
      <c r="C3719" s="100">
        <v>46172</v>
      </c>
      <c r="D3719" t="s">
        <v>84</v>
      </c>
      <c r="E3719" t="s">
        <v>93</v>
      </c>
      <c r="F3719" t="s">
        <v>136</v>
      </c>
      <c r="G3719">
        <v>1034</v>
      </c>
      <c r="H3719">
        <v>-550</v>
      </c>
      <c r="I3719">
        <v>-568700</v>
      </c>
      <c r="K3719" t="s">
        <v>2528</v>
      </c>
    </row>
    <row r="3720" spans="1:11" hidden="1" x14ac:dyDescent="0.25">
      <c r="A3720" s="210" t="s">
        <v>1524</v>
      </c>
      <c r="B3720">
        <v>5372</v>
      </c>
      <c r="C3720" s="100">
        <v>46172</v>
      </c>
      <c r="D3720" t="s">
        <v>84</v>
      </c>
      <c r="E3720" t="s">
        <v>93</v>
      </c>
      <c r="F3720" t="s">
        <v>416</v>
      </c>
      <c r="G3720">
        <v>518</v>
      </c>
      <c r="H3720">
        <v>-550</v>
      </c>
      <c r="I3720">
        <v>-284900</v>
      </c>
      <c r="K3720" t="s">
        <v>2529</v>
      </c>
    </row>
    <row r="3721" spans="1:11" hidden="1" x14ac:dyDescent="0.25">
      <c r="A3721" s="210" t="s">
        <v>1524</v>
      </c>
      <c r="B3721">
        <v>5372</v>
      </c>
      <c r="C3721" s="100">
        <v>46172</v>
      </c>
      <c r="D3721" t="s">
        <v>84</v>
      </c>
      <c r="E3721" t="s">
        <v>93</v>
      </c>
      <c r="F3721" t="s">
        <v>502</v>
      </c>
      <c r="G3721">
        <v>4246</v>
      </c>
      <c r="H3721">
        <v>-550</v>
      </c>
      <c r="I3721">
        <v>-2335300</v>
      </c>
      <c r="K3721" t="s">
        <v>2410</v>
      </c>
    </row>
    <row r="3722" spans="1:11" hidden="1" x14ac:dyDescent="0.25">
      <c r="A3722" s="210" t="s">
        <v>1524</v>
      </c>
      <c r="B3722">
        <v>5367</v>
      </c>
      <c r="C3722" s="100">
        <v>46171</v>
      </c>
      <c r="D3722" t="s">
        <v>84</v>
      </c>
      <c r="E3722" t="s">
        <v>93</v>
      </c>
      <c r="F3722">
        <v>0.5</v>
      </c>
      <c r="G3722">
        <v>1738</v>
      </c>
      <c r="I3722">
        <v>0</v>
      </c>
    </row>
    <row r="3723" spans="1:11" hidden="1" x14ac:dyDescent="0.25">
      <c r="A3723" s="210" t="s">
        <v>1524</v>
      </c>
      <c r="B3723">
        <v>5358</v>
      </c>
      <c r="C3723" s="100">
        <v>46169</v>
      </c>
      <c r="D3723" t="s">
        <v>84</v>
      </c>
      <c r="E3723" t="s">
        <v>17</v>
      </c>
      <c r="F3723" t="s">
        <v>446</v>
      </c>
      <c r="G3723">
        <v>1186</v>
      </c>
      <c r="H3723">
        <v>-550</v>
      </c>
      <c r="I3723">
        <v>-652300</v>
      </c>
    </row>
    <row r="3724" spans="1:11" hidden="1" x14ac:dyDescent="0.25">
      <c r="A3724" s="210" t="s">
        <v>1524</v>
      </c>
      <c r="B3724">
        <v>5354</v>
      </c>
      <c r="C3724" s="100">
        <v>46167</v>
      </c>
      <c r="D3724" t="s">
        <v>84</v>
      </c>
      <c r="E3724" t="s">
        <v>17</v>
      </c>
      <c r="F3724" t="s">
        <v>502</v>
      </c>
      <c r="G3724">
        <v>4562</v>
      </c>
      <c r="H3724">
        <v>-550</v>
      </c>
      <c r="I3724">
        <v>-2509100</v>
      </c>
    </row>
    <row r="3725" spans="1:11" hidden="1" x14ac:dyDescent="0.25">
      <c r="A3725" s="210" t="s">
        <v>1524</v>
      </c>
      <c r="B3725">
        <v>5354</v>
      </c>
      <c r="C3725" s="100">
        <v>46167</v>
      </c>
      <c r="D3725" t="s">
        <v>84</v>
      </c>
      <c r="E3725" t="s">
        <v>93</v>
      </c>
      <c r="F3725" t="s">
        <v>446</v>
      </c>
      <c r="G3725">
        <v>6348</v>
      </c>
      <c r="H3725">
        <v>-550</v>
      </c>
      <c r="I3725">
        <v>-3491400</v>
      </c>
      <c r="K3725" t="s">
        <v>2349</v>
      </c>
    </row>
    <row r="3726" spans="1:11" hidden="1" x14ac:dyDescent="0.25">
      <c r="A3726" s="210" t="s">
        <v>1524</v>
      </c>
      <c r="B3726">
        <v>5353</v>
      </c>
      <c r="C3726" s="100">
        <v>46169</v>
      </c>
      <c r="D3726" t="s">
        <v>84</v>
      </c>
      <c r="E3726" t="s">
        <v>301</v>
      </c>
      <c r="F3726" t="s">
        <v>81</v>
      </c>
      <c r="G3726">
        <v>2768</v>
      </c>
      <c r="H3726">
        <v>-1650</v>
      </c>
      <c r="I3726">
        <v>-4567200</v>
      </c>
    </row>
    <row r="3727" spans="1:11" hidden="1" x14ac:dyDescent="0.25">
      <c r="A3727" s="210" t="s">
        <v>1524</v>
      </c>
      <c r="B3727">
        <v>5350</v>
      </c>
      <c r="C3727" s="100">
        <v>46164</v>
      </c>
      <c r="D3727" t="s">
        <v>84</v>
      </c>
      <c r="E3727" t="s">
        <v>520</v>
      </c>
      <c r="F3727" t="s">
        <v>809</v>
      </c>
      <c r="G3727">
        <v>1734</v>
      </c>
      <c r="H3727">
        <v>-1100</v>
      </c>
      <c r="I3727">
        <v>-1907400</v>
      </c>
    </row>
    <row r="3728" spans="1:11" hidden="1" x14ac:dyDescent="0.25">
      <c r="A3728" s="210" t="s">
        <v>1524</v>
      </c>
      <c r="B3728">
        <v>5346</v>
      </c>
      <c r="C3728" s="100">
        <v>46164</v>
      </c>
      <c r="D3728" t="s">
        <v>84</v>
      </c>
      <c r="E3728" t="s">
        <v>26</v>
      </c>
      <c r="F3728" t="s">
        <v>416</v>
      </c>
      <c r="G3728">
        <v>1210</v>
      </c>
      <c r="H3728">
        <v>-550</v>
      </c>
      <c r="I3728">
        <v>-665500</v>
      </c>
    </row>
    <row r="3729" spans="1:9" hidden="1" x14ac:dyDescent="0.25">
      <c r="A3729" s="210" t="s">
        <v>1524</v>
      </c>
      <c r="B3729">
        <v>5346</v>
      </c>
      <c r="C3729" s="100">
        <v>46164</v>
      </c>
      <c r="D3729" t="s">
        <v>84</v>
      </c>
      <c r="E3729" t="s">
        <v>17</v>
      </c>
      <c r="F3729" t="s">
        <v>891</v>
      </c>
      <c r="G3729">
        <v>2024</v>
      </c>
      <c r="H3729">
        <v>-550</v>
      </c>
      <c r="I3729">
        <v>-1113200</v>
      </c>
    </row>
    <row r="3730" spans="1:9" hidden="1" x14ac:dyDescent="0.25">
      <c r="A3730" s="210" t="s">
        <v>1524</v>
      </c>
      <c r="B3730">
        <v>5346</v>
      </c>
      <c r="C3730" s="100">
        <v>46164</v>
      </c>
      <c r="D3730" t="s">
        <v>84</v>
      </c>
      <c r="E3730" t="s">
        <v>17</v>
      </c>
      <c r="F3730" t="s">
        <v>891</v>
      </c>
      <c r="G3730">
        <v>2424</v>
      </c>
      <c r="H3730">
        <v>-550</v>
      </c>
      <c r="I3730">
        <v>-1333200</v>
      </c>
    </row>
    <row r="3731" spans="1:9" hidden="1" x14ac:dyDescent="0.25">
      <c r="A3731" s="210" t="s">
        <v>1524</v>
      </c>
      <c r="B3731">
        <v>5343</v>
      </c>
      <c r="C3731" s="100">
        <v>46163</v>
      </c>
      <c r="D3731" t="s">
        <v>84</v>
      </c>
      <c r="E3731" t="s">
        <v>43</v>
      </c>
      <c r="F3731" t="s">
        <v>271</v>
      </c>
      <c r="G3731">
        <v>835</v>
      </c>
      <c r="H3731">
        <v>-550</v>
      </c>
      <c r="I3731">
        <v>-459250</v>
      </c>
    </row>
    <row r="3732" spans="1:9" hidden="1" x14ac:dyDescent="0.25">
      <c r="A3732" s="210" t="s">
        <v>1524</v>
      </c>
      <c r="B3732">
        <v>5343</v>
      </c>
      <c r="C3732" s="100">
        <v>46163</v>
      </c>
      <c r="D3732" t="s">
        <v>84</v>
      </c>
      <c r="E3732" t="s">
        <v>26</v>
      </c>
      <c r="F3732" t="s">
        <v>41</v>
      </c>
      <c r="G3732">
        <v>3330</v>
      </c>
      <c r="H3732">
        <v>-550</v>
      </c>
      <c r="I3732">
        <v>-1831500</v>
      </c>
    </row>
    <row r="3733" spans="1:9" hidden="1" x14ac:dyDescent="0.25">
      <c r="A3733" s="210" t="s">
        <v>1524</v>
      </c>
      <c r="B3733">
        <v>5340</v>
      </c>
      <c r="C3733" s="100">
        <v>46162</v>
      </c>
      <c r="D3733" t="s">
        <v>84</v>
      </c>
      <c r="E3733" t="s">
        <v>17</v>
      </c>
      <c r="F3733" t="s">
        <v>502</v>
      </c>
      <c r="G3733">
        <v>4324</v>
      </c>
      <c r="H3733">
        <v>-550</v>
      </c>
      <c r="I3733">
        <v>-2378200</v>
      </c>
    </row>
    <row r="3734" spans="1:9" hidden="1" x14ac:dyDescent="0.25">
      <c r="A3734" s="210" t="s">
        <v>1524</v>
      </c>
      <c r="B3734">
        <v>5340</v>
      </c>
      <c r="C3734" s="100">
        <v>46162</v>
      </c>
      <c r="D3734" t="s">
        <v>84</v>
      </c>
      <c r="E3734" t="s">
        <v>17</v>
      </c>
      <c r="F3734" t="s">
        <v>2241</v>
      </c>
      <c r="G3734">
        <v>4018</v>
      </c>
      <c r="H3734">
        <v>-550</v>
      </c>
      <c r="I3734">
        <v>-2209900</v>
      </c>
    </row>
    <row r="3735" spans="1:9" hidden="1" x14ac:dyDescent="0.25">
      <c r="A3735" s="210" t="s">
        <v>1524</v>
      </c>
      <c r="B3735">
        <v>5340</v>
      </c>
      <c r="C3735" s="100">
        <v>46162</v>
      </c>
      <c r="D3735" t="s">
        <v>426</v>
      </c>
      <c r="E3735" t="s">
        <v>17</v>
      </c>
      <c r="F3735" t="s">
        <v>2241</v>
      </c>
      <c r="G3735">
        <v>1576</v>
      </c>
      <c r="I3735">
        <v>0</v>
      </c>
    </row>
    <row r="3736" spans="1:9" hidden="1" x14ac:dyDescent="0.25">
      <c r="A3736" s="210" t="s">
        <v>1524</v>
      </c>
      <c r="B3736">
        <v>5338</v>
      </c>
      <c r="C3736" s="100">
        <v>46161</v>
      </c>
      <c r="D3736" t="s">
        <v>84</v>
      </c>
      <c r="E3736" t="s">
        <v>17</v>
      </c>
      <c r="F3736" t="s">
        <v>46</v>
      </c>
      <c r="G3736">
        <v>2040</v>
      </c>
      <c r="H3736">
        <v>-550</v>
      </c>
      <c r="I3736">
        <v>-1122000</v>
      </c>
    </row>
    <row r="3737" spans="1:9" hidden="1" x14ac:dyDescent="0.25">
      <c r="A3737" s="210" t="s">
        <v>1524</v>
      </c>
      <c r="B3737">
        <v>5333</v>
      </c>
      <c r="C3737" s="100">
        <v>46158</v>
      </c>
      <c r="D3737" t="s">
        <v>84</v>
      </c>
      <c r="E3737" t="s">
        <v>17</v>
      </c>
      <c r="F3737" t="s">
        <v>502</v>
      </c>
      <c r="G3737">
        <v>2854</v>
      </c>
      <c r="H3737">
        <v>-550</v>
      </c>
      <c r="I3737">
        <v>-1569700</v>
      </c>
    </row>
    <row r="3738" spans="1:9" hidden="1" x14ac:dyDescent="0.25">
      <c r="A3738" s="210" t="s">
        <v>1524</v>
      </c>
      <c r="B3738">
        <v>5333</v>
      </c>
      <c r="C3738" s="100">
        <v>46158</v>
      </c>
      <c r="D3738" t="s">
        <v>84</v>
      </c>
      <c r="E3738" t="s">
        <v>43</v>
      </c>
      <c r="F3738" t="s">
        <v>40</v>
      </c>
      <c r="G3738">
        <v>668</v>
      </c>
      <c r="H3738">
        <v>-550</v>
      </c>
      <c r="I3738">
        <v>-367400</v>
      </c>
    </row>
    <row r="3739" spans="1:9" hidden="1" x14ac:dyDescent="0.25">
      <c r="A3739" s="210" t="s">
        <v>1524</v>
      </c>
      <c r="B3739">
        <v>5330</v>
      </c>
      <c r="C3739" s="100">
        <v>46158</v>
      </c>
      <c r="D3739" t="s">
        <v>84</v>
      </c>
      <c r="E3739" t="s">
        <v>17</v>
      </c>
      <c r="F3739" t="s">
        <v>2199</v>
      </c>
      <c r="G3739">
        <v>1834</v>
      </c>
      <c r="H3739">
        <v>-550</v>
      </c>
      <c r="I3739">
        <v>-1008700</v>
      </c>
    </row>
    <row r="3740" spans="1:9" hidden="1" x14ac:dyDescent="0.25">
      <c r="A3740" s="210" t="s">
        <v>1524</v>
      </c>
      <c r="B3740">
        <v>5329</v>
      </c>
      <c r="C3740" s="100">
        <v>46158</v>
      </c>
      <c r="D3740" t="s">
        <v>84</v>
      </c>
      <c r="E3740" t="s">
        <v>43</v>
      </c>
      <c r="F3740" t="s">
        <v>188</v>
      </c>
      <c r="G3740">
        <v>856</v>
      </c>
      <c r="H3740">
        <v>-550</v>
      </c>
      <c r="I3740">
        <v>-470800</v>
      </c>
    </row>
    <row r="3741" spans="1:9" hidden="1" x14ac:dyDescent="0.25">
      <c r="A3741" s="210" t="s">
        <v>1524</v>
      </c>
      <c r="B3741">
        <v>5328</v>
      </c>
      <c r="C3741" s="100">
        <v>46158</v>
      </c>
      <c r="D3741" t="s">
        <v>84</v>
      </c>
      <c r="E3741" t="s">
        <v>93</v>
      </c>
      <c r="F3741" t="s">
        <v>416</v>
      </c>
      <c r="G3741">
        <v>2990</v>
      </c>
      <c r="H3741">
        <v>-550</v>
      </c>
      <c r="I3741">
        <v>-1644500</v>
      </c>
    </row>
    <row r="3742" spans="1:9" hidden="1" x14ac:dyDescent="0.25">
      <c r="A3742" s="210" t="s">
        <v>1524</v>
      </c>
      <c r="B3742">
        <v>5327</v>
      </c>
      <c r="C3742" s="100">
        <v>46158</v>
      </c>
      <c r="D3742" t="s">
        <v>84</v>
      </c>
      <c r="E3742" t="s">
        <v>77</v>
      </c>
      <c r="F3742" t="s">
        <v>136</v>
      </c>
      <c r="G3742">
        <v>2080</v>
      </c>
      <c r="H3742">
        <v>-550</v>
      </c>
      <c r="I3742">
        <v>-1144000</v>
      </c>
    </row>
    <row r="3743" spans="1:9" hidden="1" x14ac:dyDescent="0.25">
      <c r="A3743" s="210" t="s">
        <v>1524</v>
      </c>
      <c r="B3743">
        <v>5327</v>
      </c>
      <c r="C3743" s="100">
        <v>46158</v>
      </c>
      <c r="D3743" t="s">
        <v>84</v>
      </c>
      <c r="E3743" t="s">
        <v>14</v>
      </c>
      <c r="F3743" t="s">
        <v>40</v>
      </c>
      <c r="G3743">
        <v>618</v>
      </c>
      <c r="H3743">
        <v>-550</v>
      </c>
      <c r="I3743">
        <v>-339900</v>
      </c>
    </row>
    <row r="3744" spans="1:9" hidden="1" x14ac:dyDescent="0.25">
      <c r="A3744" s="210" t="s">
        <v>1524</v>
      </c>
      <c r="B3744">
        <v>5327</v>
      </c>
      <c r="C3744" s="100">
        <v>46158</v>
      </c>
      <c r="D3744" t="s">
        <v>84</v>
      </c>
      <c r="E3744" t="s">
        <v>17</v>
      </c>
      <c r="F3744" t="s">
        <v>502</v>
      </c>
      <c r="G3744">
        <v>1522</v>
      </c>
      <c r="H3744">
        <v>-550</v>
      </c>
      <c r="I3744">
        <v>-837100</v>
      </c>
    </row>
    <row r="3745" spans="1:11" hidden="1" x14ac:dyDescent="0.25">
      <c r="A3745" s="210" t="s">
        <v>1524</v>
      </c>
      <c r="B3745">
        <v>5327</v>
      </c>
      <c r="C3745" s="100">
        <v>46158</v>
      </c>
      <c r="D3745" t="s">
        <v>426</v>
      </c>
      <c r="E3745" t="s">
        <v>14</v>
      </c>
      <c r="F3745" t="s">
        <v>40</v>
      </c>
      <c r="G3745">
        <v>3580</v>
      </c>
      <c r="I3745">
        <v>0</v>
      </c>
    </row>
    <row r="3746" spans="1:11" hidden="1" x14ac:dyDescent="0.25">
      <c r="A3746" s="210" t="s">
        <v>1524</v>
      </c>
      <c r="B3746">
        <v>5325</v>
      </c>
      <c r="C3746" s="100">
        <v>46157</v>
      </c>
      <c r="D3746" t="s">
        <v>84</v>
      </c>
      <c r="E3746" t="s">
        <v>17</v>
      </c>
      <c r="F3746" t="s">
        <v>502</v>
      </c>
      <c r="G3746">
        <v>8168</v>
      </c>
      <c r="H3746">
        <v>-550</v>
      </c>
      <c r="I3746">
        <v>-4492400</v>
      </c>
    </row>
    <row r="3747" spans="1:11" hidden="1" x14ac:dyDescent="0.25">
      <c r="A3747" s="210" t="s">
        <v>1524</v>
      </c>
      <c r="B3747">
        <v>5325</v>
      </c>
      <c r="C3747" s="100">
        <v>46157</v>
      </c>
      <c r="D3747" t="s">
        <v>84</v>
      </c>
      <c r="E3747" t="s">
        <v>14</v>
      </c>
      <c r="F3747" t="s">
        <v>40</v>
      </c>
      <c r="G3747">
        <v>1022</v>
      </c>
      <c r="H3747">
        <v>-550</v>
      </c>
      <c r="I3747">
        <v>-562100</v>
      </c>
    </row>
    <row r="3748" spans="1:11" hidden="1" x14ac:dyDescent="0.25">
      <c r="A3748" s="210" t="s">
        <v>1524</v>
      </c>
      <c r="B3748">
        <v>5322</v>
      </c>
      <c r="C3748" s="100">
        <v>46157</v>
      </c>
      <c r="D3748" t="s">
        <v>84</v>
      </c>
      <c r="E3748" t="s">
        <v>14</v>
      </c>
      <c r="F3748" t="s">
        <v>62</v>
      </c>
      <c r="G3748">
        <v>2982</v>
      </c>
      <c r="H3748">
        <v>-550</v>
      </c>
      <c r="I3748">
        <v>-1640100</v>
      </c>
      <c r="K3748" t="s">
        <v>2144</v>
      </c>
    </row>
    <row r="3749" spans="1:11" hidden="1" x14ac:dyDescent="0.25">
      <c r="A3749" s="210" t="s">
        <v>1524</v>
      </c>
      <c r="B3749">
        <v>5316</v>
      </c>
      <c r="C3749" s="100">
        <v>46155</v>
      </c>
      <c r="D3749" t="s">
        <v>84</v>
      </c>
      <c r="E3749" t="s">
        <v>301</v>
      </c>
      <c r="F3749" t="s">
        <v>81</v>
      </c>
      <c r="G3749">
        <v>2070</v>
      </c>
      <c r="H3749">
        <v>-1650</v>
      </c>
      <c r="I3749">
        <v>-3415500</v>
      </c>
    </row>
    <row r="3750" spans="1:11" hidden="1" x14ac:dyDescent="0.25">
      <c r="A3750" s="210" t="s">
        <v>1524</v>
      </c>
      <c r="B3750">
        <v>5311</v>
      </c>
      <c r="C3750" s="100">
        <v>46154</v>
      </c>
      <c r="D3750" t="s">
        <v>84</v>
      </c>
      <c r="E3750" t="s">
        <v>43</v>
      </c>
      <c r="F3750" t="s">
        <v>230</v>
      </c>
      <c r="G3750">
        <v>410</v>
      </c>
      <c r="H3750">
        <v>-804.87804878049997</v>
      </c>
      <c r="I3750">
        <v>-330000.00000000501</v>
      </c>
    </row>
    <row r="3751" spans="1:11" hidden="1" x14ac:dyDescent="0.25">
      <c r="A3751" s="210" t="s">
        <v>1524</v>
      </c>
      <c r="B3751">
        <v>5311</v>
      </c>
      <c r="C3751" s="100">
        <v>46154</v>
      </c>
      <c r="D3751" t="s">
        <v>84</v>
      </c>
      <c r="E3751" t="s">
        <v>1831</v>
      </c>
      <c r="F3751" t="s">
        <v>148</v>
      </c>
      <c r="G3751">
        <v>1480</v>
      </c>
      <c r="H3751">
        <v>-550</v>
      </c>
      <c r="I3751">
        <v>-814000</v>
      </c>
    </row>
    <row r="3752" spans="1:11" hidden="1" x14ac:dyDescent="0.25">
      <c r="A3752" s="210" t="s">
        <v>1524</v>
      </c>
      <c r="B3752">
        <v>5311</v>
      </c>
      <c r="C3752" s="100">
        <v>46154</v>
      </c>
      <c r="D3752" t="s">
        <v>426</v>
      </c>
      <c r="E3752" t="s">
        <v>43</v>
      </c>
      <c r="F3752" t="s">
        <v>230</v>
      </c>
      <c r="G3752">
        <v>1892</v>
      </c>
      <c r="I3752">
        <v>0</v>
      </c>
    </row>
    <row r="3753" spans="1:11" hidden="1" x14ac:dyDescent="0.25">
      <c r="A3753" s="210" t="s">
        <v>1524</v>
      </c>
      <c r="B3753">
        <v>5311</v>
      </c>
      <c r="C3753" s="100">
        <v>46154</v>
      </c>
      <c r="D3753" t="s">
        <v>426</v>
      </c>
      <c r="E3753" t="s">
        <v>1831</v>
      </c>
      <c r="F3753" t="s">
        <v>148</v>
      </c>
      <c r="G3753">
        <v>3926</v>
      </c>
      <c r="I3753">
        <v>0</v>
      </c>
    </row>
    <row r="3754" spans="1:11" hidden="1" x14ac:dyDescent="0.25">
      <c r="A3754" s="210" t="s">
        <v>1524</v>
      </c>
      <c r="B3754">
        <v>5306</v>
      </c>
      <c r="C3754" s="100">
        <v>46151</v>
      </c>
      <c r="D3754" t="s">
        <v>84</v>
      </c>
      <c r="E3754" t="s">
        <v>143</v>
      </c>
      <c r="F3754" t="s">
        <v>78</v>
      </c>
      <c r="G3754">
        <v>330</v>
      </c>
      <c r="H3754">
        <v>-1000</v>
      </c>
      <c r="I3754">
        <v>-330000</v>
      </c>
    </row>
    <row r="3755" spans="1:11" hidden="1" x14ac:dyDescent="0.25">
      <c r="A3755" s="210" t="s">
        <v>1524</v>
      </c>
      <c r="B3755">
        <v>5302</v>
      </c>
      <c r="C3755" s="100">
        <v>46150</v>
      </c>
      <c r="D3755" t="s">
        <v>84</v>
      </c>
      <c r="E3755" t="s">
        <v>17</v>
      </c>
      <c r="F3755" t="s">
        <v>446</v>
      </c>
      <c r="G3755">
        <v>1260</v>
      </c>
      <c r="H3755">
        <v>-550</v>
      </c>
      <c r="I3755">
        <v>-693000</v>
      </c>
    </row>
    <row r="3756" spans="1:11" hidden="1" x14ac:dyDescent="0.25">
      <c r="A3756" s="210" t="s">
        <v>1524</v>
      </c>
      <c r="B3756">
        <v>5302</v>
      </c>
      <c r="C3756" s="100">
        <v>46150</v>
      </c>
      <c r="D3756" t="s">
        <v>426</v>
      </c>
      <c r="E3756" t="s">
        <v>17</v>
      </c>
      <c r="F3756" t="s">
        <v>446</v>
      </c>
      <c r="G3756">
        <v>854</v>
      </c>
      <c r="I3756">
        <v>0</v>
      </c>
      <c r="K3756" t="s">
        <v>1990</v>
      </c>
    </row>
    <row r="3757" spans="1:11" hidden="1" x14ac:dyDescent="0.25">
      <c r="A3757" s="210" t="s">
        <v>1524</v>
      </c>
      <c r="B3757">
        <v>5301</v>
      </c>
      <c r="C3757" s="100">
        <v>46149</v>
      </c>
      <c r="D3757" t="s">
        <v>84</v>
      </c>
      <c r="E3757" t="s">
        <v>93</v>
      </c>
      <c r="F3757" t="s">
        <v>136</v>
      </c>
      <c r="G3757">
        <v>5066</v>
      </c>
      <c r="H3757">
        <v>-800</v>
      </c>
      <c r="I3757">
        <v>-4052800</v>
      </c>
    </row>
    <row r="3758" spans="1:11" hidden="1" x14ac:dyDescent="0.25">
      <c r="A3758" s="210" t="s">
        <v>1524</v>
      </c>
      <c r="B3758">
        <v>5301</v>
      </c>
      <c r="C3758" s="100">
        <v>46149</v>
      </c>
      <c r="D3758" t="s">
        <v>84</v>
      </c>
      <c r="E3758" t="s">
        <v>93</v>
      </c>
      <c r="F3758" t="s">
        <v>255</v>
      </c>
      <c r="G3758">
        <v>3590</v>
      </c>
      <c r="H3758">
        <v>-800</v>
      </c>
      <c r="I3758">
        <v>-2872000</v>
      </c>
    </row>
    <row r="3759" spans="1:11" hidden="1" x14ac:dyDescent="0.25">
      <c r="A3759" s="210" t="s">
        <v>1524</v>
      </c>
      <c r="B3759">
        <v>5295</v>
      </c>
      <c r="C3759" s="100">
        <v>46149</v>
      </c>
      <c r="D3759" t="s">
        <v>84</v>
      </c>
      <c r="E3759" t="s">
        <v>93</v>
      </c>
      <c r="F3759" t="s">
        <v>502</v>
      </c>
      <c r="G3759">
        <v>4894</v>
      </c>
      <c r="H3759">
        <v>-550</v>
      </c>
      <c r="I3759">
        <v>-2691700</v>
      </c>
    </row>
    <row r="3760" spans="1:11" hidden="1" x14ac:dyDescent="0.25">
      <c r="A3760" s="210" t="s">
        <v>1524</v>
      </c>
      <c r="B3760">
        <v>5295</v>
      </c>
      <c r="C3760" s="100">
        <v>46149</v>
      </c>
      <c r="D3760" t="s">
        <v>84</v>
      </c>
      <c r="E3760" t="s">
        <v>45</v>
      </c>
      <c r="F3760" t="s">
        <v>2177</v>
      </c>
      <c r="G3760">
        <v>4894</v>
      </c>
      <c r="H3760">
        <v>-550</v>
      </c>
      <c r="I3760">
        <v>-2691700</v>
      </c>
    </row>
    <row r="3761" spans="1:11" hidden="1" x14ac:dyDescent="0.25">
      <c r="A3761" s="210" t="s">
        <v>1524</v>
      </c>
      <c r="B3761">
        <v>5293</v>
      </c>
      <c r="C3761" s="100">
        <v>46149</v>
      </c>
      <c r="D3761" t="s">
        <v>84</v>
      </c>
      <c r="E3761" t="s">
        <v>93</v>
      </c>
      <c r="F3761" t="s">
        <v>502</v>
      </c>
      <c r="G3761">
        <v>1284</v>
      </c>
      <c r="H3761">
        <v>-550</v>
      </c>
      <c r="I3761">
        <v>-706200</v>
      </c>
    </row>
    <row r="3762" spans="1:11" hidden="1" x14ac:dyDescent="0.25">
      <c r="A3762" s="210" t="s">
        <v>1524</v>
      </c>
      <c r="B3762">
        <v>5293</v>
      </c>
      <c r="C3762" s="100">
        <v>46149</v>
      </c>
      <c r="D3762" t="s">
        <v>84</v>
      </c>
      <c r="E3762" t="s">
        <v>520</v>
      </c>
      <c r="F3762" t="s">
        <v>1980</v>
      </c>
      <c r="G3762">
        <v>6212</v>
      </c>
      <c r="H3762">
        <v>-1000</v>
      </c>
      <c r="I3762">
        <v>-6212000</v>
      </c>
      <c r="K3762" t="s">
        <v>1981</v>
      </c>
    </row>
    <row r="3763" spans="1:11" hidden="1" x14ac:dyDescent="0.25">
      <c r="A3763" s="210" t="s">
        <v>1524</v>
      </c>
      <c r="B3763">
        <v>5292</v>
      </c>
      <c r="C3763" s="100">
        <v>46148</v>
      </c>
      <c r="D3763" t="s">
        <v>84</v>
      </c>
      <c r="E3763" t="s">
        <v>45</v>
      </c>
      <c r="F3763" t="s">
        <v>502</v>
      </c>
      <c r="G3763">
        <v>1992</v>
      </c>
      <c r="H3763">
        <v>-550</v>
      </c>
      <c r="I3763">
        <v>-1095600</v>
      </c>
    </row>
    <row r="3764" spans="1:11" hidden="1" x14ac:dyDescent="0.25">
      <c r="A3764" s="210" t="s">
        <v>1524</v>
      </c>
      <c r="B3764">
        <v>5292</v>
      </c>
      <c r="C3764" s="100">
        <v>46148</v>
      </c>
      <c r="D3764" t="s">
        <v>84</v>
      </c>
      <c r="E3764" t="s">
        <v>17</v>
      </c>
      <c r="F3764" t="s">
        <v>502</v>
      </c>
      <c r="G3764">
        <v>1068</v>
      </c>
      <c r="H3764">
        <v>-550</v>
      </c>
      <c r="I3764">
        <v>-587400</v>
      </c>
    </row>
    <row r="3765" spans="1:11" hidden="1" x14ac:dyDescent="0.25">
      <c r="A3765" s="210" t="s">
        <v>1524</v>
      </c>
      <c r="B3765">
        <v>5290</v>
      </c>
      <c r="C3765" s="100">
        <v>46148</v>
      </c>
      <c r="D3765" t="s">
        <v>84</v>
      </c>
      <c r="E3765" t="s">
        <v>192</v>
      </c>
      <c r="F3765" t="s">
        <v>1945</v>
      </c>
      <c r="G3765">
        <v>2458</v>
      </c>
      <c r="H3765">
        <v>-550</v>
      </c>
      <c r="I3765">
        <v>-1351900</v>
      </c>
    </row>
    <row r="3766" spans="1:11" hidden="1" x14ac:dyDescent="0.25">
      <c r="A3766" s="210" t="s">
        <v>1524</v>
      </c>
      <c r="B3766">
        <v>5289</v>
      </c>
      <c r="C3766" s="100">
        <v>46148</v>
      </c>
      <c r="D3766" t="s">
        <v>84</v>
      </c>
      <c r="E3766" t="s">
        <v>43</v>
      </c>
      <c r="F3766" t="s">
        <v>1929</v>
      </c>
      <c r="G3766">
        <v>740</v>
      </c>
      <c r="H3766">
        <v>-550</v>
      </c>
      <c r="I3766">
        <v>-407000</v>
      </c>
    </row>
    <row r="3767" spans="1:11" hidden="1" x14ac:dyDescent="0.25">
      <c r="A3767" s="210" t="s">
        <v>1524</v>
      </c>
      <c r="B3767">
        <v>5289</v>
      </c>
      <c r="C3767" s="100">
        <v>46148</v>
      </c>
      <c r="D3767" t="s">
        <v>84</v>
      </c>
      <c r="E3767" t="s">
        <v>17</v>
      </c>
      <c r="F3767" t="s">
        <v>40</v>
      </c>
      <c r="G3767">
        <v>3078</v>
      </c>
      <c r="H3767">
        <v>-550</v>
      </c>
      <c r="I3767">
        <v>-1692900</v>
      </c>
    </row>
    <row r="3768" spans="1:11" hidden="1" x14ac:dyDescent="0.25">
      <c r="A3768" s="210" t="s">
        <v>1524</v>
      </c>
      <c r="B3768">
        <v>5284</v>
      </c>
      <c r="C3768" s="100">
        <v>46147</v>
      </c>
      <c r="D3768" t="s">
        <v>84</v>
      </c>
      <c r="E3768" t="s">
        <v>540</v>
      </c>
      <c r="F3768" t="s">
        <v>230</v>
      </c>
      <c r="G3768">
        <v>804</v>
      </c>
      <c r="H3768">
        <v>-550</v>
      </c>
      <c r="I3768">
        <v>-442200</v>
      </c>
    </row>
    <row r="3769" spans="1:11" hidden="1" x14ac:dyDescent="0.25">
      <c r="A3769" s="210" t="s">
        <v>1524</v>
      </c>
      <c r="B3769">
        <v>5284</v>
      </c>
      <c r="C3769" s="100">
        <v>46147</v>
      </c>
      <c r="D3769" t="s">
        <v>84</v>
      </c>
      <c r="E3769" t="s">
        <v>77</v>
      </c>
      <c r="F3769" t="s">
        <v>230</v>
      </c>
      <c r="G3769">
        <v>404</v>
      </c>
      <c r="H3769">
        <v>-550</v>
      </c>
      <c r="I3769">
        <v>-222200</v>
      </c>
    </row>
    <row r="3770" spans="1:11" hidden="1" x14ac:dyDescent="0.25">
      <c r="A3770" s="210" t="s">
        <v>1524</v>
      </c>
      <c r="B3770">
        <v>5284</v>
      </c>
      <c r="C3770" s="100">
        <v>46147</v>
      </c>
      <c r="D3770" t="s">
        <v>426</v>
      </c>
      <c r="E3770" t="s">
        <v>540</v>
      </c>
      <c r="F3770" t="s">
        <v>230</v>
      </c>
      <c r="G3770">
        <v>2004</v>
      </c>
      <c r="I3770">
        <v>0</v>
      </c>
    </row>
    <row r="3771" spans="1:11" hidden="1" x14ac:dyDescent="0.25">
      <c r="A3771" s="210" t="s">
        <v>1524</v>
      </c>
      <c r="B3771">
        <v>5284</v>
      </c>
      <c r="C3771" s="100">
        <v>46147</v>
      </c>
      <c r="D3771" t="s">
        <v>426</v>
      </c>
      <c r="E3771" t="s">
        <v>14</v>
      </c>
      <c r="F3771" t="s">
        <v>62</v>
      </c>
      <c r="G3771">
        <v>3388</v>
      </c>
      <c r="I3771">
        <v>0</v>
      </c>
    </row>
    <row r="3772" spans="1:11" hidden="1" x14ac:dyDescent="0.25">
      <c r="A3772" s="210" t="s">
        <v>1524</v>
      </c>
      <c r="B3772">
        <v>5284</v>
      </c>
      <c r="C3772" s="100">
        <v>46147</v>
      </c>
      <c r="D3772" t="s">
        <v>426</v>
      </c>
      <c r="E3772" t="s">
        <v>77</v>
      </c>
      <c r="F3772" t="s">
        <v>230</v>
      </c>
      <c r="G3772">
        <v>16</v>
      </c>
      <c r="I3772">
        <v>0</v>
      </c>
    </row>
    <row r="3773" spans="1:11" hidden="1" x14ac:dyDescent="0.25">
      <c r="A3773" s="210" t="s">
        <v>1524</v>
      </c>
      <c r="B3773">
        <v>5284</v>
      </c>
      <c r="C3773" s="100">
        <v>46147</v>
      </c>
      <c r="D3773" t="s">
        <v>84</v>
      </c>
      <c r="E3773" t="s">
        <v>526</v>
      </c>
      <c r="G3773">
        <v>8</v>
      </c>
      <c r="H3773">
        <v>-550</v>
      </c>
      <c r="I3773">
        <v>-4400</v>
      </c>
    </row>
    <row r="3774" spans="1:11" hidden="1" x14ac:dyDescent="0.25">
      <c r="A3774" s="210" t="s">
        <v>1524</v>
      </c>
      <c r="B3774">
        <v>5282</v>
      </c>
      <c r="C3774" s="100">
        <v>46146</v>
      </c>
      <c r="D3774" t="s">
        <v>84</v>
      </c>
      <c r="E3774" t="s">
        <v>14</v>
      </c>
      <c r="F3774" t="s">
        <v>62</v>
      </c>
      <c r="G3774">
        <v>1970</v>
      </c>
      <c r="H3774">
        <v>-500</v>
      </c>
      <c r="I3774">
        <v>-985000</v>
      </c>
    </row>
    <row r="3775" spans="1:11" hidden="1" x14ac:dyDescent="0.25">
      <c r="A3775" s="210" t="s">
        <v>1524</v>
      </c>
      <c r="B3775">
        <v>5277</v>
      </c>
      <c r="C3775" s="100">
        <v>46140</v>
      </c>
      <c r="D3775" t="s">
        <v>84</v>
      </c>
      <c r="E3775" t="s">
        <v>93</v>
      </c>
      <c r="F3775" t="s">
        <v>40</v>
      </c>
      <c r="G3775">
        <v>1184</v>
      </c>
      <c r="H3775">
        <v>-500</v>
      </c>
      <c r="I3775">
        <v>-592000</v>
      </c>
      <c r="K3775" t="s">
        <v>665</v>
      </c>
    </row>
    <row r="3776" spans="1:11" hidden="1" x14ac:dyDescent="0.25">
      <c r="A3776" s="210" t="s">
        <v>1524</v>
      </c>
      <c r="B3776">
        <v>5277</v>
      </c>
      <c r="C3776" s="100">
        <v>46140</v>
      </c>
      <c r="D3776" t="s">
        <v>84</v>
      </c>
      <c r="E3776" t="s">
        <v>93</v>
      </c>
      <c r="F3776" t="s">
        <v>502</v>
      </c>
      <c r="G3776">
        <v>6052</v>
      </c>
      <c r="H3776">
        <v>-500</v>
      </c>
      <c r="I3776">
        <v>-3026000</v>
      </c>
      <c r="K3776" t="s">
        <v>666</v>
      </c>
    </row>
    <row r="3777" spans="1:11" hidden="1" x14ac:dyDescent="0.25">
      <c r="A3777" s="210" t="s">
        <v>1524</v>
      </c>
      <c r="B3777">
        <v>5277</v>
      </c>
      <c r="C3777" s="100">
        <v>46140</v>
      </c>
      <c r="D3777" t="s">
        <v>84</v>
      </c>
      <c r="E3777" t="s">
        <v>93</v>
      </c>
      <c r="F3777" t="s">
        <v>40</v>
      </c>
      <c r="G3777">
        <v>2022</v>
      </c>
      <c r="H3777">
        <v>-500</v>
      </c>
      <c r="I3777">
        <v>-1011000</v>
      </c>
      <c r="K3777" t="s">
        <v>667</v>
      </c>
    </row>
    <row r="3778" spans="1:11" hidden="1" x14ac:dyDescent="0.25">
      <c r="A3778" s="210" t="s">
        <v>1524</v>
      </c>
      <c r="B3778">
        <v>5277</v>
      </c>
      <c r="C3778" s="100">
        <v>46140</v>
      </c>
      <c r="D3778" t="s">
        <v>426</v>
      </c>
      <c r="E3778" t="s">
        <v>93</v>
      </c>
      <c r="F3778" t="s">
        <v>136</v>
      </c>
      <c r="G3778">
        <v>2012</v>
      </c>
      <c r="I3778">
        <v>0</v>
      </c>
    </row>
    <row r="3779" spans="1:11" hidden="1" x14ac:dyDescent="0.25">
      <c r="A3779" s="210" t="s">
        <v>1524</v>
      </c>
      <c r="B3779">
        <v>5277</v>
      </c>
      <c r="C3779" s="100">
        <v>46140</v>
      </c>
      <c r="D3779" t="s">
        <v>84</v>
      </c>
      <c r="E3779" t="s">
        <v>93</v>
      </c>
      <c r="F3779" t="s">
        <v>469</v>
      </c>
      <c r="G3779">
        <v>552</v>
      </c>
      <c r="H3779">
        <v>-543.47826086960004</v>
      </c>
      <c r="I3779">
        <v>-300000.00000001921</v>
      </c>
      <c r="K3779" t="s">
        <v>668</v>
      </c>
    </row>
    <row r="3780" spans="1:11" hidden="1" x14ac:dyDescent="0.25">
      <c r="A3780" s="210" t="s">
        <v>1524</v>
      </c>
      <c r="B3780">
        <v>5274</v>
      </c>
      <c r="C3780" s="100">
        <v>46139</v>
      </c>
      <c r="D3780" t="s">
        <v>84</v>
      </c>
      <c r="E3780" t="s">
        <v>93</v>
      </c>
      <c r="F3780" t="s">
        <v>40</v>
      </c>
      <c r="G3780">
        <v>2844</v>
      </c>
      <c r="H3780">
        <v>-500</v>
      </c>
      <c r="I3780">
        <v>-1422000</v>
      </c>
    </row>
    <row r="3781" spans="1:11" hidden="1" x14ac:dyDescent="0.25">
      <c r="A3781" s="210" t="s">
        <v>1524</v>
      </c>
      <c r="B3781">
        <v>5268</v>
      </c>
      <c r="C3781" s="100">
        <v>46139</v>
      </c>
      <c r="D3781" t="s">
        <v>84</v>
      </c>
      <c r="E3781" t="s">
        <v>93</v>
      </c>
      <c r="F3781" t="s">
        <v>502</v>
      </c>
      <c r="G3781">
        <v>6406</v>
      </c>
      <c r="H3781">
        <v>-500</v>
      </c>
      <c r="I3781">
        <v>-3203000</v>
      </c>
    </row>
    <row r="3782" spans="1:11" hidden="1" x14ac:dyDescent="0.25">
      <c r="A3782" s="210" t="s">
        <v>1524</v>
      </c>
      <c r="B3782">
        <v>5267</v>
      </c>
      <c r="C3782" s="100">
        <v>46137</v>
      </c>
      <c r="D3782" t="s">
        <v>84</v>
      </c>
      <c r="E3782" t="s">
        <v>93</v>
      </c>
      <c r="F3782" t="s">
        <v>469</v>
      </c>
      <c r="G3782">
        <v>1500</v>
      </c>
      <c r="H3782">
        <v>-500</v>
      </c>
      <c r="I3782">
        <v>-750000</v>
      </c>
    </row>
    <row r="3783" spans="1:11" hidden="1" x14ac:dyDescent="0.25">
      <c r="A3783" s="210" t="s">
        <v>1524</v>
      </c>
      <c r="B3783">
        <v>5267</v>
      </c>
      <c r="C3783" s="100">
        <v>46137</v>
      </c>
      <c r="D3783" t="s">
        <v>84</v>
      </c>
      <c r="E3783" t="s">
        <v>93</v>
      </c>
      <c r="F3783" t="s">
        <v>46</v>
      </c>
      <c r="G3783">
        <v>2118</v>
      </c>
      <c r="H3783">
        <v>-500</v>
      </c>
      <c r="I3783">
        <v>-1059000</v>
      </c>
    </row>
    <row r="3784" spans="1:11" hidden="1" x14ac:dyDescent="0.25">
      <c r="A3784" s="210" t="s">
        <v>1524</v>
      </c>
      <c r="B3784">
        <v>5267</v>
      </c>
      <c r="C3784" s="100">
        <v>46137</v>
      </c>
      <c r="D3784" t="s">
        <v>84</v>
      </c>
      <c r="E3784" t="s">
        <v>93</v>
      </c>
      <c r="F3784" t="s">
        <v>502</v>
      </c>
      <c r="G3784">
        <v>1082</v>
      </c>
      <c r="H3784">
        <v>-500</v>
      </c>
      <c r="I3784">
        <v>-541000</v>
      </c>
    </row>
    <row r="3785" spans="1:11" hidden="1" x14ac:dyDescent="0.25">
      <c r="A3785" s="210" t="s">
        <v>1524</v>
      </c>
      <c r="B3785">
        <v>5266</v>
      </c>
      <c r="C3785" s="100">
        <v>46137</v>
      </c>
      <c r="D3785" t="s">
        <v>84</v>
      </c>
      <c r="E3785" t="s">
        <v>520</v>
      </c>
      <c r="F3785" t="s">
        <v>663</v>
      </c>
      <c r="G3785">
        <v>2180</v>
      </c>
      <c r="H3785">
        <v>-1000</v>
      </c>
      <c r="I3785">
        <v>-2180000</v>
      </c>
    </row>
    <row r="3786" spans="1:11" hidden="1" x14ac:dyDescent="0.25">
      <c r="A3786" s="210" t="s">
        <v>1524</v>
      </c>
      <c r="B3786">
        <v>5265</v>
      </c>
      <c r="C3786" s="100">
        <v>46137</v>
      </c>
      <c r="D3786" t="s">
        <v>84</v>
      </c>
      <c r="E3786" t="s">
        <v>93</v>
      </c>
      <c r="F3786" t="s">
        <v>136</v>
      </c>
      <c r="G3786">
        <v>1088</v>
      </c>
      <c r="H3786">
        <v>-500</v>
      </c>
      <c r="I3786">
        <v>-544000</v>
      </c>
    </row>
    <row r="3787" spans="1:11" hidden="1" x14ac:dyDescent="0.25">
      <c r="A3787" s="210" t="s">
        <v>1524</v>
      </c>
      <c r="B3787">
        <v>5265</v>
      </c>
      <c r="C3787" s="100">
        <v>46137</v>
      </c>
      <c r="D3787" t="s">
        <v>84</v>
      </c>
      <c r="E3787" t="s">
        <v>93</v>
      </c>
      <c r="F3787" t="s">
        <v>40</v>
      </c>
      <c r="G3787">
        <v>2944</v>
      </c>
      <c r="H3787">
        <v>-500</v>
      </c>
      <c r="I3787">
        <v>-1472000</v>
      </c>
    </row>
    <row r="3788" spans="1:11" hidden="1" x14ac:dyDescent="0.25">
      <c r="A3788" s="210" t="s">
        <v>1524</v>
      </c>
      <c r="B3788">
        <v>5265</v>
      </c>
      <c r="C3788" s="100">
        <v>46137</v>
      </c>
      <c r="D3788" t="s">
        <v>84</v>
      </c>
      <c r="E3788" t="s">
        <v>93</v>
      </c>
      <c r="F3788" t="s">
        <v>662</v>
      </c>
      <c r="G3788">
        <v>4340</v>
      </c>
      <c r="H3788">
        <v>-500</v>
      </c>
      <c r="I3788">
        <v>-2170000</v>
      </c>
    </row>
    <row r="3789" spans="1:11" hidden="1" x14ac:dyDescent="0.25">
      <c r="A3789" s="210" t="s">
        <v>1524</v>
      </c>
      <c r="B3789">
        <v>5264</v>
      </c>
      <c r="C3789" s="100">
        <v>46139</v>
      </c>
      <c r="D3789" t="s">
        <v>84</v>
      </c>
      <c r="E3789" t="s">
        <v>277</v>
      </c>
      <c r="F3789" t="s">
        <v>40</v>
      </c>
      <c r="G3789">
        <v>1352</v>
      </c>
      <c r="H3789">
        <v>-500</v>
      </c>
      <c r="I3789">
        <v>-676000</v>
      </c>
    </row>
    <row r="3790" spans="1:11" hidden="1" x14ac:dyDescent="0.25">
      <c r="A3790" s="210" t="s">
        <v>1524</v>
      </c>
      <c r="B3790">
        <v>5264</v>
      </c>
      <c r="C3790" s="100">
        <v>46139</v>
      </c>
      <c r="D3790" t="s">
        <v>84</v>
      </c>
      <c r="E3790" t="s">
        <v>277</v>
      </c>
      <c r="F3790" t="s">
        <v>664</v>
      </c>
      <c r="G3790">
        <v>1890</v>
      </c>
      <c r="H3790">
        <v>-500</v>
      </c>
      <c r="I3790">
        <v>-945000</v>
      </c>
    </row>
    <row r="3791" spans="1:11" hidden="1" x14ac:dyDescent="0.25">
      <c r="A3791" s="210" t="s">
        <v>1524</v>
      </c>
      <c r="B3791">
        <v>5262</v>
      </c>
      <c r="C3791" s="100">
        <v>46136</v>
      </c>
      <c r="D3791" t="s">
        <v>84</v>
      </c>
      <c r="E3791" t="s">
        <v>93</v>
      </c>
      <c r="F3791" t="s">
        <v>62</v>
      </c>
      <c r="G3791">
        <v>2964</v>
      </c>
      <c r="H3791">
        <v>-500</v>
      </c>
      <c r="I3791">
        <v>-1482000</v>
      </c>
    </row>
    <row r="3792" spans="1:11" hidden="1" x14ac:dyDescent="0.25">
      <c r="A3792" s="210" t="s">
        <v>1524</v>
      </c>
      <c r="B3792">
        <v>5257</v>
      </c>
      <c r="C3792" s="100">
        <v>46136</v>
      </c>
      <c r="D3792" t="s">
        <v>84</v>
      </c>
      <c r="E3792" t="s">
        <v>277</v>
      </c>
      <c r="F3792" t="s">
        <v>446</v>
      </c>
      <c r="G3792">
        <v>658</v>
      </c>
      <c r="H3792">
        <v>-500</v>
      </c>
      <c r="I3792">
        <v>-329000</v>
      </c>
    </row>
    <row r="3793" spans="1:11" hidden="1" x14ac:dyDescent="0.25">
      <c r="A3793" s="210" t="s">
        <v>1524</v>
      </c>
      <c r="B3793">
        <v>5254</v>
      </c>
      <c r="C3793" s="100">
        <v>46134</v>
      </c>
      <c r="D3793" t="s">
        <v>84</v>
      </c>
      <c r="E3793" t="s">
        <v>93</v>
      </c>
      <c r="F3793" t="s">
        <v>40</v>
      </c>
      <c r="G3793">
        <v>354</v>
      </c>
      <c r="H3793">
        <v>-847.45762711860004</v>
      </c>
      <c r="I3793">
        <v>-299999.9999999844</v>
      </c>
    </row>
    <row r="3794" spans="1:11" hidden="1" x14ac:dyDescent="0.25">
      <c r="A3794" s="210" t="s">
        <v>1524</v>
      </c>
      <c r="B3794">
        <v>5254</v>
      </c>
      <c r="C3794" s="100">
        <v>46134</v>
      </c>
      <c r="D3794" t="s">
        <v>426</v>
      </c>
      <c r="E3794" t="s">
        <v>93</v>
      </c>
      <c r="F3794" t="s">
        <v>40</v>
      </c>
      <c r="G3794">
        <v>4652</v>
      </c>
      <c r="I3794">
        <v>0</v>
      </c>
    </row>
    <row r="3795" spans="1:11" hidden="1" x14ac:dyDescent="0.25">
      <c r="A3795" s="210" t="s">
        <v>1524</v>
      </c>
      <c r="B3795">
        <v>5252</v>
      </c>
      <c r="C3795" s="100">
        <v>46165</v>
      </c>
      <c r="D3795" t="s">
        <v>84</v>
      </c>
      <c r="E3795" t="s">
        <v>26</v>
      </c>
      <c r="F3795" t="s">
        <v>446</v>
      </c>
      <c r="G3795">
        <v>6184</v>
      </c>
      <c r="H3795">
        <v>-550</v>
      </c>
      <c r="I3795">
        <v>-3401200</v>
      </c>
    </row>
    <row r="3796" spans="1:11" hidden="1" x14ac:dyDescent="0.25">
      <c r="A3796" s="210" t="s">
        <v>1524</v>
      </c>
      <c r="B3796">
        <v>5250</v>
      </c>
      <c r="C3796" s="100">
        <v>46133</v>
      </c>
      <c r="D3796" t="s">
        <v>84</v>
      </c>
      <c r="E3796" t="s">
        <v>93</v>
      </c>
      <c r="F3796" t="s">
        <v>78</v>
      </c>
      <c r="G3796">
        <v>856</v>
      </c>
      <c r="H3796">
        <v>-500</v>
      </c>
      <c r="I3796">
        <v>-428000</v>
      </c>
    </row>
    <row r="3797" spans="1:11" hidden="1" x14ac:dyDescent="0.25">
      <c r="A3797" s="210" t="s">
        <v>1524</v>
      </c>
      <c r="B3797">
        <v>5246</v>
      </c>
      <c r="C3797" s="100">
        <v>46132</v>
      </c>
      <c r="D3797" t="s">
        <v>84</v>
      </c>
      <c r="E3797" t="s">
        <v>93</v>
      </c>
      <c r="F3797" t="s">
        <v>646</v>
      </c>
      <c r="G3797">
        <v>1496</v>
      </c>
      <c r="H3797">
        <v>-500</v>
      </c>
      <c r="I3797">
        <v>-748000</v>
      </c>
    </row>
    <row r="3798" spans="1:11" hidden="1" x14ac:dyDescent="0.25">
      <c r="A3798" s="210" t="s">
        <v>1524</v>
      </c>
      <c r="B3798">
        <v>5246</v>
      </c>
      <c r="C3798" s="100">
        <v>46132</v>
      </c>
      <c r="D3798" t="s">
        <v>426</v>
      </c>
      <c r="E3798" t="s">
        <v>541</v>
      </c>
      <c r="F3798" t="s">
        <v>62</v>
      </c>
      <c r="G3798">
        <v>2122</v>
      </c>
      <c r="I3798">
        <v>0</v>
      </c>
    </row>
    <row r="3799" spans="1:11" hidden="1" x14ac:dyDescent="0.25">
      <c r="A3799" s="210" t="s">
        <v>1524</v>
      </c>
      <c r="B3799">
        <v>5246</v>
      </c>
      <c r="C3799" s="100">
        <v>46132</v>
      </c>
      <c r="D3799" t="s">
        <v>426</v>
      </c>
      <c r="E3799" t="s">
        <v>541</v>
      </c>
      <c r="F3799" t="s">
        <v>78</v>
      </c>
      <c r="G3799">
        <v>1406</v>
      </c>
      <c r="I3799">
        <v>0</v>
      </c>
    </row>
    <row r="3800" spans="1:11" hidden="1" x14ac:dyDescent="0.25">
      <c r="A3800" s="210" t="s">
        <v>1524</v>
      </c>
      <c r="B3800">
        <v>5243</v>
      </c>
      <c r="C3800" s="100">
        <v>46132</v>
      </c>
      <c r="D3800" t="s">
        <v>84</v>
      </c>
      <c r="E3800" t="s">
        <v>93</v>
      </c>
      <c r="F3800" t="s">
        <v>78</v>
      </c>
      <c r="G3800">
        <v>3370</v>
      </c>
      <c r="H3800">
        <v>-500</v>
      </c>
      <c r="I3800">
        <v>-1685000</v>
      </c>
    </row>
    <row r="3801" spans="1:11" hidden="1" x14ac:dyDescent="0.25">
      <c r="A3801" s="210" t="s">
        <v>1524</v>
      </c>
      <c r="B3801">
        <v>5243</v>
      </c>
      <c r="C3801" s="100">
        <v>46132</v>
      </c>
      <c r="D3801" t="s">
        <v>84</v>
      </c>
      <c r="E3801" t="s">
        <v>93</v>
      </c>
      <c r="F3801" t="s">
        <v>621</v>
      </c>
      <c r="G3801">
        <v>1764</v>
      </c>
      <c r="H3801">
        <v>-500</v>
      </c>
      <c r="I3801">
        <v>-882000</v>
      </c>
      <c r="K3801" t="s">
        <v>655</v>
      </c>
    </row>
    <row r="3802" spans="1:11" hidden="1" x14ac:dyDescent="0.25">
      <c r="A3802" s="210" t="s">
        <v>1524</v>
      </c>
      <c r="B3802">
        <v>5243</v>
      </c>
      <c r="C3802" s="100">
        <v>46132</v>
      </c>
      <c r="D3802" t="s">
        <v>84</v>
      </c>
      <c r="E3802" t="s">
        <v>526</v>
      </c>
      <c r="F3802" t="s">
        <v>656</v>
      </c>
      <c r="G3802">
        <v>2142</v>
      </c>
      <c r="H3802">
        <v>-500</v>
      </c>
      <c r="I3802">
        <v>-1071000</v>
      </c>
    </row>
    <row r="3803" spans="1:11" hidden="1" x14ac:dyDescent="0.25">
      <c r="A3803" s="210" t="s">
        <v>1524</v>
      </c>
      <c r="B3803">
        <v>5243</v>
      </c>
      <c r="C3803" s="100">
        <v>46132</v>
      </c>
      <c r="D3803" t="s">
        <v>84</v>
      </c>
      <c r="E3803" t="s">
        <v>520</v>
      </c>
      <c r="F3803" t="s">
        <v>656</v>
      </c>
      <c r="G3803">
        <v>1060</v>
      </c>
      <c r="H3803">
        <v>-1000</v>
      </c>
      <c r="I3803">
        <v>-1060000</v>
      </c>
    </row>
    <row r="3804" spans="1:11" hidden="1" x14ac:dyDescent="0.25">
      <c r="A3804" s="210" t="s">
        <v>1524</v>
      </c>
      <c r="B3804">
        <v>5243</v>
      </c>
      <c r="C3804" s="100">
        <v>46132</v>
      </c>
      <c r="D3804" t="s">
        <v>426</v>
      </c>
      <c r="E3804" t="s">
        <v>541</v>
      </c>
      <c r="F3804" t="s">
        <v>657</v>
      </c>
      <c r="G3804">
        <v>266</v>
      </c>
      <c r="I3804">
        <v>0</v>
      </c>
    </row>
    <row r="3805" spans="1:11" hidden="1" x14ac:dyDescent="0.25">
      <c r="A3805" s="210" t="s">
        <v>1524</v>
      </c>
      <c r="B3805">
        <v>5243</v>
      </c>
      <c r="C3805" s="100">
        <v>46132</v>
      </c>
      <c r="D3805" t="s">
        <v>426</v>
      </c>
      <c r="E3805" t="s">
        <v>541</v>
      </c>
      <c r="F3805" t="s">
        <v>637</v>
      </c>
      <c r="G3805">
        <v>32</v>
      </c>
      <c r="I3805">
        <v>0</v>
      </c>
    </row>
    <row r="3806" spans="1:11" hidden="1" x14ac:dyDescent="0.25">
      <c r="A3806" s="210" t="s">
        <v>1524</v>
      </c>
      <c r="B3806">
        <v>5240</v>
      </c>
      <c r="C3806" s="100">
        <v>46129</v>
      </c>
      <c r="D3806" t="s">
        <v>84</v>
      </c>
      <c r="E3806" t="s">
        <v>93</v>
      </c>
      <c r="F3806" t="s">
        <v>469</v>
      </c>
      <c r="G3806">
        <v>4026</v>
      </c>
      <c r="H3806">
        <v>-500</v>
      </c>
      <c r="I3806">
        <v>-2013000</v>
      </c>
    </row>
    <row r="3807" spans="1:11" hidden="1" x14ac:dyDescent="0.25">
      <c r="A3807" s="210" t="s">
        <v>1524</v>
      </c>
      <c r="B3807">
        <v>5236</v>
      </c>
      <c r="C3807" s="100">
        <v>46129</v>
      </c>
      <c r="D3807" t="s">
        <v>84</v>
      </c>
      <c r="E3807" t="s">
        <v>93</v>
      </c>
      <c r="F3807" t="s">
        <v>40</v>
      </c>
      <c r="G3807">
        <v>1978</v>
      </c>
      <c r="H3807">
        <v>-500</v>
      </c>
      <c r="I3807">
        <v>-989000</v>
      </c>
    </row>
    <row r="3808" spans="1:11" hidden="1" x14ac:dyDescent="0.25">
      <c r="A3808" s="210" t="s">
        <v>1524</v>
      </c>
      <c r="B3808">
        <v>5235</v>
      </c>
      <c r="C3808" s="100">
        <v>46129</v>
      </c>
      <c r="D3808" t="s">
        <v>84</v>
      </c>
      <c r="E3808" t="s">
        <v>93</v>
      </c>
      <c r="F3808" t="s">
        <v>78</v>
      </c>
      <c r="G3808">
        <v>574</v>
      </c>
      <c r="H3808">
        <v>-1045.2961672474</v>
      </c>
      <c r="I3808">
        <v>-600000.00000000757</v>
      </c>
    </row>
    <row r="3809" spans="1:9" hidden="1" x14ac:dyDescent="0.25">
      <c r="A3809" s="210" t="s">
        <v>1524</v>
      </c>
      <c r="B3809">
        <v>5233</v>
      </c>
      <c r="C3809" s="100">
        <v>46129</v>
      </c>
      <c r="D3809" t="s">
        <v>84</v>
      </c>
      <c r="E3809" t="s">
        <v>93</v>
      </c>
      <c r="F3809" t="s">
        <v>78</v>
      </c>
      <c r="G3809">
        <v>435</v>
      </c>
      <c r="H3809">
        <v>-689.65517241379996</v>
      </c>
      <c r="I3809">
        <v>-300000.00000000297</v>
      </c>
    </row>
    <row r="3810" spans="1:9" hidden="1" x14ac:dyDescent="0.25">
      <c r="A3810" s="210" t="s">
        <v>1524</v>
      </c>
      <c r="B3810">
        <v>5232</v>
      </c>
      <c r="C3810" s="100">
        <v>46129</v>
      </c>
      <c r="D3810" t="s">
        <v>84</v>
      </c>
      <c r="E3810" t="s">
        <v>93</v>
      </c>
      <c r="F3810" t="s">
        <v>40</v>
      </c>
      <c r="G3810">
        <v>1276</v>
      </c>
      <c r="H3810">
        <v>-500</v>
      </c>
      <c r="I3810">
        <v>-638000</v>
      </c>
    </row>
    <row r="3811" spans="1:9" hidden="1" x14ac:dyDescent="0.25">
      <c r="A3811" s="210" t="s">
        <v>1524</v>
      </c>
      <c r="B3811">
        <v>5229</v>
      </c>
      <c r="C3811" s="100">
        <v>46128</v>
      </c>
      <c r="D3811" t="s">
        <v>84</v>
      </c>
      <c r="E3811" t="s">
        <v>93</v>
      </c>
      <c r="F3811" t="s">
        <v>62</v>
      </c>
      <c r="G3811">
        <v>1182</v>
      </c>
      <c r="H3811">
        <v>-500</v>
      </c>
      <c r="I3811">
        <v>-591000</v>
      </c>
    </row>
    <row r="3812" spans="1:9" hidden="1" x14ac:dyDescent="0.25">
      <c r="A3812" s="210" t="s">
        <v>1524</v>
      </c>
      <c r="B3812">
        <v>5228</v>
      </c>
      <c r="C3812" s="100">
        <v>46128</v>
      </c>
      <c r="D3812" t="s">
        <v>84</v>
      </c>
      <c r="E3812" t="s">
        <v>93</v>
      </c>
      <c r="F3812" t="s">
        <v>154</v>
      </c>
      <c r="G3812">
        <v>1998</v>
      </c>
      <c r="H3812">
        <v>-500</v>
      </c>
      <c r="I3812">
        <v>-999000</v>
      </c>
    </row>
    <row r="3813" spans="1:9" hidden="1" x14ac:dyDescent="0.25">
      <c r="A3813" s="210" t="s">
        <v>1524</v>
      </c>
      <c r="B3813">
        <v>5227</v>
      </c>
      <c r="C3813" s="100">
        <v>46128</v>
      </c>
      <c r="D3813" t="s">
        <v>84</v>
      </c>
      <c r="E3813" t="s">
        <v>520</v>
      </c>
      <c r="F3813" t="s">
        <v>466</v>
      </c>
      <c r="G3813">
        <v>2530</v>
      </c>
      <c r="H3813">
        <v>-1000</v>
      </c>
      <c r="I3813">
        <v>-2530000</v>
      </c>
    </row>
    <row r="3814" spans="1:9" hidden="1" x14ac:dyDescent="0.25">
      <c r="A3814" s="210" t="s">
        <v>1524</v>
      </c>
      <c r="B3814">
        <v>5226</v>
      </c>
      <c r="C3814" s="100">
        <v>46128</v>
      </c>
      <c r="D3814" t="s">
        <v>84</v>
      </c>
      <c r="E3814" t="s">
        <v>93</v>
      </c>
      <c r="F3814" t="s">
        <v>154</v>
      </c>
      <c r="G3814">
        <v>678</v>
      </c>
      <c r="H3814">
        <v>-500</v>
      </c>
      <c r="I3814">
        <v>-339000</v>
      </c>
    </row>
    <row r="3815" spans="1:9" hidden="1" x14ac:dyDescent="0.25">
      <c r="A3815" s="210" t="s">
        <v>1524</v>
      </c>
      <c r="B3815">
        <v>5221</v>
      </c>
      <c r="C3815" s="100">
        <v>46128</v>
      </c>
      <c r="D3815" t="s">
        <v>84</v>
      </c>
      <c r="E3815" t="s">
        <v>93</v>
      </c>
      <c r="F3815" t="s">
        <v>40</v>
      </c>
      <c r="G3815">
        <v>1446</v>
      </c>
      <c r="H3815">
        <v>-500</v>
      </c>
      <c r="I3815">
        <v>-723000</v>
      </c>
    </row>
    <row r="3816" spans="1:9" hidden="1" x14ac:dyDescent="0.25">
      <c r="A3816" s="210" t="s">
        <v>1524</v>
      </c>
      <c r="B3816">
        <v>5220</v>
      </c>
      <c r="C3816" s="100">
        <v>46127</v>
      </c>
      <c r="D3816" t="s">
        <v>84</v>
      </c>
      <c r="E3816" t="s">
        <v>93</v>
      </c>
      <c r="F3816" t="s">
        <v>46</v>
      </c>
      <c r="G3816">
        <v>3406</v>
      </c>
      <c r="H3816">
        <v>-500</v>
      </c>
      <c r="I3816">
        <v>-1703000</v>
      </c>
    </row>
    <row r="3817" spans="1:9" hidden="1" x14ac:dyDescent="0.25">
      <c r="A3817" s="210" t="s">
        <v>1524</v>
      </c>
      <c r="B3817">
        <v>5220</v>
      </c>
      <c r="C3817" s="100">
        <v>46127</v>
      </c>
      <c r="D3817" t="s">
        <v>426</v>
      </c>
      <c r="E3817" t="s">
        <v>541</v>
      </c>
      <c r="F3817" t="s">
        <v>46</v>
      </c>
      <c r="G3817">
        <v>2966</v>
      </c>
      <c r="I3817">
        <v>0</v>
      </c>
    </row>
    <row r="3818" spans="1:9" hidden="1" x14ac:dyDescent="0.25">
      <c r="A3818" s="210" t="s">
        <v>1524</v>
      </c>
      <c r="B3818">
        <v>5213</v>
      </c>
      <c r="C3818" s="100">
        <v>46126</v>
      </c>
      <c r="D3818" t="s">
        <v>84</v>
      </c>
      <c r="E3818" t="s">
        <v>93</v>
      </c>
      <c r="F3818" t="s">
        <v>637</v>
      </c>
      <c r="G3818">
        <v>6104</v>
      </c>
      <c r="H3818">
        <v>-500</v>
      </c>
      <c r="I3818">
        <v>-3052000</v>
      </c>
    </row>
    <row r="3819" spans="1:9" hidden="1" x14ac:dyDescent="0.25">
      <c r="A3819" s="210" t="s">
        <v>1524</v>
      </c>
      <c r="B3819">
        <v>5212</v>
      </c>
      <c r="C3819" s="100">
        <v>46125</v>
      </c>
      <c r="D3819" t="s">
        <v>84</v>
      </c>
      <c r="E3819" t="s">
        <v>93</v>
      </c>
      <c r="F3819" t="s">
        <v>649</v>
      </c>
      <c r="G3819">
        <v>1010</v>
      </c>
      <c r="H3819">
        <v>-500</v>
      </c>
      <c r="I3819">
        <v>-505000</v>
      </c>
    </row>
    <row r="3820" spans="1:9" hidden="1" x14ac:dyDescent="0.25">
      <c r="A3820" s="210" t="s">
        <v>1524</v>
      </c>
      <c r="B3820">
        <v>5211</v>
      </c>
      <c r="C3820" s="100">
        <v>46125</v>
      </c>
      <c r="D3820" t="s">
        <v>84</v>
      </c>
      <c r="E3820" t="s">
        <v>93</v>
      </c>
      <c r="F3820" t="s">
        <v>78</v>
      </c>
      <c r="G3820">
        <v>1294</v>
      </c>
      <c r="H3820">
        <v>-500</v>
      </c>
      <c r="I3820">
        <v>-647000</v>
      </c>
    </row>
    <row r="3821" spans="1:9" hidden="1" x14ac:dyDescent="0.25">
      <c r="A3821" s="210" t="s">
        <v>1524</v>
      </c>
      <c r="B3821">
        <v>5211</v>
      </c>
      <c r="C3821" s="100">
        <v>46125</v>
      </c>
      <c r="D3821" t="s">
        <v>84</v>
      </c>
      <c r="E3821" t="s">
        <v>93</v>
      </c>
      <c r="F3821" t="s">
        <v>78</v>
      </c>
      <c r="G3821">
        <v>1084</v>
      </c>
      <c r="H3821">
        <v>-500</v>
      </c>
      <c r="I3821">
        <v>-542000</v>
      </c>
    </row>
    <row r="3822" spans="1:9" hidden="1" x14ac:dyDescent="0.25">
      <c r="A3822" s="210" t="s">
        <v>1524</v>
      </c>
      <c r="B3822">
        <v>5211</v>
      </c>
      <c r="C3822" s="100">
        <v>46125</v>
      </c>
      <c r="D3822" t="s">
        <v>84</v>
      </c>
      <c r="E3822" t="s">
        <v>93</v>
      </c>
      <c r="F3822" t="s">
        <v>78</v>
      </c>
      <c r="G3822">
        <v>1176</v>
      </c>
      <c r="H3822">
        <v>-500</v>
      </c>
      <c r="I3822">
        <v>-588000</v>
      </c>
    </row>
    <row r="3823" spans="1:9" hidden="1" x14ac:dyDescent="0.25">
      <c r="A3823" s="210" t="s">
        <v>1524</v>
      </c>
      <c r="B3823">
        <v>5209</v>
      </c>
      <c r="C3823" s="100">
        <v>46125</v>
      </c>
      <c r="D3823" t="s">
        <v>84</v>
      </c>
      <c r="E3823" t="s">
        <v>93</v>
      </c>
      <c r="F3823" t="s">
        <v>33</v>
      </c>
      <c r="G3823">
        <v>1928</v>
      </c>
      <c r="H3823">
        <v>-500</v>
      </c>
      <c r="I3823">
        <v>-964000</v>
      </c>
    </row>
    <row r="3824" spans="1:9" hidden="1" x14ac:dyDescent="0.25">
      <c r="A3824" s="210" t="s">
        <v>1524</v>
      </c>
      <c r="B3824">
        <v>5208</v>
      </c>
      <c r="C3824" s="100">
        <v>46125</v>
      </c>
      <c r="D3824" t="s">
        <v>84</v>
      </c>
      <c r="E3824" t="s">
        <v>540</v>
      </c>
      <c r="F3824" t="s">
        <v>148</v>
      </c>
      <c r="G3824">
        <v>1000</v>
      </c>
      <c r="H3824">
        <v>-500</v>
      </c>
      <c r="I3824">
        <v>-500000</v>
      </c>
    </row>
    <row r="3825" spans="1:9" hidden="1" x14ac:dyDescent="0.25">
      <c r="A3825" s="210" t="s">
        <v>1524</v>
      </c>
      <c r="B3825">
        <v>5208</v>
      </c>
      <c r="C3825" s="100">
        <v>46125</v>
      </c>
      <c r="D3825" t="s">
        <v>426</v>
      </c>
      <c r="E3825" t="s">
        <v>648</v>
      </c>
      <c r="F3825" t="s">
        <v>148</v>
      </c>
      <c r="G3825">
        <v>3516</v>
      </c>
      <c r="I3825">
        <v>0</v>
      </c>
    </row>
    <row r="3826" spans="1:9" hidden="1" x14ac:dyDescent="0.25">
      <c r="A3826" s="210" t="s">
        <v>1524</v>
      </c>
      <c r="B3826">
        <v>5201</v>
      </c>
      <c r="C3826" s="100">
        <v>46122</v>
      </c>
      <c r="D3826" t="s">
        <v>84</v>
      </c>
      <c r="E3826" t="s">
        <v>93</v>
      </c>
      <c r="F3826" t="s">
        <v>650</v>
      </c>
      <c r="G3826">
        <v>820</v>
      </c>
      <c r="H3826">
        <v>-500</v>
      </c>
      <c r="I3826">
        <v>-410000</v>
      </c>
    </row>
    <row r="3827" spans="1:9" hidden="1" x14ac:dyDescent="0.25">
      <c r="A3827" s="210" t="s">
        <v>1524</v>
      </c>
      <c r="B3827">
        <v>5201</v>
      </c>
      <c r="C3827" s="100">
        <v>46122</v>
      </c>
      <c r="D3827" t="s">
        <v>426</v>
      </c>
      <c r="E3827" t="s">
        <v>541</v>
      </c>
      <c r="F3827" t="s">
        <v>651</v>
      </c>
      <c r="G3827">
        <v>485</v>
      </c>
      <c r="I3827">
        <v>0</v>
      </c>
    </row>
    <row r="3828" spans="1:9" hidden="1" x14ac:dyDescent="0.25">
      <c r="A3828" s="210" t="s">
        <v>1524</v>
      </c>
      <c r="B3828">
        <v>5199</v>
      </c>
      <c r="C3828" s="100">
        <v>46121</v>
      </c>
      <c r="D3828" t="s">
        <v>84</v>
      </c>
      <c r="E3828" t="s">
        <v>93</v>
      </c>
      <c r="F3828" t="s">
        <v>33</v>
      </c>
      <c r="G3828">
        <v>2186</v>
      </c>
      <c r="H3828">
        <v>-500</v>
      </c>
      <c r="I3828">
        <v>-1093000</v>
      </c>
    </row>
    <row r="3829" spans="1:9" hidden="1" x14ac:dyDescent="0.25">
      <c r="A3829" s="210" t="s">
        <v>1524</v>
      </c>
      <c r="B3829">
        <v>5199</v>
      </c>
      <c r="C3829" s="100">
        <v>46121</v>
      </c>
      <c r="D3829" t="s">
        <v>84</v>
      </c>
      <c r="E3829" t="s">
        <v>93</v>
      </c>
      <c r="F3829" t="s">
        <v>40</v>
      </c>
      <c r="G3829">
        <v>662</v>
      </c>
      <c r="H3829">
        <v>-500</v>
      </c>
      <c r="I3829">
        <v>-331000</v>
      </c>
    </row>
    <row r="3830" spans="1:9" hidden="1" x14ac:dyDescent="0.25">
      <c r="A3830" s="210" t="s">
        <v>1524</v>
      </c>
      <c r="B3830">
        <v>5195</v>
      </c>
      <c r="C3830" s="100">
        <v>46120</v>
      </c>
      <c r="D3830" t="s">
        <v>84</v>
      </c>
      <c r="E3830" t="s">
        <v>93</v>
      </c>
      <c r="F3830" t="s">
        <v>646</v>
      </c>
      <c r="G3830">
        <v>1462</v>
      </c>
      <c r="H3830">
        <v>-500</v>
      </c>
      <c r="I3830">
        <v>-731000</v>
      </c>
    </row>
    <row r="3831" spans="1:9" hidden="1" x14ac:dyDescent="0.25">
      <c r="A3831" s="210" t="s">
        <v>1524</v>
      </c>
      <c r="B3831">
        <v>5193</v>
      </c>
      <c r="C3831" s="100">
        <v>46120</v>
      </c>
      <c r="D3831" t="s">
        <v>84</v>
      </c>
      <c r="E3831" t="s">
        <v>93</v>
      </c>
      <c r="F3831" t="s">
        <v>249</v>
      </c>
      <c r="G3831">
        <v>1484</v>
      </c>
      <c r="H3831">
        <v>-500</v>
      </c>
      <c r="I3831">
        <v>-742000</v>
      </c>
    </row>
    <row r="3832" spans="1:9" hidden="1" x14ac:dyDescent="0.25">
      <c r="A3832" s="210" t="s">
        <v>1524</v>
      </c>
      <c r="B3832">
        <v>5192</v>
      </c>
      <c r="C3832" s="100">
        <v>46120</v>
      </c>
      <c r="D3832" t="s">
        <v>84</v>
      </c>
      <c r="E3832" t="s">
        <v>93</v>
      </c>
      <c r="F3832" t="s">
        <v>40</v>
      </c>
      <c r="G3832">
        <v>1526</v>
      </c>
      <c r="H3832">
        <v>-500</v>
      </c>
      <c r="I3832">
        <v>-763000</v>
      </c>
    </row>
    <row r="3833" spans="1:9" hidden="1" x14ac:dyDescent="0.25">
      <c r="A3833" s="210" t="s">
        <v>1524</v>
      </c>
      <c r="B3833">
        <v>5177</v>
      </c>
      <c r="C3833" s="100">
        <v>46120</v>
      </c>
      <c r="D3833" t="s">
        <v>84</v>
      </c>
      <c r="E3833" t="s">
        <v>93</v>
      </c>
      <c r="F3833" t="s">
        <v>647</v>
      </c>
      <c r="G3833">
        <v>3946</v>
      </c>
      <c r="H3833">
        <v>-500</v>
      </c>
      <c r="I3833">
        <v>-1973000</v>
      </c>
    </row>
    <row r="3834" spans="1:9" hidden="1" x14ac:dyDescent="0.25">
      <c r="A3834" s="210" t="s">
        <v>1524</v>
      </c>
      <c r="B3834">
        <v>5177</v>
      </c>
      <c r="C3834" s="100">
        <v>46120</v>
      </c>
      <c r="D3834" t="s">
        <v>84</v>
      </c>
      <c r="E3834" t="s">
        <v>93</v>
      </c>
      <c r="F3834" t="s">
        <v>444</v>
      </c>
      <c r="G3834">
        <v>1076</v>
      </c>
      <c r="H3834">
        <v>-500</v>
      </c>
      <c r="I3834">
        <v>-538000</v>
      </c>
    </row>
    <row r="3835" spans="1:9" hidden="1" x14ac:dyDescent="0.25">
      <c r="A3835" s="210" t="s">
        <v>1524</v>
      </c>
      <c r="B3835">
        <v>5173</v>
      </c>
      <c r="C3835" s="100">
        <v>46116</v>
      </c>
      <c r="D3835" t="s">
        <v>84</v>
      </c>
      <c r="E3835" t="s">
        <v>93</v>
      </c>
      <c r="F3835" t="s">
        <v>31</v>
      </c>
      <c r="G3835">
        <v>3636</v>
      </c>
      <c r="H3835">
        <v>-500</v>
      </c>
      <c r="I3835">
        <v>-1818000</v>
      </c>
    </row>
    <row r="3836" spans="1:9" hidden="1" x14ac:dyDescent="0.25">
      <c r="A3836" s="210" t="s">
        <v>1524</v>
      </c>
      <c r="B3836">
        <v>5173</v>
      </c>
      <c r="C3836" s="100">
        <v>46116</v>
      </c>
      <c r="D3836" t="s">
        <v>84</v>
      </c>
      <c r="E3836" t="s">
        <v>93</v>
      </c>
      <c r="F3836" t="s">
        <v>640</v>
      </c>
      <c r="G3836">
        <v>870</v>
      </c>
      <c r="H3836">
        <v>-500</v>
      </c>
      <c r="I3836">
        <v>-435000</v>
      </c>
    </row>
    <row r="3837" spans="1:9" hidden="1" x14ac:dyDescent="0.25">
      <c r="A3837" s="210" t="s">
        <v>1524</v>
      </c>
      <c r="B3837">
        <v>5173</v>
      </c>
      <c r="C3837" s="100">
        <v>46116</v>
      </c>
      <c r="D3837" t="s">
        <v>84</v>
      </c>
      <c r="E3837" t="s">
        <v>93</v>
      </c>
      <c r="F3837" t="s">
        <v>641</v>
      </c>
      <c r="G3837">
        <v>1388</v>
      </c>
      <c r="H3837">
        <v>-500</v>
      </c>
      <c r="I3837">
        <v>-694000</v>
      </c>
    </row>
    <row r="3838" spans="1:9" hidden="1" x14ac:dyDescent="0.25">
      <c r="A3838" s="210" t="s">
        <v>1524</v>
      </c>
      <c r="B3838">
        <v>5173</v>
      </c>
      <c r="C3838" s="100">
        <v>46116</v>
      </c>
      <c r="D3838" t="s">
        <v>84</v>
      </c>
      <c r="E3838" t="s">
        <v>93</v>
      </c>
      <c r="F3838" t="s">
        <v>2531</v>
      </c>
      <c r="G3838">
        <v>992</v>
      </c>
      <c r="I3838">
        <v>0</v>
      </c>
    </row>
    <row r="3839" spans="1:9" hidden="1" x14ac:dyDescent="0.25">
      <c r="A3839" s="210" t="s">
        <v>1524</v>
      </c>
      <c r="B3839">
        <v>5169</v>
      </c>
      <c r="C3839" s="100">
        <v>46115</v>
      </c>
      <c r="D3839" t="s">
        <v>84</v>
      </c>
      <c r="E3839" t="s">
        <v>93</v>
      </c>
      <c r="F3839" t="s">
        <v>46</v>
      </c>
      <c r="G3839">
        <v>2006</v>
      </c>
      <c r="H3839">
        <v>-500</v>
      </c>
      <c r="I3839">
        <v>-1003000</v>
      </c>
    </row>
    <row r="3840" spans="1:9" hidden="1" x14ac:dyDescent="0.25">
      <c r="A3840" s="210" t="s">
        <v>1524</v>
      </c>
      <c r="B3840">
        <v>5169</v>
      </c>
      <c r="C3840" s="100">
        <v>46115</v>
      </c>
      <c r="D3840" t="s">
        <v>84</v>
      </c>
      <c r="E3840" t="s">
        <v>93</v>
      </c>
      <c r="F3840" t="s">
        <v>39</v>
      </c>
      <c r="G3840">
        <v>1568</v>
      </c>
      <c r="H3840">
        <v>-500</v>
      </c>
      <c r="I3840">
        <v>-784000</v>
      </c>
    </row>
    <row r="3841" spans="1:9" hidden="1" x14ac:dyDescent="0.25">
      <c r="A3841" s="210" t="s">
        <v>1524</v>
      </c>
      <c r="B3841">
        <v>5166</v>
      </c>
      <c r="C3841" s="100">
        <v>46114</v>
      </c>
      <c r="D3841" t="s">
        <v>84</v>
      </c>
      <c r="E3841" t="s">
        <v>93</v>
      </c>
      <c r="F3841" t="s">
        <v>31</v>
      </c>
      <c r="G3841">
        <v>532</v>
      </c>
      <c r="H3841">
        <v>-563.90977443609995</v>
      </c>
      <c r="I3841">
        <v>-300000.00000000518</v>
      </c>
    </row>
    <row r="3842" spans="1:9" hidden="1" x14ac:dyDescent="0.25">
      <c r="A3842" s="210" t="s">
        <v>1524</v>
      </c>
      <c r="B3842">
        <v>5166</v>
      </c>
      <c r="C3842" s="100">
        <v>46114</v>
      </c>
      <c r="D3842" t="s">
        <v>84</v>
      </c>
      <c r="E3842" t="s">
        <v>93</v>
      </c>
      <c r="F3842" t="s">
        <v>33</v>
      </c>
      <c r="G3842">
        <v>1836</v>
      </c>
      <c r="H3842">
        <v>-500</v>
      </c>
      <c r="I3842">
        <v>-918000</v>
      </c>
    </row>
    <row r="3843" spans="1:9" hidden="1" x14ac:dyDescent="0.25">
      <c r="A3843" s="210" t="s">
        <v>1524</v>
      </c>
      <c r="B3843">
        <v>5165</v>
      </c>
      <c r="C3843" s="100">
        <v>46114</v>
      </c>
      <c r="D3843" t="s">
        <v>84</v>
      </c>
      <c r="E3843" t="s">
        <v>93</v>
      </c>
      <c r="F3843" t="s">
        <v>31</v>
      </c>
      <c r="G3843">
        <v>1360</v>
      </c>
      <c r="H3843">
        <v>-500</v>
      </c>
      <c r="I3843">
        <v>-680000</v>
      </c>
    </row>
    <row r="3844" spans="1:9" hidden="1" x14ac:dyDescent="0.25">
      <c r="A3844" s="210" t="s">
        <v>1524</v>
      </c>
      <c r="B3844">
        <v>5163</v>
      </c>
      <c r="C3844" s="100">
        <v>46114</v>
      </c>
      <c r="D3844" t="s">
        <v>84</v>
      </c>
      <c r="E3844" t="s">
        <v>93</v>
      </c>
      <c r="F3844" t="s">
        <v>39</v>
      </c>
      <c r="G3844">
        <v>2110</v>
      </c>
      <c r="H3844">
        <v>-500</v>
      </c>
      <c r="I3844">
        <v>-1055000</v>
      </c>
    </row>
    <row r="3845" spans="1:9" hidden="1" x14ac:dyDescent="0.25">
      <c r="A3845" s="210" t="s">
        <v>1524</v>
      </c>
      <c r="B3845">
        <v>5161</v>
      </c>
      <c r="C3845" s="100">
        <v>46136</v>
      </c>
      <c r="D3845" t="s">
        <v>84</v>
      </c>
      <c r="E3845" t="s">
        <v>540</v>
      </c>
      <c r="F3845" t="s">
        <v>33</v>
      </c>
      <c r="G3845">
        <v>1484</v>
      </c>
      <c r="H3845">
        <v>-500</v>
      </c>
      <c r="I3845">
        <v>-742000</v>
      </c>
    </row>
    <row r="3846" spans="1:9" hidden="1" x14ac:dyDescent="0.25">
      <c r="A3846" s="210" t="s">
        <v>1524</v>
      </c>
      <c r="B3846">
        <v>5161</v>
      </c>
      <c r="C3846" s="100">
        <v>46136</v>
      </c>
      <c r="D3846" t="s">
        <v>84</v>
      </c>
      <c r="E3846" t="s">
        <v>540</v>
      </c>
      <c r="F3846" t="s">
        <v>25</v>
      </c>
      <c r="G3846">
        <v>1976</v>
      </c>
      <c r="H3846">
        <v>-500</v>
      </c>
      <c r="I3846">
        <v>-988000</v>
      </c>
    </row>
    <row r="3847" spans="1:9" hidden="1" x14ac:dyDescent="0.25">
      <c r="A3847" s="210" t="s">
        <v>1524</v>
      </c>
      <c r="B3847">
        <v>5161</v>
      </c>
      <c r="C3847" s="100">
        <v>46136</v>
      </c>
      <c r="D3847" t="s">
        <v>426</v>
      </c>
      <c r="E3847" t="s">
        <v>540</v>
      </c>
      <c r="F3847" t="s">
        <v>40</v>
      </c>
      <c r="G3847">
        <v>1562</v>
      </c>
      <c r="I3847">
        <v>0</v>
      </c>
    </row>
    <row r="3848" spans="1:9" hidden="1" x14ac:dyDescent="0.25">
      <c r="A3848" s="210" t="s">
        <v>1524</v>
      </c>
      <c r="B3848">
        <v>5161</v>
      </c>
      <c r="C3848" s="100">
        <v>46136</v>
      </c>
      <c r="D3848" t="s">
        <v>84</v>
      </c>
      <c r="E3848" t="s">
        <v>277</v>
      </c>
      <c r="F3848" t="s">
        <v>46</v>
      </c>
      <c r="G3848">
        <v>930</v>
      </c>
      <c r="H3848">
        <v>-500</v>
      </c>
      <c r="I3848">
        <v>-465000</v>
      </c>
    </row>
    <row r="3849" spans="1:9" hidden="1" x14ac:dyDescent="0.25">
      <c r="A3849" s="210" t="s">
        <v>1524</v>
      </c>
      <c r="B3849">
        <v>5157</v>
      </c>
      <c r="C3849" s="100">
        <v>46113</v>
      </c>
      <c r="D3849" t="s">
        <v>426</v>
      </c>
      <c r="E3849" t="s">
        <v>93</v>
      </c>
      <c r="F3849" t="s">
        <v>78</v>
      </c>
      <c r="G3849">
        <v>2238</v>
      </c>
      <c r="I3849">
        <v>0</v>
      </c>
    </row>
    <row r="3850" spans="1:9" hidden="1" x14ac:dyDescent="0.25">
      <c r="A3850" s="210" t="s">
        <v>1524</v>
      </c>
      <c r="B3850">
        <v>5156</v>
      </c>
      <c r="C3850" s="100">
        <v>46113</v>
      </c>
      <c r="D3850" t="s">
        <v>84</v>
      </c>
      <c r="E3850" t="s">
        <v>93</v>
      </c>
      <c r="F3850" t="s">
        <v>1994</v>
      </c>
      <c r="G3850">
        <v>2864</v>
      </c>
      <c r="H3850">
        <v>-500</v>
      </c>
      <c r="I3850">
        <v>-1432000</v>
      </c>
    </row>
    <row r="3851" spans="1:9" hidden="1" x14ac:dyDescent="0.25">
      <c r="A3851" s="210" t="s">
        <v>1524</v>
      </c>
      <c r="B3851">
        <v>5152</v>
      </c>
      <c r="C3851" s="100">
        <v>46112</v>
      </c>
      <c r="D3851" t="s">
        <v>84</v>
      </c>
      <c r="E3851" t="s">
        <v>93</v>
      </c>
      <c r="F3851" t="s">
        <v>638</v>
      </c>
      <c r="G3851">
        <v>2014</v>
      </c>
      <c r="H3851">
        <v>-500</v>
      </c>
      <c r="I3851">
        <v>-1007000</v>
      </c>
    </row>
    <row r="3852" spans="1:9" hidden="1" x14ac:dyDescent="0.25">
      <c r="A3852" s="210" t="s">
        <v>1524</v>
      </c>
      <c r="B3852">
        <v>5149</v>
      </c>
      <c r="C3852" s="100">
        <v>46112</v>
      </c>
      <c r="D3852" t="s">
        <v>84</v>
      </c>
      <c r="E3852" t="s">
        <v>93</v>
      </c>
      <c r="F3852" t="s">
        <v>561</v>
      </c>
      <c r="G3852">
        <v>4956</v>
      </c>
      <c r="H3852">
        <v>-500</v>
      </c>
      <c r="I3852">
        <v>-2478000</v>
      </c>
    </row>
    <row r="3853" spans="1:9" hidden="1" x14ac:dyDescent="0.25">
      <c r="A3853" s="210" t="s">
        <v>1524</v>
      </c>
      <c r="B3853">
        <v>5149</v>
      </c>
      <c r="C3853" s="100">
        <v>46112</v>
      </c>
      <c r="D3853" t="s">
        <v>84</v>
      </c>
      <c r="E3853" t="s">
        <v>93</v>
      </c>
      <c r="F3853" t="s">
        <v>2531</v>
      </c>
      <c r="G3853">
        <v>660</v>
      </c>
      <c r="I3853">
        <v>0</v>
      </c>
    </row>
    <row r="3854" spans="1:9" hidden="1" x14ac:dyDescent="0.25">
      <c r="A3854" s="210" t="s">
        <v>1524</v>
      </c>
      <c r="B3854">
        <v>5148</v>
      </c>
      <c r="C3854" s="100">
        <v>46111</v>
      </c>
      <c r="D3854" t="s">
        <v>84</v>
      </c>
      <c r="E3854" t="s">
        <v>93</v>
      </c>
      <c r="F3854" t="s">
        <v>559</v>
      </c>
      <c r="G3854">
        <v>4042</v>
      </c>
      <c r="H3854">
        <v>-500</v>
      </c>
      <c r="I3854">
        <v>-2021000</v>
      </c>
    </row>
    <row r="3855" spans="1:9" hidden="1" x14ac:dyDescent="0.25">
      <c r="A3855" s="210" t="s">
        <v>1524</v>
      </c>
      <c r="B3855">
        <v>5147</v>
      </c>
      <c r="C3855" s="100">
        <v>46111</v>
      </c>
      <c r="D3855" t="s">
        <v>84</v>
      </c>
      <c r="E3855" t="s">
        <v>93</v>
      </c>
      <c r="F3855" t="s">
        <v>560</v>
      </c>
      <c r="G3855">
        <v>3834</v>
      </c>
      <c r="H3855">
        <v>-500</v>
      </c>
      <c r="I3855">
        <v>-1917000</v>
      </c>
    </row>
    <row r="3856" spans="1:9" hidden="1" x14ac:dyDescent="0.25">
      <c r="A3856" s="210" t="s">
        <v>1524</v>
      </c>
      <c r="B3856">
        <v>5147</v>
      </c>
      <c r="C3856" s="100">
        <v>46111</v>
      </c>
      <c r="D3856" t="s">
        <v>84</v>
      </c>
      <c r="E3856" t="s">
        <v>93</v>
      </c>
      <c r="F3856" t="s">
        <v>2531</v>
      </c>
      <c r="G3856">
        <v>1314</v>
      </c>
      <c r="I3856">
        <v>0</v>
      </c>
    </row>
    <row r="3857" spans="1:9" hidden="1" x14ac:dyDescent="0.25">
      <c r="A3857" s="210" t="s">
        <v>1524</v>
      </c>
      <c r="B3857">
        <v>5144</v>
      </c>
      <c r="C3857" s="100">
        <v>46111</v>
      </c>
      <c r="D3857" t="s">
        <v>84</v>
      </c>
      <c r="E3857" t="s">
        <v>93</v>
      </c>
      <c r="F3857" t="s">
        <v>558</v>
      </c>
      <c r="G3857">
        <v>4498</v>
      </c>
      <c r="H3857">
        <v>-500</v>
      </c>
      <c r="I3857">
        <v>-2249000</v>
      </c>
    </row>
    <row r="3858" spans="1:9" hidden="1" x14ac:dyDescent="0.25">
      <c r="A3858" s="210" t="s">
        <v>1524</v>
      </c>
      <c r="B3858">
        <v>5144</v>
      </c>
      <c r="C3858" s="100">
        <v>46111</v>
      </c>
      <c r="D3858" t="s">
        <v>84</v>
      </c>
      <c r="E3858" t="s">
        <v>93</v>
      </c>
      <c r="F3858" t="s">
        <v>506</v>
      </c>
      <c r="G3858">
        <v>1206</v>
      </c>
      <c r="H3858">
        <v>-500</v>
      </c>
      <c r="I3858">
        <v>-603000</v>
      </c>
    </row>
    <row r="3859" spans="1:9" hidden="1" x14ac:dyDescent="0.25">
      <c r="A3859" s="210" t="s">
        <v>1524</v>
      </c>
      <c r="B3859">
        <v>5141</v>
      </c>
      <c r="C3859" s="100">
        <v>46109</v>
      </c>
      <c r="D3859" t="s">
        <v>84</v>
      </c>
      <c r="E3859" t="s">
        <v>93</v>
      </c>
      <c r="F3859" t="s">
        <v>555</v>
      </c>
      <c r="G3859">
        <v>2520</v>
      </c>
      <c r="H3859">
        <v>-500</v>
      </c>
      <c r="I3859">
        <v>-1260000</v>
      </c>
    </row>
    <row r="3860" spans="1:9" hidden="1" x14ac:dyDescent="0.25">
      <c r="A3860" s="210" t="s">
        <v>1524</v>
      </c>
      <c r="B3860">
        <v>5141</v>
      </c>
      <c r="C3860" s="100">
        <v>46109</v>
      </c>
      <c r="D3860" t="s">
        <v>84</v>
      </c>
      <c r="E3860" t="s">
        <v>93</v>
      </c>
      <c r="F3860" t="s">
        <v>556</v>
      </c>
      <c r="G3860">
        <v>426</v>
      </c>
      <c r="H3860">
        <v>-704.22535211269997</v>
      </c>
      <c r="I3860">
        <v>-300000.00000001019</v>
      </c>
    </row>
    <row r="3861" spans="1:9" hidden="1" x14ac:dyDescent="0.25">
      <c r="A3861" s="210" t="s">
        <v>1524</v>
      </c>
      <c r="B3861">
        <v>5141</v>
      </c>
      <c r="C3861" s="100">
        <v>46109</v>
      </c>
      <c r="D3861" t="s">
        <v>84</v>
      </c>
      <c r="E3861" t="s">
        <v>93</v>
      </c>
      <c r="F3861" t="s">
        <v>557</v>
      </c>
      <c r="G3861">
        <v>2766</v>
      </c>
      <c r="H3861">
        <v>-500</v>
      </c>
      <c r="I3861">
        <v>-1383000</v>
      </c>
    </row>
    <row r="3862" spans="1:9" hidden="1" x14ac:dyDescent="0.25">
      <c r="A3862" s="210" t="s">
        <v>1524</v>
      </c>
      <c r="B3862">
        <v>5139</v>
      </c>
      <c r="C3862" s="100">
        <v>46108</v>
      </c>
      <c r="D3862" t="s">
        <v>84</v>
      </c>
      <c r="E3862" t="s">
        <v>93</v>
      </c>
      <c r="F3862" t="s">
        <v>552</v>
      </c>
      <c r="G3862">
        <v>1324</v>
      </c>
      <c r="H3862">
        <v>-500</v>
      </c>
      <c r="I3862">
        <v>-662000</v>
      </c>
    </row>
    <row r="3863" spans="1:9" hidden="1" x14ac:dyDescent="0.25">
      <c r="A3863" s="210" t="s">
        <v>1524</v>
      </c>
      <c r="B3863">
        <v>5132</v>
      </c>
      <c r="C3863" s="100">
        <v>46107</v>
      </c>
      <c r="D3863" t="s">
        <v>84</v>
      </c>
      <c r="E3863" t="s">
        <v>17</v>
      </c>
      <c r="F3863" t="s">
        <v>550</v>
      </c>
      <c r="G3863">
        <v>4048</v>
      </c>
      <c r="H3863">
        <v>-500</v>
      </c>
      <c r="I3863">
        <v>-2024000</v>
      </c>
    </row>
    <row r="3864" spans="1:9" hidden="1" x14ac:dyDescent="0.25">
      <c r="A3864" s="210" t="s">
        <v>1524</v>
      </c>
      <c r="B3864">
        <v>5132</v>
      </c>
      <c r="C3864" s="100">
        <v>46107</v>
      </c>
      <c r="D3864" t="s">
        <v>84</v>
      </c>
      <c r="E3864" t="s">
        <v>17</v>
      </c>
      <c r="F3864" t="s">
        <v>551</v>
      </c>
      <c r="G3864">
        <v>1510</v>
      </c>
      <c r="H3864">
        <v>-500</v>
      </c>
      <c r="I3864">
        <v>-755000</v>
      </c>
    </row>
    <row r="3865" spans="1:9" hidden="1" x14ac:dyDescent="0.25">
      <c r="A3865" s="210" t="s">
        <v>1524</v>
      </c>
      <c r="B3865">
        <v>5130</v>
      </c>
      <c r="C3865" s="100">
        <v>46106</v>
      </c>
      <c r="D3865" t="s">
        <v>84</v>
      </c>
      <c r="E3865" t="s">
        <v>93</v>
      </c>
      <c r="F3865" t="s">
        <v>551</v>
      </c>
      <c r="G3865">
        <v>3760</v>
      </c>
      <c r="H3865">
        <v>-500</v>
      </c>
      <c r="I3865">
        <v>-1880000</v>
      </c>
    </row>
    <row r="3866" spans="1:9" hidden="1" x14ac:dyDescent="0.25">
      <c r="A3866" s="210" t="s">
        <v>1524</v>
      </c>
      <c r="B3866">
        <v>5129</v>
      </c>
      <c r="C3866" s="100">
        <v>46106</v>
      </c>
      <c r="D3866" t="s">
        <v>84</v>
      </c>
      <c r="E3866" t="s">
        <v>93</v>
      </c>
      <c r="F3866" t="s">
        <v>550</v>
      </c>
      <c r="G3866">
        <v>2202</v>
      </c>
      <c r="H3866">
        <v>-500</v>
      </c>
      <c r="I3866">
        <v>-1101000</v>
      </c>
    </row>
    <row r="3867" spans="1:9" hidden="1" x14ac:dyDescent="0.25">
      <c r="A3867" s="210" t="s">
        <v>1524</v>
      </c>
      <c r="B3867">
        <v>5129</v>
      </c>
      <c r="C3867" s="100">
        <v>46106</v>
      </c>
      <c r="D3867" t="s">
        <v>84</v>
      </c>
      <c r="E3867" t="s">
        <v>93</v>
      </c>
      <c r="F3867" t="s">
        <v>513</v>
      </c>
      <c r="G3867">
        <v>1070</v>
      </c>
      <c r="H3867">
        <v>-500</v>
      </c>
      <c r="I3867">
        <v>-535000</v>
      </c>
    </row>
    <row r="3868" spans="1:9" hidden="1" x14ac:dyDescent="0.25">
      <c r="A3868" s="210" t="s">
        <v>1524</v>
      </c>
      <c r="B3868">
        <v>5129</v>
      </c>
      <c r="C3868" s="100">
        <v>46106</v>
      </c>
      <c r="D3868" t="s">
        <v>84</v>
      </c>
      <c r="E3868" t="s">
        <v>93</v>
      </c>
      <c r="F3868" t="s">
        <v>469</v>
      </c>
      <c r="G3868">
        <v>252</v>
      </c>
      <c r="I3868">
        <v>0</v>
      </c>
    </row>
    <row r="3869" spans="1:9" hidden="1" x14ac:dyDescent="0.25">
      <c r="A3869" s="210" t="s">
        <v>1524</v>
      </c>
      <c r="B3869">
        <v>5129</v>
      </c>
      <c r="C3869" s="100">
        <v>46106</v>
      </c>
      <c r="D3869" t="s">
        <v>84</v>
      </c>
      <c r="E3869" t="s">
        <v>93</v>
      </c>
      <c r="F3869" t="s">
        <v>2531</v>
      </c>
      <c r="G3869">
        <v>748</v>
      </c>
      <c r="I3869">
        <v>0</v>
      </c>
    </row>
    <row r="3870" spans="1:9" hidden="1" x14ac:dyDescent="0.25">
      <c r="A3870" s="210" t="s">
        <v>1524</v>
      </c>
      <c r="B3870">
        <v>5129</v>
      </c>
      <c r="C3870" s="100">
        <v>46106</v>
      </c>
      <c r="D3870" t="s">
        <v>84</v>
      </c>
      <c r="E3870" t="s">
        <v>93</v>
      </c>
      <c r="F3870" t="s">
        <v>40</v>
      </c>
      <c r="G3870">
        <v>56</v>
      </c>
      <c r="I3870">
        <v>0</v>
      </c>
    </row>
    <row r="3871" spans="1:9" hidden="1" x14ac:dyDescent="0.25">
      <c r="A3871" s="210" t="s">
        <v>1524</v>
      </c>
      <c r="B3871">
        <v>5127</v>
      </c>
      <c r="C3871" s="100">
        <v>46105</v>
      </c>
      <c r="D3871" t="s">
        <v>84</v>
      </c>
      <c r="E3871" t="s">
        <v>93</v>
      </c>
      <c r="F3871" t="s">
        <v>542</v>
      </c>
      <c r="G3871">
        <v>5093</v>
      </c>
      <c r="H3871">
        <v>-500</v>
      </c>
      <c r="I3871">
        <v>-2546500</v>
      </c>
    </row>
    <row r="3872" spans="1:9" hidden="1" x14ac:dyDescent="0.25">
      <c r="A3872" s="210" t="s">
        <v>1524</v>
      </c>
      <c r="B3872">
        <v>5127</v>
      </c>
      <c r="C3872" s="100">
        <v>46105</v>
      </c>
      <c r="D3872" t="s">
        <v>84</v>
      </c>
      <c r="E3872" t="s">
        <v>93</v>
      </c>
      <c r="F3872" t="s">
        <v>507</v>
      </c>
      <c r="G3872">
        <v>1016</v>
      </c>
      <c r="H3872">
        <v>-500</v>
      </c>
      <c r="I3872">
        <v>-508000</v>
      </c>
    </row>
    <row r="3873" spans="1:9" hidden="1" x14ac:dyDescent="0.25">
      <c r="A3873" s="210" t="s">
        <v>1524</v>
      </c>
      <c r="B3873">
        <v>5127</v>
      </c>
      <c r="C3873" s="100">
        <v>46105</v>
      </c>
      <c r="D3873" t="s">
        <v>84</v>
      </c>
      <c r="E3873" t="s">
        <v>93</v>
      </c>
      <c r="F3873" t="s">
        <v>542</v>
      </c>
      <c r="G3873">
        <v>1512</v>
      </c>
      <c r="H3873">
        <v>-500</v>
      </c>
      <c r="I3873">
        <v>-756000</v>
      </c>
    </row>
    <row r="3874" spans="1:9" hidden="1" x14ac:dyDescent="0.25">
      <c r="A3874" s="210" t="s">
        <v>1524</v>
      </c>
      <c r="B3874">
        <v>5126</v>
      </c>
      <c r="C3874" s="100">
        <v>46126</v>
      </c>
      <c r="D3874" t="s">
        <v>84</v>
      </c>
      <c r="E3874" t="s">
        <v>93</v>
      </c>
      <c r="F3874" t="s">
        <v>610</v>
      </c>
      <c r="G3874">
        <v>2495</v>
      </c>
      <c r="H3874">
        <v>-500</v>
      </c>
      <c r="I3874">
        <v>-1247500</v>
      </c>
    </row>
    <row r="3875" spans="1:9" hidden="1" x14ac:dyDescent="0.25">
      <c r="A3875" s="210" t="s">
        <v>1524</v>
      </c>
      <c r="B3875">
        <v>5126</v>
      </c>
      <c r="C3875" s="100">
        <v>46126</v>
      </c>
      <c r="D3875" t="s">
        <v>84</v>
      </c>
      <c r="E3875" t="s">
        <v>520</v>
      </c>
      <c r="F3875" t="s">
        <v>652</v>
      </c>
      <c r="G3875">
        <v>1208</v>
      </c>
      <c r="H3875">
        <v>-1000</v>
      </c>
      <c r="I3875">
        <v>-1208000</v>
      </c>
    </row>
    <row r="3876" spans="1:9" hidden="1" x14ac:dyDescent="0.25">
      <c r="A3876" s="210" t="s">
        <v>1524</v>
      </c>
      <c r="B3876">
        <v>5126</v>
      </c>
      <c r="C3876" s="100">
        <v>46126</v>
      </c>
      <c r="D3876" t="s">
        <v>426</v>
      </c>
      <c r="E3876" t="s">
        <v>93</v>
      </c>
      <c r="F3876" t="s">
        <v>444</v>
      </c>
      <c r="G3876">
        <v>6965</v>
      </c>
      <c r="I3876">
        <v>0</v>
      </c>
    </row>
    <row r="3877" spans="1:9" hidden="1" x14ac:dyDescent="0.25">
      <c r="A3877" s="210" t="s">
        <v>1524</v>
      </c>
      <c r="B3877">
        <v>5125</v>
      </c>
      <c r="C3877" s="100">
        <v>46105</v>
      </c>
      <c r="D3877" t="s">
        <v>84</v>
      </c>
      <c r="E3877" t="s">
        <v>77</v>
      </c>
      <c r="F3877" t="s">
        <v>549</v>
      </c>
      <c r="G3877">
        <v>624</v>
      </c>
      <c r="H3877">
        <v>-500</v>
      </c>
      <c r="I3877">
        <v>-312000</v>
      </c>
    </row>
    <row r="3878" spans="1:9" hidden="1" x14ac:dyDescent="0.25">
      <c r="A3878" s="210" t="s">
        <v>1524</v>
      </c>
      <c r="B3878">
        <v>5125</v>
      </c>
      <c r="C3878" s="100">
        <v>46126</v>
      </c>
      <c r="D3878" t="s">
        <v>84</v>
      </c>
      <c r="E3878" t="s">
        <v>93</v>
      </c>
      <c r="F3878" t="s">
        <v>502</v>
      </c>
      <c r="G3878">
        <v>3682</v>
      </c>
      <c r="H3878">
        <v>-500</v>
      </c>
      <c r="I3878">
        <v>-1841000</v>
      </c>
    </row>
    <row r="3879" spans="1:9" hidden="1" x14ac:dyDescent="0.25">
      <c r="A3879" s="210" t="s">
        <v>1524</v>
      </c>
      <c r="B3879">
        <v>5116</v>
      </c>
      <c r="C3879" s="100">
        <v>46104</v>
      </c>
      <c r="D3879" t="s">
        <v>84</v>
      </c>
      <c r="E3879" t="s">
        <v>93</v>
      </c>
      <c r="F3879" t="s">
        <v>548</v>
      </c>
      <c r="G3879">
        <v>6120</v>
      </c>
      <c r="H3879">
        <v>-500</v>
      </c>
      <c r="I3879">
        <v>-3060000</v>
      </c>
    </row>
    <row r="3880" spans="1:9" hidden="1" x14ac:dyDescent="0.25">
      <c r="A3880" s="210" t="s">
        <v>1524</v>
      </c>
      <c r="B3880">
        <v>5113</v>
      </c>
      <c r="C3880" s="100">
        <v>46102</v>
      </c>
      <c r="D3880" t="s">
        <v>84</v>
      </c>
      <c r="E3880" t="s">
        <v>93</v>
      </c>
      <c r="F3880" t="s">
        <v>544</v>
      </c>
      <c r="G3880">
        <v>2108</v>
      </c>
      <c r="H3880">
        <v>-500</v>
      </c>
      <c r="I3880">
        <v>-1054000</v>
      </c>
    </row>
    <row r="3881" spans="1:9" hidden="1" x14ac:dyDescent="0.25">
      <c r="A3881" s="210" t="s">
        <v>1524</v>
      </c>
      <c r="B3881">
        <v>5113</v>
      </c>
      <c r="C3881" s="100">
        <v>46102</v>
      </c>
      <c r="D3881" t="s">
        <v>84</v>
      </c>
      <c r="E3881" t="s">
        <v>93</v>
      </c>
      <c r="F3881" t="s">
        <v>545</v>
      </c>
      <c r="G3881">
        <v>3318</v>
      </c>
      <c r="H3881">
        <v>-500</v>
      </c>
      <c r="I3881">
        <v>-1659000</v>
      </c>
    </row>
    <row r="3882" spans="1:9" hidden="1" x14ac:dyDescent="0.25">
      <c r="A3882" s="210" t="s">
        <v>1524</v>
      </c>
      <c r="B3882">
        <v>5113</v>
      </c>
      <c r="C3882" s="100">
        <v>46102</v>
      </c>
      <c r="D3882" t="s">
        <v>84</v>
      </c>
      <c r="E3882" t="s">
        <v>93</v>
      </c>
      <c r="F3882" t="s">
        <v>510</v>
      </c>
      <c r="G3882">
        <v>448</v>
      </c>
      <c r="H3882">
        <v>-669.64285714285711</v>
      </c>
      <c r="I3882">
        <v>-300000</v>
      </c>
    </row>
    <row r="3883" spans="1:9" hidden="1" x14ac:dyDescent="0.25">
      <c r="A3883" s="210" t="s">
        <v>1524</v>
      </c>
      <c r="B3883">
        <v>5113</v>
      </c>
      <c r="C3883" s="100">
        <v>46102</v>
      </c>
      <c r="D3883" t="s">
        <v>84</v>
      </c>
      <c r="E3883" t="s">
        <v>93</v>
      </c>
      <c r="F3883" t="s">
        <v>546</v>
      </c>
      <c r="G3883">
        <v>1046</v>
      </c>
      <c r="H3883">
        <v>-500</v>
      </c>
      <c r="I3883">
        <v>-523000</v>
      </c>
    </row>
    <row r="3884" spans="1:9" hidden="1" x14ac:dyDescent="0.25">
      <c r="A3884" s="210" t="s">
        <v>1524</v>
      </c>
      <c r="B3884">
        <v>5113</v>
      </c>
      <c r="C3884" s="100">
        <v>46102</v>
      </c>
      <c r="D3884" t="s">
        <v>84</v>
      </c>
      <c r="E3884" t="s">
        <v>93</v>
      </c>
      <c r="F3884" t="s">
        <v>547</v>
      </c>
      <c r="G3884">
        <v>1252</v>
      </c>
      <c r="H3884">
        <v>-500</v>
      </c>
      <c r="I3884">
        <v>-626000</v>
      </c>
    </row>
    <row r="3885" spans="1:9" hidden="1" x14ac:dyDescent="0.25">
      <c r="A3885" s="210" t="s">
        <v>1524</v>
      </c>
      <c r="B3885">
        <v>5108</v>
      </c>
      <c r="C3885" s="100">
        <v>46101</v>
      </c>
      <c r="D3885" t="s">
        <v>84</v>
      </c>
      <c r="E3885" t="s">
        <v>77</v>
      </c>
      <c r="F3885" t="s">
        <v>538</v>
      </c>
      <c r="G3885">
        <v>852</v>
      </c>
      <c r="H3885">
        <v>-500</v>
      </c>
      <c r="I3885">
        <v>-426000</v>
      </c>
    </row>
    <row r="3886" spans="1:9" hidden="1" x14ac:dyDescent="0.25">
      <c r="A3886" s="210" t="s">
        <v>1524</v>
      </c>
      <c r="B3886">
        <v>5108</v>
      </c>
      <c r="C3886" s="100">
        <v>46101</v>
      </c>
      <c r="D3886" t="s">
        <v>84</v>
      </c>
      <c r="E3886" t="s">
        <v>277</v>
      </c>
      <c r="F3886" t="s">
        <v>539</v>
      </c>
      <c r="G3886">
        <v>1032</v>
      </c>
      <c r="H3886">
        <v>-500</v>
      </c>
      <c r="I3886">
        <v>-516000</v>
      </c>
    </row>
    <row r="3887" spans="1:9" hidden="1" x14ac:dyDescent="0.25">
      <c r="A3887" s="210" t="s">
        <v>1524</v>
      </c>
      <c r="B3887">
        <v>5105</v>
      </c>
      <c r="C3887" s="100">
        <v>46100</v>
      </c>
      <c r="D3887" t="s">
        <v>84</v>
      </c>
      <c r="E3887" t="s">
        <v>93</v>
      </c>
      <c r="F3887" t="s">
        <v>542</v>
      </c>
      <c r="G3887">
        <v>5616</v>
      </c>
      <c r="H3887">
        <v>-500</v>
      </c>
      <c r="I3887">
        <v>-2808000</v>
      </c>
    </row>
    <row r="3888" spans="1:9" hidden="1" x14ac:dyDescent="0.25">
      <c r="A3888" s="210" t="s">
        <v>1524</v>
      </c>
      <c r="B3888">
        <v>5105</v>
      </c>
      <c r="C3888" s="100">
        <v>46100</v>
      </c>
      <c r="D3888" t="s">
        <v>84</v>
      </c>
      <c r="E3888" t="s">
        <v>526</v>
      </c>
      <c r="F3888" t="s">
        <v>543</v>
      </c>
      <c r="G3888">
        <v>234</v>
      </c>
      <c r="H3888">
        <v>-500</v>
      </c>
      <c r="I3888">
        <v>-117000</v>
      </c>
    </row>
    <row r="3889" spans="1:9" hidden="1" x14ac:dyDescent="0.25">
      <c r="A3889" s="210" t="s">
        <v>1524</v>
      </c>
      <c r="B3889">
        <v>5105</v>
      </c>
      <c r="C3889" s="100">
        <v>46100</v>
      </c>
      <c r="D3889" t="s">
        <v>84</v>
      </c>
      <c r="E3889" t="s">
        <v>2533</v>
      </c>
      <c r="G3889">
        <v>236</v>
      </c>
      <c r="I3889">
        <v>0</v>
      </c>
    </row>
    <row r="3890" spans="1:9" hidden="1" x14ac:dyDescent="0.25">
      <c r="A3890" s="210" t="s">
        <v>1524</v>
      </c>
      <c r="B3890">
        <v>5103</v>
      </c>
      <c r="C3890" s="100">
        <v>46100</v>
      </c>
      <c r="D3890" t="s">
        <v>84</v>
      </c>
      <c r="E3890" t="s">
        <v>93</v>
      </c>
      <c r="F3890" t="s">
        <v>536</v>
      </c>
      <c r="G3890">
        <v>5218</v>
      </c>
      <c r="H3890">
        <v>-500</v>
      </c>
      <c r="I3890">
        <v>-2609000</v>
      </c>
    </row>
    <row r="3891" spans="1:9" hidden="1" x14ac:dyDescent="0.25">
      <c r="A3891" s="210" t="s">
        <v>1524</v>
      </c>
      <c r="B3891">
        <v>5103</v>
      </c>
      <c r="C3891" s="100">
        <v>46100</v>
      </c>
      <c r="D3891" t="s">
        <v>84</v>
      </c>
      <c r="E3891" t="s">
        <v>93</v>
      </c>
      <c r="F3891" t="s">
        <v>537</v>
      </c>
      <c r="G3891">
        <v>1816</v>
      </c>
      <c r="H3891">
        <v>-500</v>
      </c>
      <c r="I3891">
        <v>-908000</v>
      </c>
    </row>
    <row r="3892" spans="1:9" hidden="1" x14ac:dyDescent="0.25">
      <c r="A3892" s="210" t="s">
        <v>1524</v>
      </c>
      <c r="B3892">
        <v>5099</v>
      </c>
      <c r="C3892" s="100">
        <v>46098</v>
      </c>
      <c r="D3892" t="s">
        <v>84</v>
      </c>
      <c r="E3892" t="s">
        <v>93</v>
      </c>
      <c r="F3892" t="s">
        <v>230</v>
      </c>
      <c r="G3892">
        <v>1320</v>
      </c>
      <c r="H3892">
        <v>-500</v>
      </c>
      <c r="I3892">
        <v>-660000</v>
      </c>
    </row>
    <row r="3893" spans="1:9" hidden="1" x14ac:dyDescent="0.25">
      <c r="A3893" s="210" t="s">
        <v>1524</v>
      </c>
      <c r="B3893">
        <v>5099</v>
      </c>
      <c r="C3893" s="100">
        <v>46098</v>
      </c>
      <c r="D3893" t="s">
        <v>426</v>
      </c>
      <c r="E3893" t="s">
        <v>93</v>
      </c>
      <c r="F3893" t="s">
        <v>2531</v>
      </c>
      <c r="G3893">
        <v>1244</v>
      </c>
      <c r="I3893">
        <v>0</v>
      </c>
    </row>
    <row r="3894" spans="1:9" hidden="1" x14ac:dyDescent="0.25">
      <c r="A3894" s="210" t="s">
        <v>1524</v>
      </c>
      <c r="B3894">
        <v>5092</v>
      </c>
      <c r="C3894" s="100">
        <v>46097</v>
      </c>
      <c r="D3894" t="s">
        <v>84</v>
      </c>
      <c r="E3894" t="s">
        <v>93</v>
      </c>
      <c r="F3894" t="s">
        <v>533</v>
      </c>
      <c r="G3894">
        <v>2156</v>
      </c>
      <c r="H3894">
        <v>-500</v>
      </c>
      <c r="I3894">
        <v>-1078000</v>
      </c>
    </row>
    <row r="3895" spans="1:9" hidden="1" x14ac:dyDescent="0.25">
      <c r="A3895" s="210" t="s">
        <v>1524</v>
      </c>
      <c r="B3895">
        <v>5092</v>
      </c>
      <c r="C3895" s="100">
        <v>46097</v>
      </c>
      <c r="D3895" t="s">
        <v>84</v>
      </c>
      <c r="E3895" t="s">
        <v>93</v>
      </c>
      <c r="F3895" t="s">
        <v>2532</v>
      </c>
      <c r="G3895">
        <v>1314</v>
      </c>
      <c r="H3895">
        <v>-500</v>
      </c>
      <c r="I3895">
        <v>-657000</v>
      </c>
    </row>
    <row r="3896" spans="1:9" hidden="1" x14ac:dyDescent="0.25">
      <c r="A3896" s="210" t="s">
        <v>1524</v>
      </c>
      <c r="B3896">
        <v>5090</v>
      </c>
      <c r="C3896" s="100">
        <v>46097</v>
      </c>
      <c r="D3896" t="s">
        <v>84</v>
      </c>
      <c r="E3896" t="s">
        <v>93</v>
      </c>
      <c r="F3896" t="s">
        <v>534</v>
      </c>
      <c r="G3896">
        <v>3766</v>
      </c>
      <c r="H3896">
        <v>-500</v>
      </c>
      <c r="I3896">
        <v>-1883000</v>
      </c>
    </row>
    <row r="3897" spans="1:9" hidden="1" x14ac:dyDescent="0.25">
      <c r="A3897" s="210" t="s">
        <v>1524</v>
      </c>
      <c r="B3897">
        <v>5090</v>
      </c>
      <c r="C3897" s="100">
        <v>46097</v>
      </c>
      <c r="D3897" t="s">
        <v>426</v>
      </c>
      <c r="E3897" t="s">
        <v>93</v>
      </c>
      <c r="F3897" t="s">
        <v>2531</v>
      </c>
      <c r="G3897">
        <v>2528</v>
      </c>
      <c r="I3897">
        <v>0</v>
      </c>
    </row>
    <row r="3898" spans="1:9" hidden="1" x14ac:dyDescent="0.25">
      <c r="A3898" s="210" t="s">
        <v>1524</v>
      </c>
      <c r="B3898">
        <v>5085</v>
      </c>
      <c r="C3898" s="100">
        <v>46097</v>
      </c>
      <c r="D3898" t="s">
        <v>84</v>
      </c>
      <c r="E3898" t="s">
        <v>93</v>
      </c>
      <c r="F3898" t="s">
        <v>508</v>
      </c>
      <c r="G3898">
        <v>3694</v>
      </c>
      <c r="H3898">
        <v>-500</v>
      </c>
      <c r="I3898">
        <v>-1847000</v>
      </c>
    </row>
    <row r="3899" spans="1:9" hidden="1" x14ac:dyDescent="0.25">
      <c r="A3899" s="210" t="s">
        <v>1524</v>
      </c>
      <c r="B3899">
        <v>5084</v>
      </c>
      <c r="C3899" s="100">
        <v>46095</v>
      </c>
      <c r="D3899" t="s">
        <v>84</v>
      </c>
      <c r="E3899" t="s">
        <v>93</v>
      </c>
      <c r="F3899" t="s">
        <v>508</v>
      </c>
      <c r="G3899">
        <v>3060</v>
      </c>
      <c r="H3899">
        <v>-500</v>
      </c>
      <c r="I3899">
        <v>-1530000</v>
      </c>
    </row>
    <row r="3900" spans="1:9" hidden="1" x14ac:dyDescent="0.25">
      <c r="A3900" s="210" t="s">
        <v>1524</v>
      </c>
      <c r="B3900">
        <v>5084</v>
      </c>
      <c r="C3900" s="100">
        <v>46095</v>
      </c>
      <c r="D3900" t="s">
        <v>84</v>
      </c>
      <c r="E3900" t="s">
        <v>93</v>
      </c>
      <c r="F3900" t="s">
        <v>506</v>
      </c>
      <c r="G3900">
        <v>880</v>
      </c>
      <c r="H3900">
        <v>-500</v>
      </c>
      <c r="I3900">
        <v>-440000</v>
      </c>
    </row>
    <row r="3901" spans="1:9" hidden="1" x14ac:dyDescent="0.25">
      <c r="A3901" s="210" t="s">
        <v>1524</v>
      </c>
      <c r="B3901">
        <v>5084</v>
      </c>
      <c r="C3901" s="100">
        <v>46095</v>
      </c>
      <c r="D3901" t="s">
        <v>84</v>
      </c>
      <c r="E3901" t="s">
        <v>93</v>
      </c>
      <c r="F3901" t="s">
        <v>507</v>
      </c>
      <c r="G3901">
        <v>1618</v>
      </c>
      <c r="H3901">
        <v>-500</v>
      </c>
      <c r="I3901">
        <v>-809000</v>
      </c>
    </row>
    <row r="3902" spans="1:9" hidden="1" x14ac:dyDescent="0.25">
      <c r="A3902" s="210" t="s">
        <v>1524</v>
      </c>
      <c r="B3902">
        <v>5084</v>
      </c>
      <c r="C3902" s="100">
        <v>46095</v>
      </c>
      <c r="D3902" t="s">
        <v>84</v>
      </c>
      <c r="E3902" t="s">
        <v>93</v>
      </c>
      <c r="F3902" t="s">
        <v>532</v>
      </c>
      <c r="G3902">
        <v>1536</v>
      </c>
      <c r="H3902">
        <v>-500</v>
      </c>
      <c r="I3902">
        <v>-768000</v>
      </c>
    </row>
    <row r="3903" spans="1:9" hidden="1" x14ac:dyDescent="0.25">
      <c r="A3903" s="210" t="s">
        <v>1524</v>
      </c>
      <c r="B3903">
        <v>5080</v>
      </c>
      <c r="C3903" s="100">
        <v>46094</v>
      </c>
      <c r="D3903" t="s">
        <v>84</v>
      </c>
      <c r="E3903" t="s">
        <v>77</v>
      </c>
      <c r="F3903" t="s">
        <v>506</v>
      </c>
      <c r="G3903">
        <v>2610</v>
      </c>
      <c r="H3903">
        <v>-500</v>
      </c>
      <c r="I3903">
        <v>-1305000</v>
      </c>
    </row>
    <row r="3904" spans="1:9" hidden="1" x14ac:dyDescent="0.25">
      <c r="A3904" s="210" t="s">
        <v>1524</v>
      </c>
      <c r="B3904">
        <v>5078</v>
      </c>
      <c r="C3904" s="100">
        <v>46094</v>
      </c>
      <c r="D3904" t="s">
        <v>84</v>
      </c>
      <c r="E3904" t="s">
        <v>93</v>
      </c>
      <c r="F3904" t="s">
        <v>529</v>
      </c>
      <c r="G3904">
        <v>2836</v>
      </c>
      <c r="H3904">
        <v>-500</v>
      </c>
      <c r="I3904">
        <v>-1418000</v>
      </c>
    </row>
    <row r="3905" spans="1:9" hidden="1" x14ac:dyDescent="0.25">
      <c r="A3905" s="210" t="s">
        <v>1524</v>
      </c>
      <c r="B3905">
        <v>5078</v>
      </c>
      <c r="C3905" s="100">
        <v>46094</v>
      </c>
      <c r="D3905" t="s">
        <v>84</v>
      </c>
      <c r="E3905" t="s">
        <v>520</v>
      </c>
      <c r="F3905" t="s">
        <v>531</v>
      </c>
      <c r="G3905">
        <v>1420</v>
      </c>
      <c r="H3905">
        <v>-1000</v>
      </c>
      <c r="I3905">
        <v>-1420000</v>
      </c>
    </row>
    <row r="3906" spans="1:9" hidden="1" x14ac:dyDescent="0.25">
      <c r="A3906" s="210" t="s">
        <v>1524</v>
      </c>
      <c r="B3906">
        <v>5078</v>
      </c>
      <c r="C3906" s="100">
        <v>46094</v>
      </c>
      <c r="D3906" t="s">
        <v>84</v>
      </c>
      <c r="E3906" t="s">
        <v>526</v>
      </c>
      <c r="F3906" t="s">
        <v>527</v>
      </c>
      <c r="G3906">
        <v>426</v>
      </c>
      <c r="H3906">
        <v>-1000</v>
      </c>
      <c r="I3906">
        <v>-426000</v>
      </c>
    </row>
    <row r="3907" spans="1:9" hidden="1" x14ac:dyDescent="0.25">
      <c r="A3907" s="210" t="s">
        <v>1524</v>
      </c>
      <c r="B3907">
        <v>5075</v>
      </c>
      <c r="C3907" s="100">
        <v>46094</v>
      </c>
      <c r="D3907" t="s">
        <v>84</v>
      </c>
      <c r="E3907" t="s">
        <v>520</v>
      </c>
      <c r="F3907" t="s">
        <v>528</v>
      </c>
      <c r="G3907">
        <v>1010</v>
      </c>
      <c r="H3907">
        <v>-1000</v>
      </c>
      <c r="I3907">
        <v>-1010000</v>
      </c>
    </row>
    <row r="3908" spans="1:9" hidden="1" x14ac:dyDescent="0.25">
      <c r="A3908" s="210" t="s">
        <v>1524</v>
      </c>
      <c r="B3908">
        <v>5074</v>
      </c>
      <c r="C3908" s="100">
        <v>46094</v>
      </c>
      <c r="D3908" t="s">
        <v>84</v>
      </c>
      <c r="E3908" t="s">
        <v>93</v>
      </c>
      <c r="F3908" t="s">
        <v>529</v>
      </c>
      <c r="G3908">
        <v>2446</v>
      </c>
      <c r="H3908">
        <v>-500</v>
      </c>
      <c r="I3908">
        <v>-1223000</v>
      </c>
    </row>
    <row r="3909" spans="1:9" hidden="1" x14ac:dyDescent="0.25">
      <c r="A3909" s="210" t="s">
        <v>1524</v>
      </c>
      <c r="B3909">
        <v>5074</v>
      </c>
      <c r="C3909" s="100">
        <v>46094</v>
      </c>
      <c r="D3909" t="s">
        <v>84</v>
      </c>
      <c r="E3909" t="s">
        <v>93</v>
      </c>
      <c r="F3909" t="s">
        <v>530</v>
      </c>
      <c r="G3909">
        <v>720</v>
      </c>
      <c r="H3909">
        <v>-500</v>
      </c>
      <c r="I3909">
        <v>-360000</v>
      </c>
    </row>
    <row r="3910" spans="1:9" hidden="1" x14ac:dyDescent="0.25">
      <c r="A3910" s="210" t="s">
        <v>1524</v>
      </c>
      <c r="B3910">
        <v>5068</v>
      </c>
      <c r="C3910" s="100">
        <v>46092</v>
      </c>
      <c r="D3910" t="s">
        <v>84</v>
      </c>
      <c r="E3910" t="s">
        <v>93</v>
      </c>
      <c r="F3910" t="s">
        <v>506</v>
      </c>
      <c r="G3910">
        <v>3070</v>
      </c>
      <c r="H3910">
        <v>-500</v>
      </c>
      <c r="I3910">
        <v>-1535000</v>
      </c>
    </row>
    <row r="3911" spans="1:9" hidden="1" x14ac:dyDescent="0.25">
      <c r="A3911" s="210" t="s">
        <v>1524</v>
      </c>
      <c r="B3911">
        <v>5068</v>
      </c>
      <c r="C3911" s="100">
        <v>46092</v>
      </c>
      <c r="D3911" t="s">
        <v>426</v>
      </c>
      <c r="E3911" t="s">
        <v>93</v>
      </c>
      <c r="F3911" t="s">
        <v>148</v>
      </c>
      <c r="G3911">
        <v>4860</v>
      </c>
      <c r="I3911">
        <v>0</v>
      </c>
    </row>
    <row r="3912" spans="1:9" hidden="1" x14ac:dyDescent="0.25">
      <c r="A3912" s="210" t="s">
        <v>1524</v>
      </c>
      <c r="B3912">
        <v>5066</v>
      </c>
      <c r="C3912" s="100">
        <v>46092</v>
      </c>
      <c r="D3912" t="s">
        <v>84</v>
      </c>
      <c r="E3912" t="s">
        <v>93</v>
      </c>
      <c r="F3912" t="s">
        <v>515</v>
      </c>
      <c r="G3912">
        <v>5470</v>
      </c>
      <c r="H3912">
        <v>-500</v>
      </c>
      <c r="I3912">
        <v>-2735000</v>
      </c>
    </row>
    <row r="3913" spans="1:9" hidden="1" x14ac:dyDescent="0.25">
      <c r="A3913" s="210" t="s">
        <v>1524</v>
      </c>
      <c r="B3913">
        <v>5066</v>
      </c>
      <c r="C3913" s="100">
        <v>46092</v>
      </c>
      <c r="D3913" t="s">
        <v>84</v>
      </c>
      <c r="E3913" t="s">
        <v>93</v>
      </c>
      <c r="F3913" t="s">
        <v>506</v>
      </c>
      <c r="G3913">
        <v>1888</v>
      </c>
      <c r="H3913">
        <v>-500</v>
      </c>
      <c r="I3913">
        <v>-944000</v>
      </c>
    </row>
    <row r="3914" spans="1:9" hidden="1" x14ac:dyDescent="0.25">
      <c r="A3914" s="210" t="s">
        <v>1524</v>
      </c>
      <c r="B3914">
        <v>5065</v>
      </c>
      <c r="C3914" s="100">
        <v>46092</v>
      </c>
      <c r="D3914" t="s">
        <v>84</v>
      </c>
      <c r="E3914" t="s">
        <v>520</v>
      </c>
      <c r="F3914" t="s">
        <v>521</v>
      </c>
      <c r="G3914">
        <v>2298</v>
      </c>
      <c r="H3914">
        <v>-1000</v>
      </c>
      <c r="I3914">
        <v>-2298000</v>
      </c>
    </row>
    <row r="3915" spans="1:9" hidden="1" x14ac:dyDescent="0.25">
      <c r="A3915" s="210" t="s">
        <v>1524</v>
      </c>
      <c r="B3915">
        <v>5063</v>
      </c>
      <c r="C3915" s="100">
        <v>46092</v>
      </c>
      <c r="D3915" t="s">
        <v>84</v>
      </c>
      <c r="E3915" t="s">
        <v>520</v>
      </c>
      <c r="F3915" t="s">
        <v>521</v>
      </c>
      <c r="G3915">
        <v>2190</v>
      </c>
      <c r="H3915">
        <v>-1000</v>
      </c>
      <c r="I3915">
        <v>-2190000</v>
      </c>
    </row>
    <row r="3916" spans="1:9" hidden="1" x14ac:dyDescent="0.25">
      <c r="A3916" s="210" t="s">
        <v>1524</v>
      </c>
      <c r="B3916">
        <v>5062</v>
      </c>
      <c r="C3916" s="100">
        <v>46092</v>
      </c>
      <c r="D3916" t="s">
        <v>84</v>
      </c>
      <c r="E3916" t="s">
        <v>93</v>
      </c>
      <c r="F3916" t="s">
        <v>522</v>
      </c>
      <c r="G3916">
        <v>5540</v>
      </c>
      <c r="H3916">
        <v>-500</v>
      </c>
      <c r="I3916">
        <v>-2770000</v>
      </c>
    </row>
    <row r="3917" spans="1:9" hidden="1" x14ac:dyDescent="0.25">
      <c r="A3917" s="210" t="s">
        <v>1524</v>
      </c>
      <c r="B3917">
        <v>5062</v>
      </c>
      <c r="C3917" s="100">
        <v>46092</v>
      </c>
      <c r="D3917" t="s">
        <v>84</v>
      </c>
      <c r="E3917" t="s">
        <v>520</v>
      </c>
      <c r="F3917" t="s">
        <v>523</v>
      </c>
      <c r="G3917">
        <v>2044</v>
      </c>
      <c r="H3917">
        <v>-1000</v>
      </c>
      <c r="I3917">
        <v>-2044000</v>
      </c>
    </row>
    <row r="3918" spans="1:9" hidden="1" x14ac:dyDescent="0.25">
      <c r="A3918" s="210" t="s">
        <v>1524</v>
      </c>
      <c r="B3918">
        <v>5062</v>
      </c>
      <c r="C3918" s="100">
        <v>46092</v>
      </c>
      <c r="D3918" t="s">
        <v>84</v>
      </c>
      <c r="E3918" t="s">
        <v>520</v>
      </c>
      <c r="F3918" t="s">
        <v>524</v>
      </c>
      <c r="G3918">
        <v>774</v>
      </c>
      <c r="H3918">
        <v>-1000</v>
      </c>
      <c r="I3918">
        <v>-774000</v>
      </c>
    </row>
    <row r="3919" spans="1:9" hidden="1" x14ac:dyDescent="0.25">
      <c r="A3919" s="210" t="s">
        <v>1524</v>
      </c>
      <c r="B3919">
        <v>5062</v>
      </c>
      <c r="C3919" s="100">
        <v>46092</v>
      </c>
      <c r="D3919" t="s">
        <v>84</v>
      </c>
      <c r="E3919" t="s">
        <v>520</v>
      </c>
      <c r="F3919" t="s">
        <v>525</v>
      </c>
      <c r="G3919">
        <v>1870</v>
      </c>
      <c r="H3919">
        <v>-1000</v>
      </c>
      <c r="I3919">
        <v>-1870000</v>
      </c>
    </row>
    <row r="3920" spans="1:9" hidden="1" x14ac:dyDescent="0.25">
      <c r="A3920" s="210" t="s">
        <v>1524</v>
      </c>
      <c r="B3920">
        <v>5062</v>
      </c>
      <c r="C3920" s="100">
        <v>46092</v>
      </c>
      <c r="D3920" t="s">
        <v>84</v>
      </c>
      <c r="E3920" t="s">
        <v>526</v>
      </c>
      <c r="F3920" t="s">
        <v>527</v>
      </c>
      <c r="G3920">
        <v>274</v>
      </c>
      <c r="H3920">
        <v>-1000</v>
      </c>
      <c r="I3920">
        <v>-274000</v>
      </c>
    </row>
    <row r="3921" spans="1:9" hidden="1" x14ac:dyDescent="0.25">
      <c r="A3921" s="210" t="s">
        <v>1524</v>
      </c>
      <c r="B3921">
        <v>5060</v>
      </c>
      <c r="C3921" s="100">
        <v>46091</v>
      </c>
      <c r="D3921" t="s">
        <v>84</v>
      </c>
      <c r="E3921" t="s">
        <v>93</v>
      </c>
      <c r="F3921" t="s">
        <v>516</v>
      </c>
      <c r="G3921">
        <v>1972</v>
      </c>
      <c r="H3921">
        <v>-500</v>
      </c>
      <c r="I3921">
        <v>-986000</v>
      </c>
    </row>
    <row r="3922" spans="1:9" hidden="1" x14ac:dyDescent="0.25">
      <c r="A3922" s="210" t="s">
        <v>1524</v>
      </c>
      <c r="B3922">
        <v>5060</v>
      </c>
      <c r="C3922" s="100">
        <v>46091</v>
      </c>
      <c r="D3922" t="s">
        <v>84</v>
      </c>
      <c r="E3922" t="s">
        <v>93</v>
      </c>
      <c r="F3922" t="s">
        <v>517</v>
      </c>
      <c r="G3922">
        <v>1456</v>
      </c>
      <c r="H3922">
        <v>-500</v>
      </c>
      <c r="I3922">
        <v>-728000</v>
      </c>
    </row>
    <row r="3923" spans="1:9" hidden="1" x14ac:dyDescent="0.25">
      <c r="A3923" s="210" t="s">
        <v>1524</v>
      </c>
      <c r="B3923">
        <v>5060</v>
      </c>
      <c r="C3923" s="100">
        <v>46091</v>
      </c>
      <c r="D3923" t="s">
        <v>84</v>
      </c>
      <c r="E3923" t="s">
        <v>93</v>
      </c>
      <c r="F3923" t="s">
        <v>518</v>
      </c>
      <c r="G3923">
        <v>1712</v>
      </c>
      <c r="H3923">
        <v>-500</v>
      </c>
      <c r="I3923">
        <v>-856000</v>
      </c>
    </row>
    <row r="3924" spans="1:9" hidden="1" x14ac:dyDescent="0.25">
      <c r="A3924" s="210" t="s">
        <v>1524</v>
      </c>
      <c r="B3924">
        <v>5060</v>
      </c>
      <c r="C3924" s="100">
        <v>46091</v>
      </c>
      <c r="D3924" t="s">
        <v>84</v>
      </c>
      <c r="E3924" t="s">
        <v>93</v>
      </c>
      <c r="F3924" t="s">
        <v>519</v>
      </c>
      <c r="G3924">
        <v>1090</v>
      </c>
      <c r="H3924">
        <v>-500</v>
      </c>
      <c r="I3924">
        <v>-545000</v>
      </c>
    </row>
    <row r="3925" spans="1:9" hidden="1" x14ac:dyDescent="0.25">
      <c r="A3925" s="210" t="s">
        <v>1524</v>
      </c>
      <c r="B3925">
        <v>5056</v>
      </c>
      <c r="C3925" s="100">
        <v>46091</v>
      </c>
      <c r="D3925" t="s">
        <v>84</v>
      </c>
      <c r="E3925" t="s">
        <v>93</v>
      </c>
      <c r="F3925" t="s">
        <v>514</v>
      </c>
      <c r="G3925">
        <v>620</v>
      </c>
      <c r="H3925">
        <v>-500</v>
      </c>
      <c r="I3925">
        <v>-310000</v>
      </c>
    </row>
    <row r="3926" spans="1:9" hidden="1" x14ac:dyDescent="0.25">
      <c r="A3926" s="210" t="s">
        <v>1524</v>
      </c>
      <c r="B3926">
        <v>5049</v>
      </c>
      <c r="C3926" s="100">
        <v>46090</v>
      </c>
      <c r="D3926" t="s">
        <v>84</v>
      </c>
      <c r="E3926" t="s">
        <v>93</v>
      </c>
      <c r="F3926" t="s">
        <v>509</v>
      </c>
      <c r="G3926">
        <v>3700</v>
      </c>
      <c r="H3926">
        <v>-500</v>
      </c>
      <c r="I3926">
        <v>-1850000</v>
      </c>
    </row>
    <row r="3927" spans="1:9" hidden="1" x14ac:dyDescent="0.25">
      <c r="A3927" s="210" t="s">
        <v>1524</v>
      </c>
      <c r="B3927">
        <v>5049</v>
      </c>
      <c r="C3927" s="100">
        <v>46090</v>
      </c>
      <c r="D3927" t="s">
        <v>84</v>
      </c>
      <c r="E3927" t="s">
        <v>93</v>
      </c>
      <c r="F3927" t="s">
        <v>510</v>
      </c>
      <c r="G3927">
        <v>3964</v>
      </c>
      <c r="H3927">
        <v>-500</v>
      </c>
      <c r="I3927">
        <v>-1982000</v>
      </c>
    </row>
    <row r="3928" spans="1:9" hidden="1" x14ac:dyDescent="0.25">
      <c r="A3928" s="210" t="s">
        <v>1524</v>
      </c>
      <c r="B3928">
        <v>5048</v>
      </c>
      <c r="C3928" s="100">
        <v>46090</v>
      </c>
      <c r="D3928" t="s">
        <v>84</v>
      </c>
      <c r="E3928" t="s">
        <v>93</v>
      </c>
      <c r="F3928" t="s">
        <v>508</v>
      </c>
      <c r="G3928">
        <v>1888</v>
      </c>
      <c r="H3928">
        <v>-500</v>
      </c>
      <c r="I3928">
        <v>-944000</v>
      </c>
    </row>
    <row r="3929" spans="1:9" hidden="1" x14ac:dyDescent="0.25">
      <c r="A3929" s="210" t="s">
        <v>1524</v>
      </c>
      <c r="B3929">
        <v>5047</v>
      </c>
      <c r="C3929" s="100">
        <v>46090</v>
      </c>
      <c r="D3929" t="s">
        <v>84</v>
      </c>
      <c r="E3929" t="s">
        <v>93</v>
      </c>
      <c r="F3929" t="s">
        <v>511</v>
      </c>
      <c r="G3929">
        <v>1180</v>
      </c>
      <c r="H3929">
        <v>-500</v>
      </c>
      <c r="I3929">
        <v>-590000</v>
      </c>
    </row>
    <row r="3930" spans="1:9" hidden="1" x14ac:dyDescent="0.25">
      <c r="A3930" s="210" t="s">
        <v>1524</v>
      </c>
      <c r="B3930">
        <v>5047</v>
      </c>
      <c r="C3930" s="100">
        <v>46090</v>
      </c>
      <c r="D3930" t="s">
        <v>84</v>
      </c>
      <c r="E3930" t="s">
        <v>93</v>
      </c>
      <c r="F3930" t="s">
        <v>512</v>
      </c>
      <c r="G3930">
        <v>1000</v>
      </c>
      <c r="H3930">
        <v>-500</v>
      </c>
      <c r="I3930">
        <v>-500000</v>
      </c>
    </row>
    <row r="3931" spans="1:9" hidden="1" x14ac:dyDescent="0.25">
      <c r="A3931" s="210" t="s">
        <v>1524</v>
      </c>
      <c r="B3931">
        <v>5047</v>
      </c>
      <c r="C3931" s="100">
        <v>46090</v>
      </c>
      <c r="D3931" t="s">
        <v>84</v>
      </c>
      <c r="E3931" t="s">
        <v>93</v>
      </c>
      <c r="F3931" t="s">
        <v>513</v>
      </c>
      <c r="G3931">
        <v>3730</v>
      </c>
      <c r="H3931">
        <v>-500</v>
      </c>
      <c r="I3931">
        <v>-1865000</v>
      </c>
    </row>
    <row r="3932" spans="1:9" hidden="1" x14ac:dyDescent="0.25">
      <c r="A3932" s="210" t="s">
        <v>1524</v>
      </c>
      <c r="B3932">
        <v>5046</v>
      </c>
      <c r="C3932" s="100">
        <v>46088</v>
      </c>
      <c r="D3932" t="s">
        <v>84</v>
      </c>
      <c r="E3932" t="s">
        <v>277</v>
      </c>
      <c r="F3932" t="s">
        <v>513</v>
      </c>
      <c r="G3932">
        <v>1930</v>
      </c>
      <c r="H3932">
        <v>-500</v>
      </c>
      <c r="I3932">
        <v>-965000</v>
      </c>
    </row>
    <row r="3933" spans="1:9" hidden="1" x14ac:dyDescent="0.25">
      <c r="A3933" s="210" t="s">
        <v>1524</v>
      </c>
      <c r="B3933">
        <v>5046</v>
      </c>
      <c r="C3933" s="100">
        <v>46088</v>
      </c>
      <c r="D3933" t="s">
        <v>84</v>
      </c>
      <c r="E3933" t="s">
        <v>77</v>
      </c>
      <c r="F3933" t="s">
        <v>513</v>
      </c>
      <c r="G3933">
        <v>1306</v>
      </c>
      <c r="H3933">
        <v>-500</v>
      </c>
      <c r="I3933">
        <v>-653000</v>
      </c>
    </row>
    <row r="3934" spans="1:9" hidden="1" x14ac:dyDescent="0.25">
      <c r="A3934" s="210" t="s">
        <v>1524</v>
      </c>
      <c r="B3934">
        <v>5045</v>
      </c>
      <c r="C3934" s="100">
        <v>46087</v>
      </c>
      <c r="D3934" t="s">
        <v>84</v>
      </c>
      <c r="E3934" t="s">
        <v>93</v>
      </c>
      <c r="F3934" t="s">
        <v>636</v>
      </c>
      <c r="G3934">
        <v>800</v>
      </c>
      <c r="H3934">
        <v>-500</v>
      </c>
      <c r="I3934">
        <v>-400000</v>
      </c>
    </row>
    <row r="3935" spans="1:9" hidden="1" x14ac:dyDescent="0.25">
      <c r="A3935" s="210" t="s">
        <v>1524</v>
      </c>
      <c r="B3935">
        <v>5045</v>
      </c>
      <c r="C3935" s="100">
        <v>46087</v>
      </c>
      <c r="D3935" t="s">
        <v>426</v>
      </c>
      <c r="E3935" t="s">
        <v>93</v>
      </c>
      <c r="F3935" t="s">
        <v>637</v>
      </c>
      <c r="G3935">
        <v>800</v>
      </c>
      <c r="I3935">
        <v>0</v>
      </c>
    </row>
    <row r="3936" spans="1:9" hidden="1" x14ac:dyDescent="0.25">
      <c r="A3936" s="210" t="s">
        <v>1524</v>
      </c>
      <c r="B3936">
        <v>5043</v>
      </c>
      <c r="C3936" s="100">
        <v>46087</v>
      </c>
      <c r="D3936" t="s">
        <v>84</v>
      </c>
      <c r="E3936" t="s">
        <v>93</v>
      </c>
      <c r="F3936" t="s">
        <v>506</v>
      </c>
      <c r="G3936">
        <v>1508</v>
      </c>
      <c r="H3936">
        <v>-500</v>
      </c>
      <c r="I3936">
        <v>-754000</v>
      </c>
    </row>
    <row r="3937" spans="1:11" hidden="1" x14ac:dyDescent="0.25">
      <c r="A3937" s="210" t="s">
        <v>1524</v>
      </c>
      <c r="B3937">
        <v>5043</v>
      </c>
      <c r="C3937" s="100">
        <v>46087</v>
      </c>
      <c r="D3937" t="s">
        <v>84</v>
      </c>
      <c r="E3937" t="s">
        <v>93</v>
      </c>
      <c r="F3937" t="s">
        <v>506</v>
      </c>
      <c r="G3937">
        <v>1496</v>
      </c>
      <c r="H3937">
        <v>-500</v>
      </c>
      <c r="I3937">
        <v>-748000</v>
      </c>
    </row>
    <row r="3938" spans="1:11" hidden="1" x14ac:dyDescent="0.25">
      <c r="A3938" s="210" t="s">
        <v>1524</v>
      </c>
      <c r="B3938">
        <v>5043</v>
      </c>
      <c r="C3938" s="100">
        <v>46087</v>
      </c>
      <c r="D3938" t="s">
        <v>84</v>
      </c>
      <c r="E3938" t="s">
        <v>93</v>
      </c>
      <c r="F3938" t="s">
        <v>506</v>
      </c>
      <c r="G3938">
        <v>1216</v>
      </c>
      <c r="H3938">
        <v>-500</v>
      </c>
      <c r="I3938">
        <v>-608000</v>
      </c>
    </row>
    <row r="3939" spans="1:11" hidden="1" x14ac:dyDescent="0.25">
      <c r="A3939" s="210" t="s">
        <v>1524</v>
      </c>
      <c r="B3939">
        <v>5043</v>
      </c>
      <c r="C3939" s="100">
        <v>46087</v>
      </c>
      <c r="D3939" t="s">
        <v>84</v>
      </c>
      <c r="E3939" t="s">
        <v>93</v>
      </c>
      <c r="F3939" t="s">
        <v>507</v>
      </c>
      <c r="G3939">
        <v>1164</v>
      </c>
      <c r="H3939">
        <v>-500</v>
      </c>
      <c r="I3939">
        <v>-582000</v>
      </c>
    </row>
    <row r="3940" spans="1:11" hidden="1" x14ac:dyDescent="0.25">
      <c r="A3940" s="210" t="s">
        <v>1524</v>
      </c>
      <c r="B3940">
        <v>5043</v>
      </c>
      <c r="C3940" s="100">
        <v>46087</v>
      </c>
      <c r="D3940" t="s">
        <v>84</v>
      </c>
      <c r="E3940" t="s">
        <v>93</v>
      </c>
      <c r="F3940" t="s">
        <v>507</v>
      </c>
      <c r="G3940">
        <v>1028</v>
      </c>
      <c r="H3940">
        <v>-500</v>
      </c>
      <c r="I3940">
        <v>-514000</v>
      </c>
    </row>
    <row r="3941" spans="1:11" hidden="1" x14ac:dyDescent="0.25">
      <c r="A3941" s="210" t="s">
        <v>1524</v>
      </c>
      <c r="B3941">
        <v>5043</v>
      </c>
      <c r="C3941" s="100">
        <v>46087</v>
      </c>
      <c r="D3941" t="s">
        <v>84</v>
      </c>
      <c r="E3941" t="s">
        <v>93</v>
      </c>
      <c r="F3941" t="s">
        <v>507</v>
      </c>
      <c r="G3941">
        <v>1202</v>
      </c>
      <c r="H3941">
        <v>-500</v>
      </c>
      <c r="I3941">
        <v>-601000</v>
      </c>
    </row>
    <row r="3942" spans="1:11" hidden="1" x14ac:dyDescent="0.25">
      <c r="A3942" s="210" t="s">
        <v>1524</v>
      </c>
      <c r="B3942">
        <v>5042</v>
      </c>
      <c r="C3942" s="100">
        <v>46086</v>
      </c>
      <c r="D3942" t="s">
        <v>84</v>
      </c>
      <c r="E3942" t="s">
        <v>93</v>
      </c>
      <c r="F3942">
        <v>0.4</v>
      </c>
      <c r="G3942">
        <v>1162</v>
      </c>
      <c r="H3942">
        <v>-500</v>
      </c>
      <c r="I3942">
        <v>-581000</v>
      </c>
    </row>
    <row r="3943" spans="1:11" hidden="1" x14ac:dyDescent="0.25">
      <c r="A3943" s="210" t="s">
        <v>1524</v>
      </c>
      <c r="B3943">
        <v>5038</v>
      </c>
      <c r="C3943" s="100">
        <v>46086</v>
      </c>
      <c r="D3943" t="s">
        <v>84</v>
      </c>
      <c r="E3943" t="s">
        <v>93</v>
      </c>
      <c r="F3943" t="s">
        <v>40</v>
      </c>
      <c r="G3943">
        <v>1940</v>
      </c>
      <c r="H3943">
        <v>-500</v>
      </c>
      <c r="I3943">
        <v>-970000</v>
      </c>
    </row>
    <row r="3944" spans="1:11" hidden="1" x14ac:dyDescent="0.25">
      <c r="A3944" s="210" t="s">
        <v>1524</v>
      </c>
      <c r="B3944">
        <v>5038</v>
      </c>
      <c r="C3944" s="100">
        <v>46086</v>
      </c>
      <c r="D3944" t="s">
        <v>84</v>
      </c>
      <c r="E3944" t="s">
        <v>93</v>
      </c>
      <c r="F3944" t="s">
        <v>465</v>
      </c>
      <c r="G3944">
        <v>2410</v>
      </c>
      <c r="H3944">
        <v>-1000</v>
      </c>
      <c r="I3944">
        <v>-2410000</v>
      </c>
    </row>
    <row r="3945" spans="1:11" hidden="1" x14ac:dyDescent="0.25">
      <c r="A3945" s="210" t="s">
        <v>1524</v>
      </c>
      <c r="B3945">
        <v>5038</v>
      </c>
      <c r="C3945" s="100">
        <v>46086</v>
      </c>
      <c r="D3945" t="s">
        <v>84</v>
      </c>
      <c r="E3945" t="s">
        <v>93</v>
      </c>
      <c r="F3945">
        <v>0.5</v>
      </c>
      <c r="G3945">
        <v>302</v>
      </c>
      <c r="H3945">
        <v>-1000</v>
      </c>
      <c r="I3945">
        <v>-302000</v>
      </c>
    </row>
    <row r="3946" spans="1:11" hidden="1" x14ac:dyDescent="0.25">
      <c r="A3946" s="210" t="s">
        <v>1524</v>
      </c>
      <c r="B3946">
        <v>5038</v>
      </c>
      <c r="C3946" s="100">
        <v>46086</v>
      </c>
      <c r="D3946" t="s">
        <v>84</v>
      </c>
      <c r="E3946" t="s">
        <v>93</v>
      </c>
      <c r="F3946">
        <v>0.5</v>
      </c>
      <c r="G3946">
        <v>670</v>
      </c>
      <c r="H3946">
        <v>-1000</v>
      </c>
      <c r="I3946">
        <v>-670000</v>
      </c>
    </row>
    <row r="3947" spans="1:11" hidden="1" x14ac:dyDescent="0.25">
      <c r="A3947" s="210" t="s">
        <v>1524</v>
      </c>
      <c r="B3947">
        <v>5035</v>
      </c>
      <c r="C3947" s="100">
        <v>46085</v>
      </c>
      <c r="D3947" t="s">
        <v>84</v>
      </c>
      <c r="E3947" t="s">
        <v>504</v>
      </c>
      <c r="F3947" t="s">
        <v>505</v>
      </c>
      <c r="G3947">
        <v>934</v>
      </c>
      <c r="H3947">
        <v>-500</v>
      </c>
      <c r="I3947">
        <v>-467000</v>
      </c>
    </row>
    <row r="3948" spans="1:11" hidden="1" x14ac:dyDescent="0.25">
      <c r="A3948" s="210" t="s">
        <v>1524</v>
      </c>
      <c r="B3948">
        <v>5035</v>
      </c>
      <c r="C3948" s="100">
        <v>46085</v>
      </c>
      <c r="D3948" t="s">
        <v>84</v>
      </c>
      <c r="E3948" t="s">
        <v>277</v>
      </c>
      <c r="F3948" t="s">
        <v>506</v>
      </c>
      <c r="G3948">
        <v>1508</v>
      </c>
      <c r="H3948">
        <v>-500</v>
      </c>
      <c r="I3948">
        <v>-754000</v>
      </c>
    </row>
    <row r="3949" spans="1:11" hidden="1" x14ac:dyDescent="0.25">
      <c r="A3949" s="210" t="s">
        <v>1524</v>
      </c>
      <c r="B3949">
        <v>5032</v>
      </c>
      <c r="C3949" s="100">
        <v>46084</v>
      </c>
      <c r="D3949" t="s">
        <v>84</v>
      </c>
      <c r="E3949" t="s">
        <v>93</v>
      </c>
      <c r="F3949" t="s">
        <v>503</v>
      </c>
      <c r="G3949">
        <v>556</v>
      </c>
      <c r="H3949">
        <v>-500</v>
      </c>
      <c r="I3949">
        <v>-278000</v>
      </c>
    </row>
    <row r="3950" spans="1:11" hidden="1" x14ac:dyDescent="0.25">
      <c r="A3950" s="210" t="s">
        <v>1524</v>
      </c>
      <c r="B3950">
        <v>5030</v>
      </c>
      <c r="C3950" s="100">
        <v>46084</v>
      </c>
      <c r="D3950" t="s">
        <v>84</v>
      </c>
      <c r="E3950" t="s">
        <v>93</v>
      </c>
      <c r="F3950" t="s">
        <v>40</v>
      </c>
      <c r="G3950">
        <v>1284</v>
      </c>
      <c r="H3950">
        <v>-500</v>
      </c>
      <c r="I3950">
        <v>-642000</v>
      </c>
      <c r="K3950">
        <v>1248</v>
      </c>
    </row>
    <row r="3951" spans="1:11" hidden="1" x14ac:dyDescent="0.25">
      <c r="A3951" s="210" t="s">
        <v>1524</v>
      </c>
      <c r="B3951">
        <v>5030</v>
      </c>
      <c r="C3951" s="100">
        <v>46084</v>
      </c>
      <c r="D3951" t="s">
        <v>426</v>
      </c>
      <c r="E3951" t="s">
        <v>93</v>
      </c>
      <c r="F3951" t="s">
        <v>40</v>
      </c>
      <c r="G3951">
        <v>6796</v>
      </c>
      <c r="I3951">
        <v>0</v>
      </c>
    </row>
    <row r="3952" spans="1:11" hidden="1" x14ac:dyDescent="0.25">
      <c r="A3952" s="210" t="s">
        <v>1596</v>
      </c>
      <c r="B3952">
        <v>4968</v>
      </c>
      <c r="C3952" s="100">
        <v>46158</v>
      </c>
      <c r="D3952" t="s">
        <v>84</v>
      </c>
      <c r="E3952" t="s">
        <v>26</v>
      </c>
      <c r="F3952" t="s">
        <v>446</v>
      </c>
      <c r="G3952">
        <v>4324</v>
      </c>
      <c r="H3952">
        <v>-2500</v>
      </c>
      <c r="I3952">
        <v>-10810000</v>
      </c>
    </row>
    <row r="3953" spans="1:11" hidden="1" x14ac:dyDescent="0.25">
      <c r="A3953" s="210" t="s">
        <v>1596</v>
      </c>
      <c r="B3953">
        <v>4856</v>
      </c>
      <c r="C3953" s="100">
        <v>46129</v>
      </c>
      <c r="D3953" t="s">
        <v>426</v>
      </c>
      <c r="E3953" t="s">
        <v>17</v>
      </c>
      <c r="F3953" t="s">
        <v>78</v>
      </c>
      <c r="G3953">
        <v>1088</v>
      </c>
      <c r="I3953">
        <v>0</v>
      </c>
    </row>
    <row r="3954" spans="1:11" hidden="1" x14ac:dyDescent="0.25">
      <c r="A3954" s="210" t="s">
        <v>1596</v>
      </c>
      <c r="B3954">
        <v>4842</v>
      </c>
      <c r="C3954" s="100">
        <v>46126</v>
      </c>
      <c r="D3954" t="s">
        <v>84</v>
      </c>
      <c r="E3954" t="s">
        <v>1087</v>
      </c>
      <c r="F3954" t="s">
        <v>1082</v>
      </c>
      <c r="G3954">
        <v>767</v>
      </c>
      <c r="H3954">
        <v>-700</v>
      </c>
      <c r="I3954">
        <v>-536900</v>
      </c>
    </row>
    <row r="3955" spans="1:11" hidden="1" x14ac:dyDescent="0.25">
      <c r="A3955" s="210" t="s">
        <v>1596</v>
      </c>
      <c r="B3955">
        <v>4842</v>
      </c>
      <c r="C3955" s="100">
        <v>46126</v>
      </c>
      <c r="D3955" t="s">
        <v>426</v>
      </c>
      <c r="E3955" t="s">
        <v>1088</v>
      </c>
      <c r="F3955" t="s">
        <v>1082</v>
      </c>
      <c r="G3955">
        <v>1925</v>
      </c>
      <c r="I3955">
        <v>0</v>
      </c>
    </row>
    <row r="3956" spans="1:11" hidden="1" x14ac:dyDescent="0.25">
      <c r="A3956" s="210" t="s">
        <v>1596</v>
      </c>
      <c r="B3956">
        <v>4837</v>
      </c>
      <c r="C3956" s="100">
        <v>46125</v>
      </c>
      <c r="D3956" t="s">
        <v>84</v>
      </c>
      <c r="E3956" t="s">
        <v>32</v>
      </c>
      <c r="F3956" t="s">
        <v>40</v>
      </c>
      <c r="G3956">
        <v>946</v>
      </c>
      <c r="H3956">
        <v>-700</v>
      </c>
      <c r="I3956">
        <v>-662200</v>
      </c>
    </row>
    <row r="3957" spans="1:11" hidden="1" x14ac:dyDescent="0.25">
      <c r="A3957" s="210" t="s">
        <v>1596</v>
      </c>
      <c r="B3957">
        <v>4837</v>
      </c>
      <c r="C3957" s="100">
        <v>46125</v>
      </c>
      <c r="D3957" t="s">
        <v>426</v>
      </c>
      <c r="E3957" t="s">
        <v>1086</v>
      </c>
      <c r="F3957" t="s">
        <v>40</v>
      </c>
      <c r="G3957">
        <v>2442</v>
      </c>
      <c r="I3957">
        <v>0</v>
      </c>
    </row>
    <row r="3958" spans="1:11" hidden="1" x14ac:dyDescent="0.25">
      <c r="A3958" s="210" t="s">
        <v>1596</v>
      </c>
      <c r="B3958">
        <v>4827</v>
      </c>
      <c r="C3958" s="100">
        <v>46122</v>
      </c>
      <c r="D3958" t="s">
        <v>84</v>
      </c>
      <c r="E3958" t="s">
        <v>45</v>
      </c>
      <c r="F3958" t="s">
        <v>215</v>
      </c>
      <c r="G3958">
        <v>929</v>
      </c>
      <c r="H3958">
        <v>-1200</v>
      </c>
      <c r="I3958">
        <v>-1114800</v>
      </c>
    </row>
    <row r="3959" spans="1:11" hidden="1" x14ac:dyDescent="0.25">
      <c r="A3959" s="210" t="s">
        <v>1596</v>
      </c>
      <c r="B3959">
        <v>4827</v>
      </c>
      <c r="C3959" s="100">
        <v>46122</v>
      </c>
      <c r="D3959" t="s">
        <v>84</v>
      </c>
      <c r="E3959" t="s">
        <v>644</v>
      </c>
      <c r="G3959">
        <v>1</v>
      </c>
      <c r="H3959">
        <v>-100000</v>
      </c>
      <c r="I3959">
        <v>-100000</v>
      </c>
    </row>
    <row r="3960" spans="1:11" hidden="1" x14ac:dyDescent="0.25">
      <c r="A3960" s="210" t="s">
        <v>1596</v>
      </c>
      <c r="B3960">
        <v>4794</v>
      </c>
      <c r="C3960" s="100">
        <v>46114</v>
      </c>
      <c r="D3960" t="s">
        <v>84</v>
      </c>
      <c r="E3960" t="s">
        <v>1085</v>
      </c>
      <c r="F3960" t="s">
        <v>344</v>
      </c>
      <c r="G3960">
        <v>3405</v>
      </c>
      <c r="H3960">
        <v>-2700</v>
      </c>
      <c r="I3960">
        <v>-9193500</v>
      </c>
    </row>
    <row r="3961" spans="1:11" hidden="1" x14ac:dyDescent="0.25">
      <c r="A3961" s="210" t="s">
        <v>1596</v>
      </c>
      <c r="B3961">
        <v>4794</v>
      </c>
      <c r="C3961" s="100">
        <v>46114</v>
      </c>
      <c r="D3961" t="s">
        <v>426</v>
      </c>
      <c r="E3961" t="s">
        <v>26</v>
      </c>
      <c r="F3961" t="s">
        <v>344</v>
      </c>
      <c r="G3961">
        <v>1627</v>
      </c>
      <c r="I3961">
        <v>0</v>
      </c>
    </row>
    <row r="3962" spans="1:11" hidden="1" x14ac:dyDescent="0.25">
      <c r="A3962" s="210" t="s">
        <v>1596</v>
      </c>
      <c r="B3962">
        <v>4785</v>
      </c>
      <c r="C3962" s="100">
        <v>46113</v>
      </c>
      <c r="D3962" t="s">
        <v>84</v>
      </c>
      <c r="E3962" t="s">
        <v>77</v>
      </c>
      <c r="F3962" t="s">
        <v>941</v>
      </c>
      <c r="G3962">
        <v>1749</v>
      </c>
      <c r="H3962">
        <v>-1500</v>
      </c>
      <c r="I3962">
        <v>-2623500</v>
      </c>
      <c r="K3962" t="s">
        <v>1084</v>
      </c>
    </row>
    <row r="3963" spans="1:11" hidden="1" x14ac:dyDescent="0.25">
      <c r="A3963" s="210" t="s">
        <v>1596</v>
      </c>
      <c r="B3963">
        <v>4782</v>
      </c>
      <c r="C3963" s="100">
        <v>46087</v>
      </c>
      <c r="D3963" t="s">
        <v>426</v>
      </c>
      <c r="E3963" t="s">
        <v>26</v>
      </c>
      <c r="F3963" t="s">
        <v>62</v>
      </c>
      <c r="G3963">
        <v>4396</v>
      </c>
      <c r="I3963">
        <v>0</v>
      </c>
    </row>
    <row r="3964" spans="1:11" hidden="1" x14ac:dyDescent="0.25">
      <c r="A3964" s="210" t="s">
        <v>1596</v>
      </c>
      <c r="B3964">
        <v>4782</v>
      </c>
      <c r="C3964" s="100">
        <v>46113</v>
      </c>
      <c r="D3964" t="s">
        <v>84</v>
      </c>
      <c r="E3964" t="s">
        <v>26</v>
      </c>
      <c r="F3964" t="s">
        <v>62</v>
      </c>
      <c r="G3964">
        <v>3061</v>
      </c>
      <c r="H3964">
        <v>-2000</v>
      </c>
      <c r="I3964">
        <v>-6122000</v>
      </c>
    </row>
    <row r="3965" spans="1:11" hidden="1" x14ac:dyDescent="0.25">
      <c r="A3965" s="210" t="s">
        <v>1596</v>
      </c>
      <c r="B3965">
        <v>4778</v>
      </c>
      <c r="C3965" s="100">
        <v>46112</v>
      </c>
      <c r="D3965" t="s">
        <v>84</v>
      </c>
      <c r="E3965" t="s">
        <v>26</v>
      </c>
      <c r="F3965" t="s">
        <v>941</v>
      </c>
      <c r="G3965">
        <v>1592</v>
      </c>
      <c r="H3965">
        <v>-1500</v>
      </c>
      <c r="I3965">
        <v>-2388000</v>
      </c>
    </row>
    <row r="3966" spans="1:11" hidden="1" x14ac:dyDescent="0.25">
      <c r="A3966" s="210" t="s">
        <v>1596</v>
      </c>
      <c r="B3966">
        <v>4773</v>
      </c>
      <c r="C3966" s="100">
        <v>46111</v>
      </c>
      <c r="D3966" t="s">
        <v>84</v>
      </c>
      <c r="E3966" t="s">
        <v>54</v>
      </c>
      <c r="F3966" t="s">
        <v>2260</v>
      </c>
      <c r="G3966">
        <v>1943</v>
      </c>
      <c r="H3966">
        <v>-1500</v>
      </c>
      <c r="I3966">
        <v>-2914500</v>
      </c>
    </row>
    <row r="3967" spans="1:11" hidden="1" x14ac:dyDescent="0.25">
      <c r="A3967" s="210" t="s">
        <v>1596</v>
      </c>
      <c r="B3967">
        <v>4713</v>
      </c>
      <c r="C3967" s="100">
        <v>46097</v>
      </c>
      <c r="D3967" t="s">
        <v>84</v>
      </c>
      <c r="E3967" t="s">
        <v>17</v>
      </c>
      <c r="F3967" t="s">
        <v>1077</v>
      </c>
      <c r="G3967">
        <v>787</v>
      </c>
      <c r="I3967">
        <v>0</v>
      </c>
    </row>
    <row r="3968" spans="1:11" hidden="1" x14ac:dyDescent="0.25">
      <c r="A3968" s="210" t="s">
        <v>1596</v>
      </c>
      <c r="B3968">
        <v>4677</v>
      </c>
      <c r="C3968" s="100">
        <v>46088</v>
      </c>
      <c r="D3968" t="s">
        <v>84</v>
      </c>
      <c r="E3968" t="s">
        <v>1085</v>
      </c>
      <c r="F3968" t="s">
        <v>1082</v>
      </c>
      <c r="G3968">
        <v>2013</v>
      </c>
      <c r="H3968">
        <v>-1800</v>
      </c>
      <c r="I3968">
        <v>-3623400</v>
      </c>
    </row>
    <row r="3969" spans="1:9" hidden="1" x14ac:dyDescent="0.25">
      <c r="A3969" s="210" t="s">
        <v>1623</v>
      </c>
      <c r="B3969">
        <v>4110</v>
      </c>
      <c r="C3969" s="100">
        <v>46092</v>
      </c>
      <c r="D3969" t="s">
        <v>166</v>
      </c>
      <c r="E3969" t="s">
        <v>43</v>
      </c>
      <c r="F3969" t="s">
        <v>1183</v>
      </c>
      <c r="G3969">
        <v>2034</v>
      </c>
      <c r="H3969">
        <v>-54500</v>
      </c>
      <c r="I3969">
        <v>-110853000</v>
      </c>
    </row>
    <row r="3970" spans="1:9" hidden="1" x14ac:dyDescent="0.25">
      <c r="A3970" s="210" t="s">
        <v>1646</v>
      </c>
      <c r="B3970">
        <v>3908</v>
      </c>
      <c r="C3970" s="100">
        <v>46139</v>
      </c>
      <c r="D3970" t="s">
        <v>84</v>
      </c>
      <c r="E3970" t="s">
        <v>103</v>
      </c>
      <c r="F3970" t="s">
        <v>1797</v>
      </c>
      <c r="G3970">
        <v>624</v>
      </c>
      <c r="H3970">
        <v>-3000</v>
      </c>
      <c r="I3970">
        <v>-1872000</v>
      </c>
    </row>
    <row r="3971" spans="1:9" hidden="1" x14ac:dyDescent="0.25">
      <c r="A3971" s="210" t="s">
        <v>1512</v>
      </c>
      <c r="B3971">
        <v>3737</v>
      </c>
      <c r="C3971" s="100">
        <v>46123</v>
      </c>
      <c r="D3971" t="s">
        <v>84</v>
      </c>
      <c r="E3971" t="s">
        <v>17</v>
      </c>
      <c r="F3971" t="s">
        <v>41</v>
      </c>
      <c r="G3971">
        <v>534</v>
      </c>
      <c r="H3971">
        <v>-1000</v>
      </c>
      <c r="I3971">
        <v>-534000</v>
      </c>
    </row>
    <row r="3972" spans="1:9" hidden="1" x14ac:dyDescent="0.25">
      <c r="A3972" s="210" t="s">
        <v>1512</v>
      </c>
      <c r="B3972">
        <v>3737</v>
      </c>
      <c r="C3972" s="100">
        <v>46123</v>
      </c>
      <c r="D3972" t="s">
        <v>84</v>
      </c>
      <c r="E3972" t="s">
        <v>17</v>
      </c>
      <c r="F3972" t="s">
        <v>416</v>
      </c>
      <c r="G3972">
        <v>172</v>
      </c>
      <c r="H3972">
        <v>-1800</v>
      </c>
      <c r="I3972">
        <v>-309600</v>
      </c>
    </row>
    <row r="3973" spans="1:9" hidden="1" x14ac:dyDescent="0.25">
      <c r="A3973" s="210" t="s">
        <v>1512</v>
      </c>
      <c r="B3973">
        <v>3737</v>
      </c>
      <c r="C3973" s="100">
        <v>46123</v>
      </c>
      <c r="D3973" t="s">
        <v>426</v>
      </c>
      <c r="E3973" t="s">
        <v>17</v>
      </c>
      <c r="F3973" t="s">
        <v>416</v>
      </c>
      <c r="G3973">
        <v>670</v>
      </c>
      <c r="I3973">
        <v>0</v>
      </c>
    </row>
    <row r="3974" spans="1:9" hidden="1" x14ac:dyDescent="0.25">
      <c r="A3974" s="210" t="s">
        <v>1512</v>
      </c>
      <c r="B3974">
        <v>3676</v>
      </c>
      <c r="C3974" s="100">
        <v>46168</v>
      </c>
      <c r="D3974" t="s">
        <v>84</v>
      </c>
      <c r="E3974" t="s">
        <v>43</v>
      </c>
      <c r="F3974" t="s">
        <v>146</v>
      </c>
      <c r="G3974">
        <v>686</v>
      </c>
      <c r="H3974">
        <v>-1700</v>
      </c>
      <c r="I3974">
        <v>-1166200</v>
      </c>
    </row>
    <row r="3975" spans="1:9" hidden="1" x14ac:dyDescent="0.25">
      <c r="A3975" s="210" t="s">
        <v>1512</v>
      </c>
      <c r="B3975">
        <v>3667</v>
      </c>
      <c r="C3975" s="100">
        <v>46167</v>
      </c>
      <c r="D3975" t="s">
        <v>426</v>
      </c>
      <c r="E3975" t="s">
        <v>14</v>
      </c>
      <c r="F3975" t="s">
        <v>78</v>
      </c>
      <c r="G3975">
        <v>1546</v>
      </c>
      <c r="H3975">
        <v>-41000</v>
      </c>
      <c r="I3975">
        <v>-63386000</v>
      </c>
    </row>
    <row r="3976" spans="1:9" hidden="1" x14ac:dyDescent="0.25">
      <c r="A3976" s="210" t="s">
        <v>1512</v>
      </c>
      <c r="B3976">
        <v>3650</v>
      </c>
      <c r="C3976" s="100">
        <v>46104</v>
      </c>
      <c r="D3976" t="s">
        <v>84</v>
      </c>
      <c r="E3976" t="s">
        <v>418</v>
      </c>
      <c r="F3976" t="s">
        <v>419</v>
      </c>
      <c r="G3976">
        <v>530</v>
      </c>
      <c r="H3976">
        <v>-1500</v>
      </c>
      <c r="I3976">
        <v>-795000</v>
      </c>
    </row>
    <row r="3977" spans="1:9" hidden="1" x14ac:dyDescent="0.25">
      <c r="A3977" s="210" t="s">
        <v>1512</v>
      </c>
      <c r="B3977">
        <v>3650</v>
      </c>
      <c r="C3977" s="100">
        <v>46104</v>
      </c>
      <c r="D3977" t="s">
        <v>84</v>
      </c>
      <c r="E3977" t="s">
        <v>17</v>
      </c>
      <c r="F3977" t="s">
        <v>420</v>
      </c>
      <c r="G3977">
        <v>156</v>
      </c>
      <c r="H3977">
        <v>-1600</v>
      </c>
      <c r="I3977">
        <v>-249600</v>
      </c>
    </row>
    <row r="3978" spans="1:9" hidden="1" x14ac:dyDescent="0.25">
      <c r="A3978" s="210" t="s">
        <v>1512</v>
      </c>
      <c r="B3978">
        <v>3642</v>
      </c>
      <c r="C3978" s="100">
        <v>46101</v>
      </c>
      <c r="D3978" t="s">
        <v>84</v>
      </c>
      <c r="E3978" t="s">
        <v>93</v>
      </c>
      <c r="F3978" t="s">
        <v>417</v>
      </c>
      <c r="G3978">
        <v>540</v>
      </c>
      <c r="H3978">
        <v>-500</v>
      </c>
      <c r="I3978">
        <v>-270000</v>
      </c>
    </row>
    <row r="3979" spans="1:9" hidden="1" x14ac:dyDescent="0.25">
      <c r="A3979" s="210" t="s">
        <v>1530</v>
      </c>
      <c r="B3979">
        <v>3468</v>
      </c>
      <c r="C3979" s="100">
        <v>46168</v>
      </c>
      <c r="D3979" t="s">
        <v>692</v>
      </c>
      <c r="E3979" t="s">
        <v>109</v>
      </c>
      <c r="F3979" t="s">
        <v>708</v>
      </c>
      <c r="G3979">
        <v>296</v>
      </c>
      <c r="H3979">
        <v>-62500</v>
      </c>
      <c r="I3979">
        <v>-18500000</v>
      </c>
    </row>
    <row r="3980" spans="1:9" hidden="1" x14ac:dyDescent="0.25">
      <c r="A3980" s="210" t="s">
        <v>1530</v>
      </c>
      <c r="B3980">
        <v>3462</v>
      </c>
      <c r="C3980" s="100">
        <v>46168</v>
      </c>
      <c r="D3980" t="s">
        <v>692</v>
      </c>
      <c r="E3980" t="s">
        <v>109</v>
      </c>
      <c r="F3980" t="s">
        <v>2351</v>
      </c>
      <c r="G3980">
        <v>238</v>
      </c>
      <c r="H3980">
        <v>-62000</v>
      </c>
      <c r="I3980">
        <v>-14756000</v>
      </c>
    </row>
    <row r="3981" spans="1:9" hidden="1" x14ac:dyDescent="0.25">
      <c r="A3981" s="210" t="s">
        <v>1530</v>
      </c>
      <c r="B3981">
        <v>3462</v>
      </c>
      <c r="C3981" s="100">
        <v>46168</v>
      </c>
      <c r="D3981" t="s">
        <v>692</v>
      </c>
      <c r="E3981" t="s">
        <v>109</v>
      </c>
      <c r="F3981" t="s">
        <v>708</v>
      </c>
      <c r="G3981">
        <v>1170</v>
      </c>
      <c r="H3981">
        <v>-62000</v>
      </c>
      <c r="I3981">
        <v>-72540000</v>
      </c>
    </row>
    <row r="3982" spans="1:9" hidden="1" x14ac:dyDescent="0.25">
      <c r="A3982" s="210" t="s">
        <v>1530</v>
      </c>
      <c r="B3982">
        <v>3462</v>
      </c>
      <c r="C3982" s="100">
        <v>46168</v>
      </c>
      <c r="D3982" t="s">
        <v>692</v>
      </c>
      <c r="E3982" t="s">
        <v>109</v>
      </c>
      <c r="F3982" t="s">
        <v>2352</v>
      </c>
      <c r="G3982">
        <v>366</v>
      </c>
      <c r="H3982">
        <v>-63000</v>
      </c>
      <c r="I3982">
        <v>-23058000</v>
      </c>
    </row>
    <row r="3983" spans="1:9" hidden="1" x14ac:dyDescent="0.25">
      <c r="A3983" s="210" t="s">
        <v>1530</v>
      </c>
      <c r="B3983">
        <v>3462</v>
      </c>
      <c r="C3983" s="100">
        <v>46168</v>
      </c>
      <c r="D3983" t="s">
        <v>692</v>
      </c>
      <c r="E3983" t="s">
        <v>109</v>
      </c>
      <c r="F3983" t="s">
        <v>2353</v>
      </c>
      <c r="G3983">
        <v>488</v>
      </c>
      <c r="H3983">
        <v>-70000</v>
      </c>
      <c r="I3983">
        <v>-34160000</v>
      </c>
    </row>
    <row r="3984" spans="1:9" hidden="1" x14ac:dyDescent="0.25">
      <c r="A3984" s="210" t="s">
        <v>1530</v>
      </c>
      <c r="B3984">
        <v>3462</v>
      </c>
      <c r="C3984" s="100">
        <v>46168</v>
      </c>
      <c r="D3984" t="s">
        <v>692</v>
      </c>
      <c r="E3984" t="s">
        <v>109</v>
      </c>
      <c r="F3984" t="s">
        <v>2354</v>
      </c>
      <c r="G3984">
        <v>356</v>
      </c>
      <c r="H3984">
        <v>-70000</v>
      </c>
      <c r="I3984">
        <v>-24920000</v>
      </c>
    </row>
    <row r="3985" spans="1:9" hidden="1" x14ac:dyDescent="0.25">
      <c r="A3985" s="210" t="s">
        <v>1530</v>
      </c>
      <c r="B3985">
        <v>3431</v>
      </c>
      <c r="C3985" s="100">
        <v>46165</v>
      </c>
      <c r="D3985" t="s">
        <v>692</v>
      </c>
      <c r="E3985" t="s">
        <v>109</v>
      </c>
      <c r="F3985" t="s">
        <v>1399</v>
      </c>
      <c r="G3985">
        <v>2916</v>
      </c>
      <c r="H3985">
        <v>-62000</v>
      </c>
      <c r="I3985">
        <v>-180792000</v>
      </c>
    </row>
    <row r="3986" spans="1:9" hidden="1" x14ac:dyDescent="0.25">
      <c r="A3986" s="210" t="s">
        <v>1530</v>
      </c>
      <c r="B3986">
        <v>3355</v>
      </c>
      <c r="C3986" s="100">
        <v>46160</v>
      </c>
      <c r="D3986" t="s">
        <v>692</v>
      </c>
      <c r="E3986" t="s">
        <v>109</v>
      </c>
      <c r="F3986" t="s">
        <v>709</v>
      </c>
      <c r="G3986">
        <v>1098</v>
      </c>
      <c r="H3986">
        <v>-62000</v>
      </c>
      <c r="I3986">
        <v>-68076000</v>
      </c>
    </row>
    <row r="3987" spans="1:9" hidden="1" x14ac:dyDescent="0.25">
      <c r="A3987" s="210" t="s">
        <v>1530</v>
      </c>
      <c r="B3987">
        <v>3355</v>
      </c>
      <c r="C3987" s="100">
        <v>46160</v>
      </c>
      <c r="D3987" t="s">
        <v>692</v>
      </c>
      <c r="E3987" t="s">
        <v>109</v>
      </c>
      <c r="F3987" t="s">
        <v>2211</v>
      </c>
      <c r="G3987">
        <v>436</v>
      </c>
      <c r="H3987">
        <v>-62000</v>
      </c>
      <c r="I3987">
        <v>-27032000</v>
      </c>
    </row>
    <row r="3988" spans="1:9" hidden="1" x14ac:dyDescent="0.25">
      <c r="A3988" s="210" t="s">
        <v>1530</v>
      </c>
      <c r="B3988">
        <v>3220</v>
      </c>
      <c r="C3988" s="100">
        <v>46157</v>
      </c>
      <c r="D3988" t="s">
        <v>692</v>
      </c>
      <c r="E3988" t="s">
        <v>43</v>
      </c>
      <c r="F3988" t="s">
        <v>62</v>
      </c>
      <c r="G3988">
        <v>5026</v>
      </c>
      <c r="H3988">
        <v>-63000</v>
      </c>
      <c r="I3988">
        <v>-316638000</v>
      </c>
    </row>
    <row r="3989" spans="1:9" hidden="1" x14ac:dyDescent="0.25">
      <c r="A3989" s="210" t="s">
        <v>1512</v>
      </c>
      <c r="B3989">
        <v>3182</v>
      </c>
      <c r="C3989" s="100">
        <v>46108</v>
      </c>
      <c r="D3989" t="s">
        <v>84</v>
      </c>
      <c r="E3989" t="s">
        <v>43</v>
      </c>
      <c r="F3989" t="s">
        <v>421</v>
      </c>
      <c r="G3989">
        <v>140</v>
      </c>
      <c r="H3989">
        <v>-1800</v>
      </c>
      <c r="I3989">
        <v>-252000</v>
      </c>
    </row>
    <row r="3990" spans="1:9" hidden="1" x14ac:dyDescent="0.25">
      <c r="A3990" s="210" t="s">
        <v>1512</v>
      </c>
      <c r="B3990">
        <v>3182</v>
      </c>
      <c r="C3990" s="100">
        <v>46108</v>
      </c>
      <c r="D3990" t="s">
        <v>426</v>
      </c>
      <c r="E3990" t="s">
        <v>26</v>
      </c>
      <c r="F3990" t="s">
        <v>416</v>
      </c>
      <c r="G3990">
        <v>1756</v>
      </c>
      <c r="H3990">
        <v>-34000</v>
      </c>
      <c r="I3990">
        <v>-59704000</v>
      </c>
    </row>
    <row r="3991" spans="1:9" hidden="1" x14ac:dyDescent="0.25">
      <c r="A3991" s="210" t="s">
        <v>1524</v>
      </c>
      <c r="B3991">
        <v>3136</v>
      </c>
      <c r="C3991" s="100">
        <v>46108</v>
      </c>
      <c r="D3991" t="s">
        <v>84</v>
      </c>
      <c r="E3991" t="s">
        <v>77</v>
      </c>
      <c r="F3991" t="s">
        <v>553</v>
      </c>
      <c r="G3991">
        <v>860</v>
      </c>
      <c r="H3991">
        <v>-500</v>
      </c>
      <c r="I3991">
        <v>-430000</v>
      </c>
    </row>
    <row r="3992" spans="1:9" hidden="1" x14ac:dyDescent="0.25">
      <c r="A3992" s="210" t="s">
        <v>1524</v>
      </c>
      <c r="B3992">
        <v>3136</v>
      </c>
      <c r="C3992" s="100">
        <v>46108</v>
      </c>
      <c r="D3992" t="s">
        <v>84</v>
      </c>
      <c r="E3992" t="s">
        <v>93</v>
      </c>
      <c r="F3992" t="s">
        <v>554</v>
      </c>
      <c r="G3992">
        <v>1542</v>
      </c>
      <c r="H3992">
        <v>-500</v>
      </c>
      <c r="I3992">
        <v>-771000</v>
      </c>
    </row>
    <row r="3993" spans="1:9" hidden="1" x14ac:dyDescent="0.25">
      <c r="A3993" s="210" t="s">
        <v>1512</v>
      </c>
      <c r="B3993">
        <v>3043</v>
      </c>
      <c r="C3993" s="100">
        <v>46085</v>
      </c>
      <c r="D3993" t="s">
        <v>166</v>
      </c>
      <c r="E3993" t="s">
        <v>135</v>
      </c>
      <c r="F3993" t="s">
        <v>41</v>
      </c>
      <c r="G3993">
        <v>2690</v>
      </c>
      <c r="H3993">
        <v>-35000</v>
      </c>
      <c r="I3993">
        <v>-94150000</v>
      </c>
    </row>
    <row r="3994" spans="1:9" hidden="1" x14ac:dyDescent="0.25">
      <c r="A3994" s="210" t="s">
        <v>1524</v>
      </c>
      <c r="B3994">
        <v>2985</v>
      </c>
      <c r="C3994" s="100">
        <v>46172</v>
      </c>
      <c r="D3994" t="s">
        <v>84</v>
      </c>
      <c r="E3994" t="s">
        <v>17</v>
      </c>
      <c r="F3994" t="s">
        <v>136</v>
      </c>
      <c r="G3994">
        <v>1060</v>
      </c>
      <c r="H3994">
        <v>-1500</v>
      </c>
      <c r="I3994">
        <v>-1590000</v>
      </c>
    </row>
    <row r="3995" spans="1:9" hidden="1" x14ac:dyDescent="0.25">
      <c r="A3995" s="210" t="s">
        <v>1524</v>
      </c>
      <c r="B3995">
        <v>2972</v>
      </c>
      <c r="C3995" s="100">
        <v>46171</v>
      </c>
      <c r="D3995" t="s">
        <v>84</v>
      </c>
      <c r="E3995" t="s">
        <v>2517</v>
      </c>
      <c r="F3995" t="s">
        <v>62</v>
      </c>
      <c r="G3995">
        <v>780</v>
      </c>
      <c r="H3995">
        <v>-2000</v>
      </c>
      <c r="I3995">
        <v>-1560000</v>
      </c>
    </row>
    <row r="3996" spans="1:9" hidden="1" x14ac:dyDescent="0.25">
      <c r="A3996" s="210" t="s">
        <v>1524</v>
      </c>
      <c r="B3996">
        <v>2950</v>
      </c>
      <c r="C3996" s="100">
        <v>46168</v>
      </c>
      <c r="D3996" t="s">
        <v>84</v>
      </c>
      <c r="E3996" t="s">
        <v>43</v>
      </c>
      <c r="F3996" t="s">
        <v>148</v>
      </c>
      <c r="G3996">
        <v>2254</v>
      </c>
      <c r="H3996">
        <v>-550</v>
      </c>
      <c r="I3996">
        <v>-1239700</v>
      </c>
    </row>
    <row r="3997" spans="1:9" hidden="1" x14ac:dyDescent="0.25">
      <c r="A3997" s="210" t="s">
        <v>1524</v>
      </c>
      <c r="B3997">
        <v>2946</v>
      </c>
      <c r="C3997" s="100">
        <v>46167</v>
      </c>
      <c r="D3997" t="s">
        <v>84</v>
      </c>
      <c r="E3997" t="s">
        <v>2363</v>
      </c>
      <c r="F3997" t="s">
        <v>148</v>
      </c>
      <c r="G3997">
        <v>1550</v>
      </c>
      <c r="H3997">
        <v>-2900</v>
      </c>
      <c r="I3997">
        <v>-4495000</v>
      </c>
    </row>
    <row r="3998" spans="1:9" hidden="1" x14ac:dyDescent="0.25">
      <c r="A3998" s="210" t="s">
        <v>1607</v>
      </c>
      <c r="B3998">
        <v>2941</v>
      </c>
      <c r="C3998" s="100">
        <v>46169</v>
      </c>
      <c r="D3998" t="s">
        <v>692</v>
      </c>
      <c r="E3998" t="s">
        <v>1029</v>
      </c>
      <c r="F3998" t="s">
        <v>2494</v>
      </c>
      <c r="G3998">
        <v>7188</v>
      </c>
      <c r="H3998">
        <v>-27000</v>
      </c>
      <c r="I3998">
        <v>-194076000</v>
      </c>
    </row>
    <row r="3999" spans="1:9" hidden="1" x14ac:dyDescent="0.25">
      <c r="A3999" s="210" t="s">
        <v>1512</v>
      </c>
      <c r="B3999">
        <v>2939</v>
      </c>
      <c r="C3999" s="100">
        <v>46149</v>
      </c>
      <c r="D3999" t="s">
        <v>426</v>
      </c>
      <c r="E3999" t="s">
        <v>1831</v>
      </c>
      <c r="F3999" t="s">
        <v>148</v>
      </c>
      <c r="G3999">
        <v>5396</v>
      </c>
      <c r="H3999">
        <v>-71500</v>
      </c>
      <c r="I3999">
        <v>-385814000</v>
      </c>
    </row>
    <row r="4000" spans="1:9" hidden="1" x14ac:dyDescent="0.25">
      <c r="A4000" s="210" t="s">
        <v>1524</v>
      </c>
      <c r="B4000">
        <v>2925</v>
      </c>
      <c r="C4000" s="100">
        <v>46163</v>
      </c>
      <c r="D4000" t="s">
        <v>84</v>
      </c>
      <c r="E4000" t="s">
        <v>252</v>
      </c>
      <c r="F4000" t="s">
        <v>62</v>
      </c>
      <c r="G4000">
        <v>1068</v>
      </c>
      <c r="H4000">
        <v>-3500</v>
      </c>
      <c r="I4000">
        <v>-3738000</v>
      </c>
    </row>
    <row r="4001" spans="1:11" hidden="1" x14ac:dyDescent="0.25">
      <c r="A4001" s="210" t="s">
        <v>1607</v>
      </c>
      <c r="B4001">
        <v>2920</v>
      </c>
      <c r="C4001" s="100">
        <v>46168</v>
      </c>
      <c r="D4001" t="s">
        <v>692</v>
      </c>
      <c r="E4001" t="s">
        <v>1029</v>
      </c>
      <c r="F4001" t="s">
        <v>2364</v>
      </c>
      <c r="G4001">
        <v>7006</v>
      </c>
      <c r="H4001">
        <v>-27000</v>
      </c>
      <c r="I4001">
        <v>-189162000</v>
      </c>
    </row>
    <row r="4002" spans="1:11" hidden="1" x14ac:dyDescent="0.25">
      <c r="A4002" s="210" t="s">
        <v>1524</v>
      </c>
      <c r="B4002">
        <v>2917</v>
      </c>
      <c r="C4002" s="100">
        <v>46162</v>
      </c>
      <c r="D4002" t="s">
        <v>84</v>
      </c>
      <c r="E4002" t="s">
        <v>14</v>
      </c>
      <c r="F4002" t="s">
        <v>148</v>
      </c>
      <c r="G4002">
        <v>306</v>
      </c>
      <c r="H4002">
        <v>-550</v>
      </c>
      <c r="I4002">
        <v>-168300</v>
      </c>
    </row>
    <row r="4003" spans="1:11" hidden="1" x14ac:dyDescent="0.25">
      <c r="A4003" s="210" t="s">
        <v>1524</v>
      </c>
      <c r="B4003">
        <v>2917</v>
      </c>
      <c r="C4003" s="100">
        <v>46162</v>
      </c>
      <c r="D4003" t="s">
        <v>84</v>
      </c>
      <c r="E4003" t="s">
        <v>14</v>
      </c>
      <c r="F4003" t="s">
        <v>148</v>
      </c>
      <c r="G4003">
        <v>2252</v>
      </c>
      <c r="H4003">
        <v>-550</v>
      </c>
      <c r="I4003">
        <v>-1238600</v>
      </c>
    </row>
    <row r="4004" spans="1:11" hidden="1" x14ac:dyDescent="0.25">
      <c r="A4004" s="210" t="s">
        <v>1524</v>
      </c>
      <c r="B4004">
        <v>2917</v>
      </c>
      <c r="C4004" s="100">
        <v>46162</v>
      </c>
      <c r="D4004" t="s">
        <v>426</v>
      </c>
      <c r="E4004" t="s">
        <v>14</v>
      </c>
      <c r="F4004" t="s">
        <v>148</v>
      </c>
      <c r="G4004">
        <v>2344</v>
      </c>
      <c r="I4004">
        <v>0</v>
      </c>
    </row>
    <row r="4005" spans="1:11" hidden="1" x14ac:dyDescent="0.25">
      <c r="A4005" s="210" t="s">
        <v>1524</v>
      </c>
      <c r="B4005">
        <v>2913</v>
      </c>
      <c r="C4005" s="100">
        <v>46162</v>
      </c>
      <c r="D4005" t="s">
        <v>84</v>
      </c>
      <c r="E4005" t="s">
        <v>270</v>
      </c>
      <c r="F4005" t="s">
        <v>62</v>
      </c>
      <c r="G4005">
        <v>1350</v>
      </c>
      <c r="H4005">
        <v>-2500</v>
      </c>
      <c r="I4005">
        <v>-3375000</v>
      </c>
    </row>
    <row r="4006" spans="1:11" hidden="1" x14ac:dyDescent="0.25">
      <c r="A4006" s="210" t="s">
        <v>1524</v>
      </c>
      <c r="B4006">
        <v>2913</v>
      </c>
      <c r="C4006" s="100">
        <v>46162</v>
      </c>
      <c r="D4006" t="s">
        <v>84</v>
      </c>
      <c r="E4006" t="s">
        <v>26</v>
      </c>
      <c r="F4006" t="s">
        <v>78</v>
      </c>
      <c r="G4006">
        <v>3713</v>
      </c>
      <c r="H4006">
        <v>-550</v>
      </c>
      <c r="I4006">
        <v>-2042150</v>
      </c>
    </row>
    <row r="4007" spans="1:11" hidden="1" x14ac:dyDescent="0.25">
      <c r="A4007" s="210" t="s">
        <v>1524</v>
      </c>
      <c r="B4007">
        <v>2913</v>
      </c>
      <c r="C4007" s="100">
        <v>46162</v>
      </c>
      <c r="D4007" t="s">
        <v>426</v>
      </c>
      <c r="E4007" t="s">
        <v>26</v>
      </c>
      <c r="F4007" t="s">
        <v>78</v>
      </c>
      <c r="G4007">
        <v>3686</v>
      </c>
      <c r="I4007">
        <v>0</v>
      </c>
    </row>
    <row r="4008" spans="1:11" hidden="1" x14ac:dyDescent="0.25">
      <c r="A4008" s="210" t="s">
        <v>2016</v>
      </c>
      <c r="B4008">
        <v>2897</v>
      </c>
      <c r="C4008" s="100">
        <v>46163</v>
      </c>
      <c r="D4008" t="s">
        <v>692</v>
      </c>
      <c r="E4008" t="s">
        <v>2273</v>
      </c>
      <c r="F4008" t="s">
        <v>2274</v>
      </c>
      <c r="G4008">
        <v>19</v>
      </c>
      <c r="H4008">
        <v>-70000</v>
      </c>
      <c r="I4008">
        <v>-1330000</v>
      </c>
    </row>
    <row r="4009" spans="1:11" hidden="1" x14ac:dyDescent="0.25">
      <c r="A4009" s="210" t="s">
        <v>1512</v>
      </c>
      <c r="B4009">
        <v>2896</v>
      </c>
      <c r="C4009" s="100">
        <v>46163</v>
      </c>
      <c r="D4009" t="s">
        <v>84</v>
      </c>
      <c r="E4009" t="s">
        <v>17</v>
      </c>
      <c r="F4009" t="s">
        <v>41</v>
      </c>
      <c r="G4009">
        <v>306</v>
      </c>
      <c r="H4009">
        <v>-2300</v>
      </c>
      <c r="I4009">
        <v>-703800</v>
      </c>
    </row>
    <row r="4010" spans="1:11" hidden="1" x14ac:dyDescent="0.25">
      <c r="A4010" s="210" t="s">
        <v>1512</v>
      </c>
      <c r="B4010">
        <v>2896</v>
      </c>
      <c r="C4010" s="100">
        <v>46163</v>
      </c>
      <c r="D4010" t="s">
        <v>84</v>
      </c>
      <c r="E4010" t="s">
        <v>17</v>
      </c>
      <c r="F4010" t="s">
        <v>136</v>
      </c>
      <c r="G4010">
        <v>290</v>
      </c>
      <c r="H4010">
        <v>-1900</v>
      </c>
      <c r="I4010">
        <v>-551000</v>
      </c>
    </row>
    <row r="4011" spans="1:11" hidden="1" x14ac:dyDescent="0.25">
      <c r="A4011" s="210" t="s">
        <v>1512</v>
      </c>
      <c r="B4011">
        <v>2896</v>
      </c>
      <c r="C4011" s="100">
        <v>46163</v>
      </c>
      <c r="D4011" t="s">
        <v>426</v>
      </c>
      <c r="E4011" t="s">
        <v>17</v>
      </c>
      <c r="F4011" t="s">
        <v>134</v>
      </c>
      <c r="G4011">
        <v>904</v>
      </c>
      <c r="I4011">
        <v>0</v>
      </c>
    </row>
    <row r="4012" spans="1:11" hidden="1" x14ac:dyDescent="0.25">
      <c r="A4012" s="210" t="s">
        <v>1512</v>
      </c>
      <c r="B4012">
        <v>2896</v>
      </c>
      <c r="C4012" s="100">
        <v>46163</v>
      </c>
      <c r="D4012" t="s">
        <v>84</v>
      </c>
      <c r="E4012" t="s">
        <v>17</v>
      </c>
      <c r="F4012" t="s">
        <v>251</v>
      </c>
      <c r="G4012">
        <v>3118</v>
      </c>
      <c r="I4012">
        <v>0</v>
      </c>
    </row>
    <row r="4013" spans="1:11" hidden="1" x14ac:dyDescent="0.25">
      <c r="A4013" s="210" t="s">
        <v>1512</v>
      </c>
      <c r="B4013">
        <v>2896</v>
      </c>
      <c r="C4013" s="100">
        <v>46163</v>
      </c>
      <c r="D4013" t="s">
        <v>84</v>
      </c>
      <c r="E4013" t="s">
        <v>17</v>
      </c>
      <c r="F4013" t="s">
        <v>41</v>
      </c>
      <c r="G4013">
        <v>1420</v>
      </c>
      <c r="I4013">
        <v>0</v>
      </c>
    </row>
    <row r="4014" spans="1:11" hidden="1" x14ac:dyDescent="0.25">
      <c r="A4014" s="210" t="s">
        <v>1512</v>
      </c>
      <c r="B4014">
        <v>2896</v>
      </c>
      <c r="C4014" s="100">
        <v>46163</v>
      </c>
      <c r="D4014" t="s">
        <v>84</v>
      </c>
      <c r="E4014" t="s">
        <v>17</v>
      </c>
      <c r="F4014" t="s">
        <v>136</v>
      </c>
      <c r="G4014">
        <v>1378</v>
      </c>
      <c r="I4014">
        <v>0</v>
      </c>
    </row>
    <row r="4015" spans="1:11" hidden="1" x14ac:dyDescent="0.25">
      <c r="A4015" s="210" t="s">
        <v>1512</v>
      </c>
      <c r="B4015">
        <v>2886</v>
      </c>
      <c r="C4015" s="100">
        <v>46160</v>
      </c>
      <c r="D4015" t="s">
        <v>84</v>
      </c>
      <c r="E4015" t="s">
        <v>17</v>
      </c>
      <c r="F4015" t="s">
        <v>41</v>
      </c>
      <c r="G4015">
        <v>511</v>
      </c>
      <c r="H4015">
        <v>-1800</v>
      </c>
      <c r="I4015">
        <v>-919800</v>
      </c>
      <c r="K4015" t="s">
        <v>2460</v>
      </c>
    </row>
    <row r="4016" spans="1:11" hidden="1" x14ac:dyDescent="0.25">
      <c r="A4016" s="210" t="s">
        <v>1512</v>
      </c>
      <c r="B4016">
        <v>2881</v>
      </c>
      <c r="C4016" s="100">
        <v>46158</v>
      </c>
      <c r="D4016" t="s">
        <v>84</v>
      </c>
      <c r="E4016" t="s">
        <v>17</v>
      </c>
      <c r="F4016" t="s">
        <v>2190</v>
      </c>
      <c r="G4016">
        <v>338</v>
      </c>
      <c r="H4016">
        <v>-1700</v>
      </c>
      <c r="I4016">
        <v>-574600</v>
      </c>
    </row>
    <row r="4017" spans="1:11" hidden="1" x14ac:dyDescent="0.25">
      <c r="A4017" s="210" t="s">
        <v>1499</v>
      </c>
      <c r="B4017">
        <v>2853</v>
      </c>
      <c r="C4017" s="100">
        <v>46153</v>
      </c>
      <c r="D4017" t="s">
        <v>426</v>
      </c>
      <c r="E4017" t="s">
        <v>26</v>
      </c>
      <c r="F4017" t="s">
        <v>41</v>
      </c>
      <c r="G4017">
        <v>1134</v>
      </c>
      <c r="H4017">
        <v>-35000</v>
      </c>
      <c r="I4017">
        <v>-39690000</v>
      </c>
      <c r="K4017" t="s">
        <v>2023</v>
      </c>
    </row>
    <row r="4018" spans="1:11" hidden="1" x14ac:dyDescent="0.25">
      <c r="A4018" s="210" t="s">
        <v>1524</v>
      </c>
      <c r="B4018">
        <v>2853</v>
      </c>
      <c r="C4018" s="100">
        <v>46153</v>
      </c>
      <c r="D4018" t="s">
        <v>84</v>
      </c>
      <c r="E4018" t="s">
        <v>265</v>
      </c>
      <c r="F4018" t="s">
        <v>62</v>
      </c>
      <c r="G4018">
        <v>658</v>
      </c>
      <c r="H4018">
        <v>-3800</v>
      </c>
      <c r="I4018">
        <v>-2500400</v>
      </c>
    </row>
    <row r="4019" spans="1:11" hidden="1" x14ac:dyDescent="0.25">
      <c r="A4019" s="210" t="s">
        <v>1524</v>
      </c>
      <c r="B4019">
        <v>2822</v>
      </c>
      <c r="C4019" s="100">
        <v>46149</v>
      </c>
      <c r="D4019" t="s">
        <v>84</v>
      </c>
      <c r="E4019" t="s">
        <v>265</v>
      </c>
      <c r="F4019" t="s">
        <v>403</v>
      </c>
      <c r="G4019">
        <v>760</v>
      </c>
      <c r="H4019">
        <v>-3300</v>
      </c>
      <c r="I4019">
        <v>-2508000</v>
      </c>
    </row>
    <row r="4020" spans="1:11" hidden="1" x14ac:dyDescent="0.25">
      <c r="A4020" s="210" t="s">
        <v>1530</v>
      </c>
      <c r="B4020">
        <v>2807</v>
      </c>
      <c r="C4020" s="100">
        <v>46154</v>
      </c>
      <c r="D4020" t="s">
        <v>692</v>
      </c>
      <c r="E4020" t="s">
        <v>17</v>
      </c>
      <c r="F4020" t="s">
        <v>2066</v>
      </c>
      <c r="G4020">
        <v>4682</v>
      </c>
      <c r="H4020">
        <v>-67000</v>
      </c>
      <c r="I4020">
        <v>-313694000</v>
      </c>
    </row>
    <row r="4021" spans="1:11" hidden="1" x14ac:dyDescent="0.25">
      <c r="A4021" s="210" t="s">
        <v>1524</v>
      </c>
      <c r="B4021">
        <v>2806</v>
      </c>
      <c r="C4021" s="100">
        <v>46147</v>
      </c>
      <c r="D4021" t="s">
        <v>84</v>
      </c>
      <c r="E4021" t="s">
        <v>270</v>
      </c>
      <c r="F4021" t="s">
        <v>136</v>
      </c>
      <c r="G4021">
        <v>1364</v>
      </c>
      <c r="H4021">
        <v>-3300</v>
      </c>
      <c r="I4021">
        <v>-4501200</v>
      </c>
    </row>
    <row r="4022" spans="1:11" hidden="1" x14ac:dyDescent="0.25">
      <c r="A4022" s="210" t="s">
        <v>1524</v>
      </c>
      <c r="B4022">
        <v>2794</v>
      </c>
      <c r="C4022" s="100">
        <v>46141</v>
      </c>
      <c r="D4022" t="s">
        <v>84</v>
      </c>
      <c r="E4022" t="s">
        <v>2517</v>
      </c>
      <c r="F4022" t="s">
        <v>62</v>
      </c>
      <c r="G4022">
        <v>666</v>
      </c>
      <c r="H4022">
        <v>-2000</v>
      </c>
      <c r="I4022">
        <v>-1332000</v>
      </c>
    </row>
    <row r="4023" spans="1:11" hidden="1" x14ac:dyDescent="0.25">
      <c r="A4023" s="210" t="s">
        <v>1524</v>
      </c>
      <c r="B4023">
        <v>2794</v>
      </c>
      <c r="C4023" s="100">
        <v>46141</v>
      </c>
      <c r="D4023" t="s">
        <v>84</v>
      </c>
      <c r="E4023" t="s">
        <v>265</v>
      </c>
      <c r="F4023" t="s">
        <v>62</v>
      </c>
      <c r="G4023">
        <v>524</v>
      </c>
      <c r="H4023">
        <v>-3800</v>
      </c>
      <c r="I4023">
        <v>-1991200</v>
      </c>
    </row>
    <row r="4024" spans="1:11" hidden="1" x14ac:dyDescent="0.25">
      <c r="A4024" s="210" t="s">
        <v>1524</v>
      </c>
      <c r="B4024">
        <v>2782</v>
      </c>
      <c r="C4024" s="100">
        <v>46140</v>
      </c>
      <c r="D4024" t="s">
        <v>84</v>
      </c>
      <c r="E4024" t="s">
        <v>265</v>
      </c>
      <c r="F4024" t="s">
        <v>146</v>
      </c>
      <c r="G4024">
        <v>1360</v>
      </c>
      <c r="H4024">
        <v>-3300</v>
      </c>
      <c r="I4024">
        <v>-4488000</v>
      </c>
    </row>
    <row r="4025" spans="1:11" hidden="1" x14ac:dyDescent="0.25">
      <c r="A4025" s="210" t="s">
        <v>1524</v>
      </c>
      <c r="B4025">
        <v>2782</v>
      </c>
      <c r="C4025" s="100">
        <v>46140</v>
      </c>
      <c r="D4025" t="s">
        <v>426</v>
      </c>
      <c r="E4025" t="s">
        <v>659</v>
      </c>
      <c r="F4025" t="s">
        <v>148</v>
      </c>
      <c r="G4025">
        <v>3783</v>
      </c>
      <c r="I4025">
        <v>0</v>
      </c>
    </row>
    <row r="4026" spans="1:11" hidden="1" x14ac:dyDescent="0.25">
      <c r="A4026" s="210" t="s">
        <v>1524</v>
      </c>
      <c r="B4026">
        <v>2780</v>
      </c>
      <c r="C4026" s="100">
        <v>46140</v>
      </c>
      <c r="D4026" t="s">
        <v>84</v>
      </c>
      <c r="E4026" t="s">
        <v>26</v>
      </c>
      <c r="F4026" t="s">
        <v>148</v>
      </c>
      <c r="G4026">
        <v>580</v>
      </c>
      <c r="H4026">
        <v>-862.06896551720001</v>
      </c>
      <c r="I4026">
        <v>-499999.99999997602</v>
      </c>
    </row>
    <row r="4027" spans="1:11" hidden="1" x14ac:dyDescent="0.25">
      <c r="A4027" s="210" t="s">
        <v>1524</v>
      </c>
      <c r="B4027">
        <v>2774</v>
      </c>
      <c r="C4027" s="100">
        <v>46139</v>
      </c>
      <c r="D4027" t="s">
        <v>84</v>
      </c>
      <c r="E4027" t="s">
        <v>26</v>
      </c>
      <c r="F4027" t="s">
        <v>148</v>
      </c>
      <c r="G4027">
        <v>1018</v>
      </c>
      <c r="H4027">
        <v>-500</v>
      </c>
      <c r="I4027">
        <v>-509000</v>
      </c>
    </row>
    <row r="4028" spans="1:11" hidden="1" x14ac:dyDescent="0.25">
      <c r="A4028" s="210" t="s">
        <v>1524</v>
      </c>
      <c r="B4028">
        <v>2768</v>
      </c>
      <c r="C4028" s="100">
        <v>46137</v>
      </c>
      <c r="D4028" t="s">
        <v>84</v>
      </c>
      <c r="E4028" t="s">
        <v>26</v>
      </c>
      <c r="F4028" t="s">
        <v>148</v>
      </c>
      <c r="G4028">
        <v>3502</v>
      </c>
      <c r="H4028">
        <v>-500</v>
      </c>
      <c r="I4028">
        <v>-1751000</v>
      </c>
    </row>
    <row r="4029" spans="1:11" hidden="1" x14ac:dyDescent="0.25">
      <c r="A4029" s="210" t="s">
        <v>1524</v>
      </c>
      <c r="B4029">
        <v>2768</v>
      </c>
      <c r="C4029" s="100">
        <v>46137</v>
      </c>
      <c r="D4029" t="s">
        <v>426</v>
      </c>
      <c r="E4029" t="s">
        <v>659</v>
      </c>
      <c r="F4029" t="s">
        <v>148</v>
      </c>
      <c r="G4029">
        <v>2074</v>
      </c>
      <c r="I4029">
        <v>0</v>
      </c>
    </row>
    <row r="4030" spans="1:11" hidden="1" x14ac:dyDescent="0.25">
      <c r="A4030" s="210" t="s">
        <v>1530</v>
      </c>
      <c r="B4030">
        <v>2768</v>
      </c>
      <c r="C4030" s="100">
        <v>46127</v>
      </c>
      <c r="D4030" t="s">
        <v>692</v>
      </c>
      <c r="E4030" t="s">
        <v>109</v>
      </c>
      <c r="F4030" t="s">
        <v>708</v>
      </c>
      <c r="G4030">
        <v>874</v>
      </c>
      <c r="I4030">
        <v>0</v>
      </c>
    </row>
    <row r="4031" spans="1:11" hidden="1" x14ac:dyDescent="0.25">
      <c r="A4031" s="210" t="s">
        <v>1524</v>
      </c>
      <c r="B4031">
        <v>2752</v>
      </c>
      <c r="C4031" s="100">
        <v>46135</v>
      </c>
      <c r="D4031" t="s">
        <v>84</v>
      </c>
      <c r="E4031" t="s">
        <v>169</v>
      </c>
      <c r="F4031" t="s">
        <v>62</v>
      </c>
      <c r="G4031">
        <v>1042</v>
      </c>
      <c r="H4031">
        <v>-3500</v>
      </c>
      <c r="I4031">
        <v>-3647000</v>
      </c>
    </row>
    <row r="4032" spans="1:11" hidden="1" x14ac:dyDescent="0.25">
      <c r="A4032" s="210" t="s">
        <v>1524</v>
      </c>
      <c r="B4032">
        <v>2752</v>
      </c>
      <c r="C4032" s="100">
        <v>46135</v>
      </c>
      <c r="D4032" t="s">
        <v>84</v>
      </c>
      <c r="E4032" t="s">
        <v>660</v>
      </c>
      <c r="F4032" t="s">
        <v>661</v>
      </c>
      <c r="G4032">
        <v>2476</v>
      </c>
      <c r="H4032">
        <v>-3300</v>
      </c>
      <c r="I4032">
        <v>-8170800</v>
      </c>
    </row>
    <row r="4033" spans="1:9" hidden="1" x14ac:dyDescent="0.25">
      <c r="A4033" s="210" t="s">
        <v>1530</v>
      </c>
      <c r="B4033">
        <v>2738</v>
      </c>
      <c r="C4033" s="100">
        <v>46125</v>
      </c>
      <c r="D4033" t="s">
        <v>692</v>
      </c>
      <c r="E4033" t="s">
        <v>109</v>
      </c>
      <c r="F4033" t="s">
        <v>707</v>
      </c>
      <c r="G4033">
        <v>1100</v>
      </c>
      <c r="H4033">
        <v>-59000</v>
      </c>
      <c r="I4033">
        <v>-64900000</v>
      </c>
    </row>
    <row r="4034" spans="1:9" hidden="1" x14ac:dyDescent="0.25">
      <c r="A4034" s="210" t="s">
        <v>1530</v>
      </c>
      <c r="B4034">
        <v>2738</v>
      </c>
      <c r="C4034" s="100">
        <v>46125</v>
      </c>
      <c r="D4034" t="s">
        <v>692</v>
      </c>
      <c r="E4034" t="s">
        <v>109</v>
      </c>
      <c r="F4034" t="s">
        <v>708</v>
      </c>
      <c r="G4034">
        <v>292</v>
      </c>
      <c r="H4034">
        <v>-59000</v>
      </c>
      <c r="I4034">
        <v>-17228000</v>
      </c>
    </row>
    <row r="4035" spans="1:9" hidden="1" x14ac:dyDescent="0.25">
      <c r="A4035" s="210" t="s">
        <v>1530</v>
      </c>
      <c r="B4035">
        <v>2738</v>
      </c>
      <c r="C4035" s="100">
        <v>46125</v>
      </c>
      <c r="D4035" t="s">
        <v>692</v>
      </c>
      <c r="E4035" t="s">
        <v>109</v>
      </c>
      <c r="F4035" t="s">
        <v>709</v>
      </c>
      <c r="G4035">
        <v>182</v>
      </c>
      <c r="H4035">
        <v>-59000</v>
      </c>
      <c r="I4035">
        <v>-10738000</v>
      </c>
    </row>
    <row r="4036" spans="1:9" hidden="1" x14ac:dyDescent="0.25">
      <c r="A4036" s="210" t="s">
        <v>1524</v>
      </c>
      <c r="B4036">
        <v>2737</v>
      </c>
      <c r="C4036" s="100">
        <v>46133</v>
      </c>
      <c r="D4036" t="s">
        <v>84</v>
      </c>
      <c r="E4036" t="s">
        <v>643</v>
      </c>
      <c r="F4036" t="s">
        <v>446</v>
      </c>
      <c r="G4036">
        <v>454</v>
      </c>
      <c r="H4036">
        <v>-2200</v>
      </c>
      <c r="I4036">
        <v>-998800</v>
      </c>
    </row>
    <row r="4037" spans="1:9" hidden="1" x14ac:dyDescent="0.25">
      <c r="A4037" s="210" t="s">
        <v>1524</v>
      </c>
      <c r="B4037">
        <v>2737</v>
      </c>
      <c r="C4037" s="100">
        <v>46133</v>
      </c>
      <c r="D4037" t="s">
        <v>84</v>
      </c>
      <c r="E4037" t="s">
        <v>265</v>
      </c>
      <c r="F4037" t="s">
        <v>148</v>
      </c>
      <c r="G4037">
        <v>2068</v>
      </c>
      <c r="H4037">
        <v>-3100</v>
      </c>
      <c r="I4037">
        <v>-6410800</v>
      </c>
    </row>
    <row r="4038" spans="1:9" hidden="1" x14ac:dyDescent="0.25">
      <c r="A4038" s="210" t="s">
        <v>1524</v>
      </c>
      <c r="B4038">
        <v>2732</v>
      </c>
      <c r="C4038" s="100">
        <v>46133</v>
      </c>
      <c r="D4038" t="s">
        <v>84</v>
      </c>
      <c r="E4038" t="s">
        <v>535</v>
      </c>
      <c r="F4038" t="s">
        <v>136</v>
      </c>
      <c r="G4038">
        <v>808</v>
      </c>
      <c r="H4038">
        <v>-1500</v>
      </c>
      <c r="I4038">
        <v>-1212000</v>
      </c>
    </row>
    <row r="4039" spans="1:9" hidden="1" x14ac:dyDescent="0.25">
      <c r="A4039" s="210" t="s">
        <v>1524</v>
      </c>
      <c r="B4039">
        <v>2732</v>
      </c>
      <c r="C4039" s="100">
        <v>46133</v>
      </c>
      <c r="D4039" t="s">
        <v>84</v>
      </c>
      <c r="E4039" t="s">
        <v>270</v>
      </c>
      <c r="F4039" t="s">
        <v>251</v>
      </c>
      <c r="G4039">
        <v>622</v>
      </c>
      <c r="H4039">
        <v>-3500</v>
      </c>
      <c r="I4039">
        <v>-2177000</v>
      </c>
    </row>
    <row r="4040" spans="1:9" hidden="1" x14ac:dyDescent="0.25">
      <c r="A4040" s="210" t="s">
        <v>1524</v>
      </c>
      <c r="B4040">
        <v>2732</v>
      </c>
      <c r="C4040" s="100">
        <v>46133</v>
      </c>
      <c r="D4040" t="s">
        <v>84</v>
      </c>
      <c r="E4040" t="s">
        <v>658</v>
      </c>
      <c r="F4040" t="s">
        <v>78</v>
      </c>
      <c r="G4040">
        <v>1291</v>
      </c>
      <c r="H4040">
        <v>-2200</v>
      </c>
      <c r="I4040">
        <v>-2840200</v>
      </c>
    </row>
    <row r="4041" spans="1:9" hidden="1" x14ac:dyDescent="0.25">
      <c r="A4041" s="210" t="s">
        <v>1524</v>
      </c>
      <c r="B4041">
        <v>2732</v>
      </c>
      <c r="C4041" s="100">
        <v>46133</v>
      </c>
      <c r="D4041" t="s">
        <v>426</v>
      </c>
      <c r="E4041" t="s">
        <v>659</v>
      </c>
      <c r="F4041" t="s">
        <v>78</v>
      </c>
      <c r="G4041">
        <v>3771</v>
      </c>
      <c r="I4041">
        <v>0</v>
      </c>
    </row>
    <row r="4042" spans="1:9" hidden="1" x14ac:dyDescent="0.25">
      <c r="A4042" s="210" t="s">
        <v>1524</v>
      </c>
      <c r="B4042">
        <v>2725</v>
      </c>
      <c r="C4042" s="100">
        <v>46132</v>
      </c>
      <c r="D4042" t="s">
        <v>84</v>
      </c>
      <c r="E4042" t="s">
        <v>2534</v>
      </c>
      <c r="F4042" t="s">
        <v>2535</v>
      </c>
      <c r="G4042">
        <v>2226</v>
      </c>
      <c r="H4042">
        <v>-1500</v>
      </c>
      <c r="I4042">
        <v>-3339000</v>
      </c>
    </row>
    <row r="4043" spans="1:9" hidden="1" x14ac:dyDescent="0.25">
      <c r="A4043" s="210" t="s">
        <v>1524</v>
      </c>
      <c r="B4043">
        <v>2725</v>
      </c>
      <c r="C4043" s="100">
        <v>46132</v>
      </c>
      <c r="D4043" t="s">
        <v>84</v>
      </c>
      <c r="E4043" t="s">
        <v>2536</v>
      </c>
      <c r="F4043" t="s">
        <v>1082</v>
      </c>
      <c r="G4043">
        <v>1040</v>
      </c>
      <c r="H4043">
        <v>-3800</v>
      </c>
      <c r="I4043">
        <v>-3952000</v>
      </c>
    </row>
    <row r="4044" spans="1:9" hidden="1" x14ac:dyDescent="0.25">
      <c r="A4044" s="210" t="s">
        <v>1524</v>
      </c>
      <c r="B4044">
        <v>2720</v>
      </c>
      <c r="C4044" s="100">
        <v>46129</v>
      </c>
      <c r="D4044" t="s">
        <v>84</v>
      </c>
      <c r="E4044" t="s">
        <v>643</v>
      </c>
      <c r="F4044" t="s">
        <v>62</v>
      </c>
      <c r="G4044">
        <v>2824</v>
      </c>
      <c r="H4044">
        <v>-1900</v>
      </c>
      <c r="I4044">
        <v>-5365600</v>
      </c>
    </row>
    <row r="4045" spans="1:9" hidden="1" x14ac:dyDescent="0.25">
      <c r="A4045" s="210" t="s">
        <v>1524</v>
      </c>
      <c r="B4045">
        <v>2720</v>
      </c>
      <c r="C4045" s="100">
        <v>46129</v>
      </c>
      <c r="D4045" t="s">
        <v>84</v>
      </c>
      <c r="E4045" t="s">
        <v>265</v>
      </c>
      <c r="F4045" t="s">
        <v>136</v>
      </c>
      <c r="G4045">
        <v>1688</v>
      </c>
      <c r="H4045">
        <v>-3300</v>
      </c>
      <c r="I4045">
        <v>-5570400</v>
      </c>
    </row>
    <row r="4046" spans="1:9" hidden="1" x14ac:dyDescent="0.25">
      <c r="A4046" s="210" t="s">
        <v>1524</v>
      </c>
      <c r="B4046">
        <v>2720</v>
      </c>
      <c r="C4046" s="100">
        <v>46129</v>
      </c>
      <c r="D4046" t="s">
        <v>84</v>
      </c>
      <c r="E4046" t="s">
        <v>265</v>
      </c>
      <c r="F4046" t="s">
        <v>146</v>
      </c>
      <c r="G4046">
        <v>754</v>
      </c>
      <c r="H4046">
        <v>-3300</v>
      </c>
      <c r="I4046">
        <v>-2488200</v>
      </c>
    </row>
    <row r="4047" spans="1:9" hidden="1" x14ac:dyDescent="0.25">
      <c r="A4047" s="210" t="s">
        <v>1524</v>
      </c>
      <c r="B4047">
        <v>2718</v>
      </c>
      <c r="C4047" s="100">
        <v>46129</v>
      </c>
      <c r="D4047" t="s">
        <v>84</v>
      </c>
      <c r="E4047" t="s">
        <v>265</v>
      </c>
      <c r="F4047" t="s">
        <v>136</v>
      </c>
      <c r="G4047">
        <v>1248</v>
      </c>
      <c r="H4047">
        <v>-3300</v>
      </c>
      <c r="I4047">
        <v>-4118400</v>
      </c>
    </row>
    <row r="4048" spans="1:9" hidden="1" x14ac:dyDescent="0.25">
      <c r="A4048" s="210" t="s">
        <v>1524</v>
      </c>
      <c r="B4048">
        <v>2713</v>
      </c>
      <c r="C4048" s="100">
        <v>46129</v>
      </c>
      <c r="D4048" t="s">
        <v>84</v>
      </c>
      <c r="E4048" t="s">
        <v>265</v>
      </c>
      <c r="F4048" t="s">
        <v>146</v>
      </c>
      <c r="G4048">
        <v>1048</v>
      </c>
      <c r="H4048">
        <v>-3300</v>
      </c>
      <c r="I4048">
        <v>-3458400</v>
      </c>
    </row>
    <row r="4049" spans="1:9" hidden="1" x14ac:dyDescent="0.25">
      <c r="A4049" s="210" t="s">
        <v>1524</v>
      </c>
      <c r="B4049">
        <v>2713</v>
      </c>
      <c r="C4049" s="100">
        <v>46129</v>
      </c>
      <c r="D4049" t="s">
        <v>426</v>
      </c>
      <c r="E4049" t="s">
        <v>43</v>
      </c>
      <c r="F4049" t="s">
        <v>146</v>
      </c>
      <c r="G4049">
        <v>754</v>
      </c>
      <c r="I4049">
        <v>0</v>
      </c>
    </row>
    <row r="4050" spans="1:9" hidden="1" x14ac:dyDescent="0.25">
      <c r="A4050" s="210" t="s">
        <v>1524</v>
      </c>
      <c r="B4050">
        <v>2700</v>
      </c>
      <c r="C4050" s="100">
        <v>46127</v>
      </c>
      <c r="D4050" t="s">
        <v>84</v>
      </c>
      <c r="E4050" t="s">
        <v>653</v>
      </c>
      <c r="F4050" t="s">
        <v>615</v>
      </c>
      <c r="G4050">
        <v>1754</v>
      </c>
      <c r="H4050">
        <v>-3100</v>
      </c>
      <c r="I4050">
        <v>-5437400</v>
      </c>
    </row>
    <row r="4051" spans="1:9" hidden="1" x14ac:dyDescent="0.25">
      <c r="A4051" s="210" t="s">
        <v>1524</v>
      </c>
      <c r="B4051">
        <v>2700</v>
      </c>
      <c r="C4051" s="100">
        <v>46127</v>
      </c>
      <c r="D4051" t="s">
        <v>84</v>
      </c>
      <c r="E4051" t="s">
        <v>653</v>
      </c>
      <c r="F4051" t="s">
        <v>148</v>
      </c>
      <c r="G4051">
        <v>1126</v>
      </c>
      <c r="H4051">
        <v>-3100</v>
      </c>
      <c r="I4051">
        <v>-3490600</v>
      </c>
    </row>
    <row r="4052" spans="1:9" hidden="1" x14ac:dyDescent="0.25">
      <c r="A4052" s="210" t="s">
        <v>1524</v>
      </c>
      <c r="B4052">
        <v>2688</v>
      </c>
      <c r="C4052" s="100">
        <v>46125</v>
      </c>
      <c r="D4052" t="s">
        <v>84</v>
      </c>
      <c r="E4052" t="s">
        <v>265</v>
      </c>
      <c r="F4052" t="s">
        <v>136</v>
      </c>
      <c r="G4052">
        <v>2082</v>
      </c>
      <c r="H4052">
        <v>-3300</v>
      </c>
      <c r="I4052">
        <v>-6870600</v>
      </c>
    </row>
    <row r="4053" spans="1:9" hidden="1" x14ac:dyDescent="0.25">
      <c r="A4053" s="210" t="s">
        <v>1530</v>
      </c>
      <c r="B4053">
        <v>2680</v>
      </c>
      <c r="C4053" s="100">
        <v>46126</v>
      </c>
      <c r="D4053" t="s">
        <v>692</v>
      </c>
      <c r="E4053" t="s">
        <v>109</v>
      </c>
      <c r="F4053" t="s">
        <v>709</v>
      </c>
      <c r="G4053">
        <v>732</v>
      </c>
      <c r="H4053">
        <v>-59000</v>
      </c>
      <c r="I4053">
        <v>-43188000</v>
      </c>
    </row>
    <row r="4054" spans="1:9" hidden="1" x14ac:dyDescent="0.25">
      <c r="A4054" s="210" t="s">
        <v>1530</v>
      </c>
      <c r="B4054">
        <v>2676</v>
      </c>
      <c r="C4054" s="100">
        <v>46126</v>
      </c>
      <c r="D4054" t="s">
        <v>692</v>
      </c>
      <c r="E4054" t="s">
        <v>109</v>
      </c>
      <c r="F4054" t="s">
        <v>709</v>
      </c>
      <c r="G4054">
        <v>182</v>
      </c>
      <c r="H4054">
        <v>-59000</v>
      </c>
      <c r="I4054">
        <v>-10738000</v>
      </c>
    </row>
    <row r="4055" spans="1:9" hidden="1" x14ac:dyDescent="0.25">
      <c r="A4055" s="210" t="s">
        <v>1524</v>
      </c>
      <c r="B4055">
        <v>2652</v>
      </c>
      <c r="C4055" s="100">
        <v>46120</v>
      </c>
      <c r="D4055" t="s">
        <v>84</v>
      </c>
      <c r="E4055" t="s">
        <v>270</v>
      </c>
      <c r="F4055" t="s">
        <v>134</v>
      </c>
      <c r="G4055">
        <v>5053</v>
      </c>
      <c r="H4055">
        <v>-1900</v>
      </c>
      <c r="I4055">
        <v>-9600700</v>
      </c>
    </row>
    <row r="4056" spans="1:9" hidden="1" x14ac:dyDescent="0.25">
      <c r="A4056" s="210" t="s">
        <v>1524</v>
      </c>
      <c r="B4056">
        <v>2649</v>
      </c>
      <c r="C4056" s="100">
        <v>46120</v>
      </c>
      <c r="D4056" t="s">
        <v>84</v>
      </c>
      <c r="E4056" t="s">
        <v>265</v>
      </c>
      <c r="F4056" t="s">
        <v>146</v>
      </c>
      <c r="G4056">
        <v>4248</v>
      </c>
      <c r="H4056">
        <v>-3300</v>
      </c>
      <c r="I4056">
        <v>-14018400</v>
      </c>
    </row>
    <row r="4057" spans="1:9" hidden="1" x14ac:dyDescent="0.25">
      <c r="A4057" s="210" t="s">
        <v>1524</v>
      </c>
      <c r="B4057">
        <v>2649</v>
      </c>
      <c r="C4057" s="100">
        <v>46120</v>
      </c>
      <c r="D4057" t="s">
        <v>84</v>
      </c>
      <c r="E4057" t="s">
        <v>265</v>
      </c>
      <c r="F4057" t="s">
        <v>136</v>
      </c>
      <c r="G4057">
        <v>1388</v>
      </c>
      <c r="H4057">
        <v>-3300</v>
      </c>
      <c r="I4057">
        <v>-4580400</v>
      </c>
    </row>
    <row r="4058" spans="1:9" hidden="1" x14ac:dyDescent="0.25">
      <c r="A4058" s="210" t="s">
        <v>1524</v>
      </c>
      <c r="B4058">
        <v>2649</v>
      </c>
      <c r="C4058" s="100">
        <v>46120</v>
      </c>
      <c r="D4058" t="s">
        <v>84</v>
      </c>
      <c r="E4058" t="s">
        <v>265</v>
      </c>
      <c r="F4058" t="s">
        <v>443</v>
      </c>
      <c r="G4058">
        <v>634</v>
      </c>
      <c r="H4058">
        <v>-3500</v>
      </c>
      <c r="I4058">
        <v>-2219000</v>
      </c>
    </row>
    <row r="4059" spans="1:9" hidden="1" x14ac:dyDescent="0.25">
      <c r="A4059" s="210" t="s">
        <v>1524</v>
      </c>
      <c r="B4059">
        <v>2645</v>
      </c>
      <c r="C4059" s="100">
        <v>46119</v>
      </c>
      <c r="D4059" t="s">
        <v>84</v>
      </c>
      <c r="E4059" t="s">
        <v>169</v>
      </c>
      <c r="F4059" t="s">
        <v>148</v>
      </c>
      <c r="G4059">
        <v>9331</v>
      </c>
      <c r="H4059">
        <v>-2900</v>
      </c>
      <c r="I4059">
        <v>-27059900</v>
      </c>
    </row>
    <row r="4060" spans="1:9" hidden="1" x14ac:dyDescent="0.25">
      <c r="A4060" s="210" t="s">
        <v>1524</v>
      </c>
      <c r="B4060">
        <v>2645</v>
      </c>
      <c r="C4060" s="100">
        <v>46119</v>
      </c>
      <c r="D4060" t="s">
        <v>84</v>
      </c>
      <c r="E4060" t="s">
        <v>411</v>
      </c>
      <c r="F4060" t="s">
        <v>148</v>
      </c>
      <c r="G4060">
        <v>8755</v>
      </c>
      <c r="H4060">
        <v>-500</v>
      </c>
      <c r="I4060">
        <v>-4377500</v>
      </c>
    </row>
    <row r="4061" spans="1:9" hidden="1" x14ac:dyDescent="0.25">
      <c r="A4061" s="210" t="s">
        <v>1524</v>
      </c>
      <c r="B4061">
        <v>2645</v>
      </c>
      <c r="C4061" s="100">
        <v>46119</v>
      </c>
      <c r="D4061" t="s">
        <v>84</v>
      </c>
      <c r="E4061" t="s">
        <v>644</v>
      </c>
      <c r="G4061">
        <v>4</v>
      </c>
      <c r="H4061">
        <v>-75000</v>
      </c>
      <c r="I4061">
        <v>-300000</v>
      </c>
    </row>
    <row r="4062" spans="1:9" hidden="1" x14ac:dyDescent="0.25">
      <c r="A4062" s="210" t="s">
        <v>1524</v>
      </c>
      <c r="B4062">
        <v>2644</v>
      </c>
      <c r="C4062" s="100">
        <v>46119</v>
      </c>
      <c r="D4062" t="s">
        <v>84</v>
      </c>
      <c r="E4062" t="s">
        <v>645</v>
      </c>
      <c r="F4062" t="s">
        <v>41</v>
      </c>
      <c r="G4062">
        <v>5110</v>
      </c>
      <c r="H4062">
        <v>-3300</v>
      </c>
      <c r="I4062">
        <v>-16863000</v>
      </c>
    </row>
    <row r="4063" spans="1:9" hidden="1" x14ac:dyDescent="0.25">
      <c r="A4063" s="210" t="s">
        <v>1524</v>
      </c>
      <c r="B4063">
        <v>2641</v>
      </c>
      <c r="C4063" s="100">
        <v>46118</v>
      </c>
      <c r="D4063" t="s">
        <v>84</v>
      </c>
      <c r="E4063" t="s">
        <v>643</v>
      </c>
      <c r="F4063" t="s">
        <v>40</v>
      </c>
      <c r="G4063">
        <v>4928</v>
      </c>
      <c r="H4063">
        <v>-2500</v>
      </c>
      <c r="I4063">
        <v>-12320000</v>
      </c>
    </row>
    <row r="4064" spans="1:9" hidden="1" x14ac:dyDescent="0.25">
      <c r="A4064" s="210" t="s">
        <v>1524</v>
      </c>
      <c r="B4064">
        <v>2641</v>
      </c>
      <c r="C4064" s="100">
        <v>46118</v>
      </c>
      <c r="D4064" t="s">
        <v>426</v>
      </c>
      <c r="E4064" t="s">
        <v>26</v>
      </c>
      <c r="F4064" t="s">
        <v>40</v>
      </c>
      <c r="G4064">
        <v>2735</v>
      </c>
      <c r="I4064">
        <v>0</v>
      </c>
    </row>
    <row r="4065" spans="1:9" hidden="1" x14ac:dyDescent="0.25">
      <c r="A4065" s="210" t="s">
        <v>1524</v>
      </c>
      <c r="B4065">
        <v>2638</v>
      </c>
      <c r="C4065" s="100">
        <v>46118</v>
      </c>
      <c r="D4065" t="s">
        <v>84</v>
      </c>
      <c r="E4065" t="s">
        <v>642</v>
      </c>
      <c r="F4065" t="s">
        <v>78</v>
      </c>
      <c r="G4065">
        <v>698</v>
      </c>
      <c r="H4065">
        <v>-2200</v>
      </c>
      <c r="I4065">
        <v>-1535600</v>
      </c>
    </row>
    <row r="4066" spans="1:9" hidden="1" x14ac:dyDescent="0.25">
      <c r="A4066" s="210" t="s">
        <v>1524</v>
      </c>
      <c r="B4066">
        <v>2625</v>
      </c>
      <c r="C4066" s="100">
        <v>46116</v>
      </c>
      <c r="D4066" t="s">
        <v>84</v>
      </c>
      <c r="E4066" t="s">
        <v>135</v>
      </c>
      <c r="F4066" t="s">
        <v>148</v>
      </c>
      <c r="G4066">
        <v>2662</v>
      </c>
      <c r="H4066">
        <v>-500</v>
      </c>
      <c r="I4066">
        <v>-1331000</v>
      </c>
    </row>
    <row r="4067" spans="1:9" hidden="1" x14ac:dyDescent="0.25">
      <c r="A4067" s="210" t="s">
        <v>1524</v>
      </c>
      <c r="B4067">
        <v>2625</v>
      </c>
      <c r="C4067" s="100">
        <v>46116</v>
      </c>
      <c r="D4067" t="s">
        <v>426</v>
      </c>
      <c r="E4067" t="s">
        <v>135</v>
      </c>
      <c r="F4067" t="s">
        <v>148</v>
      </c>
      <c r="G4067">
        <v>1604</v>
      </c>
      <c r="I4067">
        <v>0</v>
      </c>
    </row>
    <row r="4068" spans="1:9" hidden="1" x14ac:dyDescent="0.25">
      <c r="A4068" s="210" t="s">
        <v>1524</v>
      </c>
      <c r="B4068">
        <v>2620</v>
      </c>
      <c r="C4068" s="100">
        <v>46115</v>
      </c>
      <c r="D4068" t="s">
        <v>84</v>
      </c>
      <c r="E4068" t="s">
        <v>43</v>
      </c>
      <c r="F4068" t="s">
        <v>148</v>
      </c>
      <c r="G4068">
        <v>2070</v>
      </c>
      <c r="H4068">
        <v>-500</v>
      </c>
      <c r="I4068">
        <v>-1035000</v>
      </c>
    </row>
    <row r="4069" spans="1:9" hidden="1" x14ac:dyDescent="0.25">
      <c r="A4069" s="210" t="s">
        <v>1524</v>
      </c>
      <c r="B4069">
        <v>2620</v>
      </c>
      <c r="C4069" s="100">
        <v>46115</v>
      </c>
      <c r="D4069" t="s">
        <v>426</v>
      </c>
      <c r="E4069" t="s">
        <v>43</v>
      </c>
      <c r="F4069" t="s">
        <v>148</v>
      </c>
      <c r="G4069">
        <v>2476</v>
      </c>
      <c r="I4069">
        <v>0</v>
      </c>
    </row>
    <row r="4070" spans="1:9" hidden="1" x14ac:dyDescent="0.25">
      <c r="A4070" s="210" t="s">
        <v>1524</v>
      </c>
      <c r="B4070">
        <v>2618</v>
      </c>
      <c r="C4070" s="100">
        <v>46115</v>
      </c>
      <c r="D4070" t="s">
        <v>84</v>
      </c>
      <c r="E4070" t="s">
        <v>639</v>
      </c>
      <c r="F4070" t="s">
        <v>148</v>
      </c>
      <c r="G4070">
        <v>2434</v>
      </c>
      <c r="H4070">
        <v>-500</v>
      </c>
      <c r="I4070">
        <v>-1217000</v>
      </c>
    </row>
    <row r="4071" spans="1:9" hidden="1" x14ac:dyDescent="0.25">
      <c r="A4071" s="210" t="s">
        <v>1524</v>
      </c>
      <c r="B4071">
        <v>2618</v>
      </c>
      <c r="C4071" s="100">
        <v>46115</v>
      </c>
      <c r="D4071" t="s">
        <v>426</v>
      </c>
      <c r="E4071" t="s">
        <v>26</v>
      </c>
      <c r="F4071" t="s">
        <v>148</v>
      </c>
      <c r="G4071">
        <v>2127</v>
      </c>
      <c r="I4071">
        <v>0</v>
      </c>
    </row>
    <row r="4072" spans="1:9" hidden="1" x14ac:dyDescent="0.25">
      <c r="A4072" s="210" t="s">
        <v>1524</v>
      </c>
      <c r="B4072">
        <v>2611</v>
      </c>
      <c r="C4072" s="100">
        <v>46115</v>
      </c>
      <c r="D4072" t="s">
        <v>84</v>
      </c>
      <c r="E4072" t="s">
        <v>26</v>
      </c>
      <c r="F4072" t="s">
        <v>148</v>
      </c>
      <c r="G4072">
        <v>4090</v>
      </c>
      <c r="H4072">
        <v>-500</v>
      </c>
      <c r="I4072">
        <v>-2045000</v>
      </c>
    </row>
    <row r="4073" spans="1:9" hidden="1" x14ac:dyDescent="0.25">
      <c r="A4073" s="210" t="s">
        <v>1524</v>
      </c>
      <c r="B4073">
        <v>2611</v>
      </c>
      <c r="C4073" s="100">
        <v>46115</v>
      </c>
      <c r="D4073" t="s">
        <v>426</v>
      </c>
      <c r="E4073" t="s">
        <v>26</v>
      </c>
      <c r="F4073" t="s">
        <v>148</v>
      </c>
      <c r="G4073">
        <v>2204</v>
      </c>
      <c r="I4073">
        <v>0</v>
      </c>
    </row>
    <row r="4074" spans="1:9" hidden="1" x14ac:dyDescent="0.25">
      <c r="A4074" s="210" t="s">
        <v>1524</v>
      </c>
      <c r="B4074">
        <v>2593</v>
      </c>
      <c r="C4074" s="100">
        <v>46112</v>
      </c>
      <c r="D4074" t="s">
        <v>84</v>
      </c>
      <c r="E4074" t="s">
        <v>265</v>
      </c>
      <c r="F4074" t="s">
        <v>41</v>
      </c>
      <c r="G4074">
        <v>4278</v>
      </c>
      <c r="H4074">
        <v>-3000</v>
      </c>
      <c r="I4074">
        <v>-12834000</v>
      </c>
    </row>
    <row r="4075" spans="1:9" hidden="1" x14ac:dyDescent="0.25">
      <c r="A4075" s="210" t="s">
        <v>1524</v>
      </c>
      <c r="B4075">
        <v>2593</v>
      </c>
      <c r="C4075" s="100">
        <v>46112</v>
      </c>
      <c r="D4075" t="s">
        <v>426</v>
      </c>
      <c r="E4075" t="s">
        <v>17</v>
      </c>
      <c r="F4075" t="s">
        <v>41</v>
      </c>
      <c r="G4075">
        <v>348</v>
      </c>
      <c r="I4075">
        <v>0</v>
      </c>
    </row>
    <row r="4076" spans="1:9" hidden="1" x14ac:dyDescent="0.25">
      <c r="A4076" s="210" t="s">
        <v>1524</v>
      </c>
      <c r="B4076">
        <v>2593</v>
      </c>
      <c r="C4076" s="100">
        <v>46112</v>
      </c>
      <c r="D4076" t="s">
        <v>426</v>
      </c>
      <c r="E4076" t="s">
        <v>43</v>
      </c>
      <c r="F4076" t="s">
        <v>146</v>
      </c>
      <c r="G4076">
        <v>1444</v>
      </c>
      <c r="I4076">
        <v>0</v>
      </c>
    </row>
    <row r="4077" spans="1:9" hidden="1" x14ac:dyDescent="0.25">
      <c r="A4077" s="210" t="s">
        <v>1524</v>
      </c>
      <c r="B4077">
        <v>2585</v>
      </c>
      <c r="C4077" s="100">
        <v>46112</v>
      </c>
      <c r="D4077" t="s">
        <v>84</v>
      </c>
      <c r="E4077" t="s">
        <v>265</v>
      </c>
      <c r="F4077" t="s">
        <v>41</v>
      </c>
      <c r="G4077">
        <v>534</v>
      </c>
      <c r="H4077">
        <v>-3000</v>
      </c>
      <c r="I4077">
        <v>-1602000</v>
      </c>
    </row>
    <row r="4078" spans="1:9" hidden="1" x14ac:dyDescent="0.25">
      <c r="A4078" s="210" t="s">
        <v>1524</v>
      </c>
      <c r="B4078">
        <v>2579</v>
      </c>
      <c r="C4078" s="100">
        <v>46111</v>
      </c>
      <c r="D4078" t="s">
        <v>84</v>
      </c>
      <c r="E4078" t="s">
        <v>265</v>
      </c>
      <c r="F4078" t="s">
        <v>146</v>
      </c>
      <c r="G4078">
        <v>5204</v>
      </c>
      <c r="H4078">
        <v>-3000</v>
      </c>
      <c r="I4078">
        <v>-15612000</v>
      </c>
    </row>
    <row r="4079" spans="1:9" hidden="1" x14ac:dyDescent="0.25">
      <c r="A4079" s="210" t="s">
        <v>1524</v>
      </c>
      <c r="B4079">
        <v>2543</v>
      </c>
      <c r="C4079" s="100">
        <v>46106</v>
      </c>
      <c r="D4079" t="s">
        <v>84</v>
      </c>
      <c r="E4079" t="s">
        <v>535</v>
      </c>
      <c r="F4079" t="s">
        <v>41</v>
      </c>
      <c r="G4079">
        <v>542</v>
      </c>
      <c r="H4079">
        <v>-1800</v>
      </c>
      <c r="I4079">
        <v>-975600</v>
      </c>
    </row>
    <row r="4080" spans="1:9" hidden="1" x14ac:dyDescent="0.25">
      <c r="A4080" s="210" t="s">
        <v>1524</v>
      </c>
      <c r="B4080">
        <v>2538</v>
      </c>
      <c r="C4080" s="100">
        <v>46105</v>
      </c>
      <c r="D4080" t="s">
        <v>84</v>
      </c>
      <c r="E4080" t="s">
        <v>265</v>
      </c>
      <c r="F4080" t="s">
        <v>148</v>
      </c>
      <c r="G4080">
        <v>3549</v>
      </c>
      <c r="H4080">
        <v>-2800</v>
      </c>
      <c r="I4080">
        <v>-9937200</v>
      </c>
    </row>
    <row r="4081" spans="1:9" hidden="1" x14ac:dyDescent="0.25">
      <c r="A4081" s="210" t="s">
        <v>1524</v>
      </c>
      <c r="B4081">
        <v>2538</v>
      </c>
      <c r="C4081" s="100">
        <v>46105</v>
      </c>
      <c r="D4081" t="s">
        <v>84</v>
      </c>
      <c r="E4081" t="s">
        <v>93</v>
      </c>
      <c r="F4081" t="s">
        <v>2531</v>
      </c>
      <c r="G4081">
        <v>2417</v>
      </c>
      <c r="I4081">
        <v>0</v>
      </c>
    </row>
    <row r="4082" spans="1:9" hidden="1" x14ac:dyDescent="0.25">
      <c r="A4082" s="210" t="s">
        <v>1524</v>
      </c>
      <c r="B4082">
        <v>2500</v>
      </c>
      <c r="C4082" s="100">
        <v>46101</v>
      </c>
      <c r="D4082" t="s">
        <v>84</v>
      </c>
      <c r="E4082" t="s">
        <v>270</v>
      </c>
      <c r="F4082" t="s">
        <v>136</v>
      </c>
      <c r="G4082">
        <v>2128</v>
      </c>
      <c r="H4082">
        <v>-3000</v>
      </c>
      <c r="I4082">
        <v>-6384000</v>
      </c>
    </row>
    <row r="4083" spans="1:9" hidden="1" x14ac:dyDescent="0.25">
      <c r="A4083" s="210" t="s">
        <v>1524</v>
      </c>
      <c r="B4083">
        <v>2500</v>
      </c>
      <c r="C4083" s="100">
        <v>46101</v>
      </c>
      <c r="D4083" t="s">
        <v>84</v>
      </c>
      <c r="E4083" t="s">
        <v>270</v>
      </c>
      <c r="F4083" t="s">
        <v>146</v>
      </c>
      <c r="G4083">
        <v>1408</v>
      </c>
      <c r="H4083">
        <v>-3000</v>
      </c>
      <c r="I4083">
        <v>-4224000</v>
      </c>
    </row>
    <row r="4084" spans="1:9" hidden="1" x14ac:dyDescent="0.25">
      <c r="A4084" s="210" t="s">
        <v>1524</v>
      </c>
      <c r="B4084">
        <v>2497</v>
      </c>
      <c r="C4084" s="100">
        <v>46100</v>
      </c>
      <c r="D4084" t="s">
        <v>84</v>
      </c>
      <c r="E4084" t="s">
        <v>169</v>
      </c>
      <c r="F4084" t="s">
        <v>148</v>
      </c>
      <c r="G4084">
        <v>1032</v>
      </c>
      <c r="H4084">
        <v>-2600</v>
      </c>
      <c r="I4084">
        <v>-2683200</v>
      </c>
    </row>
    <row r="4085" spans="1:9" hidden="1" x14ac:dyDescent="0.25">
      <c r="A4085" s="210" t="s">
        <v>1524</v>
      </c>
      <c r="B4085">
        <v>2497</v>
      </c>
      <c r="C4085" s="100">
        <v>46100</v>
      </c>
      <c r="D4085" t="s">
        <v>84</v>
      </c>
      <c r="E4085" t="s">
        <v>265</v>
      </c>
      <c r="F4085" t="s">
        <v>136</v>
      </c>
      <c r="G4085">
        <v>1038</v>
      </c>
      <c r="H4085">
        <v>-3000</v>
      </c>
      <c r="I4085">
        <v>-3114000</v>
      </c>
    </row>
    <row r="4086" spans="1:9" hidden="1" x14ac:dyDescent="0.25">
      <c r="A4086" s="210" t="s">
        <v>1524</v>
      </c>
      <c r="B4086">
        <v>2489</v>
      </c>
      <c r="C4086" s="100">
        <v>46100</v>
      </c>
      <c r="D4086" t="s">
        <v>84</v>
      </c>
      <c r="E4086" t="s">
        <v>265</v>
      </c>
      <c r="F4086" t="s">
        <v>134</v>
      </c>
      <c r="G4086">
        <v>1244</v>
      </c>
      <c r="H4086">
        <v>-2800</v>
      </c>
      <c r="I4086">
        <v>-3483200</v>
      </c>
    </row>
    <row r="4087" spans="1:9" hidden="1" x14ac:dyDescent="0.25">
      <c r="A4087" s="210" t="s">
        <v>1524</v>
      </c>
      <c r="B4087">
        <v>2486</v>
      </c>
      <c r="C4087" s="100">
        <v>46100</v>
      </c>
      <c r="D4087" t="s">
        <v>84</v>
      </c>
      <c r="E4087" t="s">
        <v>265</v>
      </c>
      <c r="F4087" t="s">
        <v>134</v>
      </c>
      <c r="G4087">
        <v>542</v>
      </c>
      <c r="H4087">
        <v>-2800</v>
      </c>
      <c r="I4087">
        <v>-1517600</v>
      </c>
    </row>
    <row r="4088" spans="1:9" hidden="1" x14ac:dyDescent="0.25">
      <c r="A4088" s="210" t="s">
        <v>1524</v>
      </c>
      <c r="B4088">
        <v>2486</v>
      </c>
      <c r="C4088" s="100">
        <v>46100</v>
      </c>
      <c r="D4088" t="s">
        <v>84</v>
      </c>
      <c r="E4088" t="s">
        <v>265</v>
      </c>
      <c r="F4088" t="s">
        <v>146</v>
      </c>
      <c r="G4088">
        <v>534</v>
      </c>
      <c r="H4088">
        <v>-3000</v>
      </c>
      <c r="I4088">
        <v>-1602000</v>
      </c>
    </row>
    <row r="4089" spans="1:9" hidden="1" x14ac:dyDescent="0.25">
      <c r="A4089" s="210" t="s">
        <v>1524</v>
      </c>
      <c r="B4089">
        <v>2477</v>
      </c>
      <c r="C4089" s="100">
        <v>46099</v>
      </c>
      <c r="D4089" t="s">
        <v>84</v>
      </c>
      <c r="E4089" t="s">
        <v>535</v>
      </c>
      <c r="F4089" t="s">
        <v>134</v>
      </c>
      <c r="G4089">
        <v>1416</v>
      </c>
      <c r="H4089">
        <v>-1300</v>
      </c>
      <c r="I4089">
        <v>-1840800</v>
      </c>
    </row>
    <row r="4090" spans="1:9" hidden="1" x14ac:dyDescent="0.25">
      <c r="A4090" s="210" t="s">
        <v>1524</v>
      </c>
      <c r="B4090">
        <v>2464</v>
      </c>
      <c r="C4090" s="100">
        <v>46097</v>
      </c>
      <c r="D4090" t="s">
        <v>84</v>
      </c>
      <c r="E4090" t="s">
        <v>270</v>
      </c>
      <c r="F4090" t="s">
        <v>251</v>
      </c>
      <c r="G4090">
        <v>554</v>
      </c>
      <c r="H4090">
        <v>-3200</v>
      </c>
      <c r="I4090">
        <v>-1772800</v>
      </c>
    </row>
    <row r="4091" spans="1:9" hidden="1" x14ac:dyDescent="0.25">
      <c r="A4091" s="210" t="s">
        <v>1524</v>
      </c>
      <c r="B4091">
        <v>2463</v>
      </c>
      <c r="C4091" s="100">
        <v>46097</v>
      </c>
      <c r="D4091" t="s">
        <v>84</v>
      </c>
      <c r="E4091" t="s">
        <v>270</v>
      </c>
      <c r="F4091" t="s">
        <v>134</v>
      </c>
      <c r="G4091">
        <v>2582</v>
      </c>
      <c r="H4091">
        <v>-1700</v>
      </c>
      <c r="I4091">
        <v>-4389400</v>
      </c>
    </row>
    <row r="4092" spans="1:9" hidden="1" x14ac:dyDescent="0.25">
      <c r="A4092" s="210" t="s">
        <v>1524</v>
      </c>
      <c r="B4092">
        <v>2463</v>
      </c>
      <c r="C4092" s="100">
        <v>46097</v>
      </c>
      <c r="D4092" t="s">
        <v>84</v>
      </c>
      <c r="E4092" t="s">
        <v>93</v>
      </c>
      <c r="F4092" t="s">
        <v>2531</v>
      </c>
      <c r="G4092">
        <v>1788</v>
      </c>
      <c r="I4092">
        <v>0</v>
      </c>
    </row>
    <row r="4093" spans="1:9" hidden="1" x14ac:dyDescent="0.25">
      <c r="A4093" s="210" t="s">
        <v>1524</v>
      </c>
      <c r="B4093">
        <v>2458</v>
      </c>
      <c r="C4093" s="100">
        <v>46095</v>
      </c>
      <c r="D4093" t="s">
        <v>84</v>
      </c>
      <c r="E4093" t="s">
        <v>270</v>
      </c>
      <c r="F4093" t="s">
        <v>41</v>
      </c>
      <c r="G4093">
        <v>4495</v>
      </c>
      <c r="H4093">
        <v>-3000</v>
      </c>
      <c r="I4093">
        <v>-13485000</v>
      </c>
    </row>
    <row r="4094" spans="1:9" hidden="1" x14ac:dyDescent="0.25">
      <c r="A4094" s="210" t="s">
        <v>1524</v>
      </c>
      <c r="B4094">
        <v>2458</v>
      </c>
      <c r="C4094" s="100">
        <v>46095</v>
      </c>
      <c r="D4094" t="s">
        <v>84</v>
      </c>
      <c r="E4094" t="s">
        <v>270</v>
      </c>
      <c r="F4094" t="s">
        <v>255</v>
      </c>
      <c r="G4094">
        <v>418</v>
      </c>
      <c r="H4094">
        <v>-3200</v>
      </c>
      <c r="I4094">
        <v>-1337600</v>
      </c>
    </row>
    <row r="4095" spans="1:9" hidden="1" x14ac:dyDescent="0.25">
      <c r="A4095" s="210" t="s">
        <v>1524</v>
      </c>
      <c r="B4095">
        <v>2438</v>
      </c>
      <c r="C4095" s="100">
        <v>46093</v>
      </c>
      <c r="D4095" t="s">
        <v>84</v>
      </c>
      <c r="E4095" t="s">
        <v>270</v>
      </c>
      <c r="F4095" t="s">
        <v>41</v>
      </c>
      <c r="G4095">
        <v>544</v>
      </c>
      <c r="H4095">
        <v>-3000</v>
      </c>
      <c r="I4095">
        <v>-1632000</v>
      </c>
    </row>
    <row r="4096" spans="1:9" hidden="1" x14ac:dyDescent="0.25">
      <c r="A4096" s="210" t="s">
        <v>1524</v>
      </c>
      <c r="B4096">
        <v>2433</v>
      </c>
      <c r="C4096" s="100">
        <v>46093</v>
      </c>
      <c r="D4096" t="s">
        <v>84</v>
      </c>
      <c r="E4096" t="s">
        <v>277</v>
      </c>
      <c r="F4096" t="s">
        <v>134</v>
      </c>
      <c r="G4096">
        <v>1044</v>
      </c>
      <c r="H4096">
        <v>-1300</v>
      </c>
      <c r="I4096">
        <v>-1357200</v>
      </c>
    </row>
    <row r="4097" spans="1:11" hidden="1" x14ac:dyDescent="0.25">
      <c r="A4097" s="210" t="s">
        <v>1607</v>
      </c>
      <c r="B4097">
        <v>2266</v>
      </c>
      <c r="C4097" s="100">
        <v>46136</v>
      </c>
      <c r="D4097" t="s">
        <v>692</v>
      </c>
      <c r="E4097" t="s">
        <v>1029</v>
      </c>
      <c r="F4097" t="s">
        <v>1125</v>
      </c>
      <c r="G4097">
        <v>6072</v>
      </c>
      <c r="H4097">
        <v>-28000</v>
      </c>
      <c r="I4097">
        <v>-170016000</v>
      </c>
    </row>
    <row r="4098" spans="1:11" hidden="1" x14ac:dyDescent="0.25">
      <c r="A4098" s="210" t="s">
        <v>1530</v>
      </c>
      <c r="B4098">
        <v>2116</v>
      </c>
      <c r="C4098" s="100">
        <v>46093</v>
      </c>
      <c r="D4098" t="s">
        <v>692</v>
      </c>
      <c r="E4098" t="s">
        <v>109</v>
      </c>
      <c r="F4098" t="s">
        <v>699</v>
      </c>
      <c r="G4098">
        <v>1644</v>
      </c>
      <c r="H4098">
        <v>-56500</v>
      </c>
      <c r="I4098">
        <v>-92886000</v>
      </c>
    </row>
    <row r="4099" spans="1:11" hidden="1" x14ac:dyDescent="0.25">
      <c r="A4099" s="210" t="s">
        <v>1530</v>
      </c>
      <c r="B4099">
        <v>2116</v>
      </c>
      <c r="C4099" s="100">
        <v>46093</v>
      </c>
      <c r="D4099" t="s">
        <v>692</v>
      </c>
      <c r="E4099" t="s">
        <v>109</v>
      </c>
      <c r="F4099" t="s">
        <v>700</v>
      </c>
      <c r="G4099">
        <v>3656</v>
      </c>
      <c r="H4099">
        <v>-56500</v>
      </c>
      <c r="I4099">
        <v>-206564000</v>
      </c>
    </row>
    <row r="4100" spans="1:11" hidden="1" x14ac:dyDescent="0.25">
      <c r="A4100" s="210" t="s">
        <v>1532</v>
      </c>
      <c r="B4100">
        <v>2107</v>
      </c>
      <c r="C4100" s="100">
        <v>46084</v>
      </c>
      <c r="D4100" t="s">
        <v>84</v>
      </c>
      <c r="E4100" t="s">
        <v>77</v>
      </c>
      <c r="F4100" t="s">
        <v>749</v>
      </c>
      <c r="G4100">
        <v>540</v>
      </c>
      <c r="H4100">
        <v>-1000</v>
      </c>
      <c r="I4100">
        <v>-540000</v>
      </c>
    </row>
    <row r="4101" spans="1:11" hidden="1" x14ac:dyDescent="0.25">
      <c r="A4101" s="210" t="s">
        <v>1532</v>
      </c>
      <c r="B4101">
        <v>2107</v>
      </c>
      <c r="C4101" s="100">
        <v>46084</v>
      </c>
      <c r="D4101" t="s">
        <v>84</v>
      </c>
      <c r="E4101" t="s">
        <v>77</v>
      </c>
      <c r="F4101" t="s">
        <v>750</v>
      </c>
      <c r="G4101">
        <v>324</v>
      </c>
      <c r="H4101">
        <v>-1000</v>
      </c>
      <c r="I4101">
        <v>-324000</v>
      </c>
    </row>
    <row r="4102" spans="1:11" hidden="1" x14ac:dyDescent="0.25">
      <c r="A4102" s="210" t="s">
        <v>1532</v>
      </c>
      <c r="B4102">
        <v>2107</v>
      </c>
      <c r="C4102" s="100">
        <v>46084</v>
      </c>
      <c r="D4102" t="s">
        <v>84</v>
      </c>
      <c r="E4102" t="s">
        <v>77</v>
      </c>
      <c r="F4102" t="s">
        <v>751</v>
      </c>
      <c r="G4102">
        <v>1616</v>
      </c>
      <c r="H4102">
        <v>-1000</v>
      </c>
      <c r="I4102">
        <v>-1616000</v>
      </c>
    </row>
    <row r="4103" spans="1:11" hidden="1" x14ac:dyDescent="0.25">
      <c r="A4103" s="210" t="s">
        <v>1607</v>
      </c>
      <c r="B4103">
        <v>2068</v>
      </c>
      <c r="C4103" s="100">
        <v>46129</v>
      </c>
      <c r="D4103" t="s">
        <v>692</v>
      </c>
      <c r="E4103" t="s">
        <v>1029</v>
      </c>
      <c r="F4103" t="s">
        <v>1124</v>
      </c>
      <c r="G4103">
        <v>20149</v>
      </c>
      <c r="H4103">
        <v>-26000</v>
      </c>
      <c r="I4103">
        <v>-523874000</v>
      </c>
    </row>
    <row r="4104" spans="1:11" hidden="1" x14ac:dyDescent="0.25">
      <c r="A4104" s="210" t="s">
        <v>1643</v>
      </c>
      <c r="B4104">
        <v>2033</v>
      </c>
      <c r="C4104" s="100">
        <v>46128</v>
      </c>
      <c r="D4104" t="s">
        <v>84</v>
      </c>
      <c r="E4104" t="s">
        <v>27</v>
      </c>
      <c r="F4104" t="s">
        <v>705</v>
      </c>
      <c r="G4104">
        <v>121</v>
      </c>
      <c r="H4104">
        <v>-2000</v>
      </c>
      <c r="I4104">
        <v>-242000</v>
      </c>
    </row>
    <row r="4105" spans="1:11" hidden="1" x14ac:dyDescent="0.25">
      <c r="A4105" s="210" t="s">
        <v>1607</v>
      </c>
      <c r="B4105">
        <v>2032</v>
      </c>
      <c r="C4105" s="100">
        <v>46128</v>
      </c>
      <c r="D4105" t="s">
        <v>692</v>
      </c>
      <c r="E4105" t="s">
        <v>442</v>
      </c>
      <c r="F4105" t="s">
        <v>1123</v>
      </c>
      <c r="G4105">
        <v>7044</v>
      </c>
      <c r="H4105">
        <v>-26000</v>
      </c>
      <c r="I4105">
        <v>-183144000</v>
      </c>
    </row>
    <row r="4106" spans="1:11" hidden="1" x14ac:dyDescent="0.25">
      <c r="A4106" s="210" t="s">
        <v>1530</v>
      </c>
      <c r="B4106">
        <v>1883</v>
      </c>
      <c r="C4106" s="100">
        <v>46084</v>
      </c>
      <c r="D4106" t="s">
        <v>692</v>
      </c>
      <c r="E4106" t="s">
        <v>109</v>
      </c>
      <c r="F4106" t="s">
        <v>693</v>
      </c>
      <c r="G4106">
        <v>876</v>
      </c>
      <c r="H4106">
        <v>-54500</v>
      </c>
      <c r="I4106">
        <v>-47742000</v>
      </c>
    </row>
    <row r="4107" spans="1:11" hidden="1" x14ac:dyDescent="0.25">
      <c r="A4107" s="210" t="s">
        <v>1530</v>
      </c>
      <c r="B4107">
        <v>1883</v>
      </c>
      <c r="C4107" s="100">
        <v>46084</v>
      </c>
      <c r="D4107" t="s">
        <v>692</v>
      </c>
      <c r="E4107" t="s">
        <v>109</v>
      </c>
      <c r="F4107" t="s">
        <v>694</v>
      </c>
      <c r="G4107">
        <v>2912</v>
      </c>
      <c r="H4107">
        <v>-54500</v>
      </c>
      <c r="I4107">
        <v>-158704000</v>
      </c>
    </row>
    <row r="4108" spans="1:11" hidden="1" x14ac:dyDescent="0.25">
      <c r="A4108" s="210" t="s">
        <v>1530</v>
      </c>
      <c r="B4108">
        <v>1883</v>
      </c>
      <c r="C4108" s="100">
        <v>46084</v>
      </c>
      <c r="D4108" t="s">
        <v>692</v>
      </c>
      <c r="E4108" t="s">
        <v>109</v>
      </c>
      <c r="F4108" t="s">
        <v>695</v>
      </c>
      <c r="G4108">
        <v>5822</v>
      </c>
      <c r="H4108">
        <v>-54500</v>
      </c>
      <c r="I4108">
        <v>-317299000</v>
      </c>
    </row>
    <row r="4109" spans="1:11" hidden="1" x14ac:dyDescent="0.25">
      <c r="A4109" s="210" t="s">
        <v>1530</v>
      </c>
      <c r="B4109">
        <v>1881</v>
      </c>
      <c r="C4109" s="100">
        <v>46084</v>
      </c>
      <c r="D4109" t="s">
        <v>692</v>
      </c>
      <c r="E4109" t="s">
        <v>109</v>
      </c>
      <c r="F4109" t="s">
        <v>696</v>
      </c>
      <c r="G4109">
        <v>2036</v>
      </c>
      <c r="H4109">
        <v>-54500</v>
      </c>
      <c r="I4109">
        <v>-110962000</v>
      </c>
      <c r="J4109">
        <v>-1046000000</v>
      </c>
      <c r="K4109" t="s">
        <v>2537</v>
      </c>
    </row>
    <row r="4110" spans="1:11" hidden="1" x14ac:dyDescent="0.25">
      <c r="A4110" s="210" t="s">
        <v>1530</v>
      </c>
      <c r="B4110">
        <v>1875</v>
      </c>
      <c r="C4110" s="100">
        <v>46084</v>
      </c>
      <c r="D4110" t="s">
        <v>692</v>
      </c>
      <c r="E4110" t="s">
        <v>109</v>
      </c>
      <c r="F4110" t="s">
        <v>697</v>
      </c>
      <c r="G4110">
        <v>164</v>
      </c>
      <c r="H4110">
        <v>-64000</v>
      </c>
      <c r="I4110">
        <v>-10496000</v>
      </c>
      <c r="J4110">
        <v>-150000000</v>
      </c>
    </row>
    <row r="4111" spans="1:11" hidden="1" x14ac:dyDescent="0.25">
      <c r="A4111" s="210" t="s">
        <v>1530</v>
      </c>
      <c r="B4111">
        <v>1875</v>
      </c>
      <c r="C4111" s="100">
        <v>46084</v>
      </c>
      <c r="D4111" t="s">
        <v>692</v>
      </c>
      <c r="E4111" t="s">
        <v>109</v>
      </c>
      <c r="F4111" t="s">
        <v>698</v>
      </c>
      <c r="G4111">
        <v>336</v>
      </c>
      <c r="H4111">
        <v>-64000</v>
      </c>
      <c r="I4111">
        <v>-21504000</v>
      </c>
    </row>
    <row r="4112" spans="1:11" hidden="1" x14ac:dyDescent="0.25">
      <c r="A4112" s="210" t="s">
        <v>1628</v>
      </c>
      <c r="B4112">
        <v>1705</v>
      </c>
      <c r="C4112" s="100">
        <v>46098</v>
      </c>
      <c r="D4112" t="s">
        <v>692</v>
      </c>
      <c r="E4112" t="s">
        <v>77</v>
      </c>
      <c r="F4112" t="s">
        <v>1209</v>
      </c>
      <c r="G4112">
        <v>5535</v>
      </c>
      <c r="H4112">
        <v>-21500</v>
      </c>
      <c r="I4112">
        <v>-119002500</v>
      </c>
    </row>
    <row r="4113" spans="1:9" hidden="1" x14ac:dyDescent="0.25">
      <c r="A4113" s="210" t="s">
        <v>1706</v>
      </c>
      <c r="B4113">
        <v>1668</v>
      </c>
      <c r="C4113" s="100">
        <v>46104</v>
      </c>
      <c r="D4113" t="s">
        <v>692</v>
      </c>
      <c r="E4113" t="s">
        <v>1440</v>
      </c>
      <c r="F4113" t="s">
        <v>243</v>
      </c>
      <c r="G4113">
        <v>5070</v>
      </c>
      <c r="H4113">
        <v>-58500</v>
      </c>
      <c r="I4113">
        <v>-296595000</v>
      </c>
    </row>
    <row r="4114" spans="1:9" hidden="1" x14ac:dyDescent="0.25">
      <c r="A4114" s="210" t="s">
        <v>1706</v>
      </c>
      <c r="B4114">
        <v>1668</v>
      </c>
      <c r="C4114" s="100">
        <v>46104</v>
      </c>
      <c r="D4114" t="s">
        <v>692</v>
      </c>
      <c r="E4114" t="s">
        <v>1440</v>
      </c>
      <c r="F4114" t="s">
        <v>1441</v>
      </c>
      <c r="G4114">
        <v>5692</v>
      </c>
      <c r="H4114">
        <v>-57500</v>
      </c>
      <c r="I4114">
        <v>-327290000</v>
      </c>
    </row>
    <row r="4115" spans="1:9" hidden="1" x14ac:dyDescent="0.25">
      <c r="A4115" s="210" t="s">
        <v>1706</v>
      </c>
      <c r="B4115">
        <v>1668</v>
      </c>
      <c r="C4115" s="100">
        <v>46104</v>
      </c>
      <c r="D4115" t="s">
        <v>692</v>
      </c>
      <c r="E4115" t="s">
        <v>1440</v>
      </c>
      <c r="F4115" t="s">
        <v>254</v>
      </c>
      <c r="G4115">
        <v>5040</v>
      </c>
      <c r="H4115">
        <v>-56500</v>
      </c>
      <c r="I4115">
        <v>-284760000</v>
      </c>
    </row>
    <row r="4116" spans="1:9" hidden="1" x14ac:dyDescent="0.25">
      <c r="A4116" s="210" t="s">
        <v>1706</v>
      </c>
      <c r="B4116">
        <v>1668</v>
      </c>
      <c r="C4116" s="100">
        <v>46104</v>
      </c>
      <c r="D4116" t="s">
        <v>692</v>
      </c>
      <c r="E4116" t="s">
        <v>1440</v>
      </c>
      <c r="F4116" t="s">
        <v>915</v>
      </c>
      <c r="G4116">
        <v>6878</v>
      </c>
      <c r="H4116">
        <v>-56500</v>
      </c>
      <c r="I4116">
        <v>-388607000</v>
      </c>
    </row>
    <row r="4117" spans="1:9" hidden="1" x14ac:dyDescent="0.25">
      <c r="A4117" s="210" t="s">
        <v>1706</v>
      </c>
      <c r="B4117">
        <v>1643</v>
      </c>
      <c r="C4117" s="100">
        <v>46097</v>
      </c>
      <c r="D4117" t="s">
        <v>692</v>
      </c>
      <c r="E4117" t="s">
        <v>43</v>
      </c>
      <c r="F4117" t="s">
        <v>254</v>
      </c>
      <c r="G4117">
        <v>5230</v>
      </c>
      <c r="H4117">
        <v>-56500</v>
      </c>
      <c r="I4117">
        <v>-295495000</v>
      </c>
    </row>
    <row r="4118" spans="1:9" hidden="1" x14ac:dyDescent="0.25">
      <c r="A4118" s="210" t="s">
        <v>1706</v>
      </c>
      <c r="B4118">
        <v>1643</v>
      </c>
      <c r="C4118" s="100">
        <v>46097</v>
      </c>
      <c r="D4118" t="s">
        <v>692</v>
      </c>
      <c r="E4118" t="s">
        <v>43</v>
      </c>
      <c r="F4118" t="s">
        <v>254</v>
      </c>
      <c r="G4118">
        <v>5235</v>
      </c>
      <c r="H4118">
        <v>-56500</v>
      </c>
      <c r="I4118">
        <v>-295777500</v>
      </c>
    </row>
    <row r="4119" spans="1:9" hidden="1" x14ac:dyDescent="0.25">
      <c r="A4119" s="210" t="s">
        <v>1706</v>
      </c>
      <c r="B4119">
        <v>1643</v>
      </c>
      <c r="C4119" s="100">
        <v>46097</v>
      </c>
      <c r="D4119" t="s">
        <v>692</v>
      </c>
      <c r="E4119" t="s">
        <v>43</v>
      </c>
      <c r="F4119" t="s">
        <v>441</v>
      </c>
      <c r="G4119">
        <v>5177</v>
      </c>
      <c r="H4119">
        <v>-57000</v>
      </c>
      <c r="I4119">
        <v>-295089000</v>
      </c>
    </row>
    <row r="4120" spans="1:9" hidden="1" x14ac:dyDescent="0.25">
      <c r="A4120" s="210" t="s">
        <v>1706</v>
      </c>
      <c r="B4120">
        <v>1643</v>
      </c>
      <c r="C4120" s="100">
        <v>46097</v>
      </c>
      <c r="D4120" t="s">
        <v>692</v>
      </c>
      <c r="E4120" t="s">
        <v>43</v>
      </c>
      <c r="F4120" t="s">
        <v>441</v>
      </c>
      <c r="G4120">
        <v>5396</v>
      </c>
      <c r="H4120">
        <v>-57000</v>
      </c>
      <c r="I4120">
        <v>-307572000</v>
      </c>
    </row>
    <row r="4121" spans="1:9" hidden="1" x14ac:dyDescent="0.25">
      <c r="A4121" s="210" t="s">
        <v>1706</v>
      </c>
      <c r="B4121">
        <v>1643</v>
      </c>
      <c r="C4121" s="100">
        <v>46097</v>
      </c>
      <c r="D4121" t="s">
        <v>692</v>
      </c>
      <c r="E4121" t="s">
        <v>43</v>
      </c>
      <c r="F4121" t="s">
        <v>267</v>
      </c>
      <c r="G4121">
        <v>4955</v>
      </c>
      <c r="H4121">
        <v>-57500</v>
      </c>
      <c r="I4121">
        <v>-284912500</v>
      </c>
    </row>
    <row r="4122" spans="1:9" hidden="1" x14ac:dyDescent="0.25">
      <c r="A4122" s="210" t="s">
        <v>1628</v>
      </c>
      <c r="B4122">
        <v>1635</v>
      </c>
      <c r="C4122" s="100">
        <v>46100</v>
      </c>
      <c r="D4122" t="s">
        <v>692</v>
      </c>
      <c r="E4122" t="s">
        <v>77</v>
      </c>
      <c r="G4122">
        <v>17700.5</v>
      </c>
      <c r="H4122">
        <v>-21500</v>
      </c>
      <c r="I4122">
        <v>-380560750</v>
      </c>
    </row>
    <row r="4123" spans="1:9" hidden="1" x14ac:dyDescent="0.25">
      <c r="A4123" s="210" t="s">
        <v>1628</v>
      </c>
      <c r="B4123">
        <v>1567</v>
      </c>
      <c r="C4123" s="100">
        <v>46097</v>
      </c>
      <c r="D4123" t="s">
        <v>692</v>
      </c>
      <c r="E4123" t="s">
        <v>77</v>
      </c>
      <c r="F4123" t="s">
        <v>1209</v>
      </c>
      <c r="G4123">
        <v>5600</v>
      </c>
      <c r="H4123">
        <v>-21500</v>
      </c>
      <c r="I4123">
        <v>-120400000</v>
      </c>
    </row>
    <row r="4124" spans="1:9" hidden="1" x14ac:dyDescent="0.25">
      <c r="A4124" s="210" t="s">
        <v>1476</v>
      </c>
      <c r="B4124">
        <v>1498</v>
      </c>
      <c r="C4124" s="100">
        <v>46163</v>
      </c>
      <c r="D4124" t="s">
        <v>84</v>
      </c>
      <c r="E4124" t="s">
        <v>50</v>
      </c>
      <c r="F4124" t="s">
        <v>117</v>
      </c>
      <c r="G4124">
        <v>225</v>
      </c>
      <c r="H4124">
        <v>-2000</v>
      </c>
      <c r="I4124">
        <v>-450000</v>
      </c>
    </row>
    <row r="4125" spans="1:9" hidden="1" x14ac:dyDescent="0.25">
      <c r="A4125" s="210" t="s">
        <v>1476</v>
      </c>
      <c r="B4125">
        <v>1497</v>
      </c>
      <c r="C4125" s="100">
        <v>46163</v>
      </c>
      <c r="D4125" t="s">
        <v>84</v>
      </c>
      <c r="E4125" t="s">
        <v>50</v>
      </c>
      <c r="F4125" t="s">
        <v>2206</v>
      </c>
      <c r="G4125">
        <v>1450</v>
      </c>
      <c r="H4125">
        <v>-2500</v>
      </c>
      <c r="I4125">
        <v>-3625000</v>
      </c>
    </row>
    <row r="4126" spans="1:9" hidden="1" x14ac:dyDescent="0.25">
      <c r="A4126" s="210" t="s">
        <v>1476</v>
      </c>
      <c r="B4126">
        <v>1493</v>
      </c>
      <c r="C4126" s="100">
        <v>46162</v>
      </c>
      <c r="D4126" t="s">
        <v>84</v>
      </c>
      <c r="E4126" t="s">
        <v>50</v>
      </c>
      <c r="F4126" t="s">
        <v>221</v>
      </c>
      <c r="G4126">
        <v>245</v>
      </c>
      <c r="H4126">
        <v>-2500</v>
      </c>
      <c r="I4126">
        <v>-612500</v>
      </c>
    </row>
    <row r="4127" spans="1:9" hidden="1" x14ac:dyDescent="0.25">
      <c r="A4127" s="210" t="s">
        <v>1476</v>
      </c>
      <c r="B4127">
        <v>1480</v>
      </c>
      <c r="C4127" s="100">
        <v>46160</v>
      </c>
      <c r="D4127" t="s">
        <v>84</v>
      </c>
      <c r="E4127" t="s">
        <v>50</v>
      </c>
      <c r="F4127" t="s">
        <v>110</v>
      </c>
      <c r="G4127">
        <v>886</v>
      </c>
      <c r="H4127">
        <v>-1500</v>
      </c>
      <c r="I4127">
        <v>-1329000</v>
      </c>
    </row>
    <row r="4128" spans="1:9" hidden="1" x14ac:dyDescent="0.25">
      <c r="A4128" s="210" t="s">
        <v>1476</v>
      </c>
      <c r="B4128">
        <v>1480</v>
      </c>
      <c r="C4128" s="100">
        <v>46160</v>
      </c>
      <c r="D4128" t="s">
        <v>84</v>
      </c>
      <c r="E4128" t="s">
        <v>54</v>
      </c>
      <c r="F4128" t="s">
        <v>81</v>
      </c>
      <c r="G4128">
        <v>648</v>
      </c>
      <c r="H4128">
        <v>-1500</v>
      </c>
      <c r="I4128">
        <v>-972000</v>
      </c>
    </row>
    <row r="4129" spans="1:9" hidden="1" x14ac:dyDescent="0.25">
      <c r="A4129" s="210" t="s">
        <v>1476</v>
      </c>
      <c r="B4129">
        <v>1477</v>
      </c>
      <c r="C4129" s="100">
        <v>46160</v>
      </c>
      <c r="D4129" t="s">
        <v>84</v>
      </c>
      <c r="E4129" t="s">
        <v>50</v>
      </c>
      <c r="F4129" t="s">
        <v>848</v>
      </c>
      <c r="G4129">
        <v>316</v>
      </c>
      <c r="H4129">
        <v>-2000</v>
      </c>
      <c r="I4129">
        <v>-632000</v>
      </c>
    </row>
    <row r="4130" spans="1:9" hidden="1" x14ac:dyDescent="0.25">
      <c r="A4130" s="210" t="s">
        <v>1476</v>
      </c>
      <c r="B4130">
        <v>1477</v>
      </c>
      <c r="C4130" s="100">
        <v>46160</v>
      </c>
      <c r="D4130" t="s">
        <v>84</v>
      </c>
      <c r="E4130" t="s">
        <v>50</v>
      </c>
      <c r="F4130" t="s">
        <v>2128</v>
      </c>
      <c r="G4130">
        <v>81</v>
      </c>
      <c r="H4130">
        <v>-2000</v>
      </c>
      <c r="I4130">
        <v>-162000</v>
      </c>
    </row>
    <row r="4131" spans="1:9" hidden="1" x14ac:dyDescent="0.25">
      <c r="A4131" s="210" t="s">
        <v>1476</v>
      </c>
      <c r="B4131">
        <v>1452</v>
      </c>
      <c r="C4131" s="100">
        <v>46155</v>
      </c>
      <c r="D4131" t="s">
        <v>84</v>
      </c>
      <c r="E4131" t="s">
        <v>50</v>
      </c>
      <c r="F4131" t="s">
        <v>110</v>
      </c>
      <c r="G4131">
        <v>1188</v>
      </c>
      <c r="H4131">
        <v>-1500</v>
      </c>
      <c r="I4131">
        <v>-1782000</v>
      </c>
    </row>
    <row r="4132" spans="1:9" hidden="1" x14ac:dyDescent="0.25">
      <c r="A4132" s="210" t="s">
        <v>1628</v>
      </c>
      <c r="B4132">
        <v>1442</v>
      </c>
      <c r="C4132" s="100">
        <v>46095</v>
      </c>
      <c r="D4132" t="s">
        <v>692</v>
      </c>
      <c r="E4132" t="s">
        <v>1207</v>
      </c>
      <c r="F4132" t="s">
        <v>1208</v>
      </c>
      <c r="G4132">
        <v>6202</v>
      </c>
      <c r="H4132">
        <v>-21500</v>
      </c>
      <c r="I4132">
        <v>-133343000</v>
      </c>
    </row>
    <row r="4133" spans="1:9" hidden="1" x14ac:dyDescent="0.25">
      <c r="A4133" s="210" t="s">
        <v>1476</v>
      </c>
      <c r="B4133">
        <v>1437</v>
      </c>
      <c r="C4133" s="100">
        <v>46135</v>
      </c>
      <c r="D4133" t="s">
        <v>84</v>
      </c>
      <c r="E4133" t="s">
        <v>103</v>
      </c>
      <c r="F4133" t="s">
        <v>122</v>
      </c>
      <c r="G4133">
        <v>258</v>
      </c>
      <c r="H4133">
        <v>-1500</v>
      </c>
      <c r="I4133">
        <v>-387000</v>
      </c>
    </row>
    <row r="4134" spans="1:9" hidden="1" x14ac:dyDescent="0.25">
      <c r="A4134" s="210" t="s">
        <v>1476</v>
      </c>
      <c r="B4134">
        <v>1411</v>
      </c>
      <c r="C4134" s="100">
        <v>46129</v>
      </c>
      <c r="D4134" t="s">
        <v>84</v>
      </c>
      <c r="E4134" t="s">
        <v>121</v>
      </c>
      <c r="F4134">
        <v>700</v>
      </c>
      <c r="G4134">
        <v>700</v>
      </c>
      <c r="H4134">
        <v>-1500</v>
      </c>
      <c r="I4134">
        <v>-1050000</v>
      </c>
    </row>
    <row r="4135" spans="1:9" hidden="1" x14ac:dyDescent="0.25">
      <c r="A4135" s="210" t="s">
        <v>1476</v>
      </c>
      <c r="B4135">
        <v>1396</v>
      </c>
      <c r="C4135" s="100">
        <v>46114</v>
      </c>
      <c r="D4135" t="s">
        <v>84</v>
      </c>
      <c r="E4135" t="s">
        <v>118</v>
      </c>
      <c r="F4135" t="s">
        <v>73</v>
      </c>
      <c r="G4135">
        <v>206</v>
      </c>
      <c r="H4135">
        <v>-1500</v>
      </c>
      <c r="I4135">
        <v>-309000</v>
      </c>
    </row>
    <row r="4136" spans="1:9" hidden="1" x14ac:dyDescent="0.25">
      <c r="A4136" s="210" t="s">
        <v>1476</v>
      </c>
      <c r="B4136">
        <v>1396</v>
      </c>
      <c r="C4136" s="100">
        <v>46114</v>
      </c>
      <c r="D4136" t="s">
        <v>84</v>
      </c>
      <c r="E4136" t="s">
        <v>14</v>
      </c>
      <c r="F4136" t="s">
        <v>62</v>
      </c>
      <c r="G4136">
        <v>48</v>
      </c>
      <c r="H4136">
        <v>-2500</v>
      </c>
      <c r="I4136">
        <v>-120000</v>
      </c>
    </row>
    <row r="4137" spans="1:9" hidden="1" x14ac:dyDescent="0.25">
      <c r="A4137" s="210" t="s">
        <v>1476</v>
      </c>
      <c r="B4137">
        <v>1394</v>
      </c>
      <c r="C4137" s="100">
        <v>46114</v>
      </c>
      <c r="D4137" t="s">
        <v>84</v>
      </c>
      <c r="E4137" t="s">
        <v>50</v>
      </c>
      <c r="F4137" t="s">
        <v>116</v>
      </c>
      <c r="G4137">
        <v>1063</v>
      </c>
      <c r="H4137">
        <v>-2500</v>
      </c>
      <c r="I4137">
        <v>-2657500</v>
      </c>
    </row>
    <row r="4138" spans="1:9" hidden="1" x14ac:dyDescent="0.25">
      <c r="A4138" s="210" t="s">
        <v>1476</v>
      </c>
      <c r="B4138">
        <v>1394</v>
      </c>
      <c r="C4138" s="100">
        <v>46114</v>
      </c>
      <c r="D4138" t="s">
        <v>84</v>
      </c>
      <c r="E4138" t="s">
        <v>50</v>
      </c>
      <c r="F4138" t="s">
        <v>117</v>
      </c>
      <c r="G4138">
        <v>1757</v>
      </c>
      <c r="H4138">
        <v>-2000</v>
      </c>
      <c r="I4138">
        <v>-3514000</v>
      </c>
    </row>
    <row r="4139" spans="1:9" hidden="1" x14ac:dyDescent="0.25">
      <c r="A4139" s="210" t="s">
        <v>1476</v>
      </c>
      <c r="B4139">
        <v>1394</v>
      </c>
      <c r="C4139" s="100">
        <v>46114</v>
      </c>
      <c r="D4139" t="s">
        <v>84</v>
      </c>
      <c r="E4139" t="s">
        <v>50</v>
      </c>
      <c r="F4139" t="s">
        <v>110</v>
      </c>
      <c r="G4139">
        <v>956</v>
      </c>
      <c r="H4139">
        <v>-1500</v>
      </c>
      <c r="I4139">
        <v>-1434000</v>
      </c>
    </row>
    <row r="4140" spans="1:9" hidden="1" x14ac:dyDescent="0.25">
      <c r="A4140" s="210" t="s">
        <v>1476</v>
      </c>
      <c r="B4140">
        <v>1378</v>
      </c>
      <c r="C4140" s="100">
        <v>46109</v>
      </c>
      <c r="D4140" t="s">
        <v>84</v>
      </c>
      <c r="E4140" t="s">
        <v>93</v>
      </c>
      <c r="F4140" t="s">
        <v>94</v>
      </c>
      <c r="G4140">
        <v>744</v>
      </c>
      <c r="H4140">
        <v>-2000</v>
      </c>
      <c r="I4140">
        <v>-1488000</v>
      </c>
    </row>
    <row r="4141" spans="1:9" hidden="1" x14ac:dyDescent="0.25">
      <c r="A4141" s="210" t="s">
        <v>1476</v>
      </c>
      <c r="B4141">
        <v>1368</v>
      </c>
      <c r="C4141" s="100">
        <v>46107</v>
      </c>
      <c r="D4141" t="s">
        <v>84</v>
      </c>
      <c r="E4141" t="s">
        <v>26</v>
      </c>
      <c r="F4141" t="s">
        <v>105</v>
      </c>
      <c r="G4141">
        <v>735</v>
      </c>
      <c r="H4141">
        <v>-2000</v>
      </c>
      <c r="I4141">
        <v>-1470000</v>
      </c>
    </row>
    <row r="4142" spans="1:9" hidden="1" x14ac:dyDescent="0.25">
      <c r="A4142" s="210" t="s">
        <v>1476</v>
      </c>
      <c r="B4142">
        <v>1365</v>
      </c>
      <c r="C4142" s="100">
        <v>46105</v>
      </c>
      <c r="D4142" t="s">
        <v>84</v>
      </c>
      <c r="E4142" t="s">
        <v>50</v>
      </c>
      <c r="F4142" t="s">
        <v>98</v>
      </c>
      <c r="G4142">
        <v>198</v>
      </c>
      <c r="H4142">
        <v>-2500</v>
      </c>
      <c r="I4142">
        <v>-495000</v>
      </c>
    </row>
    <row r="4143" spans="1:9" hidden="1" x14ac:dyDescent="0.25">
      <c r="A4143" s="210" t="s">
        <v>1476</v>
      </c>
      <c r="B4143">
        <v>1365</v>
      </c>
      <c r="C4143" s="100">
        <v>46105</v>
      </c>
      <c r="D4143" t="s">
        <v>84</v>
      </c>
      <c r="E4143" t="s">
        <v>50</v>
      </c>
      <c r="F4143" t="s">
        <v>99</v>
      </c>
      <c r="G4143">
        <v>522</v>
      </c>
      <c r="H4143">
        <v>-1500</v>
      </c>
      <c r="I4143">
        <v>-783000</v>
      </c>
    </row>
    <row r="4144" spans="1:9" hidden="1" x14ac:dyDescent="0.25">
      <c r="A4144" s="210" t="s">
        <v>1476</v>
      </c>
      <c r="B4144">
        <v>1365</v>
      </c>
      <c r="C4144" s="100">
        <v>46105</v>
      </c>
      <c r="D4144" t="s">
        <v>84</v>
      </c>
      <c r="E4144" t="s">
        <v>50</v>
      </c>
      <c r="F4144" t="s">
        <v>100</v>
      </c>
      <c r="G4144">
        <v>100</v>
      </c>
      <c r="H4144">
        <v>-2000</v>
      </c>
      <c r="I4144">
        <v>-200000</v>
      </c>
    </row>
    <row r="4145" spans="1:9" hidden="1" x14ac:dyDescent="0.25">
      <c r="A4145" s="210" t="s">
        <v>1476</v>
      </c>
      <c r="B4145">
        <v>1365</v>
      </c>
      <c r="C4145" s="100">
        <v>46105</v>
      </c>
      <c r="D4145" t="s">
        <v>84</v>
      </c>
      <c r="E4145" t="s">
        <v>50</v>
      </c>
      <c r="F4145" t="s">
        <v>101</v>
      </c>
      <c r="G4145">
        <v>78</v>
      </c>
      <c r="H4145">
        <v>-2500</v>
      </c>
      <c r="I4145">
        <v>-195000</v>
      </c>
    </row>
    <row r="4146" spans="1:9" hidden="1" x14ac:dyDescent="0.25">
      <c r="A4146" s="210" t="s">
        <v>1476</v>
      </c>
      <c r="B4146">
        <v>1365</v>
      </c>
      <c r="C4146" s="100">
        <v>46105</v>
      </c>
      <c r="D4146" t="s">
        <v>84</v>
      </c>
      <c r="E4146" t="s">
        <v>75</v>
      </c>
      <c r="F4146" t="s">
        <v>102</v>
      </c>
      <c r="G4146">
        <v>116</v>
      </c>
      <c r="H4146">
        <v>-2500</v>
      </c>
      <c r="I4146">
        <v>-290000</v>
      </c>
    </row>
    <row r="4147" spans="1:9" hidden="1" x14ac:dyDescent="0.25">
      <c r="A4147" s="210" t="s">
        <v>1476</v>
      </c>
      <c r="B4147">
        <v>1365</v>
      </c>
      <c r="C4147" s="100">
        <v>46105</v>
      </c>
      <c r="D4147" t="s">
        <v>84</v>
      </c>
      <c r="E4147" t="s">
        <v>103</v>
      </c>
      <c r="F4147" t="s">
        <v>104</v>
      </c>
      <c r="G4147">
        <v>623</v>
      </c>
      <c r="H4147">
        <v>-2000</v>
      </c>
      <c r="I4147">
        <v>-1246000</v>
      </c>
    </row>
    <row r="4148" spans="1:9" hidden="1" x14ac:dyDescent="0.25">
      <c r="A4148" s="210" t="s">
        <v>1476</v>
      </c>
      <c r="B4148">
        <v>1357</v>
      </c>
      <c r="C4148" s="100">
        <v>46104</v>
      </c>
      <c r="D4148" t="s">
        <v>84</v>
      </c>
      <c r="E4148" t="s">
        <v>93</v>
      </c>
      <c r="F4148" t="s">
        <v>97</v>
      </c>
      <c r="G4148">
        <v>726</v>
      </c>
      <c r="H4148">
        <v>-2000</v>
      </c>
      <c r="I4148">
        <v>-1452000</v>
      </c>
    </row>
    <row r="4149" spans="1:9" hidden="1" x14ac:dyDescent="0.25">
      <c r="A4149" s="210" t="s">
        <v>1476</v>
      </c>
      <c r="B4149">
        <v>1347</v>
      </c>
      <c r="C4149" s="100">
        <v>46087</v>
      </c>
      <c r="D4149" t="s">
        <v>84</v>
      </c>
      <c r="E4149" t="s">
        <v>56</v>
      </c>
      <c r="F4149" t="s">
        <v>90</v>
      </c>
      <c r="G4149">
        <v>218</v>
      </c>
      <c r="H4149">
        <v>-2000</v>
      </c>
      <c r="I4149">
        <v>-436000</v>
      </c>
    </row>
    <row r="4150" spans="1:9" hidden="1" x14ac:dyDescent="0.25">
      <c r="A4150" s="210" t="s">
        <v>1476</v>
      </c>
      <c r="B4150">
        <v>1347</v>
      </c>
      <c r="C4150" s="100">
        <v>46087</v>
      </c>
      <c r="D4150" t="s">
        <v>84</v>
      </c>
      <c r="E4150" t="s">
        <v>56</v>
      </c>
      <c r="F4150" t="s">
        <v>61</v>
      </c>
      <c r="G4150">
        <v>54</v>
      </c>
      <c r="H4150">
        <v>-2000</v>
      </c>
      <c r="I4150">
        <v>-108000</v>
      </c>
    </row>
    <row r="4151" spans="1:9" hidden="1" x14ac:dyDescent="0.25">
      <c r="A4151" s="210" t="s">
        <v>1476</v>
      </c>
      <c r="B4151">
        <v>1347</v>
      </c>
      <c r="C4151" s="100">
        <v>46087</v>
      </c>
      <c r="D4151" t="s">
        <v>84</v>
      </c>
      <c r="E4151" t="s">
        <v>56</v>
      </c>
      <c r="F4151" t="s">
        <v>60</v>
      </c>
      <c r="G4151">
        <v>220</v>
      </c>
      <c r="H4151">
        <v>-2000</v>
      </c>
      <c r="I4151">
        <v>-440000</v>
      </c>
    </row>
    <row r="4152" spans="1:9" hidden="1" x14ac:dyDescent="0.25">
      <c r="A4152" s="210" t="s">
        <v>1476</v>
      </c>
      <c r="B4152">
        <v>1347</v>
      </c>
      <c r="C4152" s="100">
        <v>46087</v>
      </c>
      <c r="D4152" t="s">
        <v>84</v>
      </c>
      <c r="E4152" t="s">
        <v>56</v>
      </c>
      <c r="F4152" t="s">
        <v>58</v>
      </c>
      <c r="G4152">
        <v>180</v>
      </c>
      <c r="H4152">
        <v>-1500</v>
      </c>
      <c r="I4152">
        <v>-270000</v>
      </c>
    </row>
    <row r="4153" spans="1:9" hidden="1" x14ac:dyDescent="0.25">
      <c r="A4153" s="210" t="s">
        <v>1476</v>
      </c>
      <c r="B4153">
        <v>1347</v>
      </c>
      <c r="C4153" s="100">
        <v>46087</v>
      </c>
      <c r="D4153" t="s">
        <v>84</v>
      </c>
      <c r="E4153" t="s">
        <v>56</v>
      </c>
      <c r="F4153" t="s">
        <v>59</v>
      </c>
      <c r="G4153">
        <v>338</v>
      </c>
      <c r="H4153">
        <v>-1500</v>
      </c>
      <c r="I4153">
        <v>-507000</v>
      </c>
    </row>
    <row r="4154" spans="1:9" hidden="1" x14ac:dyDescent="0.25">
      <c r="A4154" s="210" t="s">
        <v>1476</v>
      </c>
      <c r="B4154">
        <v>1347</v>
      </c>
      <c r="C4154" s="100">
        <v>46087</v>
      </c>
      <c r="D4154" t="s">
        <v>84</v>
      </c>
      <c r="E4154" t="s">
        <v>68</v>
      </c>
      <c r="F4154" t="s">
        <v>62</v>
      </c>
      <c r="G4154">
        <v>56</v>
      </c>
      <c r="H4154">
        <v>-1500</v>
      </c>
      <c r="I4154">
        <v>-84000</v>
      </c>
    </row>
    <row r="4155" spans="1:9" hidden="1" x14ac:dyDescent="0.25">
      <c r="A4155" s="210" t="s">
        <v>1476</v>
      </c>
      <c r="B4155">
        <v>1341</v>
      </c>
      <c r="C4155" s="100">
        <v>46086</v>
      </c>
      <c r="D4155" t="s">
        <v>84</v>
      </c>
      <c r="E4155" t="s">
        <v>50</v>
      </c>
      <c r="F4155" t="s">
        <v>89</v>
      </c>
      <c r="G4155">
        <v>774</v>
      </c>
      <c r="H4155">
        <v>-2500</v>
      </c>
      <c r="I4155">
        <v>-1935000</v>
      </c>
    </row>
    <row r="4156" spans="1:9" hidden="1" x14ac:dyDescent="0.25">
      <c r="A4156" s="210" t="s">
        <v>1476</v>
      </c>
      <c r="B4156">
        <v>1333</v>
      </c>
      <c r="C4156" s="100">
        <v>46083</v>
      </c>
      <c r="D4156" t="s">
        <v>84</v>
      </c>
      <c r="E4156" t="s">
        <v>50</v>
      </c>
      <c r="F4156" t="s">
        <v>86</v>
      </c>
      <c r="G4156">
        <v>74</v>
      </c>
      <c r="H4156">
        <v>-2500</v>
      </c>
      <c r="I4156">
        <v>-185000</v>
      </c>
    </row>
    <row r="4157" spans="1:9" hidden="1" x14ac:dyDescent="0.25">
      <c r="A4157" s="210" t="s">
        <v>1476</v>
      </c>
      <c r="B4157">
        <v>1333</v>
      </c>
      <c r="C4157" s="100">
        <v>46083</v>
      </c>
      <c r="D4157" t="s">
        <v>84</v>
      </c>
      <c r="E4157" t="s">
        <v>50</v>
      </c>
      <c r="F4157" t="s">
        <v>87</v>
      </c>
      <c r="G4157">
        <v>720</v>
      </c>
      <c r="H4157">
        <v>-1500</v>
      </c>
      <c r="I4157">
        <v>-1080000</v>
      </c>
    </row>
    <row r="4158" spans="1:9" hidden="1" x14ac:dyDescent="0.25">
      <c r="A4158" s="210" t="s">
        <v>1476</v>
      </c>
      <c r="B4158">
        <v>1333</v>
      </c>
      <c r="C4158" s="100">
        <v>46083</v>
      </c>
      <c r="D4158" t="s">
        <v>84</v>
      </c>
      <c r="E4158" t="s">
        <v>50</v>
      </c>
      <c r="F4158" t="s">
        <v>88</v>
      </c>
      <c r="G4158">
        <v>495</v>
      </c>
      <c r="H4158">
        <v>-1500</v>
      </c>
      <c r="I4158">
        <v>-742500</v>
      </c>
    </row>
    <row r="4159" spans="1:9" hidden="1" x14ac:dyDescent="0.25">
      <c r="A4159" s="210" t="s">
        <v>1476</v>
      </c>
      <c r="B4159">
        <v>1327</v>
      </c>
      <c r="C4159" s="100">
        <v>46083</v>
      </c>
      <c r="D4159" t="s">
        <v>84</v>
      </c>
      <c r="E4159" t="s">
        <v>43</v>
      </c>
      <c r="F4159" t="s">
        <v>85</v>
      </c>
      <c r="G4159">
        <v>1616</v>
      </c>
      <c r="H4159">
        <v>-1500</v>
      </c>
      <c r="I4159">
        <v>-2424000</v>
      </c>
    </row>
    <row r="4160" spans="1:9" hidden="1" x14ac:dyDescent="0.25">
      <c r="A4160" s="210" t="s">
        <v>2582</v>
      </c>
      <c r="B4160">
        <v>1016</v>
      </c>
      <c r="C4160" s="100">
        <v>46169</v>
      </c>
      <c r="D4160" t="s">
        <v>13</v>
      </c>
      <c r="E4160" t="s">
        <v>701</v>
      </c>
      <c r="F4160" t="s">
        <v>2583</v>
      </c>
      <c r="G4160">
        <v>5531</v>
      </c>
      <c r="I4160">
        <v>0</v>
      </c>
    </row>
    <row r="4161" spans="1:9" hidden="1" x14ac:dyDescent="0.25">
      <c r="A4161" s="210" t="s">
        <v>2582</v>
      </c>
      <c r="B4161">
        <v>1013</v>
      </c>
      <c r="C4161" s="100">
        <v>46160</v>
      </c>
      <c r="D4161" t="s">
        <v>692</v>
      </c>
      <c r="E4161" t="s">
        <v>14</v>
      </c>
      <c r="F4161" t="s">
        <v>1283</v>
      </c>
      <c r="G4161">
        <v>4890</v>
      </c>
      <c r="H4161">
        <v>-39908</v>
      </c>
      <c r="I4161">
        <v>-195150120</v>
      </c>
    </row>
    <row r="4162" spans="1:9" hidden="1" x14ac:dyDescent="0.25">
      <c r="A4162" s="210" t="s">
        <v>1476</v>
      </c>
      <c r="B4162">
        <v>982</v>
      </c>
      <c r="C4162" s="100">
        <v>46170</v>
      </c>
      <c r="D4162" t="s">
        <v>84</v>
      </c>
      <c r="E4162" t="s">
        <v>50</v>
      </c>
      <c r="F4162" t="s">
        <v>110</v>
      </c>
      <c r="G4162">
        <v>1422</v>
      </c>
      <c r="H4162">
        <v>-1500</v>
      </c>
      <c r="I4162">
        <v>-2133000</v>
      </c>
    </row>
    <row r="4163" spans="1:9" hidden="1" x14ac:dyDescent="0.25">
      <c r="A4163" s="210" t="s">
        <v>1476</v>
      </c>
      <c r="B4163">
        <v>982</v>
      </c>
      <c r="C4163" s="100">
        <v>46170</v>
      </c>
      <c r="D4163" t="s">
        <v>84</v>
      </c>
      <c r="E4163" t="s">
        <v>50</v>
      </c>
      <c r="F4163" t="s">
        <v>2492</v>
      </c>
      <c r="G4163">
        <v>28</v>
      </c>
      <c r="H4163">
        <v>-2000</v>
      </c>
      <c r="I4163">
        <v>-56000</v>
      </c>
    </row>
    <row r="4164" spans="1:9" hidden="1" x14ac:dyDescent="0.25">
      <c r="A4164" s="210" t="s">
        <v>1476</v>
      </c>
      <c r="B4164">
        <v>973</v>
      </c>
      <c r="C4164" s="100">
        <v>46168</v>
      </c>
      <c r="D4164" t="s">
        <v>84</v>
      </c>
      <c r="E4164" t="s">
        <v>2497</v>
      </c>
      <c r="F4164" t="s">
        <v>73</v>
      </c>
      <c r="G4164">
        <v>108</v>
      </c>
      <c r="H4164">
        <v>-1500</v>
      </c>
      <c r="I4164">
        <v>-162000</v>
      </c>
    </row>
    <row r="4165" spans="1:9" hidden="1" x14ac:dyDescent="0.25">
      <c r="A4165" s="210" t="s">
        <v>1476</v>
      </c>
      <c r="B4165">
        <v>971</v>
      </c>
      <c r="C4165" s="100">
        <v>46168</v>
      </c>
      <c r="D4165" t="s">
        <v>84</v>
      </c>
      <c r="E4165" t="s">
        <v>50</v>
      </c>
      <c r="F4165" t="s">
        <v>177</v>
      </c>
      <c r="G4165">
        <v>1344</v>
      </c>
      <c r="H4165">
        <v>-1700</v>
      </c>
      <c r="I4165">
        <v>-2284800</v>
      </c>
    </row>
    <row r="4166" spans="1:9" hidden="1" x14ac:dyDescent="0.25">
      <c r="A4166" s="210" t="s">
        <v>1476</v>
      </c>
      <c r="B4166">
        <v>941</v>
      </c>
      <c r="C4166" s="100">
        <v>46153</v>
      </c>
      <c r="D4166" t="s">
        <v>84</v>
      </c>
      <c r="E4166" t="s">
        <v>56</v>
      </c>
      <c r="F4166" t="s">
        <v>122</v>
      </c>
      <c r="G4166">
        <v>1002</v>
      </c>
      <c r="H4166">
        <v>-1500</v>
      </c>
      <c r="I4166">
        <v>-1503000</v>
      </c>
    </row>
    <row r="4167" spans="1:9" hidden="1" x14ac:dyDescent="0.25">
      <c r="A4167" s="210" t="s">
        <v>1476</v>
      </c>
      <c r="B4167">
        <v>941</v>
      </c>
      <c r="C4167" s="100">
        <v>46153</v>
      </c>
      <c r="D4167" t="s">
        <v>84</v>
      </c>
      <c r="E4167" t="s">
        <v>68</v>
      </c>
      <c r="F4167" t="s">
        <v>449</v>
      </c>
      <c r="G4167">
        <v>100</v>
      </c>
      <c r="H4167">
        <v>-2000</v>
      </c>
      <c r="I4167">
        <v>-200000</v>
      </c>
    </row>
    <row r="4168" spans="1:9" hidden="1" x14ac:dyDescent="0.25">
      <c r="A4168" s="210" t="s">
        <v>1476</v>
      </c>
      <c r="B4168">
        <v>930</v>
      </c>
      <c r="C4168" s="100">
        <v>46150</v>
      </c>
      <c r="D4168" t="s">
        <v>84</v>
      </c>
      <c r="E4168" t="s">
        <v>50</v>
      </c>
      <c r="F4168" t="s">
        <v>1988</v>
      </c>
      <c r="G4168">
        <v>126</v>
      </c>
      <c r="H4168">
        <v>-2000</v>
      </c>
      <c r="I4168">
        <v>-252000</v>
      </c>
    </row>
    <row r="4169" spans="1:9" hidden="1" x14ac:dyDescent="0.25">
      <c r="A4169" s="210" t="s">
        <v>1476</v>
      </c>
      <c r="B4169">
        <v>925</v>
      </c>
      <c r="C4169" s="100">
        <v>46150</v>
      </c>
      <c r="D4169" t="s">
        <v>84</v>
      </c>
      <c r="E4169" t="s">
        <v>54</v>
      </c>
      <c r="F4169" t="s">
        <v>116</v>
      </c>
      <c r="G4169">
        <v>180</v>
      </c>
      <c r="H4169">
        <v>-2500</v>
      </c>
      <c r="I4169">
        <v>-450000</v>
      </c>
    </row>
    <row r="4170" spans="1:9" hidden="1" x14ac:dyDescent="0.25">
      <c r="A4170" s="210" t="s">
        <v>1476</v>
      </c>
      <c r="B4170">
        <v>910</v>
      </c>
      <c r="C4170" s="100">
        <v>46147</v>
      </c>
      <c r="D4170" t="s">
        <v>84</v>
      </c>
      <c r="E4170" t="s">
        <v>50</v>
      </c>
      <c r="F4170" t="s">
        <v>2172</v>
      </c>
      <c r="G4170">
        <v>760</v>
      </c>
      <c r="H4170">
        <v>-2000</v>
      </c>
      <c r="I4170">
        <v>-1520000</v>
      </c>
    </row>
    <row r="4171" spans="1:9" hidden="1" x14ac:dyDescent="0.25">
      <c r="A4171" s="210" t="s">
        <v>1476</v>
      </c>
      <c r="B4171">
        <v>907</v>
      </c>
      <c r="C4171" s="100">
        <v>46146</v>
      </c>
      <c r="D4171" t="s">
        <v>84</v>
      </c>
      <c r="E4171" t="s">
        <v>68</v>
      </c>
      <c r="F4171" t="s">
        <v>117</v>
      </c>
      <c r="G4171">
        <v>44</v>
      </c>
      <c r="H4171">
        <v>-2000</v>
      </c>
      <c r="I4171">
        <v>-88000</v>
      </c>
    </row>
    <row r="4172" spans="1:9" hidden="1" x14ac:dyDescent="0.25">
      <c r="A4172" s="210" t="s">
        <v>1476</v>
      </c>
      <c r="B4172">
        <v>907</v>
      </c>
      <c r="C4172" s="100">
        <v>46146</v>
      </c>
      <c r="D4172" t="s">
        <v>84</v>
      </c>
      <c r="E4172" t="s">
        <v>68</v>
      </c>
      <c r="F4172" t="s">
        <v>117</v>
      </c>
      <c r="G4172">
        <v>686</v>
      </c>
      <c r="H4172">
        <v>-2000</v>
      </c>
      <c r="I4172">
        <v>-1372000</v>
      </c>
    </row>
    <row r="4173" spans="1:9" hidden="1" x14ac:dyDescent="0.25">
      <c r="A4173" s="210" t="s">
        <v>1476</v>
      </c>
      <c r="B4173">
        <v>897</v>
      </c>
      <c r="C4173" s="100">
        <v>46127</v>
      </c>
      <c r="D4173" t="s">
        <v>84</v>
      </c>
      <c r="E4173" t="s">
        <v>14</v>
      </c>
      <c r="F4173" t="s">
        <v>62</v>
      </c>
      <c r="G4173">
        <v>72</v>
      </c>
      <c r="H4173">
        <v>-2500</v>
      </c>
      <c r="I4173">
        <v>-180000</v>
      </c>
    </row>
    <row r="4174" spans="1:9" hidden="1" x14ac:dyDescent="0.25">
      <c r="A4174" s="210" t="s">
        <v>1476</v>
      </c>
      <c r="B4174">
        <v>890</v>
      </c>
      <c r="C4174" s="100">
        <v>46125</v>
      </c>
      <c r="D4174" t="s">
        <v>84</v>
      </c>
      <c r="E4174" t="s">
        <v>50</v>
      </c>
      <c r="F4174" t="s">
        <v>110</v>
      </c>
      <c r="G4174">
        <v>830</v>
      </c>
      <c r="H4174">
        <v>-1500</v>
      </c>
      <c r="I4174">
        <v>-1245000</v>
      </c>
    </row>
    <row r="4175" spans="1:9" hidden="1" x14ac:dyDescent="0.25">
      <c r="A4175" s="210" t="s">
        <v>1706</v>
      </c>
      <c r="B4175">
        <v>889</v>
      </c>
      <c r="C4175" s="100">
        <v>46125</v>
      </c>
      <c r="D4175" t="s">
        <v>692</v>
      </c>
      <c r="E4175" t="s">
        <v>43</v>
      </c>
      <c r="F4175" t="s">
        <v>915</v>
      </c>
      <c r="G4175">
        <v>14641</v>
      </c>
      <c r="H4175">
        <v>-56500</v>
      </c>
      <c r="I4175">
        <v>-827216500</v>
      </c>
    </row>
    <row r="4176" spans="1:9" hidden="1" x14ac:dyDescent="0.25">
      <c r="A4176" s="210" t="s">
        <v>1706</v>
      </c>
      <c r="B4176">
        <v>889</v>
      </c>
      <c r="C4176" s="100">
        <v>46125</v>
      </c>
      <c r="D4176" t="s">
        <v>692</v>
      </c>
      <c r="E4176" t="s">
        <v>43</v>
      </c>
      <c r="F4176" t="s">
        <v>254</v>
      </c>
      <c r="G4176">
        <v>5275</v>
      </c>
      <c r="H4176">
        <v>-56500</v>
      </c>
      <c r="I4176">
        <v>-298037500</v>
      </c>
    </row>
    <row r="4177" spans="1:11" hidden="1" x14ac:dyDescent="0.25">
      <c r="A4177" s="210" t="s">
        <v>1706</v>
      </c>
      <c r="B4177">
        <v>889</v>
      </c>
      <c r="C4177" s="100">
        <v>46125</v>
      </c>
      <c r="D4177" t="s">
        <v>692</v>
      </c>
      <c r="E4177" t="s">
        <v>43</v>
      </c>
      <c r="F4177" t="s">
        <v>243</v>
      </c>
      <c r="G4177">
        <v>5170</v>
      </c>
      <c r="H4177">
        <v>-58500</v>
      </c>
      <c r="I4177">
        <v>-302445000</v>
      </c>
    </row>
    <row r="4178" spans="1:11" hidden="1" x14ac:dyDescent="0.25">
      <c r="A4178" s="210" t="s">
        <v>1476</v>
      </c>
      <c r="B4178">
        <v>876</v>
      </c>
      <c r="C4178" s="100">
        <v>46122</v>
      </c>
      <c r="D4178" t="s">
        <v>84</v>
      </c>
      <c r="E4178" t="s">
        <v>109</v>
      </c>
      <c r="F4178" t="s">
        <v>73</v>
      </c>
      <c r="G4178">
        <v>858</v>
      </c>
      <c r="H4178">
        <v>-1500</v>
      </c>
      <c r="I4178">
        <v>-1287000</v>
      </c>
    </row>
    <row r="4179" spans="1:11" hidden="1" x14ac:dyDescent="0.25">
      <c r="A4179" s="210" t="s">
        <v>1476</v>
      </c>
      <c r="B4179">
        <v>861</v>
      </c>
      <c r="C4179" s="100">
        <v>46118</v>
      </c>
      <c r="D4179" t="s">
        <v>84</v>
      </c>
      <c r="E4179" t="s">
        <v>103</v>
      </c>
      <c r="F4179" t="s">
        <v>119</v>
      </c>
      <c r="G4179">
        <v>126</v>
      </c>
      <c r="H4179">
        <v>-2000</v>
      </c>
      <c r="I4179">
        <v>-252000</v>
      </c>
    </row>
    <row r="4180" spans="1:11" hidden="1" x14ac:dyDescent="0.25">
      <c r="A4180" s="210" t="s">
        <v>1476</v>
      </c>
      <c r="B4180">
        <v>861</v>
      </c>
      <c r="C4180" s="100">
        <v>46118</v>
      </c>
      <c r="D4180" t="s">
        <v>84</v>
      </c>
      <c r="E4180" t="s">
        <v>50</v>
      </c>
      <c r="F4180" t="s">
        <v>120</v>
      </c>
      <c r="G4180">
        <v>302</v>
      </c>
      <c r="H4180">
        <v>-2000</v>
      </c>
      <c r="I4180">
        <v>-604000</v>
      </c>
    </row>
    <row r="4181" spans="1:11" hidden="1" x14ac:dyDescent="0.25">
      <c r="A4181" s="210" t="s">
        <v>1476</v>
      </c>
      <c r="B4181">
        <v>844</v>
      </c>
      <c r="C4181" s="100">
        <v>46100</v>
      </c>
      <c r="D4181" t="s">
        <v>84</v>
      </c>
      <c r="E4181" t="s">
        <v>43</v>
      </c>
      <c r="F4181" t="s">
        <v>95</v>
      </c>
      <c r="G4181">
        <v>422</v>
      </c>
      <c r="H4181">
        <v>-2500</v>
      </c>
      <c r="I4181">
        <v>-1055000</v>
      </c>
    </row>
    <row r="4182" spans="1:11" hidden="1" x14ac:dyDescent="0.25">
      <c r="A4182" s="210" t="s">
        <v>1476</v>
      </c>
      <c r="B4182">
        <v>844</v>
      </c>
      <c r="C4182" s="100">
        <v>46100</v>
      </c>
      <c r="D4182" t="s">
        <v>84</v>
      </c>
      <c r="E4182" t="s">
        <v>43</v>
      </c>
      <c r="F4182" t="s">
        <v>91</v>
      </c>
      <c r="G4182">
        <v>551</v>
      </c>
      <c r="H4182">
        <v>-1500</v>
      </c>
      <c r="I4182">
        <v>-826500</v>
      </c>
    </row>
    <row r="4183" spans="1:11" hidden="1" x14ac:dyDescent="0.25">
      <c r="A4183" s="210" t="s">
        <v>1476</v>
      </c>
      <c r="B4183">
        <v>844</v>
      </c>
      <c r="C4183" s="100">
        <v>46100</v>
      </c>
      <c r="D4183" t="s">
        <v>84</v>
      </c>
      <c r="E4183" t="s">
        <v>32</v>
      </c>
      <c r="F4183" t="s">
        <v>96</v>
      </c>
      <c r="G4183">
        <v>88</v>
      </c>
      <c r="H4183">
        <v>-2000</v>
      </c>
      <c r="I4183">
        <v>-176000</v>
      </c>
    </row>
    <row r="4184" spans="1:11" hidden="1" x14ac:dyDescent="0.25">
      <c r="A4184" s="210" t="s">
        <v>1476</v>
      </c>
      <c r="B4184">
        <v>825</v>
      </c>
      <c r="C4184" s="100">
        <v>46095</v>
      </c>
      <c r="D4184" t="s">
        <v>84</v>
      </c>
      <c r="E4184" t="s">
        <v>50</v>
      </c>
      <c r="F4184" t="s">
        <v>92</v>
      </c>
      <c r="G4184">
        <v>481</v>
      </c>
      <c r="H4184">
        <v>-1800</v>
      </c>
      <c r="I4184">
        <v>-865800</v>
      </c>
    </row>
    <row r="4185" spans="1:11" hidden="1" x14ac:dyDescent="0.25">
      <c r="A4185" s="210" t="s">
        <v>1476</v>
      </c>
      <c r="B4185">
        <v>820</v>
      </c>
      <c r="C4185" s="100">
        <v>46094</v>
      </c>
      <c r="D4185" t="s">
        <v>84</v>
      </c>
      <c r="E4185" t="s">
        <v>93</v>
      </c>
      <c r="F4185" t="s">
        <v>94</v>
      </c>
      <c r="G4185">
        <v>280</v>
      </c>
      <c r="H4185">
        <v>-2000</v>
      </c>
      <c r="I4185">
        <v>-560000</v>
      </c>
    </row>
    <row r="4186" spans="1:11" hidden="1" x14ac:dyDescent="0.25">
      <c r="A4186" s="210" t="s">
        <v>1476</v>
      </c>
      <c r="B4186">
        <v>813</v>
      </c>
      <c r="C4186" s="100">
        <v>46092</v>
      </c>
      <c r="D4186" t="s">
        <v>84</v>
      </c>
      <c r="E4186" t="s">
        <v>50</v>
      </c>
      <c r="F4186" t="s">
        <v>91</v>
      </c>
      <c r="G4186">
        <v>1260</v>
      </c>
      <c r="H4186">
        <v>-1500</v>
      </c>
      <c r="I4186">
        <v>-1890000</v>
      </c>
    </row>
    <row r="4187" spans="1:11" hidden="1" x14ac:dyDescent="0.25">
      <c r="A4187" s="210" t="s">
        <v>1548</v>
      </c>
      <c r="B4187">
        <v>670</v>
      </c>
      <c r="C4187" s="100">
        <v>46105</v>
      </c>
      <c r="D4187" t="s">
        <v>166</v>
      </c>
      <c r="E4187" t="s">
        <v>43</v>
      </c>
      <c r="F4187" t="s">
        <v>248</v>
      </c>
      <c r="G4187">
        <v>440</v>
      </c>
      <c r="H4187">
        <v>-55000</v>
      </c>
      <c r="I4187">
        <v>-24200000</v>
      </c>
    </row>
    <row r="4188" spans="1:11" hidden="1" x14ac:dyDescent="0.25">
      <c r="A4188" s="210" t="s">
        <v>1722</v>
      </c>
      <c r="B4188">
        <v>316</v>
      </c>
      <c r="C4188" s="100">
        <v>46127</v>
      </c>
      <c r="D4188" t="s">
        <v>692</v>
      </c>
      <c r="E4188" t="s">
        <v>118</v>
      </c>
      <c r="F4188" t="s">
        <v>682</v>
      </c>
      <c r="G4188">
        <v>4540</v>
      </c>
      <c r="H4188">
        <v>-27000</v>
      </c>
      <c r="I4188">
        <v>-122580000</v>
      </c>
    </row>
    <row r="4189" spans="1:11" hidden="1" x14ac:dyDescent="0.25">
      <c r="A4189" s="210" t="s">
        <v>1704</v>
      </c>
      <c r="B4189">
        <v>270</v>
      </c>
      <c r="C4189" s="100">
        <v>46116</v>
      </c>
      <c r="D4189" t="s">
        <v>426</v>
      </c>
      <c r="E4189" t="s">
        <v>93</v>
      </c>
      <c r="F4189" t="s">
        <v>443</v>
      </c>
      <c r="G4189">
        <v>7044</v>
      </c>
      <c r="I4189">
        <v>0</v>
      </c>
      <c r="K4189" t="s">
        <v>1430</v>
      </c>
    </row>
    <row r="4190" spans="1:11" hidden="1" x14ac:dyDescent="0.25">
      <c r="A4190" s="210" t="s">
        <v>1704</v>
      </c>
      <c r="B4190">
        <v>270</v>
      </c>
      <c r="C4190" s="100">
        <v>46116</v>
      </c>
      <c r="D4190" t="s">
        <v>426</v>
      </c>
      <c r="E4190" t="s">
        <v>93</v>
      </c>
      <c r="F4190" t="s">
        <v>443</v>
      </c>
      <c r="G4190">
        <v>11866</v>
      </c>
      <c r="I4190">
        <v>0</v>
      </c>
      <c r="K4190" t="s">
        <v>1431</v>
      </c>
    </row>
    <row r="4191" spans="1:11" hidden="1" x14ac:dyDescent="0.25">
      <c r="A4191" s="210" t="s">
        <v>1704</v>
      </c>
      <c r="B4191">
        <v>268</v>
      </c>
      <c r="C4191" s="100">
        <v>46116</v>
      </c>
      <c r="D4191" t="s">
        <v>426</v>
      </c>
      <c r="E4191" t="s">
        <v>118</v>
      </c>
      <c r="F4191" t="s">
        <v>682</v>
      </c>
      <c r="G4191">
        <v>2254</v>
      </c>
      <c r="I4191">
        <v>0</v>
      </c>
    </row>
    <row r="4192" spans="1:11" hidden="1" x14ac:dyDescent="0.25">
      <c r="A4192" s="210" t="s">
        <v>1524</v>
      </c>
      <c r="B4192">
        <v>249</v>
      </c>
      <c r="C4192" s="100">
        <v>46169</v>
      </c>
      <c r="D4192" t="s">
        <v>426</v>
      </c>
      <c r="E4192" t="s">
        <v>43</v>
      </c>
      <c r="F4192" t="s">
        <v>148</v>
      </c>
      <c r="G4192">
        <v>3039</v>
      </c>
      <c r="I4192">
        <v>0</v>
      </c>
    </row>
    <row r="4193" spans="1:11" hidden="1" x14ac:dyDescent="0.25">
      <c r="A4193" s="210" t="s">
        <v>1524</v>
      </c>
      <c r="B4193">
        <v>246</v>
      </c>
      <c r="C4193" s="100">
        <v>46167</v>
      </c>
      <c r="D4193" t="s">
        <v>426</v>
      </c>
      <c r="E4193" t="s">
        <v>135</v>
      </c>
      <c r="F4193" t="s">
        <v>148</v>
      </c>
      <c r="G4193">
        <v>3871</v>
      </c>
      <c r="I4193">
        <v>0</v>
      </c>
    </row>
    <row r="4194" spans="1:11" hidden="1" x14ac:dyDescent="0.25">
      <c r="A4194" s="210" t="s">
        <v>1524</v>
      </c>
      <c r="B4194">
        <v>238</v>
      </c>
      <c r="C4194" s="100">
        <v>46158</v>
      </c>
      <c r="D4194" t="s">
        <v>426</v>
      </c>
      <c r="E4194" t="s">
        <v>17</v>
      </c>
      <c r="F4194" t="s">
        <v>78</v>
      </c>
      <c r="G4194">
        <v>3832</v>
      </c>
      <c r="I4194">
        <v>0</v>
      </c>
    </row>
    <row r="4195" spans="1:11" hidden="1" x14ac:dyDescent="0.25">
      <c r="A4195" s="210" t="s">
        <v>1524</v>
      </c>
      <c r="B4195">
        <v>238</v>
      </c>
      <c r="C4195" s="100">
        <v>46158</v>
      </c>
      <c r="D4195" t="s">
        <v>426</v>
      </c>
      <c r="E4195" t="s">
        <v>135</v>
      </c>
      <c r="F4195" t="s">
        <v>62</v>
      </c>
      <c r="G4195">
        <v>1083</v>
      </c>
      <c r="I4195">
        <v>0</v>
      </c>
    </row>
    <row r="4196" spans="1:11" hidden="1" x14ac:dyDescent="0.25">
      <c r="A4196" s="210" t="s">
        <v>1704</v>
      </c>
      <c r="B4196">
        <v>236</v>
      </c>
      <c r="C4196" s="100">
        <v>46109</v>
      </c>
      <c r="D4196" t="s">
        <v>84</v>
      </c>
      <c r="E4196" t="s">
        <v>93</v>
      </c>
      <c r="F4196" t="s">
        <v>1429</v>
      </c>
      <c r="G4196">
        <v>1642</v>
      </c>
      <c r="H4196">
        <v>-500</v>
      </c>
      <c r="I4196">
        <v>-821000</v>
      </c>
    </row>
    <row r="4197" spans="1:11" hidden="1" x14ac:dyDescent="0.25">
      <c r="A4197" s="210" t="s">
        <v>1704</v>
      </c>
      <c r="B4197">
        <v>236</v>
      </c>
      <c r="C4197" s="100">
        <v>46109</v>
      </c>
      <c r="D4197" t="s">
        <v>84</v>
      </c>
      <c r="E4197" t="s">
        <v>93</v>
      </c>
      <c r="F4197" t="s">
        <v>1429</v>
      </c>
      <c r="G4197">
        <v>3158</v>
      </c>
      <c r="H4197">
        <v>-500</v>
      </c>
      <c r="I4197">
        <v>-1579000</v>
      </c>
    </row>
    <row r="4198" spans="1:11" hidden="1" x14ac:dyDescent="0.25">
      <c r="A4198" s="210" t="s">
        <v>1524</v>
      </c>
      <c r="B4198">
        <v>231</v>
      </c>
      <c r="C4198" s="100">
        <v>46153</v>
      </c>
      <c r="D4198" t="s">
        <v>426</v>
      </c>
      <c r="E4198" t="s">
        <v>26</v>
      </c>
      <c r="F4198" t="s">
        <v>148</v>
      </c>
      <c r="G4198">
        <v>3670</v>
      </c>
      <c r="I4198">
        <v>0</v>
      </c>
    </row>
    <row r="4199" spans="1:11" hidden="1" x14ac:dyDescent="0.25">
      <c r="A4199" s="210" t="s">
        <v>1704</v>
      </c>
      <c r="B4199">
        <v>231</v>
      </c>
      <c r="C4199" s="100">
        <v>46108</v>
      </c>
      <c r="D4199" t="s">
        <v>84</v>
      </c>
      <c r="E4199" t="s">
        <v>93</v>
      </c>
      <c r="F4199" t="s">
        <v>443</v>
      </c>
      <c r="G4199">
        <v>4882</v>
      </c>
      <c r="H4199">
        <v>-500</v>
      </c>
      <c r="I4199">
        <v>-2441000</v>
      </c>
    </row>
    <row r="4200" spans="1:11" hidden="1" x14ac:dyDescent="0.25">
      <c r="A4200" s="210" t="s">
        <v>1704</v>
      </c>
      <c r="B4200">
        <v>231</v>
      </c>
      <c r="C4200" s="100">
        <v>46108</v>
      </c>
      <c r="D4200" t="s">
        <v>84</v>
      </c>
      <c r="E4200" t="s">
        <v>1428</v>
      </c>
      <c r="G4200">
        <v>1</v>
      </c>
      <c r="H4200">
        <v>-1500000</v>
      </c>
      <c r="I4200">
        <v>-1500000</v>
      </c>
    </row>
    <row r="4201" spans="1:11" hidden="1" x14ac:dyDescent="0.25">
      <c r="A4201" s="210" t="s">
        <v>1524</v>
      </c>
      <c r="B4201">
        <v>221</v>
      </c>
      <c r="C4201" s="100">
        <v>46135</v>
      </c>
      <c r="D4201" t="s">
        <v>426</v>
      </c>
      <c r="E4201" t="s">
        <v>43</v>
      </c>
      <c r="F4201" t="s">
        <v>148</v>
      </c>
      <c r="G4201">
        <v>3094</v>
      </c>
      <c r="I4201">
        <v>0</v>
      </c>
    </row>
    <row r="4202" spans="1:11" hidden="1" x14ac:dyDescent="0.25">
      <c r="A4202" s="210" t="s">
        <v>1524</v>
      </c>
      <c r="B4202">
        <v>214</v>
      </c>
      <c r="C4202" s="100">
        <v>46128</v>
      </c>
      <c r="D4202" t="s">
        <v>426</v>
      </c>
      <c r="E4202" t="s">
        <v>43</v>
      </c>
      <c r="F4202" t="s">
        <v>148</v>
      </c>
      <c r="G4202">
        <v>2544</v>
      </c>
      <c r="I4202">
        <v>0</v>
      </c>
    </row>
    <row r="4203" spans="1:11" hidden="1" x14ac:dyDescent="0.25">
      <c r="A4203" s="210" t="s">
        <v>1524</v>
      </c>
      <c r="B4203">
        <v>214</v>
      </c>
      <c r="C4203" s="100">
        <v>46128</v>
      </c>
      <c r="D4203" t="s">
        <v>426</v>
      </c>
      <c r="E4203" t="s">
        <v>43</v>
      </c>
      <c r="F4203" t="s">
        <v>136</v>
      </c>
      <c r="G4203">
        <v>2943</v>
      </c>
      <c r="I4203">
        <v>0</v>
      </c>
    </row>
    <row r="4204" spans="1:11" hidden="1" x14ac:dyDescent="0.25">
      <c r="A4204" s="210" t="s">
        <v>1579</v>
      </c>
      <c r="B4204">
        <v>202</v>
      </c>
      <c r="C4204" s="100">
        <v>46161</v>
      </c>
      <c r="D4204" t="s">
        <v>692</v>
      </c>
      <c r="E4204" t="s">
        <v>1965</v>
      </c>
      <c r="F4204" t="s">
        <v>2240</v>
      </c>
      <c r="G4204">
        <v>815</v>
      </c>
      <c r="H4204">
        <v>-70000</v>
      </c>
      <c r="I4204">
        <v>-57050000</v>
      </c>
    </row>
    <row r="4205" spans="1:11" hidden="1" x14ac:dyDescent="0.25">
      <c r="A4205" s="210" t="s">
        <v>1524</v>
      </c>
      <c r="B4205">
        <v>186</v>
      </c>
      <c r="C4205" s="100">
        <v>46101</v>
      </c>
      <c r="D4205" t="s">
        <v>426</v>
      </c>
      <c r="E4205" t="s">
        <v>540</v>
      </c>
      <c r="F4205" t="s">
        <v>148</v>
      </c>
      <c r="G4205">
        <v>1710</v>
      </c>
      <c r="H4205">
        <v>0</v>
      </c>
      <c r="I4205">
        <v>0</v>
      </c>
      <c r="K4205" t="s">
        <v>541</v>
      </c>
    </row>
    <row r="4206" spans="1:11" hidden="1" x14ac:dyDescent="0.25">
      <c r="A4206" s="210" t="s">
        <v>1704</v>
      </c>
      <c r="B4206">
        <v>161</v>
      </c>
      <c r="C4206" s="100">
        <v>46091</v>
      </c>
      <c r="D4206" t="s">
        <v>692</v>
      </c>
      <c r="E4206" t="s">
        <v>703</v>
      </c>
      <c r="F4206" t="s">
        <v>1426</v>
      </c>
      <c r="G4206">
        <v>3476</v>
      </c>
      <c r="H4206">
        <v>-27500</v>
      </c>
      <c r="I4206">
        <v>-95590000</v>
      </c>
    </row>
    <row r="4207" spans="1:11" hidden="1" x14ac:dyDescent="0.25">
      <c r="A4207" s="210" t="s">
        <v>1704</v>
      </c>
      <c r="B4207">
        <v>156</v>
      </c>
      <c r="C4207" s="100">
        <v>46091</v>
      </c>
      <c r="D4207" t="s">
        <v>692</v>
      </c>
      <c r="E4207" t="s">
        <v>703</v>
      </c>
      <c r="F4207" t="s">
        <v>1427</v>
      </c>
      <c r="G4207">
        <v>1524</v>
      </c>
      <c r="H4207">
        <v>-27500</v>
      </c>
      <c r="I4207">
        <v>-41910000</v>
      </c>
    </row>
    <row r="4208" spans="1:11" hidden="1" x14ac:dyDescent="0.25">
      <c r="A4208" s="210" t="s">
        <v>1499</v>
      </c>
      <c r="B4208">
        <v>149</v>
      </c>
      <c r="C4208" s="100">
        <v>46108</v>
      </c>
      <c r="D4208" t="s">
        <v>166</v>
      </c>
      <c r="E4208" t="s">
        <v>17</v>
      </c>
      <c r="F4208" t="s">
        <v>33</v>
      </c>
      <c r="G4208">
        <v>594</v>
      </c>
      <c r="H4208">
        <v>-61500</v>
      </c>
      <c r="I4208">
        <v>-36531000</v>
      </c>
    </row>
    <row r="4209" spans="1:11" hidden="1" x14ac:dyDescent="0.25">
      <c r="A4209" s="210" t="s">
        <v>1575</v>
      </c>
      <c r="B4209">
        <v>119</v>
      </c>
      <c r="C4209" s="100">
        <v>46093</v>
      </c>
      <c r="D4209" t="s">
        <v>692</v>
      </c>
      <c r="E4209" t="s">
        <v>973</v>
      </c>
      <c r="F4209" t="s">
        <v>267</v>
      </c>
      <c r="G4209">
        <v>3786</v>
      </c>
      <c r="H4209">
        <v>-39500</v>
      </c>
      <c r="I4209">
        <v>-149547000</v>
      </c>
    </row>
    <row r="4210" spans="1:11" hidden="1" x14ac:dyDescent="0.25">
      <c r="A4210" s="210" t="s">
        <v>1725</v>
      </c>
      <c r="B4210">
        <v>56</v>
      </c>
      <c r="C4210" s="100">
        <v>46165</v>
      </c>
      <c r="D4210" t="s">
        <v>84</v>
      </c>
      <c r="E4210" t="s">
        <v>43</v>
      </c>
      <c r="F4210" t="s">
        <v>78</v>
      </c>
      <c r="G4210">
        <v>4921</v>
      </c>
      <c r="H4210">
        <v>-800</v>
      </c>
      <c r="I4210">
        <v>-3936800</v>
      </c>
    </row>
    <row r="4211" spans="1:11" hidden="1" x14ac:dyDescent="0.25">
      <c r="A4211" s="210" t="s">
        <v>1725</v>
      </c>
      <c r="B4211">
        <v>56</v>
      </c>
      <c r="C4211" s="100">
        <v>46165</v>
      </c>
      <c r="D4211" t="s">
        <v>426</v>
      </c>
      <c r="E4211" t="s">
        <v>43</v>
      </c>
      <c r="F4211" t="s">
        <v>78</v>
      </c>
      <c r="G4211">
        <v>5784</v>
      </c>
      <c r="I4211">
        <v>0</v>
      </c>
    </row>
    <row r="4212" spans="1:11" hidden="1" x14ac:dyDescent="0.25">
      <c r="A4212" s="210" t="s">
        <v>1725</v>
      </c>
      <c r="B4212">
        <v>50</v>
      </c>
      <c r="C4212" s="100">
        <v>46147</v>
      </c>
      <c r="D4212" t="s">
        <v>84</v>
      </c>
      <c r="E4212" t="s">
        <v>43</v>
      </c>
      <c r="F4212" t="s">
        <v>154</v>
      </c>
      <c r="G4212">
        <v>1511</v>
      </c>
      <c r="H4212">
        <v>-900</v>
      </c>
      <c r="I4212">
        <v>-1359900</v>
      </c>
    </row>
    <row r="4213" spans="1:11" hidden="1" x14ac:dyDescent="0.25">
      <c r="A4213" s="210" t="s">
        <v>1725</v>
      </c>
      <c r="B4213">
        <v>50</v>
      </c>
      <c r="C4213" s="100">
        <v>46147</v>
      </c>
      <c r="D4213" t="s">
        <v>84</v>
      </c>
      <c r="E4213" t="s">
        <v>43</v>
      </c>
      <c r="F4213" t="s">
        <v>154</v>
      </c>
      <c r="G4213">
        <v>819</v>
      </c>
      <c r="H4213">
        <v>-900</v>
      </c>
      <c r="I4213">
        <v>-737100</v>
      </c>
    </row>
    <row r="4214" spans="1:11" hidden="1" x14ac:dyDescent="0.25">
      <c r="A4214" s="210" t="s">
        <v>1725</v>
      </c>
      <c r="B4214">
        <v>50</v>
      </c>
      <c r="C4214" s="100">
        <v>46147</v>
      </c>
      <c r="D4214" t="s">
        <v>426</v>
      </c>
      <c r="E4214" t="s">
        <v>43</v>
      </c>
      <c r="F4214" t="s">
        <v>154</v>
      </c>
      <c r="G4214">
        <v>4570</v>
      </c>
      <c r="I4214">
        <v>0</v>
      </c>
    </row>
    <row r="4215" spans="1:11" hidden="1" x14ac:dyDescent="0.25">
      <c r="A4215" s="210" t="s">
        <v>1725</v>
      </c>
      <c r="B4215">
        <v>49</v>
      </c>
      <c r="C4215" s="100">
        <v>46136</v>
      </c>
      <c r="D4215" t="s">
        <v>84</v>
      </c>
      <c r="E4215" t="s">
        <v>43</v>
      </c>
      <c r="F4215" t="s">
        <v>154</v>
      </c>
      <c r="G4215">
        <v>2575</v>
      </c>
      <c r="H4215">
        <v>-900</v>
      </c>
      <c r="I4215">
        <v>-2317500</v>
      </c>
      <c r="J4215">
        <v>-2317500</v>
      </c>
      <c r="K4215" t="s">
        <v>1473</v>
      </c>
    </row>
    <row r="4216" spans="1:11" hidden="1" x14ac:dyDescent="0.25">
      <c r="A4216" s="210" t="s">
        <v>1524</v>
      </c>
      <c r="B4216">
        <v>38</v>
      </c>
      <c r="C4216" s="100">
        <v>46129</v>
      </c>
      <c r="D4216" t="s">
        <v>426</v>
      </c>
      <c r="E4216" t="s">
        <v>93</v>
      </c>
      <c r="F4216" t="s">
        <v>62</v>
      </c>
      <c r="G4216">
        <v>4382</v>
      </c>
      <c r="I4216">
        <v>0</v>
      </c>
    </row>
    <row r="4217" spans="1:11" hidden="1" x14ac:dyDescent="0.25">
      <c r="A4217" s="210" t="s">
        <v>1524</v>
      </c>
      <c r="B4217">
        <v>38</v>
      </c>
      <c r="C4217" s="100">
        <v>46129</v>
      </c>
      <c r="D4217" t="s">
        <v>426</v>
      </c>
      <c r="E4217" t="s">
        <v>93</v>
      </c>
      <c r="F4217" t="s">
        <v>154</v>
      </c>
      <c r="G4217">
        <v>4430</v>
      </c>
      <c r="I4217">
        <v>0</v>
      </c>
    </row>
    <row r="4218" spans="1:11" hidden="1" x14ac:dyDescent="0.25">
      <c r="A4218" s="210" t="s">
        <v>1596</v>
      </c>
      <c r="B4218">
        <v>38</v>
      </c>
      <c r="C4218" s="100">
        <v>46176</v>
      </c>
      <c r="D4218" t="s">
        <v>84</v>
      </c>
      <c r="E4218" t="s">
        <v>17</v>
      </c>
      <c r="F4218" t="s">
        <v>2476</v>
      </c>
      <c r="G4218">
        <v>934</v>
      </c>
      <c r="H4218">
        <v>-1000</v>
      </c>
      <c r="I4218">
        <v>-934000</v>
      </c>
    </row>
    <row r="4219" spans="1:11" hidden="1" x14ac:dyDescent="0.25">
      <c r="A4219" s="210" t="s">
        <v>1524</v>
      </c>
      <c r="B4219">
        <v>37</v>
      </c>
      <c r="C4219" s="100">
        <v>46121</v>
      </c>
      <c r="D4219" t="s">
        <v>426</v>
      </c>
      <c r="E4219" t="s">
        <v>93</v>
      </c>
      <c r="F4219" t="s">
        <v>416</v>
      </c>
      <c r="G4219">
        <v>1752</v>
      </c>
      <c r="I4219">
        <v>0</v>
      </c>
    </row>
    <row r="4220" spans="1:11" hidden="1" x14ac:dyDescent="0.25">
      <c r="A4220" s="210" t="s">
        <v>1524</v>
      </c>
      <c r="B4220">
        <v>36</v>
      </c>
      <c r="C4220" s="100">
        <v>46126</v>
      </c>
      <c r="D4220" t="s">
        <v>426</v>
      </c>
      <c r="E4220" t="s">
        <v>540</v>
      </c>
      <c r="F4220" t="s">
        <v>62</v>
      </c>
      <c r="G4220">
        <v>3626</v>
      </c>
      <c r="I4220">
        <v>0</v>
      </c>
    </row>
    <row r="4221" spans="1:11" hidden="1" x14ac:dyDescent="0.25">
      <c r="A4221" s="210" t="s">
        <v>1524</v>
      </c>
      <c r="B4221">
        <v>33</v>
      </c>
      <c r="C4221" s="100">
        <v>46115</v>
      </c>
      <c r="D4221" t="s">
        <v>426</v>
      </c>
      <c r="E4221" t="s">
        <v>135</v>
      </c>
      <c r="F4221" t="s">
        <v>148</v>
      </c>
      <c r="G4221">
        <v>5375</v>
      </c>
      <c r="I4221">
        <v>0</v>
      </c>
    </row>
    <row r="4222" spans="1:11" hidden="1" x14ac:dyDescent="0.25">
      <c r="A4222" s="210" t="s">
        <v>1524</v>
      </c>
      <c r="B4222">
        <v>32</v>
      </c>
      <c r="C4222" s="100">
        <v>46115</v>
      </c>
      <c r="D4222" t="s">
        <v>426</v>
      </c>
      <c r="E4222" t="s">
        <v>540</v>
      </c>
      <c r="F4222" t="s">
        <v>637</v>
      </c>
      <c r="G4222">
        <v>2340</v>
      </c>
      <c r="I4222">
        <v>0</v>
      </c>
    </row>
    <row r="4223" spans="1:11" hidden="1" x14ac:dyDescent="0.25">
      <c r="A4223" s="210" t="s">
        <v>1524</v>
      </c>
      <c r="B4223">
        <v>31</v>
      </c>
      <c r="C4223" s="100">
        <v>46114</v>
      </c>
      <c r="D4223" t="s">
        <v>426</v>
      </c>
      <c r="E4223" t="s">
        <v>277</v>
      </c>
      <c r="F4223" t="s">
        <v>148</v>
      </c>
      <c r="G4223">
        <v>4546</v>
      </c>
      <c r="I4223">
        <v>0</v>
      </c>
    </row>
    <row r="4224" spans="1:11" hidden="1" x14ac:dyDescent="0.25">
      <c r="A4224" s="210" t="s">
        <v>1596</v>
      </c>
      <c r="B4224">
        <v>7</v>
      </c>
      <c r="C4224" s="100">
        <v>46167</v>
      </c>
      <c r="D4224" t="s">
        <v>426</v>
      </c>
      <c r="E4224" t="s">
        <v>93</v>
      </c>
      <c r="F4224">
        <v>0.5</v>
      </c>
      <c r="G4224">
        <v>7287</v>
      </c>
      <c r="I4224">
        <v>0</v>
      </c>
    </row>
    <row r="4225" spans="1:11" hidden="1" x14ac:dyDescent="0.25">
      <c r="A4225" s="210" t="s">
        <v>1524</v>
      </c>
      <c r="B4225">
        <v>5</v>
      </c>
      <c r="C4225" s="100">
        <v>46169</v>
      </c>
      <c r="D4225" t="s">
        <v>426</v>
      </c>
      <c r="E4225" t="s">
        <v>93</v>
      </c>
      <c r="F4225" t="s">
        <v>661</v>
      </c>
      <c r="G4225">
        <v>3162</v>
      </c>
      <c r="H4225">
        <v>-550</v>
      </c>
      <c r="I4225">
        <v>-1739100</v>
      </c>
    </row>
    <row r="4226" spans="1:11" hidden="1" x14ac:dyDescent="0.25">
      <c r="A4226" s="210" t="s">
        <v>1524</v>
      </c>
      <c r="B4226">
        <v>3</v>
      </c>
      <c r="C4226" s="100">
        <v>46095</v>
      </c>
      <c r="D4226" t="s">
        <v>426</v>
      </c>
      <c r="E4226" t="s">
        <v>93</v>
      </c>
      <c r="F4226" t="s">
        <v>62</v>
      </c>
      <c r="G4226">
        <v>2190</v>
      </c>
      <c r="I4226">
        <v>0</v>
      </c>
    </row>
    <row r="4227" spans="1:11" hidden="1" x14ac:dyDescent="0.25">
      <c r="A4227" s="210" t="s">
        <v>1596</v>
      </c>
      <c r="B4227">
        <v>1</v>
      </c>
      <c r="C4227" s="100">
        <v>46165</v>
      </c>
      <c r="D4227" t="s">
        <v>84</v>
      </c>
      <c r="E4227" t="s">
        <v>26</v>
      </c>
      <c r="F4227" t="s">
        <v>62</v>
      </c>
      <c r="G4227">
        <v>1989</v>
      </c>
      <c r="H4227">
        <v>-2300</v>
      </c>
      <c r="I4227">
        <v>-4574700</v>
      </c>
    </row>
    <row r="4228" spans="1:11" hidden="1" x14ac:dyDescent="0.25">
      <c r="A4228" s="210" t="s">
        <v>1524</v>
      </c>
      <c r="B4228">
        <v>0</v>
      </c>
      <c r="C4228" s="100">
        <v>46121</v>
      </c>
      <c r="D4228" t="s">
        <v>426</v>
      </c>
      <c r="E4228" t="s">
        <v>169</v>
      </c>
      <c r="F4228" t="s">
        <v>148</v>
      </c>
      <c r="G4228">
        <v>572</v>
      </c>
      <c r="I4228">
        <v>0</v>
      </c>
    </row>
    <row r="4229" spans="1:11" hidden="1" x14ac:dyDescent="0.25">
      <c r="A4229" s="210" t="s">
        <v>1524</v>
      </c>
      <c r="B4229">
        <v>0</v>
      </c>
      <c r="C4229" s="100">
        <v>46129</v>
      </c>
      <c r="D4229" t="s">
        <v>654</v>
      </c>
      <c r="E4229" t="s">
        <v>24</v>
      </c>
      <c r="G4229">
        <v>0</v>
      </c>
      <c r="H4229">
        <v>0</v>
      </c>
      <c r="I4229">
        <v>0</v>
      </c>
      <c r="J4229">
        <v>-109550000</v>
      </c>
    </row>
    <row r="4230" spans="1:11" hidden="1" x14ac:dyDescent="0.25">
      <c r="A4230" s="210" t="s">
        <v>1643</v>
      </c>
      <c r="B4230">
        <v>0</v>
      </c>
      <c r="C4230" s="100">
        <v>46120</v>
      </c>
      <c r="D4230" t="s">
        <v>84</v>
      </c>
      <c r="E4230" t="s">
        <v>93</v>
      </c>
      <c r="G4230">
        <v>1606</v>
      </c>
      <c r="H4230">
        <v>-311.33250311329999</v>
      </c>
      <c r="I4230">
        <v>-499999.99999995978</v>
      </c>
    </row>
    <row r="4231" spans="1:11" hidden="1" x14ac:dyDescent="0.25">
      <c r="A4231" s="210" t="s">
        <v>1724</v>
      </c>
      <c r="B4231">
        <v>0</v>
      </c>
      <c r="C4231" s="100">
        <v>46119</v>
      </c>
      <c r="D4231" t="s">
        <v>692</v>
      </c>
      <c r="E4231" t="s">
        <v>109</v>
      </c>
      <c r="F4231" t="s">
        <v>1470</v>
      </c>
      <c r="G4231">
        <v>3695</v>
      </c>
      <c r="H4231">
        <v>-52500</v>
      </c>
      <c r="I4231">
        <v>-193987500</v>
      </c>
    </row>
    <row r="4232" spans="1:11" hidden="1" x14ac:dyDescent="0.25">
      <c r="A4232" s="210" t="s">
        <v>1475</v>
      </c>
      <c r="C4232" s="100">
        <v>46158</v>
      </c>
      <c r="D4232" t="s">
        <v>13</v>
      </c>
      <c r="E4232" t="s">
        <v>2029</v>
      </c>
      <c r="G4232">
        <v>1</v>
      </c>
      <c r="H4232">
        <v>4554000</v>
      </c>
      <c r="I4232">
        <v>4554000</v>
      </c>
    </row>
    <row r="4233" spans="1:11" hidden="1" x14ac:dyDescent="0.25">
      <c r="A4233" s="210" t="s">
        <v>1476</v>
      </c>
      <c r="C4233" s="100">
        <v>46099</v>
      </c>
      <c r="D4233" t="s">
        <v>654</v>
      </c>
      <c r="I4233">
        <v>0</v>
      </c>
      <c r="J4233">
        <v>-4473000</v>
      </c>
    </row>
    <row r="4234" spans="1:11" hidden="1" x14ac:dyDescent="0.25">
      <c r="A4234" s="210" t="s">
        <v>1476</v>
      </c>
      <c r="C4234" s="100">
        <v>46128</v>
      </c>
      <c r="D4234" t="s">
        <v>654</v>
      </c>
      <c r="I4234">
        <v>0</v>
      </c>
      <c r="J4234">
        <v>-21260000</v>
      </c>
    </row>
    <row r="4235" spans="1:11" hidden="1" x14ac:dyDescent="0.25">
      <c r="A4235" s="210" t="s">
        <v>1478</v>
      </c>
      <c r="C4235" s="100">
        <v>46132</v>
      </c>
      <c r="D4235" t="s">
        <v>654</v>
      </c>
      <c r="E4235" t="s">
        <v>22</v>
      </c>
      <c r="F4235" t="s">
        <v>2067</v>
      </c>
      <c r="G4235">
        <v>0</v>
      </c>
      <c r="I4235">
        <v>0</v>
      </c>
      <c r="J4235">
        <v>-3795000</v>
      </c>
    </row>
    <row r="4236" spans="1:11" hidden="1" x14ac:dyDescent="0.25">
      <c r="A4236" s="210" t="s">
        <v>1512</v>
      </c>
      <c r="C4236" s="100">
        <v>46121</v>
      </c>
      <c r="D4236" t="s">
        <v>654</v>
      </c>
      <c r="E4236" t="s">
        <v>22</v>
      </c>
      <c r="F4236" t="s">
        <v>2067</v>
      </c>
      <c r="G4236">
        <v>0</v>
      </c>
      <c r="I4236">
        <v>0</v>
      </c>
      <c r="J4236">
        <v>-1551000</v>
      </c>
    </row>
    <row r="4237" spans="1:11" hidden="1" x14ac:dyDescent="0.25">
      <c r="A4237" s="210" t="s">
        <v>1520</v>
      </c>
      <c r="C4237" s="100">
        <v>46101</v>
      </c>
      <c r="D4237" t="s">
        <v>692</v>
      </c>
      <c r="E4237" t="s">
        <v>2074</v>
      </c>
      <c r="F4237" t="s">
        <v>254</v>
      </c>
      <c r="G4237">
        <v>2854</v>
      </c>
      <c r="H4237">
        <v>-32000</v>
      </c>
      <c r="I4237">
        <v>-91328000</v>
      </c>
    </row>
    <row r="4238" spans="1:11" hidden="1" x14ac:dyDescent="0.25">
      <c r="A4238" s="210" t="s">
        <v>1524</v>
      </c>
      <c r="C4238" s="100">
        <v>46101</v>
      </c>
      <c r="D4238" t="s">
        <v>2214</v>
      </c>
      <c r="E4238" t="s">
        <v>24</v>
      </c>
      <c r="G4238">
        <v>0</v>
      </c>
      <c r="I4238">
        <v>0</v>
      </c>
      <c r="J4238">
        <v>-78310000</v>
      </c>
    </row>
    <row r="4239" spans="1:11" hidden="1" x14ac:dyDescent="0.25">
      <c r="A4239" s="210" t="s">
        <v>1524</v>
      </c>
      <c r="C4239" s="100">
        <v>46139</v>
      </c>
      <c r="D4239" t="s">
        <v>654</v>
      </c>
      <c r="E4239" t="s">
        <v>22</v>
      </c>
      <c r="F4239" t="s">
        <v>2067</v>
      </c>
      <c r="G4239">
        <v>0</v>
      </c>
      <c r="I4239">
        <v>0</v>
      </c>
      <c r="J4239">
        <v>-113520000</v>
      </c>
      <c r="K4239">
        <v>-113520000</v>
      </c>
    </row>
    <row r="4240" spans="1:11" hidden="1" x14ac:dyDescent="0.25">
      <c r="A4240" s="210" t="s">
        <v>1524</v>
      </c>
      <c r="C4240" s="100">
        <v>46168</v>
      </c>
      <c r="D4240" t="s">
        <v>2214</v>
      </c>
      <c r="E4240" t="s">
        <v>24</v>
      </c>
      <c r="G4240">
        <v>0</v>
      </c>
      <c r="I4240">
        <v>0</v>
      </c>
      <c r="J4240">
        <v>-126494000</v>
      </c>
    </row>
    <row r="4241" spans="1:11" hidden="1" x14ac:dyDescent="0.25">
      <c r="A4241" s="210" t="s">
        <v>1530</v>
      </c>
      <c r="C4241" s="100">
        <v>46132</v>
      </c>
      <c r="D4241" t="s">
        <v>654</v>
      </c>
      <c r="E4241" t="s">
        <v>22</v>
      </c>
      <c r="F4241" t="s">
        <v>83</v>
      </c>
      <c r="G4241">
        <v>0</v>
      </c>
      <c r="I4241">
        <v>0</v>
      </c>
      <c r="J4241">
        <v>-380000000</v>
      </c>
    </row>
    <row r="4242" spans="1:11" hidden="1" x14ac:dyDescent="0.25">
      <c r="A4242" s="210" t="s">
        <v>1530</v>
      </c>
      <c r="C4242" s="100">
        <v>46136</v>
      </c>
      <c r="D4242" t="s">
        <v>654</v>
      </c>
      <c r="E4242" t="s">
        <v>22</v>
      </c>
      <c r="F4242" t="s">
        <v>83</v>
      </c>
      <c r="G4242">
        <v>0</v>
      </c>
      <c r="I4242">
        <v>0</v>
      </c>
      <c r="J4242">
        <v>-180000000</v>
      </c>
    </row>
    <row r="4243" spans="1:11" hidden="1" x14ac:dyDescent="0.25">
      <c r="A4243" s="210" t="s">
        <v>1530</v>
      </c>
      <c r="C4243" s="100">
        <v>46136</v>
      </c>
      <c r="D4243" t="s">
        <v>654</v>
      </c>
      <c r="E4243" t="s">
        <v>22</v>
      </c>
      <c r="F4243" t="s">
        <v>261</v>
      </c>
      <c r="G4243">
        <v>0</v>
      </c>
      <c r="I4243">
        <v>0</v>
      </c>
      <c r="J4243">
        <v>-300000000</v>
      </c>
    </row>
    <row r="4244" spans="1:11" hidden="1" x14ac:dyDescent="0.25">
      <c r="A4244" s="210" t="s">
        <v>1531</v>
      </c>
      <c r="C4244" s="100">
        <v>46120</v>
      </c>
      <c r="D4244" t="s">
        <v>725</v>
      </c>
      <c r="E4244" t="s">
        <v>22</v>
      </c>
      <c r="F4244" t="s">
        <v>47</v>
      </c>
      <c r="G4244">
        <v>0</v>
      </c>
      <c r="I4244">
        <v>0</v>
      </c>
      <c r="J4244">
        <v>20000000</v>
      </c>
    </row>
    <row r="4245" spans="1:11" hidden="1" x14ac:dyDescent="0.25">
      <c r="A4245" s="210" t="s">
        <v>1531</v>
      </c>
      <c r="C4245" s="100">
        <v>46140</v>
      </c>
      <c r="D4245" t="s">
        <v>680</v>
      </c>
      <c r="G4245">
        <v>113</v>
      </c>
      <c r="H4245">
        <v>-55000</v>
      </c>
      <c r="I4245">
        <v>-6215000</v>
      </c>
      <c r="J4245">
        <v>328140</v>
      </c>
    </row>
    <row r="4246" spans="1:11" hidden="1" x14ac:dyDescent="0.25">
      <c r="A4246" s="210" t="s">
        <v>1531</v>
      </c>
      <c r="G4246">
        <v>2950</v>
      </c>
      <c r="I4246">
        <v>0</v>
      </c>
      <c r="K4246">
        <v>302450000</v>
      </c>
    </row>
    <row r="4247" spans="1:11" hidden="1" x14ac:dyDescent="0.25">
      <c r="A4247" s="210" t="s">
        <v>1532</v>
      </c>
      <c r="C4247" s="100">
        <v>46092</v>
      </c>
      <c r="D4247" t="s">
        <v>426</v>
      </c>
      <c r="E4247" t="s">
        <v>26</v>
      </c>
      <c r="F4247" t="s">
        <v>733</v>
      </c>
      <c r="G4247">
        <v>17036</v>
      </c>
      <c r="I4247">
        <v>0</v>
      </c>
    </row>
    <row r="4248" spans="1:11" hidden="1" x14ac:dyDescent="0.25">
      <c r="A4248" s="210" t="s">
        <v>1577</v>
      </c>
      <c r="C4248" s="100">
        <v>46108</v>
      </c>
      <c r="D4248" t="s">
        <v>2029</v>
      </c>
      <c r="G4248">
        <v>1</v>
      </c>
      <c r="H4248">
        <v>37360000</v>
      </c>
      <c r="I4248">
        <v>37360000</v>
      </c>
    </row>
    <row r="4249" spans="1:11" hidden="1" x14ac:dyDescent="0.25">
      <c r="A4249" s="210" t="s">
        <v>1579</v>
      </c>
      <c r="C4249" s="100">
        <v>46163</v>
      </c>
      <c r="D4249" t="s">
        <v>2214</v>
      </c>
      <c r="E4249" t="s">
        <v>22</v>
      </c>
      <c r="F4249" t="s">
        <v>261</v>
      </c>
      <c r="G4249">
        <v>0</v>
      </c>
      <c r="I4249">
        <v>0</v>
      </c>
      <c r="J4249">
        <v>311201085</v>
      </c>
    </row>
    <row r="4250" spans="1:11" hidden="1" x14ac:dyDescent="0.25">
      <c r="A4250" s="210" t="s">
        <v>1579</v>
      </c>
      <c r="C4250" s="100">
        <v>46163</v>
      </c>
      <c r="D4250" t="s">
        <v>2214</v>
      </c>
      <c r="E4250" t="s">
        <v>22</v>
      </c>
      <c r="F4250" t="s">
        <v>83</v>
      </c>
      <c r="G4250">
        <v>0</v>
      </c>
      <c r="I4250">
        <v>0</v>
      </c>
      <c r="J4250">
        <v>-57049674</v>
      </c>
    </row>
    <row r="4251" spans="1:11" hidden="1" x14ac:dyDescent="0.25">
      <c r="A4251" s="210" t="s">
        <v>1643</v>
      </c>
      <c r="C4251" s="100">
        <v>46151</v>
      </c>
      <c r="D4251" t="s">
        <v>84</v>
      </c>
      <c r="E4251" t="s">
        <v>2003</v>
      </c>
      <c r="F4251" t="s">
        <v>1255</v>
      </c>
      <c r="G4251">
        <v>122</v>
      </c>
      <c r="H4251">
        <v>-2000</v>
      </c>
      <c r="I4251">
        <v>-244000</v>
      </c>
    </row>
    <row r="4252" spans="1:11" hidden="1" x14ac:dyDescent="0.25">
      <c r="A4252" s="210" t="s">
        <v>1643</v>
      </c>
      <c r="C4252" s="100">
        <v>46172</v>
      </c>
      <c r="D4252" t="s">
        <v>84</v>
      </c>
      <c r="E4252" t="s">
        <v>26</v>
      </c>
      <c r="F4252" t="s">
        <v>2525</v>
      </c>
      <c r="G4252">
        <v>377</v>
      </c>
      <c r="I4252">
        <v>0</v>
      </c>
    </row>
    <row r="4253" spans="1:11" hidden="1" x14ac:dyDescent="0.25">
      <c r="A4253" s="210" t="s">
        <v>1643</v>
      </c>
      <c r="C4253" s="100">
        <v>46172</v>
      </c>
      <c r="D4253" t="s">
        <v>426</v>
      </c>
      <c r="E4253" t="s">
        <v>26</v>
      </c>
      <c r="F4253" t="s">
        <v>2525</v>
      </c>
      <c r="G4253">
        <v>332</v>
      </c>
      <c r="I4253">
        <v>0</v>
      </c>
    </row>
    <row r="4254" spans="1:11" hidden="1" x14ac:dyDescent="0.25">
      <c r="A4254" s="210" t="s">
        <v>1596</v>
      </c>
      <c r="C4254" s="100">
        <v>46088</v>
      </c>
      <c r="D4254" t="s">
        <v>2214</v>
      </c>
      <c r="E4254" t="s">
        <v>24</v>
      </c>
      <c r="G4254">
        <v>0</v>
      </c>
      <c r="I4254">
        <v>0</v>
      </c>
      <c r="J4254">
        <v>-4598000</v>
      </c>
    </row>
    <row r="4255" spans="1:11" hidden="1" x14ac:dyDescent="0.25">
      <c r="A4255" s="210" t="s">
        <v>1596</v>
      </c>
      <c r="C4255" s="100">
        <v>46120</v>
      </c>
      <c r="D4255" t="s">
        <v>2214</v>
      </c>
      <c r="E4255" t="s">
        <v>22</v>
      </c>
      <c r="F4255" t="s">
        <v>2067</v>
      </c>
      <c r="G4255">
        <v>0</v>
      </c>
      <c r="I4255">
        <v>0</v>
      </c>
      <c r="J4255">
        <v>-8926000</v>
      </c>
    </row>
    <row r="4256" spans="1:11" hidden="1" x14ac:dyDescent="0.25">
      <c r="A4256" s="210" t="s">
        <v>1596</v>
      </c>
      <c r="C4256" s="100">
        <v>46157</v>
      </c>
      <c r="D4256" t="s">
        <v>2214</v>
      </c>
      <c r="E4256" t="s">
        <v>22</v>
      </c>
      <c r="F4256" t="s">
        <v>2158</v>
      </c>
      <c r="G4256">
        <v>0</v>
      </c>
      <c r="I4256">
        <v>0</v>
      </c>
      <c r="J4256">
        <v>-19000000</v>
      </c>
    </row>
    <row r="4257" spans="1:10" hidden="1" x14ac:dyDescent="0.25">
      <c r="A4257" s="210" t="s">
        <v>1607</v>
      </c>
      <c r="C4257" s="100">
        <v>46154</v>
      </c>
      <c r="D4257" t="s">
        <v>654</v>
      </c>
      <c r="E4257" t="s">
        <v>22</v>
      </c>
      <c r="F4257" t="s">
        <v>2134</v>
      </c>
      <c r="G4257">
        <v>0</v>
      </c>
      <c r="I4257">
        <v>0</v>
      </c>
      <c r="J4257">
        <v>-877026158</v>
      </c>
    </row>
    <row r="4258" spans="1:10" hidden="1" x14ac:dyDescent="0.25">
      <c r="A4258" s="210" t="s">
        <v>1607</v>
      </c>
      <c r="C4258" s="100">
        <v>46158</v>
      </c>
      <c r="D4258" t="s">
        <v>2214</v>
      </c>
      <c r="E4258" t="s">
        <v>22</v>
      </c>
      <c r="F4258" t="s">
        <v>83</v>
      </c>
      <c r="G4258">
        <v>0</v>
      </c>
      <c r="I4258">
        <v>0</v>
      </c>
      <c r="J4258">
        <v>-67600533</v>
      </c>
    </row>
    <row r="4259" spans="1:10" hidden="1" x14ac:dyDescent="0.25">
      <c r="A4259" s="210" t="s">
        <v>1628</v>
      </c>
      <c r="C4259" s="100">
        <v>46090</v>
      </c>
      <c r="D4259" t="s">
        <v>2214</v>
      </c>
      <c r="G4259">
        <v>0</v>
      </c>
      <c r="I4259">
        <v>0</v>
      </c>
      <c r="J4259">
        <v>-1482857689</v>
      </c>
    </row>
    <row r="4260" spans="1:10" hidden="1" x14ac:dyDescent="0.25">
      <c r="A4260" s="210" t="s">
        <v>1628</v>
      </c>
      <c r="C4260" s="100">
        <v>46093</v>
      </c>
      <c r="D4260" t="s">
        <v>692</v>
      </c>
      <c r="E4260" t="s">
        <v>1029</v>
      </c>
      <c r="F4260" t="s">
        <v>1205</v>
      </c>
      <c r="G4260">
        <v>17931</v>
      </c>
      <c r="H4260">
        <v>-21500</v>
      </c>
      <c r="I4260">
        <v>-385516500</v>
      </c>
    </row>
    <row r="4261" spans="1:10" hidden="1" x14ac:dyDescent="0.25">
      <c r="A4261" s="210" t="s">
        <v>1638</v>
      </c>
      <c r="C4261" s="100">
        <v>46128</v>
      </c>
      <c r="D4261" t="s">
        <v>426</v>
      </c>
      <c r="E4261" t="s">
        <v>17</v>
      </c>
      <c r="F4261" t="s">
        <v>78</v>
      </c>
      <c r="G4261">
        <v>1088</v>
      </c>
      <c r="H4261">
        <v>-66000</v>
      </c>
      <c r="I4261">
        <v>-71808000</v>
      </c>
    </row>
    <row r="4262" spans="1:10" hidden="1" x14ac:dyDescent="0.25">
      <c r="A4262" s="210" t="s">
        <v>2016</v>
      </c>
      <c r="C4262" s="100">
        <v>46088</v>
      </c>
      <c r="D4262" t="s">
        <v>2214</v>
      </c>
      <c r="E4262" t="s">
        <v>22</v>
      </c>
      <c r="F4262" t="s">
        <v>83</v>
      </c>
      <c r="G4262">
        <v>0</v>
      </c>
      <c r="I4262">
        <v>0</v>
      </c>
      <c r="J4262">
        <v>-100000000</v>
      </c>
    </row>
    <row r="4263" spans="1:10" hidden="1" x14ac:dyDescent="0.25">
      <c r="A4263" s="210" t="s">
        <v>2016</v>
      </c>
      <c r="C4263" s="100">
        <v>46094</v>
      </c>
      <c r="D4263" t="s">
        <v>2214</v>
      </c>
      <c r="E4263" t="s">
        <v>22</v>
      </c>
      <c r="F4263" t="s">
        <v>83</v>
      </c>
      <c r="G4263">
        <v>0</v>
      </c>
      <c r="I4263">
        <v>0</v>
      </c>
      <c r="J4263">
        <v>-100000000</v>
      </c>
    </row>
    <row r="4264" spans="1:10" hidden="1" x14ac:dyDescent="0.25">
      <c r="A4264" s="210" t="s">
        <v>2016</v>
      </c>
      <c r="C4264" s="100">
        <v>46101</v>
      </c>
      <c r="D4264" t="s">
        <v>2214</v>
      </c>
      <c r="E4264" t="s">
        <v>22</v>
      </c>
      <c r="F4264" t="s">
        <v>147</v>
      </c>
      <c r="G4264">
        <v>0</v>
      </c>
      <c r="I4264">
        <v>0</v>
      </c>
      <c r="J4264">
        <v>-100000000</v>
      </c>
    </row>
    <row r="4265" spans="1:10" hidden="1" x14ac:dyDescent="0.25">
      <c r="A4265" s="210" t="s">
        <v>2016</v>
      </c>
      <c r="C4265" s="100">
        <v>46108</v>
      </c>
      <c r="D4265" t="s">
        <v>2214</v>
      </c>
      <c r="E4265" t="s">
        <v>22</v>
      </c>
      <c r="F4265" t="s">
        <v>83</v>
      </c>
      <c r="G4265">
        <v>0</v>
      </c>
      <c r="I4265">
        <v>0</v>
      </c>
      <c r="J4265">
        <v>-100000000</v>
      </c>
    </row>
    <row r="4266" spans="1:10" hidden="1" x14ac:dyDescent="0.25">
      <c r="A4266" s="210" t="s">
        <v>2016</v>
      </c>
      <c r="C4266" s="100">
        <v>46115</v>
      </c>
      <c r="D4266" t="s">
        <v>654</v>
      </c>
      <c r="E4266" t="s">
        <v>22</v>
      </c>
      <c r="F4266" t="s">
        <v>147</v>
      </c>
      <c r="G4266">
        <v>0</v>
      </c>
      <c r="I4266">
        <v>0</v>
      </c>
      <c r="J4266">
        <v>-100000000</v>
      </c>
    </row>
    <row r="4267" spans="1:10" hidden="1" x14ac:dyDescent="0.25">
      <c r="A4267" s="210" t="s">
        <v>2016</v>
      </c>
      <c r="C4267" s="100">
        <v>46122</v>
      </c>
      <c r="D4267" t="s">
        <v>654</v>
      </c>
      <c r="E4267" t="s">
        <v>22</v>
      </c>
      <c r="F4267" t="s">
        <v>147</v>
      </c>
      <c r="G4267">
        <v>0</v>
      </c>
      <c r="I4267">
        <v>0</v>
      </c>
      <c r="J4267">
        <v>-100000000</v>
      </c>
    </row>
    <row r="4268" spans="1:10" hidden="1" x14ac:dyDescent="0.25">
      <c r="A4268" s="210" t="s">
        <v>2016</v>
      </c>
      <c r="C4268" s="100">
        <v>46129</v>
      </c>
      <c r="D4268" t="s">
        <v>2214</v>
      </c>
      <c r="E4268" t="s">
        <v>22</v>
      </c>
      <c r="F4268" t="s">
        <v>261</v>
      </c>
      <c r="G4268">
        <v>0</v>
      </c>
      <c r="I4268">
        <v>0</v>
      </c>
      <c r="J4268">
        <v>-100000000</v>
      </c>
    </row>
    <row r="4269" spans="1:10" hidden="1" x14ac:dyDescent="0.25">
      <c r="A4269" s="210" t="s">
        <v>2016</v>
      </c>
      <c r="C4269" s="100">
        <v>46136</v>
      </c>
      <c r="D4269" t="s">
        <v>2214</v>
      </c>
      <c r="E4269" t="s">
        <v>22</v>
      </c>
      <c r="F4269" t="s">
        <v>83</v>
      </c>
      <c r="G4269">
        <v>0</v>
      </c>
      <c r="I4269">
        <v>0</v>
      </c>
      <c r="J4269">
        <v>-100000000</v>
      </c>
    </row>
    <row r="4270" spans="1:10" hidden="1" x14ac:dyDescent="0.25">
      <c r="A4270" s="210" t="s">
        <v>2016</v>
      </c>
      <c r="C4270" s="100">
        <v>46141</v>
      </c>
      <c r="D4270" t="s">
        <v>2214</v>
      </c>
      <c r="E4270" t="s">
        <v>22</v>
      </c>
      <c r="F4270" t="s">
        <v>261</v>
      </c>
      <c r="G4270">
        <v>0</v>
      </c>
      <c r="I4270">
        <v>0</v>
      </c>
      <c r="J4270">
        <v>-100000000</v>
      </c>
    </row>
    <row r="4271" spans="1:10" hidden="1" x14ac:dyDescent="0.25">
      <c r="A4271" s="210" t="s">
        <v>2016</v>
      </c>
      <c r="C4271" s="100">
        <v>46153</v>
      </c>
      <c r="D4271" t="s">
        <v>2214</v>
      </c>
      <c r="E4271" t="s">
        <v>22</v>
      </c>
      <c r="F4271" t="s">
        <v>83</v>
      </c>
      <c r="G4271">
        <v>0</v>
      </c>
      <c r="I4271">
        <v>0</v>
      </c>
      <c r="J4271">
        <v>-100000000</v>
      </c>
    </row>
    <row r="4272" spans="1:10" hidden="1" x14ac:dyDescent="0.25">
      <c r="A4272" s="210" t="s">
        <v>2016</v>
      </c>
      <c r="C4272" s="100">
        <v>46158</v>
      </c>
      <c r="D4272" t="s">
        <v>2214</v>
      </c>
      <c r="E4272" t="s">
        <v>22</v>
      </c>
      <c r="F4272" t="s">
        <v>83</v>
      </c>
      <c r="G4272">
        <v>0</v>
      </c>
      <c r="I4272">
        <v>0</v>
      </c>
      <c r="J4272">
        <v>-100000000</v>
      </c>
    </row>
    <row r="4273" spans="1:10" hidden="1" x14ac:dyDescent="0.25">
      <c r="A4273" s="210" t="s">
        <v>2016</v>
      </c>
      <c r="C4273" s="100">
        <v>46164</v>
      </c>
      <c r="D4273" t="s">
        <v>2214</v>
      </c>
      <c r="E4273" t="s">
        <v>22</v>
      </c>
      <c r="F4273" t="s">
        <v>83</v>
      </c>
      <c r="G4273">
        <v>0</v>
      </c>
      <c r="I4273">
        <v>0</v>
      </c>
      <c r="J4273">
        <v>-100000000</v>
      </c>
    </row>
    <row r="4274" spans="1:10" hidden="1" x14ac:dyDescent="0.25">
      <c r="A4274" s="210" t="s">
        <v>2016</v>
      </c>
      <c r="C4274" s="100">
        <v>46171</v>
      </c>
      <c r="D4274" t="s">
        <v>2214</v>
      </c>
      <c r="E4274" t="s">
        <v>22</v>
      </c>
      <c r="F4274" t="s">
        <v>83</v>
      </c>
      <c r="G4274">
        <v>0</v>
      </c>
      <c r="I4274">
        <v>0</v>
      </c>
      <c r="J4274">
        <v>-100000000</v>
      </c>
    </row>
    <row r="4275" spans="1:10" hidden="1" x14ac:dyDescent="0.25">
      <c r="A4275" s="210" t="s">
        <v>1672</v>
      </c>
      <c r="C4275" s="100">
        <v>46088</v>
      </c>
      <c r="D4275" t="s">
        <v>2214</v>
      </c>
      <c r="E4275" t="s">
        <v>22</v>
      </c>
      <c r="F4275" t="s">
        <v>83</v>
      </c>
      <c r="G4275">
        <v>0</v>
      </c>
      <c r="I4275">
        <v>0</v>
      </c>
      <c r="J4275">
        <v>-100000000</v>
      </c>
    </row>
    <row r="4276" spans="1:10" hidden="1" x14ac:dyDescent="0.25">
      <c r="A4276" s="210" t="s">
        <v>1672</v>
      </c>
      <c r="C4276" s="100">
        <v>46094</v>
      </c>
      <c r="D4276" t="s">
        <v>2214</v>
      </c>
      <c r="E4276" t="s">
        <v>22</v>
      </c>
      <c r="F4276" t="s">
        <v>83</v>
      </c>
      <c r="G4276">
        <v>0</v>
      </c>
      <c r="I4276">
        <v>0</v>
      </c>
      <c r="J4276">
        <v>-70000000</v>
      </c>
    </row>
    <row r="4277" spans="1:10" hidden="1" x14ac:dyDescent="0.25">
      <c r="A4277" s="210" t="s">
        <v>1672</v>
      </c>
      <c r="C4277" s="100">
        <v>46101</v>
      </c>
      <c r="D4277" t="s">
        <v>2214</v>
      </c>
      <c r="E4277" t="s">
        <v>22</v>
      </c>
      <c r="F4277" t="s">
        <v>83</v>
      </c>
      <c r="G4277">
        <v>0</v>
      </c>
      <c r="I4277">
        <v>0</v>
      </c>
      <c r="J4277">
        <v>-135235000</v>
      </c>
    </row>
    <row r="4278" spans="1:10" hidden="1" x14ac:dyDescent="0.25">
      <c r="A4278" s="210" t="s">
        <v>1672</v>
      </c>
      <c r="C4278" s="100">
        <v>46133</v>
      </c>
      <c r="D4278" t="s">
        <v>2214</v>
      </c>
      <c r="E4278" t="s">
        <v>22</v>
      </c>
      <c r="F4278" t="s">
        <v>2067</v>
      </c>
      <c r="G4278">
        <v>0</v>
      </c>
      <c r="I4278">
        <v>0</v>
      </c>
      <c r="J4278">
        <v>-2483000</v>
      </c>
    </row>
    <row r="4279" spans="1:10" hidden="1" x14ac:dyDescent="0.25">
      <c r="A4279" s="210" t="s">
        <v>1672</v>
      </c>
      <c r="C4279" s="100">
        <v>46139</v>
      </c>
      <c r="D4279" t="s">
        <v>2214</v>
      </c>
      <c r="E4279" t="s">
        <v>22</v>
      </c>
      <c r="G4279">
        <v>0</v>
      </c>
      <c r="I4279">
        <v>0</v>
      </c>
      <c r="J4279">
        <v>31682000</v>
      </c>
    </row>
    <row r="4280" spans="1:10" hidden="1" x14ac:dyDescent="0.25">
      <c r="A4280" s="210" t="s">
        <v>1689</v>
      </c>
      <c r="C4280" s="100">
        <v>46157</v>
      </c>
      <c r="D4280" t="s">
        <v>426</v>
      </c>
      <c r="E4280" t="s">
        <v>43</v>
      </c>
      <c r="F4280" t="s">
        <v>140</v>
      </c>
      <c r="G4280">
        <v>1520</v>
      </c>
      <c r="H4280">
        <v>-55000</v>
      </c>
      <c r="I4280">
        <v>-83600000</v>
      </c>
    </row>
    <row r="4281" spans="1:10" hidden="1" x14ac:dyDescent="0.25">
      <c r="A4281" s="210" t="s">
        <v>1697</v>
      </c>
      <c r="C4281" s="100">
        <v>46134</v>
      </c>
      <c r="D4281" t="s">
        <v>2214</v>
      </c>
      <c r="E4281" t="s">
        <v>24</v>
      </c>
      <c r="G4281">
        <v>0</v>
      </c>
      <c r="I4281">
        <v>0</v>
      </c>
      <c r="J4281">
        <v>-10830000</v>
      </c>
    </row>
    <row r="4282" spans="1:10" hidden="1" x14ac:dyDescent="0.25">
      <c r="A4282" s="210" t="s">
        <v>1697</v>
      </c>
      <c r="C4282" s="100">
        <v>46136</v>
      </c>
      <c r="D4282" t="s">
        <v>2214</v>
      </c>
      <c r="E4282" t="s">
        <v>22</v>
      </c>
      <c r="F4282" t="s">
        <v>83</v>
      </c>
      <c r="G4282">
        <v>0</v>
      </c>
      <c r="I4282">
        <v>0</v>
      </c>
      <c r="J4282">
        <v>-150000000</v>
      </c>
    </row>
    <row r="4283" spans="1:10" hidden="1" x14ac:dyDescent="0.25">
      <c r="A4283" s="210" t="s">
        <v>1697</v>
      </c>
      <c r="C4283" s="100">
        <v>46146</v>
      </c>
      <c r="D4283" t="s">
        <v>2214</v>
      </c>
      <c r="E4283" t="s">
        <v>24</v>
      </c>
      <c r="G4283">
        <v>0</v>
      </c>
      <c r="I4283">
        <v>0</v>
      </c>
      <c r="J4283">
        <v>-1550000</v>
      </c>
    </row>
    <row r="4284" spans="1:10" hidden="1" x14ac:dyDescent="0.25">
      <c r="A4284" s="210" t="s">
        <v>1697</v>
      </c>
      <c r="C4284" s="100">
        <v>46153</v>
      </c>
      <c r="D4284" t="s">
        <v>2214</v>
      </c>
      <c r="E4284" t="s">
        <v>22</v>
      </c>
      <c r="F4284" t="s">
        <v>83</v>
      </c>
      <c r="G4284">
        <v>0</v>
      </c>
      <c r="I4284">
        <v>0</v>
      </c>
      <c r="J4284">
        <v>-150000000</v>
      </c>
    </row>
    <row r="4285" spans="1:10" hidden="1" x14ac:dyDescent="0.25">
      <c r="A4285" s="210" t="s">
        <v>1697</v>
      </c>
      <c r="C4285" s="100">
        <v>46158</v>
      </c>
      <c r="D4285" t="s">
        <v>2214</v>
      </c>
      <c r="E4285" t="s">
        <v>22</v>
      </c>
      <c r="F4285" t="s">
        <v>83</v>
      </c>
      <c r="G4285">
        <v>0</v>
      </c>
      <c r="I4285">
        <v>0</v>
      </c>
      <c r="J4285">
        <v>-100000000</v>
      </c>
    </row>
    <row r="4286" spans="1:10" hidden="1" x14ac:dyDescent="0.25">
      <c r="A4286" s="210" t="s">
        <v>1697</v>
      </c>
      <c r="C4286" s="100">
        <v>46164</v>
      </c>
      <c r="D4286" t="s">
        <v>2214</v>
      </c>
      <c r="E4286" t="s">
        <v>24</v>
      </c>
      <c r="G4286">
        <v>0</v>
      </c>
      <c r="I4286">
        <v>0</v>
      </c>
      <c r="J4286">
        <v>-4402000</v>
      </c>
    </row>
    <row r="4287" spans="1:10" hidden="1" x14ac:dyDescent="0.25">
      <c r="A4287" s="210" t="s">
        <v>1697</v>
      </c>
      <c r="C4287" s="100">
        <v>46164</v>
      </c>
      <c r="D4287" t="s">
        <v>2214</v>
      </c>
      <c r="E4287" t="s">
        <v>22</v>
      </c>
      <c r="F4287" t="s">
        <v>83</v>
      </c>
      <c r="G4287">
        <v>0</v>
      </c>
      <c r="I4287">
        <v>0</v>
      </c>
      <c r="J4287">
        <v>-150000000</v>
      </c>
    </row>
    <row r="4288" spans="1:10" hidden="1" x14ac:dyDescent="0.25">
      <c r="A4288" s="210" t="s">
        <v>1697</v>
      </c>
      <c r="C4288" s="100">
        <v>46171</v>
      </c>
      <c r="D4288" t="s">
        <v>2214</v>
      </c>
      <c r="E4288" t="s">
        <v>22</v>
      </c>
      <c r="F4288" t="s">
        <v>83</v>
      </c>
      <c r="G4288">
        <v>0</v>
      </c>
      <c r="I4288">
        <v>0</v>
      </c>
      <c r="J4288">
        <v>-150000000</v>
      </c>
    </row>
    <row r="4289" spans="1:10" hidden="1" x14ac:dyDescent="0.25">
      <c r="A4289" s="210" t="s">
        <v>1702</v>
      </c>
      <c r="C4289" s="100">
        <v>46087</v>
      </c>
      <c r="D4289" t="s">
        <v>692</v>
      </c>
      <c r="E4289" t="s">
        <v>77</v>
      </c>
      <c r="F4289" t="s">
        <v>339</v>
      </c>
      <c r="G4289">
        <v>1993</v>
      </c>
      <c r="H4289">
        <v>-30000</v>
      </c>
      <c r="I4289">
        <v>-59790000</v>
      </c>
    </row>
    <row r="4290" spans="1:10" hidden="1" x14ac:dyDescent="0.25">
      <c r="A4290" s="210" t="s">
        <v>1702</v>
      </c>
      <c r="C4290" s="100">
        <v>46094</v>
      </c>
      <c r="D4290" t="s">
        <v>2214</v>
      </c>
      <c r="E4290" t="s">
        <v>22</v>
      </c>
      <c r="F4290" t="s">
        <v>83</v>
      </c>
      <c r="G4290">
        <v>0</v>
      </c>
      <c r="I4290">
        <v>0</v>
      </c>
      <c r="J4290">
        <v>-59790598</v>
      </c>
    </row>
    <row r="4291" spans="1:10" hidden="1" x14ac:dyDescent="0.25">
      <c r="A4291" s="210" t="s">
        <v>1702</v>
      </c>
      <c r="C4291" s="100">
        <v>46097</v>
      </c>
      <c r="D4291" t="s">
        <v>692</v>
      </c>
      <c r="E4291" t="s">
        <v>77</v>
      </c>
      <c r="F4291" t="s">
        <v>1420</v>
      </c>
      <c r="G4291">
        <v>613</v>
      </c>
      <c r="H4291">
        <v>-31000</v>
      </c>
      <c r="I4291">
        <v>-19003000</v>
      </c>
    </row>
    <row r="4292" spans="1:10" hidden="1" x14ac:dyDescent="0.25">
      <c r="A4292" s="210" t="s">
        <v>1702</v>
      </c>
      <c r="C4292" s="100">
        <v>46106</v>
      </c>
      <c r="D4292" t="s">
        <v>692</v>
      </c>
      <c r="E4292" t="s">
        <v>26</v>
      </c>
      <c r="F4292" t="s">
        <v>1421</v>
      </c>
      <c r="G4292">
        <v>2500</v>
      </c>
      <c r="H4292">
        <v>-34000</v>
      </c>
      <c r="I4292">
        <v>-85000000</v>
      </c>
      <c r="J4292">
        <v>471</v>
      </c>
    </row>
    <row r="4293" spans="1:10" hidden="1" x14ac:dyDescent="0.25">
      <c r="A4293" s="210" t="s">
        <v>1702</v>
      </c>
      <c r="C4293" s="100">
        <v>46123</v>
      </c>
      <c r="D4293" t="s">
        <v>2214</v>
      </c>
      <c r="E4293" t="s">
        <v>22</v>
      </c>
      <c r="F4293" t="s">
        <v>83</v>
      </c>
      <c r="G4293">
        <v>0</v>
      </c>
      <c r="I4293">
        <v>0</v>
      </c>
      <c r="J4293">
        <v>-104002873</v>
      </c>
    </row>
    <row r="4294" spans="1:10" hidden="1" x14ac:dyDescent="0.25">
      <c r="A4294" s="210" t="s">
        <v>1704</v>
      </c>
      <c r="C4294" s="100">
        <v>46090</v>
      </c>
      <c r="D4294" t="s">
        <v>1423</v>
      </c>
      <c r="E4294" t="s">
        <v>1424</v>
      </c>
      <c r="F4294" t="s">
        <v>1425</v>
      </c>
      <c r="G4294">
        <v>1</v>
      </c>
      <c r="H4294">
        <v>30000000</v>
      </c>
      <c r="I4294">
        <v>30000000</v>
      </c>
    </row>
    <row r="4295" spans="1:10" hidden="1" x14ac:dyDescent="0.25">
      <c r="A4295" s="210" t="s">
        <v>1704</v>
      </c>
      <c r="C4295" s="100">
        <v>46109</v>
      </c>
      <c r="D4295" t="s">
        <v>2214</v>
      </c>
      <c r="E4295" t="s">
        <v>24</v>
      </c>
      <c r="G4295">
        <v>0</v>
      </c>
      <c r="I4295">
        <v>0</v>
      </c>
      <c r="J4295">
        <v>-6340000</v>
      </c>
    </row>
    <row r="4296" spans="1:10" hidden="1" x14ac:dyDescent="0.25">
      <c r="A4296" s="210" t="s">
        <v>1704</v>
      </c>
      <c r="C4296" s="100">
        <v>46115</v>
      </c>
      <c r="D4296" t="s">
        <v>2214</v>
      </c>
      <c r="E4296" t="s">
        <v>22</v>
      </c>
      <c r="F4296" t="s">
        <v>147</v>
      </c>
      <c r="G4296">
        <v>0</v>
      </c>
      <c r="I4296">
        <v>0</v>
      </c>
      <c r="J4296">
        <v>-137500000</v>
      </c>
    </row>
    <row r="4297" spans="1:10" hidden="1" x14ac:dyDescent="0.25">
      <c r="A4297" s="210" t="s">
        <v>1705</v>
      </c>
      <c r="C4297" s="100">
        <v>46136</v>
      </c>
      <c r="D4297" t="s">
        <v>654</v>
      </c>
      <c r="E4297" t="s">
        <v>22</v>
      </c>
      <c r="F4297" t="s">
        <v>83</v>
      </c>
      <c r="G4297">
        <v>0</v>
      </c>
      <c r="I4297">
        <v>0</v>
      </c>
      <c r="J4297">
        <v>-68978000</v>
      </c>
    </row>
    <row r="4298" spans="1:10" hidden="1" x14ac:dyDescent="0.25">
      <c r="A4298" s="210" t="s">
        <v>1706</v>
      </c>
      <c r="C4298" s="100">
        <v>46136</v>
      </c>
      <c r="D4298" t="s">
        <v>2214</v>
      </c>
      <c r="E4298" t="s">
        <v>22</v>
      </c>
      <c r="F4298" t="s">
        <v>147</v>
      </c>
      <c r="G4298">
        <v>0</v>
      </c>
      <c r="I4298">
        <v>0</v>
      </c>
      <c r="J4298">
        <v>-500000000</v>
      </c>
    </row>
    <row r="4299" spans="1:10" hidden="1" x14ac:dyDescent="0.25">
      <c r="A4299" s="210" t="s">
        <v>1706</v>
      </c>
      <c r="C4299" s="100">
        <v>46140</v>
      </c>
      <c r="D4299" t="s">
        <v>2214</v>
      </c>
      <c r="E4299" t="s">
        <v>22</v>
      </c>
      <c r="F4299" t="s">
        <v>147</v>
      </c>
      <c r="G4299">
        <v>0</v>
      </c>
      <c r="I4299">
        <v>0</v>
      </c>
      <c r="J4299">
        <v>-978849558</v>
      </c>
    </row>
    <row r="4300" spans="1:10" hidden="1" x14ac:dyDescent="0.25">
      <c r="A4300" s="210" t="s">
        <v>1706</v>
      </c>
      <c r="C4300" s="100">
        <v>46150</v>
      </c>
      <c r="D4300" t="s">
        <v>2214</v>
      </c>
      <c r="E4300" t="s">
        <v>22</v>
      </c>
      <c r="F4300" t="s">
        <v>147</v>
      </c>
      <c r="G4300">
        <v>0</v>
      </c>
      <c r="I4300">
        <v>0</v>
      </c>
      <c r="J4300">
        <v>-500000000</v>
      </c>
    </row>
    <row r="4301" spans="1:10" hidden="1" x14ac:dyDescent="0.25">
      <c r="A4301" s="210" t="s">
        <v>1706</v>
      </c>
      <c r="C4301" s="100">
        <v>46154</v>
      </c>
      <c r="D4301" t="s">
        <v>2214</v>
      </c>
      <c r="E4301" t="s">
        <v>22</v>
      </c>
      <c r="F4301" t="s">
        <v>2134</v>
      </c>
      <c r="G4301">
        <v>0</v>
      </c>
      <c r="I4301">
        <v>0</v>
      </c>
      <c r="J4301">
        <v>-797259486</v>
      </c>
    </row>
    <row r="4302" spans="1:10" hidden="1" x14ac:dyDescent="0.25">
      <c r="A4302" s="210" t="s">
        <v>1706</v>
      </c>
      <c r="C4302" s="100">
        <v>46172</v>
      </c>
      <c r="D4302" t="s">
        <v>2214</v>
      </c>
      <c r="E4302" t="s">
        <v>22</v>
      </c>
      <c r="F4302" t="s">
        <v>83</v>
      </c>
      <c r="G4302">
        <v>0</v>
      </c>
      <c r="I4302">
        <v>0</v>
      </c>
      <c r="J4302">
        <v>-284188000</v>
      </c>
    </row>
    <row r="4303" spans="1:10" hidden="1" x14ac:dyDescent="0.25">
      <c r="A4303" s="210" t="s">
        <v>1724</v>
      </c>
      <c r="C4303" s="100">
        <v>46127</v>
      </c>
      <c r="D4303" t="s">
        <v>2214</v>
      </c>
      <c r="E4303" t="s">
        <v>22</v>
      </c>
      <c r="F4303" t="s">
        <v>83</v>
      </c>
      <c r="G4303">
        <v>0</v>
      </c>
      <c r="I4303">
        <v>0</v>
      </c>
      <c r="J4303">
        <v>-193986392</v>
      </c>
    </row>
    <row r="4304" spans="1:10" hidden="1" x14ac:dyDescent="0.25">
      <c r="A4304" s="210" t="s">
        <v>1724</v>
      </c>
      <c r="C4304" s="100">
        <v>46153</v>
      </c>
      <c r="D4304" t="s">
        <v>2214</v>
      </c>
      <c r="E4304" t="s">
        <v>22</v>
      </c>
      <c r="F4304" t="s">
        <v>83</v>
      </c>
      <c r="G4304">
        <v>0</v>
      </c>
      <c r="I4304">
        <v>0</v>
      </c>
      <c r="J4304">
        <v>-101954417</v>
      </c>
    </row>
    <row r="4305" spans="1:11" hidden="1" x14ac:dyDescent="0.25">
      <c r="A4305" s="210" t="s">
        <v>1725</v>
      </c>
      <c r="C4305" s="100">
        <v>46147</v>
      </c>
      <c r="D4305" t="s">
        <v>654</v>
      </c>
      <c r="E4305" t="s">
        <v>22</v>
      </c>
      <c r="F4305" t="s">
        <v>2067</v>
      </c>
      <c r="G4305">
        <v>0</v>
      </c>
      <c r="I4305">
        <v>0</v>
      </c>
      <c r="J4305">
        <v>-2097000</v>
      </c>
    </row>
    <row r="4306" spans="1:11" hidden="1" x14ac:dyDescent="0.25">
      <c r="A4306" s="210" t="s">
        <v>2162</v>
      </c>
      <c r="C4306" s="100">
        <v>46150</v>
      </c>
      <c r="D4306" t="s">
        <v>84</v>
      </c>
      <c r="E4306" t="s">
        <v>2065</v>
      </c>
      <c r="F4306" t="s">
        <v>462</v>
      </c>
      <c r="G4306">
        <v>3106</v>
      </c>
      <c r="H4306">
        <v>35000</v>
      </c>
      <c r="I4306">
        <v>108710000</v>
      </c>
      <c r="K4306" t="s">
        <v>42</v>
      </c>
    </row>
    <row r="4307" spans="1:11" hidden="1" x14ac:dyDescent="0.25">
      <c r="A4307" s="210" t="s">
        <v>2138</v>
      </c>
      <c r="C4307" s="100">
        <v>46157</v>
      </c>
      <c r="D4307" t="s">
        <v>654</v>
      </c>
      <c r="E4307" t="s">
        <v>22</v>
      </c>
      <c r="F4307" t="s">
        <v>2134</v>
      </c>
      <c r="I4307">
        <v>0</v>
      </c>
      <c r="J4307">
        <v>-1646494933</v>
      </c>
    </row>
    <row r="4308" spans="1:11" hidden="1" x14ac:dyDescent="0.25">
      <c r="A4308" s="210" t="s">
        <v>2138</v>
      </c>
      <c r="C4308" s="100">
        <v>46163</v>
      </c>
      <c r="D4308" t="s">
        <v>2214</v>
      </c>
      <c r="E4308" t="s">
        <v>22</v>
      </c>
      <c r="F4308" t="s">
        <v>261</v>
      </c>
      <c r="G4308">
        <v>0</v>
      </c>
      <c r="I4308">
        <v>0</v>
      </c>
      <c r="J4308">
        <v>-651756081</v>
      </c>
    </row>
    <row r="4309" spans="1:11" hidden="1" x14ac:dyDescent="0.25">
      <c r="A4309" s="210" t="s">
        <v>2138</v>
      </c>
      <c r="C4309" s="100">
        <v>46163</v>
      </c>
      <c r="D4309" t="s">
        <v>2214</v>
      </c>
      <c r="E4309" t="s">
        <v>22</v>
      </c>
      <c r="F4309" t="s">
        <v>261</v>
      </c>
      <c r="G4309">
        <v>0</v>
      </c>
      <c r="I4309">
        <v>0</v>
      </c>
      <c r="J4309">
        <v>-1628577987</v>
      </c>
    </row>
    <row r="4310" spans="1:11" hidden="1" x14ac:dyDescent="0.25">
      <c r="A4310" s="210" t="s">
        <v>2179</v>
      </c>
      <c r="C4310" s="100">
        <v>46148</v>
      </c>
      <c r="D4310" t="s">
        <v>692</v>
      </c>
      <c r="E4310" t="s">
        <v>1965</v>
      </c>
      <c r="F4310" t="s">
        <v>2174</v>
      </c>
      <c r="G4310">
        <v>204.8</v>
      </c>
      <c r="H4310">
        <v>-69500</v>
      </c>
      <c r="I4310">
        <v>-14233600</v>
      </c>
    </row>
    <row r="4311" spans="1:11" hidden="1" x14ac:dyDescent="0.25">
      <c r="A4311" s="210" t="s">
        <v>2179</v>
      </c>
      <c r="C4311" s="100">
        <v>46148</v>
      </c>
      <c r="D4311" t="s">
        <v>692</v>
      </c>
      <c r="E4311" t="s">
        <v>1965</v>
      </c>
      <c r="F4311" t="s">
        <v>2175</v>
      </c>
      <c r="G4311">
        <v>90.8</v>
      </c>
      <c r="H4311">
        <v>-68000</v>
      </c>
      <c r="I4311">
        <v>-6174400</v>
      </c>
    </row>
    <row r="4312" spans="1:11" hidden="1" x14ac:dyDescent="0.25">
      <c r="A4312" s="210" t="s">
        <v>2179</v>
      </c>
      <c r="C4312" s="100">
        <v>46148</v>
      </c>
      <c r="D4312" t="s">
        <v>692</v>
      </c>
      <c r="E4312" t="s">
        <v>1965</v>
      </c>
      <c r="F4312" t="s">
        <v>2176</v>
      </c>
      <c r="G4312">
        <v>19</v>
      </c>
      <c r="H4312">
        <v>-67500</v>
      </c>
      <c r="I4312">
        <v>-1282500</v>
      </c>
    </row>
    <row r="4313" spans="1:11" hidden="1" x14ac:dyDescent="0.25">
      <c r="A4313" s="210" t="s">
        <v>2348</v>
      </c>
      <c r="I4313">
        <v>0</v>
      </c>
    </row>
    <row r="4314" spans="1:11" hidden="1" x14ac:dyDescent="0.25">
      <c r="A4314" s="210" t="s">
        <v>2471</v>
      </c>
      <c r="I4314">
        <v>0</v>
      </c>
    </row>
    <row r="4315" spans="1:11" hidden="1" x14ac:dyDescent="0.25">
      <c r="A4315" s="210" t="s">
        <v>2510</v>
      </c>
      <c r="C4315" s="100">
        <v>46171</v>
      </c>
      <c r="D4315" t="s">
        <v>13</v>
      </c>
      <c r="E4315" t="s">
        <v>27</v>
      </c>
      <c r="F4315" t="s">
        <v>2511</v>
      </c>
      <c r="G4315">
        <v>1858</v>
      </c>
      <c r="H4315">
        <v>500</v>
      </c>
      <c r="I4315">
        <v>929000</v>
      </c>
    </row>
    <row r="4316" spans="1:11" hidden="1" x14ac:dyDescent="0.25">
      <c r="A4316" s="210" t="s">
        <v>2510</v>
      </c>
      <c r="C4316" s="100">
        <v>46171</v>
      </c>
      <c r="D4316" t="s">
        <v>13</v>
      </c>
      <c r="E4316" t="s">
        <v>27</v>
      </c>
      <c r="F4316" t="s">
        <v>191</v>
      </c>
      <c r="G4316">
        <v>1456</v>
      </c>
      <c r="H4316">
        <v>500</v>
      </c>
      <c r="I4316">
        <v>728000</v>
      </c>
    </row>
    <row r="4317" spans="1:11" hidden="1" x14ac:dyDescent="0.25">
      <c r="A4317" s="210" t="s">
        <v>2515</v>
      </c>
      <c r="I4317">
        <v>0</v>
      </c>
    </row>
    <row r="4318" spans="1:11" hidden="1" x14ac:dyDescent="0.25">
      <c r="A4318" s="210" t="s">
        <v>2582</v>
      </c>
      <c r="C4318" s="100">
        <v>46160</v>
      </c>
      <c r="D4318" t="s">
        <v>2214</v>
      </c>
      <c r="E4318" t="s">
        <v>260</v>
      </c>
      <c r="F4318" t="s">
        <v>261</v>
      </c>
      <c r="G4318">
        <v>0</v>
      </c>
      <c r="I4318">
        <v>0</v>
      </c>
      <c r="J4318">
        <v>-195155391</v>
      </c>
    </row>
    <row r="4319" spans="1:11" hidden="1" x14ac:dyDescent="0.25">
      <c r="A4319" s="210" t="s">
        <v>2582</v>
      </c>
      <c r="C4319" s="100">
        <v>46169</v>
      </c>
      <c r="D4319" t="s">
        <v>2214</v>
      </c>
      <c r="E4319" t="s">
        <v>260</v>
      </c>
      <c r="F4319" t="s">
        <v>261</v>
      </c>
      <c r="G4319">
        <v>0</v>
      </c>
      <c r="I4319">
        <v>0</v>
      </c>
      <c r="J4319">
        <v>-210097017</v>
      </c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04DDB4-5F99-4E9E-A510-BBDDBEA689B2}">
  <sheetPr codeName="Sheet158"/>
  <dimension ref="A1:Z312"/>
  <sheetViews>
    <sheetView topLeftCell="A96" workbookViewId="0">
      <selection activeCell="K103" sqref="K103"/>
    </sheetView>
  </sheetViews>
  <sheetFormatPr defaultRowHeight="15" x14ac:dyDescent="0.25"/>
  <cols>
    <col min="8" max="9" width="29.42578125" bestFit="1" customWidth="1"/>
    <col min="10" max="10" width="19" bestFit="1" customWidth="1"/>
    <col min="11" max="11" width="17.7109375" customWidth="1"/>
  </cols>
  <sheetData>
    <row r="1" spans="1:26" ht="13.5" customHeight="1" x14ac:dyDescent="0.25">
      <c r="A1" s="40"/>
      <c r="Z1" t="s">
        <v>1475</v>
      </c>
    </row>
    <row r="2" spans="1:26" x14ac:dyDescent="0.25">
      <c r="Z2" t="s">
        <v>1476</v>
      </c>
    </row>
    <row r="3" spans="1:26" x14ac:dyDescent="0.25">
      <c r="Z3" t="s">
        <v>1477</v>
      </c>
    </row>
    <row r="4" spans="1:26" x14ac:dyDescent="0.25">
      <c r="Z4" t="s">
        <v>1478</v>
      </c>
    </row>
    <row r="5" spans="1:26" x14ac:dyDescent="0.25">
      <c r="Z5" t="s">
        <v>1479</v>
      </c>
    </row>
    <row r="6" spans="1:26" x14ac:dyDescent="0.25">
      <c r="Z6" t="s">
        <v>1480</v>
      </c>
    </row>
    <row r="7" spans="1:26" x14ac:dyDescent="0.25">
      <c r="Z7" t="s">
        <v>1481</v>
      </c>
    </row>
    <row r="8" spans="1:26" x14ac:dyDescent="0.25">
      <c r="H8" s="77" t="s">
        <v>1482</v>
      </c>
      <c r="I8" s="78" t="s">
        <v>21</v>
      </c>
      <c r="J8" s="76" t="s">
        <v>1483</v>
      </c>
      <c r="K8" s="79" t="s">
        <v>1484</v>
      </c>
      <c r="L8" s="78" t="s">
        <v>1912</v>
      </c>
      <c r="M8" s="78" t="s">
        <v>1914</v>
      </c>
      <c r="N8" s="78" t="s">
        <v>2071</v>
      </c>
      <c r="O8" s="78" t="s">
        <v>2292</v>
      </c>
      <c r="P8" s="78" t="s">
        <v>2302</v>
      </c>
      <c r="Z8" t="s">
        <v>1485</v>
      </c>
    </row>
    <row r="9" spans="1:26" x14ac:dyDescent="0.25">
      <c r="H9" s="80" t="s">
        <v>1475</v>
      </c>
      <c r="I9" s="79"/>
      <c r="J9" s="79"/>
      <c r="K9" s="79"/>
      <c r="L9" s="78"/>
      <c r="M9" s="78"/>
      <c r="N9" s="78"/>
      <c r="O9" s="78"/>
      <c r="P9" s="78"/>
      <c r="Z9" t="s">
        <v>1486</v>
      </c>
    </row>
    <row r="10" spans="1:26" ht="15.75" x14ac:dyDescent="0.25">
      <c r="B10" t="s">
        <v>1735</v>
      </c>
      <c r="D10" s="81" t="s">
        <v>261</v>
      </c>
      <c r="E10" t="s">
        <v>22</v>
      </c>
      <c r="H10" s="80" t="s">
        <v>1476</v>
      </c>
      <c r="I10" s="79"/>
      <c r="J10" s="79"/>
      <c r="K10" s="79"/>
      <c r="L10" s="79"/>
      <c r="M10" s="79"/>
      <c r="N10" s="79"/>
      <c r="O10" s="79"/>
      <c r="P10" s="79"/>
      <c r="Z10" t="s">
        <v>1487</v>
      </c>
    </row>
    <row r="11" spans="1:26" ht="15.75" x14ac:dyDescent="0.25">
      <c r="B11" t="s">
        <v>13</v>
      </c>
      <c r="D11" s="81" t="s">
        <v>147</v>
      </c>
      <c r="E11" t="s">
        <v>260</v>
      </c>
      <c r="H11" s="80" t="s">
        <v>1477</v>
      </c>
      <c r="I11" s="79"/>
      <c r="J11" s="79"/>
      <c r="K11" s="79"/>
      <c r="L11" s="79"/>
      <c r="M11" s="79"/>
      <c r="N11" s="79"/>
      <c r="O11" s="79"/>
      <c r="P11" s="79"/>
      <c r="Z11" t="s">
        <v>1488</v>
      </c>
    </row>
    <row r="12" spans="1:26" ht="15.75" x14ac:dyDescent="0.25">
      <c r="B12" t="s">
        <v>692</v>
      </c>
      <c r="D12" s="81" t="s">
        <v>83</v>
      </c>
      <c r="E12" t="s">
        <v>2157</v>
      </c>
      <c r="H12" s="80" t="s">
        <v>1478</v>
      </c>
      <c r="I12" s="79"/>
      <c r="J12" s="79"/>
      <c r="K12" s="79"/>
      <c r="L12" s="79"/>
      <c r="M12" s="79"/>
      <c r="N12" s="79"/>
      <c r="O12" s="79"/>
      <c r="P12" s="79"/>
      <c r="Z12" t="s">
        <v>1489</v>
      </c>
    </row>
    <row r="13" spans="1:26" ht="15.75" x14ac:dyDescent="0.25">
      <c r="B13" t="s">
        <v>49</v>
      </c>
      <c r="D13" s="81" t="s">
        <v>2134</v>
      </c>
      <c r="H13" s="80" t="s">
        <v>1479</v>
      </c>
      <c r="I13" s="79" t="s">
        <v>1480</v>
      </c>
      <c r="J13" s="79" t="s">
        <v>1481</v>
      </c>
      <c r="K13" s="79"/>
      <c r="L13" s="79"/>
      <c r="M13" s="79"/>
      <c r="N13" s="79"/>
      <c r="O13" s="79"/>
      <c r="P13" s="79"/>
      <c r="Z13" t="s">
        <v>1490</v>
      </c>
    </row>
    <row r="14" spans="1:26" ht="15.75" x14ac:dyDescent="0.25">
      <c r="B14" t="s">
        <v>84</v>
      </c>
      <c r="D14" s="81" t="s">
        <v>726</v>
      </c>
      <c r="H14" s="80" t="s">
        <v>1485</v>
      </c>
      <c r="I14" s="79" t="s">
        <v>1486</v>
      </c>
      <c r="J14" s="79"/>
      <c r="K14" s="79"/>
      <c r="L14" s="79"/>
      <c r="M14" s="79"/>
      <c r="N14" s="79"/>
      <c r="O14" s="79"/>
      <c r="P14" s="79"/>
      <c r="Z14" t="s">
        <v>1491</v>
      </c>
    </row>
    <row r="15" spans="1:26" ht="15.75" x14ac:dyDescent="0.25">
      <c r="B15" t="s">
        <v>166</v>
      </c>
      <c r="D15" s="81" t="s">
        <v>47</v>
      </c>
      <c r="H15" s="80" t="s">
        <v>1487</v>
      </c>
      <c r="I15" s="79"/>
      <c r="J15" s="79"/>
      <c r="K15" s="79"/>
      <c r="L15" s="79"/>
      <c r="M15" s="79"/>
      <c r="N15" s="79"/>
      <c r="O15" s="79"/>
      <c r="P15" s="79"/>
      <c r="Z15" t="s">
        <v>1492</v>
      </c>
    </row>
    <row r="16" spans="1:26" ht="15.75" x14ac:dyDescent="0.25">
      <c r="B16" t="s">
        <v>242</v>
      </c>
      <c r="D16" s="81" t="s">
        <v>2158</v>
      </c>
      <c r="H16" s="80" t="s">
        <v>1488</v>
      </c>
      <c r="I16" s="79"/>
      <c r="J16" s="79"/>
      <c r="K16" s="79"/>
      <c r="L16" s="79"/>
      <c r="M16" s="79"/>
      <c r="N16" s="79"/>
      <c r="O16" s="79"/>
      <c r="P16" s="79"/>
      <c r="Z16" t="s">
        <v>1493</v>
      </c>
    </row>
    <row r="17" spans="2:26" ht="15.75" x14ac:dyDescent="0.25">
      <c r="B17" t="s">
        <v>680</v>
      </c>
      <c r="D17" s="81" t="s">
        <v>2067</v>
      </c>
      <c r="H17" s="80" t="s">
        <v>1489</v>
      </c>
      <c r="I17" s="79"/>
      <c r="J17" s="79"/>
      <c r="K17" s="79"/>
      <c r="L17" s="79"/>
      <c r="M17" s="79"/>
      <c r="N17" s="79"/>
      <c r="O17" s="79"/>
      <c r="P17" s="79"/>
      <c r="Z17" t="s">
        <v>2069</v>
      </c>
    </row>
    <row r="18" spans="2:26" ht="15.75" x14ac:dyDescent="0.25">
      <c r="B18" t="s">
        <v>426</v>
      </c>
      <c r="D18" s="81" t="s">
        <v>727</v>
      </c>
      <c r="H18" s="80" t="s">
        <v>1495</v>
      </c>
      <c r="I18" s="79"/>
      <c r="J18" s="79"/>
      <c r="K18" s="79"/>
      <c r="L18" s="79"/>
      <c r="M18" s="79"/>
      <c r="N18" s="79"/>
      <c r="O18" s="79"/>
      <c r="P18" s="79"/>
      <c r="Z18" t="s">
        <v>1494</v>
      </c>
    </row>
    <row r="19" spans="2:26" x14ac:dyDescent="0.25">
      <c r="B19" t="s">
        <v>654</v>
      </c>
      <c r="H19" s="80" t="s">
        <v>1491</v>
      </c>
      <c r="I19" s="79" t="s">
        <v>1492</v>
      </c>
      <c r="J19" s="79"/>
      <c r="K19" s="79"/>
      <c r="L19" s="79"/>
      <c r="M19" s="79"/>
      <c r="N19" s="79"/>
      <c r="O19" s="79"/>
      <c r="P19" s="79"/>
      <c r="Z19" t="s">
        <v>2156</v>
      </c>
    </row>
    <row r="20" spans="2:26" x14ac:dyDescent="0.25">
      <c r="B20" t="s">
        <v>1354</v>
      </c>
      <c r="H20" s="80" t="s">
        <v>1493</v>
      </c>
      <c r="I20" s="79" t="s">
        <v>2069</v>
      </c>
      <c r="J20" s="79"/>
      <c r="K20" s="79"/>
      <c r="L20" s="79"/>
      <c r="M20" s="79"/>
      <c r="N20" s="79"/>
      <c r="O20" s="79"/>
      <c r="P20" s="79"/>
      <c r="Z20" t="s">
        <v>1496</v>
      </c>
    </row>
    <row r="21" spans="2:26" x14ac:dyDescent="0.25">
      <c r="H21" s="80" t="s">
        <v>1494</v>
      </c>
      <c r="I21" s="79" t="s">
        <v>2156</v>
      </c>
      <c r="J21" s="79"/>
      <c r="K21" s="79"/>
      <c r="L21" s="79"/>
      <c r="M21" s="79"/>
      <c r="N21" s="79"/>
      <c r="O21" s="79"/>
      <c r="P21" s="79"/>
      <c r="Z21" t="s">
        <v>1497</v>
      </c>
    </row>
    <row r="22" spans="2:26" x14ac:dyDescent="0.25">
      <c r="H22" s="80" t="s">
        <v>1496</v>
      </c>
      <c r="I22" s="79" t="s">
        <v>1497</v>
      </c>
      <c r="J22" s="79" t="s">
        <v>1498</v>
      </c>
      <c r="K22" s="79"/>
      <c r="L22" s="79"/>
      <c r="M22" s="79"/>
      <c r="N22" s="79"/>
      <c r="O22" s="79"/>
      <c r="P22" s="79"/>
      <c r="Z22" t="s">
        <v>1498</v>
      </c>
    </row>
    <row r="23" spans="2:26" x14ac:dyDescent="0.25">
      <c r="H23" s="80" t="s">
        <v>1499</v>
      </c>
      <c r="I23" s="79" t="s">
        <v>1500</v>
      </c>
      <c r="J23" s="79" t="s">
        <v>1501</v>
      </c>
      <c r="K23" s="79"/>
      <c r="L23" s="79"/>
      <c r="M23" s="79"/>
      <c r="N23" s="79"/>
      <c r="O23" s="79"/>
      <c r="P23" s="79"/>
      <c r="Z23" t="s">
        <v>1499</v>
      </c>
    </row>
    <row r="24" spans="2:26" x14ac:dyDescent="0.25">
      <c r="D24" t="s">
        <v>725</v>
      </c>
      <c r="H24" s="80" t="s">
        <v>1502</v>
      </c>
      <c r="I24" s="79" t="s">
        <v>1503</v>
      </c>
      <c r="J24" s="79"/>
      <c r="K24" s="79"/>
      <c r="L24" s="79"/>
      <c r="M24" s="79"/>
      <c r="N24" s="79"/>
      <c r="O24" s="79"/>
      <c r="P24" s="79"/>
      <c r="Z24" t="s">
        <v>1500</v>
      </c>
    </row>
    <row r="25" spans="2:26" x14ac:dyDescent="0.25">
      <c r="D25" t="s">
        <v>21</v>
      </c>
      <c r="H25" s="80" t="s">
        <v>1504</v>
      </c>
      <c r="I25" s="79"/>
      <c r="J25" s="79"/>
      <c r="K25" s="79"/>
      <c r="L25" s="79"/>
      <c r="M25" s="79"/>
      <c r="N25" s="79"/>
      <c r="O25" s="79"/>
      <c r="P25" s="79"/>
      <c r="Z25" t="s">
        <v>1501</v>
      </c>
    </row>
    <row r="26" spans="2:26" x14ac:dyDescent="0.25">
      <c r="D26" t="s">
        <v>2214</v>
      </c>
      <c r="H26" s="80" t="s">
        <v>1505</v>
      </c>
      <c r="I26" s="79"/>
      <c r="J26" s="79"/>
      <c r="K26" s="79"/>
      <c r="L26" s="79"/>
      <c r="M26" s="79"/>
      <c r="N26" s="79"/>
      <c r="O26" s="79"/>
      <c r="P26" s="79"/>
      <c r="Z26" t="s">
        <v>1502</v>
      </c>
    </row>
    <row r="27" spans="2:26" x14ac:dyDescent="0.25">
      <c r="H27" s="80" t="s">
        <v>1506</v>
      </c>
      <c r="I27" s="79"/>
      <c r="J27" s="79"/>
      <c r="K27" s="79"/>
      <c r="L27" s="79"/>
      <c r="M27" s="79"/>
      <c r="N27" s="79"/>
      <c r="O27" s="79"/>
      <c r="P27" s="79"/>
      <c r="Z27" t="s">
        <v>1503</v>
      </c>
    </row>
    <row r="28" spans="2:26" x14ac:dyDescent="0.25">
      <c r="H28" s="80" t="s">
        <v>1507</v>
      </c>
      <c r="I28" s="79" t="s">
        <v>1508</v>
      </c>
      <c r="J28" s="79"/>
      <c r="K28" s="79"/>
      <c r="L28" s="79"/>
      <c r="M28" s="79"/>
      <c r="N28" s="79"/>
      <c r="O28" s="79"/>
      <c r="P28" s="79"/>
      <c r="Z28" t="s">
        <v>1504</v>
      </c>
    </row>
    <row r="29" spans="2:26" x14ac:dyDescent="0.25">
      <c r="H29" s="80" t="s">
        <v>1509</v>
      </c>
      <c r="I29" s="79" t="s">
        <v>1510</v>
      </c>
      <c r="J29" s="79"/>
      <c r="K29" s="79"/>
      <c r="L29" s="79"/>
      <c r="M29" s="79"/>
      <c r="N29" s="79"/>
      <c r="O29" s="79"/>
      <c r="P29" s="79"/>
      <c r="Z29" t="s">
        <v>1505</v>
      </c>
    </row>
    <row r="30" spans="2:26" x14ac:dyDescent="0.25">
      <c r="H30" s="80" t="s">
        <v>1511</v>
      </c>
      <c r="I30" s="79"/>
      <c r="J30" s="79"/>
      <c r="K30" s="79"/>
      <c r="L30" s="79"/>
      <c r="M30" s="79"/>
      <c r="N30" s="79"/>
      <c r="O30" s="79"/>
      <c r="P30" s="79"/>
      <c r="Z30" t="s">
        <v>1506</v>
      </c>
    </row>
    <row r="31" spans="2:26" x14ac:dyDescent="0.25">
      <c r="H31" s="80" t="s">
        <v>1512</v>
      </c>
      <c r="I31" s="79" t="s">
        <v>1513</v>
      </c>
      <c r="J31" s="79" t="s">
        <v>1514</v>
      </c>
      <c r="K31" s="79"/>
      <c r="L31" s="79"/>
      <c r="M31" s="79"/>
      <c r="N31" s="79"/>
      <c r="O31" s="79"/>
      <c r="P31" s="79"/>
      <c r="Z31" t="s">
        <v>1507</v>
      </c>
    </row>
    <row r="32" spans="2:26" x14ac:dyDescent="0.25">
      <c r="H32" s="80" t="s">
        <v>1515</v>
      </c>
      <c r="I32" s="79"/>
      <c r="J32" s="79"/>
      <c r="K32" s="79"/>
      <c r="L32" s="79"/>
      <c r="M32" s="79"/>
      <c r="N32" s="79"/>
      <c r="O32" s="79"/>
      <c r="P32" s="79"/>
      <c r="Z32" t="s">
        <v>1508</v>
      </c>
    </row>
    <row r="33" spans="8:26" x14ac:dyDescent="0.25">
      <c r="H33" s="80" t="s">
        <v>1516</v>
      </c>
      <c r="I33" s="79" t="s">
        <v>1517</v>
      </c>
      <c r="J33" s="79"/>
      <c r="K33" s="79"/>
      <c r="L33" s="79"/>
      <c r="M33" s="79"/>
      <c r="N33" s="79"/>
      <c r="O33" s="79"/>
      <c r="P33" s="79"/>
      <c r="Z33" t="s">
        <v>1509</v>
      </c>
    </row>
    <row r="34" spans="8:26" x14ac:dyDescent="0.25">
      <c r="H34" s="80" t="s">
        <v>1518</v>
      </c>
      <c r="I34" s="79" t="s">
        <v>1519</v>
      </c>
      <c r="J34" s="79"/>
      <c r="K34" s="79"/>
      <c r="L34" s="79"/>
      <c r="M34" s="79"/>
      <c r="N34" s="79"/>
      <c r="O34" s="79"/>
      <c r="P34" s="79"/>
      <c r="Z34" t="s">
        <v>1510</v>
      </c>
    </row>
    <row r="35" spans="8:26" x14ac:dyDescent="0.25">
      <c r="H35" s="80" t="s">
        <v>1520</v>
      </c>
      <c r="I35" s="79" t="s">
        <v>1521</v>
      </c>
      <c r="J35" s="79" t="s">
        <v>1522</v>
      </c>
      <c r="K35" s="79"/>
      <c r="L35" s="79"/>
      <c r="M35" s="79"/>
      <c r="N35" s="79"/>
      <c r="O35" s="79"/>
      <c r="P35" s="79"/>
      <c r="Z35" t="s">
        <v>1511</v>
      </c>
    </row>
    <row r="36" spans="8:26" x14ac:dyDescent="0.25">
      <c r="H36" s="80" t="s">
        <v>1523</v>
      </c>
      <c r="I36" s="79"/>
      <c r="J36" s="79"/>
      <c r="K36" s="79"/>
      <c r="L36" s="79"/>
      <c r="M36" s="79"/>
      <c r="N36" s="79"/>
      <c r="O36" s="79"/>
      <c r="P36" s="79"/>
      <c r="Z36" t="s">
        <v>1512</v>
      </c>
    </row>
    <row r="37" spans="8:26" x14ac:dyDescent="0.25">
      <c r="H37" s="80" t="s">
        <v>1524</v>
      </c>
      <c r="I37" s="79"/>
      <c r="J37" s="79"/>
      <c r="K37" s="79"/>
      <c r="L37" s="79"/>
      <c r="M37" s="79"/>
      <c r="N37" s="79"/>
      <c r="O37" s="79"/>
      <c r="P37" s="79"/>
      <c r="Z37" t="s">
        <v>1513</v>
      </c>
    </row>
    <row r="38" spans="8:26" x14ac:dyDescent="0.25">
      <c r="H38" s="80" t="s">
        <v>1525</v>
      </c>
      <c r="I38" s="79"/>
      <c r="J38" s="79"/>
      <c r="K38" s="79"/>
      <c r="L38" s="79"/>
      <c r="M38" s="79"/>
      <c r="N38" s="79"/>
      <c r="O38" s="79"/>
      <c r="P38" s="79"/>
      <c r="Z38" t="s">
        <v>1514</v>
      </c>
    </row>
    <row r="39" spans="8:26" x14ac:dyDescent="0.25">
      <c r="H39" s="80" t="s">
        <v>1527</v>
      </c>
      <c r="I39" s="79" t="s">
        <v>1528</v>
      </c>
      <c r="J39" s="79" t="s">
        <v>1529</v>
      </c>
      <c r="K39" s="79"/>
      <c r="L39" s="79"/>
      <c r="M39" s="79"/>
      <c r="N39" s="79"/>
      <c r="O39" s="79"/>
      <c r="P39" s="79"/>
      <c r="Z39" t="s">
        <v>1515</v>
      </c>
    </row>
    <row r="40" spans="8:26" x14ac:dyDescent="0.25">
      <c r="H40" s="80" t="s">
        <v>1530</v>
      </c>
      <c r="I40" s="79" t="s">
        <v>1678</v>
      </c>
      <c r="J40" s="79"/>
      <c r="K40" s="79"/>
      <c r="L40" s="79"/>
      <c r="M40" s="79"/>
      <c r="N40" s="79"/>
      <c r="O40" s="79"/>
      <c r="P40" s="79"/>
      <c r="Z40" t="s">
        <v>1526</v>
      </c>
    </row>
    <row r="41" spans="8:26" x14ac:dyDescent="0.25">
      <c r="H41" s="80" t="s">
        <v>1531</v>
      </c>
      <c r="I41" s="79"/>
      <c r="J41" s="79"/>
      <c r="K41" s="79"/>
      <c r="L41" s="79"/>
      <c r="M41" s="79"/>
      <c r="N41" s="79"/>
      <c r="O41" s="79"/>
      <c r="P41" s="79"/>
      <c r="Z41" t="s">
        <v>1517</v>
      </c>
    </row>
    <row r="42" spans="8:26" x14ac:dyDescent="0.25">
      <c r="H42" s="80" t="s">
        <v>1532</v>
      </c>
      <c r="I42" s="79" t="s">
        <v>1533</v>
      </c>
      <c r="J42" s="79"/>
      <c r="K42" s="79"/>
      <c r="L42" s="79"/>
      <c r="M42" s="79"/>
      <c r="N42" s="79"/>
      <c r="O42" s="79"/>
      <c r="P42" s="79"/>
      <c r="Z42" t="s">
        <v>1518</v>
      </c>
    </row>
    <row r="43" spans="8:26" x14ac:dyDescent="0.25">
      <c r="H43" s="80" t="s">
        <v>1534</v>
      </c>
      <c r="I43" s="79"/>
      <c r="J43" s="79"/>
      <c r="K43" s="79"/>
      <c r="L43" s="79"/>
      <c r="M43" s="79"/>
      <c r="N43" s="79"/>
      <c r="O43" s="79"/>
      <c r="P43" s="79"/>
      <c r="Z43" t="s">
        <v>1519</v>
      </c>
    </row>
    <row r="44" spans="8:26" x14ac:dyDescent="0.25">
      <c r="H44" s="80" t="s">
        <v>1535</v>
      </c>
      <c r="I44" s="79" t="s">
        <v>2031</v>
      </c>
      <c r="J44" s="79"/>
      <c r="K44" s="79"/>
      <c r="L44" s="79"/>
      <c r="M44" s="79"/>
      <c r="N44" s="79"/>
      <c r="O44" s="79"/>
      <c r="P44" s="79"/>
      <c r="Z44" t="s">
        <v>1520</v>
      </c>
    </row>
    <row r="45" spans="8:26" x14ac:dyDescent="0.25">
      <c r="H45" s="80" t="s">
        <v>1536</v>
      </c>
      <c r="I45" s="79" t="s">
        <v>849</v>
      </c>
      <c r="J45" s="79" t="s">
        <v>850</v>
      </c>
      <c r="K45" s="79" t="s">
        <v>1537</v>
      </c>
      <c r="L45" s="79" t="s">
        <v>1911</v>
      </c>
      <c r="M45" s="79" t="s">
        <v>1913</v>
      </c>
      <c r="N45" s="79" t="s">
        <v>2070</v>
      </c>
      <c r="O45" s="79" t="s">
        <v>2291</v>
      </c>
      <c r="P45" s="79" t="s">
        <v>2301</v>
      </c>
      <c r="Z45" t="s">
        <v>1521</v>
      </c>
    </row>
    <row r="46" spans="8:26" x14ac:dyDescent="0.25">
      <c r="H46" s="80" t="s">
        <v>1538</v>
      </c>
      <c r="I46" s="79"/>
      <c r="J46" s="79"/>
      <c r="K46" s="79"/>
      <c r="L46" s="79"/>
      <c r="M46" s="79"/>
      <c r="N46" s="79"/>
      <c r="O46" s="79"/>
      <c r="P46" s="79"/>
      <c r="Z46" t="s">
        <v>1522</v>
      </c>
    </row>
    <row r="47" spans="8:26" x14ac:dyDescent="0.25">
      <c r="H47" s="80" t="s">
        <v>1539</v>
      </c>
      <c r="I47" s="79" t="s">
        <v>1540</v>
      </c>
      <c r="J47" s="79"/>
      <c r="K47" s="79"/>
      <c r="L47" s="79"/>
      <c r="M47" s="79"/>
      <c r="N47" s="79"/>
      <c r="O47" s="79"/>
      <c r="P47" s="79"/>
      <c r="Z47" t="s">
        <v>1523</v>
      </c>
    </row>
    <row r="48" spans="8:26" x14ac:dyDescent="0.25">
      <c r="H48" s="80" t="s">
        <v>1541</v>
      </c>
      <c r="I48" s="79" t="s">
        <v>1542</v>
      </c>
      <c r="J48" s="79"/>
      <c r="K48" s="79"/>
      <c r="L48" s="79"/>
      <c r="M48" s="79"/>
      <c r="N48" s="79"/>
      <c r="O48" s="79"/>
      <c r="P48" s="79"/>
      <c r="Z48" t="s">
        <v>1524</v>
      </c>
    </row>
    <row r="49" spans="8:26" x14ac:dyDescent="0.25">
      <c r="H49" s="80" t="s">
        <v>1543</v>
      </c>
      <c r="I49" s="79"/>
      <c r="J49" s="79"/>
      <c r="K49" s="79"/>
      <c r="L49" s="79"/>
      <c r="M49" s="79"/>
      <c r="N49" s="79"/>
      <c r="O49" s="79"/>
      <c r="P49" s="79"/>
      <c r="Z49" t="s">
        <v>1525</v>
      </c>
    </row>
    <row r="50" spans="8:26" x14ac:dyDescent="0.25">
      <c r="H50" s="80" t="s">
        <v>1544</v>
      </c>
      <c r="I50" s="79"/>
      <c r="J50" s="79"/>
      <c r="K50" s="79"/>
      <c r="L50" s="79"/>
      <c r="M50" s="79"/>
      <c r="N50" s="79"/>
      <c r="O50" s="79"/>
      <c r="P50" s="79"/>
      <c r="Z50" t="s">
        <v>1527</v>
      </c>
    </row>
    <row r="51" spans="8:26" x14ac:dyDescent="0.25">
      <c r="H51" s="80" t="s">
        <v>1545</v>
      </c>
      <c r="I51" s="79" t="s">
        <v>1546</v>
      </c>
      <c r="J51" s="79"/>
      <c r="K51" s="79"/>
      <c r="L51" s="79"/>
      <c r="M51" s="79"/>
      <c r="N51" s="79"/>
      <c r="O51" s="79"/>
      <c r="P51" s="79"/>
      <c r="Z51" t="s">
        <v>1528</v>
      </c>
    </row>
    <row r="52" spans="8:26" x14ac:dyDescent="0.25">
      <c r="H52" s="80" t="s">
        <v>1547</v>
      </c>
      <c r="I52" s="79" t="s">
        <v>2581</v>
      </c>
      <c r="J52" s="79"/>
      <c r="K52" s="79"/>
      <c r="L52" s="79"/>
      <c r="M52" s="79"/>
      <c r="N52" s="79"/>
      <c r="O52" s="79"/>
      <c r="P52" s="79"/>
      <c r="Z52" t="s">
        <v>1529</v>
      </c>
    </row>
    <row r="53" spans="8:26" x14ac:dyDescent="0.25">
      <c r="H53" s="80" t="s">
        <v>1548</v>
      </c>
      <c r="I53" s="79" t="s">
        <v>1549</v>
      </c>
      <c r="J53" s="79" t="s">
        <v>1550</v>
      </c>
      <c r="K53" s="79"/>
      <c r="L53" s="79"/>
      <c r="M53" s="79"/>
      <c r="N53" s="79"/>
      <c r="O53" s="79"/>
      <c r="P53" s="79"/>
      <c r="Z53" t="s">
        <v>1530</v>
      </c>
    </row>
    <row r="54" spans="8:26" x14ac:dyDescent="0.25">
      <c r="H54" s="80" t="s">
        <v>1551</v>
      </c>
      <c r="I54" s="79"/>
      <c r="J54" s="79"/>
      <c r="K54" s="79"/>
      <c r="L54" s="79"/>
      <c r="M54" s="79"/>
      <c r="N54" s="79"/>
      <c r="O54" s="79"/>
      <c r="P54" s="79"/>
      <c r="Z54" t="s">
        <v>1678</v>
      </c>
    </row>
    <row r="55" spans="8:26" x14ac:dyDescent="0.25">
      <c r="H55" s="80" t="s">
        <v>1552</v>
      </c>
      <c r="I55" s="79" t="s">
        <v>1553</v>
      </c>
      <c r="J55" s="79"/>
      <c r="K55" s="79"/>
      <c r="L55" s="79"/>
      <c r="M55" s="79"/>
      <c r="N55" s="79"/>
      <c r="O55" s="79"/>
      <c r="P55" s="79"/>
      <c r="Z55" t="s">
        <v>1531</v>
      </c>
    </row>
    <row r="56" spans="8:26" x14ac:dyDescent="0.25">
      <c r="H56" s="80" t="s">
        <v>1554</v>
      </c>
      <c r="I56" s="79"/>
      <c r="J56" s="79"/>
      <c r="K56" s="79"/>
      <c r="L56" s="79"/>
      <c r="M56" s="79"/>
      <c r="N56" s="79"/>
      <c r="O56" s="79"/>
      <c r="P56" s="79"/>
      <c r="Z56" t="s">
        <v>1532</v>
      </c>
    </row>
    <row r="57" spans="8:26" x14ac:dyDescent="0.25">
      <c r="H57" s="80" t="s">
        <v>1555</v>
      </c>
      <c r="I57" s="79" t="s">
        <v>1880</v>
      </c>
      <c r="J57" s="79"/>
      <c r="K57" s="79"/>
      <c r="L57" s="79"/>
      <c r="M57" s="79"/>
      <c r="N57" s="79"/>
      <c r="O57" s="79"/>
      <c r="P57" s="79"/>
      <c r="Z57" t="s">
        <v>1533</v>
      </c>
    </row>
    <row r="58" spans="8:26" x14ac:dyDescent="0.25">
      <c r="H58" s="80" t="s">
        <v>1556</v>
      </c>
      <c r="I58" s="79" t="s">
        <v>1557</v>
      </c>
      <c r="J58" s="79"/>
      <c r="K58" s="79"/>
      <c r="L58" s="79"/>
      <c r="M58" s="79"/>
      <c r="N58" s="79"/>
      <c r="O58" s="79"/>
      <c r="P58" s="79"/>
      <c r="Z58" t="s">
        <v>1534</v>
      </c>
    </row>
    <row r="59" spans="8:26" x14ac:dyDescent="0.25">
      <c r="H59" s="80" t="s">
        <v>1558</v>
      </c>
      <c r="I59" s="79" t="s">
        <v>1559</v>
      </c>
      <c r="J59" s="79" t="s">
        <v>1560</v>
      </c>
      <c r="K59" s="79" t="s">
        <v>1561</v>
      </c>
      <c r="L59" s="79"/>
      <c r="M59" s="79"/>
      <c r="N59" s="79"/>
      <c r="O59" s="79"/>
      <c r="P59" s="79"/>
      <c r="Z59" t="s">
        <v>1535</v>
      </c>
    </row>
    <row r="60" spans="8:26" x14ac:dyDescent="0.25">
      <c r="H60" s="80" t="s">
        <v>1562</v>
      </c>
      <c r="I60" s="79" t="s">
        <v>1563</v>
      </c>
      <c r="J60" s="79"/>
      <c r="K60" s="79"/>
      <c r="L60" s="79"/>
      <c r="M60" s="79"/>
      <c r="N60" s="79"/>
      <c r="O60" s="79"/>
      <c r="P60" s="79"/>
      <c r="Z60" t="s">
        <v>2031</v>
      </c>
    </row>
    <row r="61" spans="8:26" x14ac:dyDescent="0.25">
      <c r="H61" s="80" t="s">
        <v>1564</v>
      </c>
      <c r="I61" s="79" t="s">
        <v>1565</v>
      </c>
      <c r="J61" s="79"/>
      <c r="K61" s="79"/>
      <c r="L61" s="79"/>
      <c r="M61" s="79"/>
      <c r="N61" s="79"/>
      <c r="O61" s="79"/>
      <c r="P61" s="79"/>
      <c r="Z61" t="s">
        <v>1536</v>
      </c>
    </row>
    <row r="62" spans="8:26" x14ac:dyDescent="0.25">
      <c r="H62" s="80" t="s">
        <v>1566</v>
      </c>
      <c r="I62" s="79" t="s">
        <v>1629</v>
      </c>
      <c r="J62" s="79"/>
      <c r="K62" s="79"/>
      <c r="L62" s="79"/>
      <c r="M62" s="79"/>
      <c r="N62" s="79"/>
      <c r="O62" s="79"/>
      <c r="P62" s="79"/>
      <c r="Z62" t="s">
        <v>849</v>
      </c>
    </row>
    <row r="63" spans="8:26" x14ac:dyDescent="0.25">
      <c r="H63" s="80" t="s">
        <v>1567</v>
      </c>
      <c r="I63" s="79"/>
      <c r="J63" s="79"/>
      <c r="K63" s="79"/>
      <c r="L63" s="79"/>
      <c r="M63" s="79"/>
      <c r="N63" s="79"/>
      <c r="O63" s="79"/>
      <c r="P63" s="79"/>
      <c r="Z63" t="s">
        <v>850</v>
      </c>
    </row>
    <row r="64" spans="8:26" x14ac:dyDescent="0.25">
      <c r="H64" s="80" t="s">
        <v>1568</v>
      </c>
      <c r="I64" s="79" t="s">
        <v>1569</v>
      </c>
      <c r="J64" s="79" t="s">
        <v>1570</v>
      </c>
      <c r="K64" s="79" t="s">
        <v>1571</v>
      </c>
      <c r="L64" s="79"/>
      <c r="M64" s="79"/>
      <c r="N64" s="79"/>
      <c r="O64" s="79"/>
      <c r="P64" s="79"/>
      <c r="Z64" t="s">
        <v>1537</v>
      </c>
    </row>
    <row r="65" spans="8:26" x14ac:dyDescent="0.25">
      <c r="H65" s="80" t="s">
        <v>1572</v>
      </c>
      <c r="I65" s="79"/>
      <c r="J65" s="79"/>
      <c r="K65" s="79"/>
      <c r="L65" s="79"/>
      <c r="M65" s="79"/>
      <c r="N65" s="79"/>
      <c r="O65" s="79"/>
      <c r="P65" s="79"/>
      <c r="Z65" t="s">
        <v>1911</v>
      </c>
    </row>
    <row r="66" spans="8:26" x14ac:dyDescent="0.25">
      <c r="H66" s="80" t="s">
        <v>1573</v>
      </c>
      <c r="I66" s="79" t="s">
        <v>1905</v>
      </c>
      <c r="J66" s="79"/>
      <c r="K66" s="79"/>
      <c r="L66" s="79"/>
      <c r="M66" s="79"/>
      <c r="N66" s="79"/>
      <c r="O66" s="79"/>
      <c r="P66" s="79"/>
      <c r="Z66" t="s">
        <v>1913</v>
      </c>
    </row>
    <row r="67" spans="8:26" x14ac:dyDescent="0.25">
      <c r="H67" s="80" t="s">
        <v>1575</v>
      </c>
      <c r="I67" s="79" t="s">
        <v>1576</v>
      </c>
      <c r="J67" s="79"/>
      <c r="K67" s="79"/>
      <c r="L67" s="79"/>
      <c r="M67" s="79"/>
      <c r="N67" s="79"/>
      <c r="O67" s="79"/>
      <c r="P67" s="79"/>
      <c r="Z67" t="s">
        <v>2070</v>
      </c>
    </row>
    <row r="68" spans="8:26" x14ac:dyDescent="0.25">
      <c r="H68" s="80" t="s">
        <v>1577</v>
      </c>
      <c r="I68" s="79" t="s">
        <v>1578</v>
      </c>
      <c r="J68" s="79"/>
      <c r="K68" s="79"/>
      <c r="L68" s="79"/>
      <c r="M68" s="79"/>
      <c r="N68" s="79"/>
      <c r="O68" s="79"/>
      <c r="P68" s="79"/>
      <c r="Z68" t="s">
        <v>2291</v>
      </c>
    </row>
    <row r="69" spans="8:26" x14ac:dyDescent="0.25">
      <c r="H69" s="80" t="s">
        <v>1579</v>
      </c>
      <c r="I69" s="79"/>
      <c r="J69" s="79"/>
      <c r="K69" s="79"/>
      <c r="L69" s="79"/>
      <c r="M69" s="79"/>
      <c r="N69" s="79"/>
      <c r="O69" s="79"/>
      <c r="P69" s="79"/>
      <c r="Z69" t="s">
        <v>2301</v>
      </c>
    </row>
    <row r="70" spans="8:26" x14ac:dyDescent="0.25">
      <c r="H70" s="80" t="s">
        <v>1580</v>
      </c>
      <c r="I70" s="79" t="s">
        <v>1581</v>
      </c>
      <c r="J70" s="79"/>
      <c r="K70" s="79"/>
      <c r="L70" s="79"/>
      <c r="M70" s="79"/>
      <c r="N70" s="79"/>
      <c r="O70" s="79"/>
      <c r="P70" s="79"/>
      <c r="Z70" t="s">
        <v>1538</v>
      </c>
    </row>
    <row r="71" spans="8:26" x14ac:dyDescent="0.25">
      <c r="H71" s="80" t="s">
        <v>1582</v>
      </c>
      <c r="I71" s="79"/>
      <c r="J71" s="79"/>
      <c r="K71" s="79"/>
      <c r="L71" s="79"/>
      <c r="M71" s="79"/>
      <c r="N71" s="79"/>
      <c r="O71" s="79"/>
      <c r="P71" s="79"/>
      <c r="Z71" t="s">
        <v>1539</v>
      </c>
    </row>
    <row r="72" spans="8:26" x14ac:dyDescent="0.25">
      <c r="H72" s="80" t="s">
        <v>1583</v>
      </c>
      <c r="I72" s="79" t="s">
        <v>1584</v>
      </c>
      <c r="J72" s="79"/>
      <c r="K72" s="79"/>
      <c r="L72" s="79"/>
      <c r="M72" s="79"/>
      <c r="N72" s="79"/>
      <c r="O72" s="79"/>
      <c r="P72" s="79"/>
      <c r="Z72" t="s">
        <v>1540</v>
      </c>
    </row>
    <row r="73" spans="8:26" x14ac:dyDescent="0.25">
      <c r="H73" s="80" t="s">
        <v>1585</v>
      </c>
      <c r="I73" s="79" t="s">
        <v>1586</v>
      </c>
      <c r="J73" s="79"/>
      <c r="K73" s="79"/>
      <c r="L73" s="79"/>
      <c r="M73" s="79"/>
      <c r="N73" s="79"/>
      <c r="O73" s="79"/>
      <c r="P73" s="79"/>
      <c r="Z73" t="s">
        <v>1541</v>
      </c>
    </row>
    <row r="74" spans="8:26" x14ac:dyDescent="0.25">
      <c r="H74" s="80" t="s">
        <v>1587</v>
      </c>
      <c r="I74" s="79" t="s">
        <v>1588</v>
      </c>
      <c r="J74" s="79"/>
      <c r="K74" s="79"/>
      <c r="L74" s="79"/>
      <c r="M74" s="79"/>
      <c r="N74" s="79"/>
      <c r="O74" s="79"/>
      <c r="P74" s="79"/>
      <c r="Z74" t="s">
        <v>1542</v>
      </c>
    </row>
    <row r="75" spans="8:26" x14ac:dyDescent="0.25">
      <c r="H75" s="80" t="s">
        <v>1589</v>
      </c>
      <c r="I75" s="79"/>
      <c r="J75" s="79"/>
      <c r="K75" s="79"/>
      <c r="L75" s="79"/>
      <c r="M75" s="79"/>
      <c r="N75" s="79"/>
      <c r="O75" s="79"/>
      <c r="P75" s="79"/>
      <c r="Z75" t="s">
        <v>1574</v>
      </c>
    </row>
    <row r="76" spans="8:26" x14ac:dyDescent="0.25">
      <c r="H76" s="80" t="s">
        <v>1590</v>
      </c>
      <c r="I76" s="79"/>
      <c r="J76" s="79"/>
      <c r="K76" s="79"/>
      <c r="L76" s="79"/>
      <c r="M76" s="79"/>
      <c r="N76" s="79"/>
      <c r="O76" s="79"/>
      <c r="P76" s="79"/>
      <c r="Z76" t="s">
        <v>1544</v>
      </c>
    </row>
    <row r="77" spans="8:26" x14ac:dyDescent="0.25">
      <c r="H77" s="80" t="s">
        <v>1591</v>
      </c>
      <c r="I77" s="79"/>
      <c r="J77" s="79"/>
      <c r="K77" s="79"/>
      <c r="L77" s="79"/>
      <c r="M77" s="79"/>
      <c r="N77" s="79"/>
      <c r="O77" s="79"/>
      <c r="P77" s="79"/>
      <c r="Z77" t="s">
        <v>1545</v>
      </c>
    </row>
    <row r="78" spans="8:26" x14ac:dyDescent="0.25">
      <c r="H78" s="80" t="s">
        <v>1592</v>
      </c>
      <c r="I78" s="79"/>
      <c r="J78" s="79"/>
      <c r="K78" s="79"/>
      <c r="L78" s="79"/>
      <c r="M78" s="79"/>
      <c r="N78" s="79"/>
      <c r="O78" s="79"/>
      <c r="P78" s="79"/>
      <c r="Z78" t="s">
        <v>1546</v>
      </c>
    </row>
    <row r="79" spans="8:26" x14ac:dyDescent="0.25">
      <c r="H79" s="80" t="s">
        <v>1593</v>
      </c>
      <c r="I79" s="79" t="s">
        <v>1594</v>
      </c>
      <c r="J79" s="79" t="s">
        <v>1878</v>
      </c>
      <c r="K79" s="79"/>
      <c r="L79" s="79"/>
      <c r="M79" s="79"/>
      <c r="N79" s="79"/>
      <c r="O79" s="79"/>
      <c r="P79" s="79"/>
      <c r="Z79" t="s">
        <v>1547</v>
      </c>
    </row>
    <row r="80" spans="8:26" x14ac:dyDescent="0.25">
      <c r="H80" s="80" t="s">
        <v>1595</v>
      </c>
      <c r="I80" s="79"/>
      <c r="J80" s="79"/>
      <c r="K80" s="79"/>
      <c r="L80" s="79"/>
      <c r="M80" s="79"/>
      <c r="N80" s="79"/>
      <c r="O80" s="79"/>
      <c r="P80" s="79"/>
      <c r="Z80" t="s">
        <v>2581</v>
      </c>
    </row>
    <row r="81" spans="8:26" x14ac:dyDescent="0.25">
      <c r="H81" s="80" t="s">
        <v>1596</v>
      </c>
      <c r="I81" s="79"/>
      <c r="J81" s="79"/>
      <c r="K81" s="79"/>
      <c r="L81" s="79"/>
      <c r="M81" s="79"/>
      <c r="N81" s="79"/>
      <c r="O81" s="79"/>
      <c r="P81" s="79"/>
      <c r="Z81" t="s">
        <v>1548</v>
      </c>
    </row>
    <row r="82" spans="8:26" x14ac:dyDescent="0.25">
      <c r="H82" s="80" t="s">
        <v>1597</v>
      </c>
      <c r="I82" s="79" t="s">
        <v>1598</v>
      </c>
      <c r="J82" s="79" t="s">
        <v>1599</v>
      </c>
      <c r="K82" s="79"/>
      <c r="L82" s="79"/>
      <c r="M82" s="79"/>
      <c r="N82" s="79"/>
      <c r="O82" s="79"/>
      <c r="P82" s="79"/>
      <c r="Z82" t="s">
        <v>1549</v>
      </c>
    </row>
    <row r="83" spans="8:26" x14ac:dyDescent="0.25">
      <c r="H83" s="80" t="s">
        <v>1600</v>
      </c>
      <c r="I83" s="79" t="s">
        <v>1601</v>
      </c>
      <c r="J83" s="79" t="s">
        <v>1602</v>
      </c>
      <c r="K83" s="79" t="s">
        <v>1603</v>
      </c>
      <c r="L83" s="79"/>
      <c r="M83" s="79"/>
      <c r="N83" s="79"/>
      <c r="O83" s="79"/>
      <c r="P83" s="79"/>
      <c r="Z83" t="s">
        <v>1550</v>
      </c>
    </row>
    <row r="84" spans="8:26" x14ac:dyDescent="0.25">
      <c r="H84" s="80" t="s">
        <v>2547</v>
      </c>
      <c r="I84" s="79" t="s">
        <v>1605</v>
      </c>
      <c r="J84" s="79"/>
      <c r="K84" s="79"/>
      <c r="L84" s="79"/>
      <c r="M84" s="79"/>
      <c r="N84" s="79"/>
      <c r="O84" s="79"/>
      <c r="P84" s="79"/>
      <c r="Z84" t="s">
        <v>1551</v>
      </c>
    </row>
    <row r="85" spans="8:26" x14ac:dyDescent="0.25">
      <c r="H85" s="80" t="s">
        <v>1606</v>
      </c>
      <c r="I85" s="79"/>
      <c r="J85" s="79"/>
      <c r="K85" s="79"/>
      <c r="L85" s="79"/>
      <c r="M85" s="79"/>
      <c r="N85" s="79"/>
      <c r="O85" s="79"/>
      <c r="P85" s="79"/>
      <c r="Z85" t="s">
        <v>1552</v>
      </c>
    </row>
    <row r="86" spans="8:26" x14ac:dyDescent="0.25">
      <c r="H86" s="80" t="s">
        <v>1607</v>
      </c>
      <c r="I86" s="79"/>
      <c r="J86" s="79"/>
      <c r="K86" s="79"/>
      <c r="L86" s="79"/>
      <c r="M86" s="79"/>
      <c r="N86" s="79"/>
      <c r="O86" s="79"/>
      <c r="P86" s="79"/>
      <c r="Z86" t="s">
        <v>1553</v>
      </c>
    </row>
    <row r="87" spans="8:26" x14ac:dyDescent="0.25">
      <c r="H87" s="80" t="s">
        <v>1608</v>
      </c>
      <c r="I87" s="79"/>
      <c r="J87" s="79"/>
      <c r="K87" s="79"/>
      <c r="L87" s="79"/>
      <c r="M87" s="79"/>
      <c r="N87" s="79"/>
      <c r="O87" s="79"/>
      <c r="P87" s="79"/>
      <c r="Z87" t="s">
        <v>1554</v>
      </c>
    </row>
    <row r="88" spans="8:26" x14ac:dyDescent="0.25">
      <c r="H88" s="80" t="s">
        <v>1609</v>
      </c>
      <c r="I88" s="79"/>
      <c r="J88" s="79"/>
      <c r="K88" s="79"/>
      <c r="L88" s="79"/>
      <c r="M88" s="79"/>
      <c r="N88" s="79"/>
      <c r="O88" s="79"/>
      <c r="P88" s="79"/>
      <c r="Z88" t="s">
        <v>1555</v>
      </c>
    </row>
    <row r="89" spans="8:26" x14ac:dyDescent="0.25">
      <c r="H89" s="80" t="s">
        <v>1610</v>
      </c>
      <c r="I89" s="79"/>
      <c r="J89" s="79"/>
      <c r="K89" s="79"/>
      <c r="L89" s="79"/>
      <c r="M89" s="79"/>
      <c r="N89" s="79"/>
      <c r="O89" s="79"/>
      <c r="P89" s="79"/>
      <c r="Z89" t="s">
        <v>1880</v>
      </c>
    </row>
    <row r="90" spans="8:26" x14ac:dyDescent="0.25">
      <c r="H90" s="80" t="s">
        <v>2548</v>
      </c>
      <c r="I90" s="79" t="s">
        <v>1612</v>
      </c>
      <c r="J90" s="79"/>
      <c r="K90" s="79"/>
      <c r="L90" s="79"/>
      <c r="M90" s="79"/>
      <c r="N90" s="79"/>
      <c r="O90" s="79"/>
      <c r="P90" s="79"/>
      <c r="Z90" t="s">
        <v>1556</v>
      </c>
    </row>
    <row r="91" spans="8:26" x14ac:dyDescent="0.25">
      <c r="H91" s="80" t="s">
        <v>1613</v>
      </c>
      <c r="I91" s="79"/>
      <c r="J91" s="79"/>
      <c r="K91" s="79"/>
      <c r="L91" s="79"/>
      <c r="M91" s="79"/>
      <c r="N91" s="79"/>
      <c r="O91" s="79"/>
      <c r="P91" s="79"/>
      <c r="Z91" t="s">
        <v>1557</v>
      </c>
    </row>
    <row r="92" spans="8:26" x14ac:dyDescent="0.25">
      <c r="H92" s="80" t="s">
        <v>1614</v>
      </c>
      <c r="I92" s="79"/>
      <c r="J92" s="79"/>
      <c r="K92" s="79"/>
      <c r="L92" s="79"/>
      <c r="M92" s="79"/>
      <c r="N92" s="79"/>
      <c r="O92" s="79"/>
      <c r="P92" s="79"/>
      <c r="Z92" t="s">
        <v>1558</v>
      </c>
    </row>
    <row r="93" spans="8:26" x14ac:dyDescent="0.25">
      <c r="H93" s="80" t="s">
        <v>1615</v>
      </c>
      <c r="I93" s="79" t="s">
        <v>1616</v>
      </c>
      <c r="J93" s="79" t="s">
        <v>1617</v>
      </c>
      <c r="K93" s="79"/>
      <c r="L93" s="79"/>
      <c r="M93" s="79"/>
      <c r="N93" s="79"/>
      <c r="O93" s="79"/>
      <c r="P93" s="79"/>
      <c r="Z93" t="s">
        <v>1559</v>
      </c>
    </row>
    <row r="94" spans="8:26" x14ac:dyDescent="0.25">
      <c r="H94" s="80" t="s">
        <v>1618</v>
      </c>
      <c r="I94" s="79" t="s">
        <v>1619</v>
      </c>
      <c r="J94" s="79"/>
      <c r="K94" s="79"/>
      <c r="L94" s="79"/>
      <c r="M94" s="79"/>
      <c r="N94" s="79"/>
      <c r="O94" s="79"/>
      <c r="P94" s="79"/>
      <c r="Z94" t="s">
        <v>1560</v>
      </c>
    </row>
    <row r="95" spans="8:26" x14ac:dyDescent="0.25">
      <c r="H95" s="80" t="s">
        <v>1620</v>
      </c>
      <c r="I95" s="79"/>
      <c r="J95" s="79"/>
      <c r="K95" s="79"/>
      <c r="L95" s="79"/>
      <c r="M95" s="79"/>
      <c r="N95" s="79"/>
      <c r="O95" s="79"/>
      <c r="P95" s="79"/>
      <c r="Z95" t="s">
        <v>1561</v>
      </c>
    </row>
    <row r="96" spans="8:26" x14ac:dyDescent="0.25">
      <c r="H96" s="80" t="s">
        <v>1621</v>
      </c>
      <c r="I96" s="79" t="s">
        <v>1865</v>
      </c>
      <c r="J96" s="79"/>
      <c r="K96" s="79"/>
      <c r="L96" s="79"/>
      <c r="M96" s="79"/>
      <c r="N96" s="79"/>
      <c r="O96" s="79"/>
      <c r="P96" s="79"/>
      <c r="Z96" t="s">
        <v>1562</v>
      </c>
    </row>
    <row r="97" spans="8:26" x14ac:dyDescent="0.25">
      <c r="H97" s="80" t="s">
        <v>1622</v>
      </c>
      <c r="I97" s="79"/>
      <c r="J97" s="79"/>
      <c r="K97" s="79"/>
      <c r="L97" s="79"/>
      <c r="M97" s="79"/>
      <c r="N97" s="79"/>
      <c r="O97" s="79"/>
      <c r="P97" s="79"/>
      <c r="Z97" t="s">
        <v>1563</v>
      </c>
    </row>
    <row r="98" spans="8:26" x14ac:dyDescent="0.25">
      <c r="H98" s="80" t="s">
        <v>1623</v>
      </c>
      <c r="I98" s="79"/>
      <c r="J98" s="79"/>
      <c r="K98" s="79"/>
      <c r="L98" s="79"/>
      <c r="M98" s="79"/>
      <c r="N98" s="79"/>
      <c r="O98" s="79"/>
      <c r="P98" s="79"/>
      <c r="Z98" t="s">
        <v>1564</v>
      </c>
    </row>
    <row r="99" spans="8:26" x14ac:dyDescent="0.25">
      <c r="H99" s="80" t="s">
        <v>1624</v>
      </c>
      <c r="I99" s="79" t="s">
        <v>1625</v>
      </c>
      <c r="J99" s="79"/>
      <c r="K99" s="79"/>
      <c r="L99" s="79"/>
      <c r="M99" s="79"/>
      <c r="N99" s="79"/>
      <c r="O99" s="79"/>
      <c r="P99" s="79"/>
      <c r="Z99" t="s">
        <v>1565</v>
      </c>
    </row>
    <row r="100" spans="8:26" x14ac:dyDescent="0.25">
      <c r="H100" s="80" t="s">
        <v>1626</v>
      </c>
      <c r="I100" s="79"/>
      <c r="J100" s="79"/>
      <c r="K100" s="79"/>
      <c r="L100" s="79"/>
      <c r="M100" s="79"/>
      <c r="N100" s="79"/>
      <c r="O100" s="79"/>
      <c r="P100" s="79"/>
      <c r="Z100" t="s">
        <v>1566</v>
      </c>
    </row>
    <row r="101" spans="8:26" x14ac:dyDescent="0.25">
      <c r="H101" s="80" t="s">
        <v>1627</v>
      </c>
      <c r="I101" s="79"/>
      <c r="J101" s="79"/>
      <c r="K101" s="79"/>
      <c r="L101" s="79"/>
      <c r="M101" s="79"/>
      <c r="N101" s="79"/>
      <c r="O101" s="79"/>
      <c r="P101" s="79"/>
      <c r="Z101" t="s">
        <v>1690</v>
      </c>
    </row>
    <row r="102" spans="8:26" x14ac:dyDescent="0.25">
      <c r="H102" s="80" t="s">
        <v>1628</v>
      </c>
      <c r="I102" s="79"/>
      <c r="J102" s="79"/>
      <c r="K102" s="79"/>
      <c r="L102" s="79"/>
      <c r="M102" s="79"/>
      <c r="N102" s="79"/>
      <c r="O102" s="79"/>
      <c r="P102" s="79"/>
      <c r="Z102" t="s">
        <v>1567</v>
      </c>
    </row>
    <row r="103" spans="8:26" x14ac:dyDescent="0.25">
      <c r="H103" s="80" t="s">
        <v>1630</v>
      </c>
      <c r="I103" s="79" t="s">
        <v>1631</v>
      </c>
      <c r="J103" s="79"/>
      <c r="K103" s="79"/>
      <c r="L103" s="79"/>
      <c r="M103" s="79"/>
      <c r="N103" s="79"/>
      <c r="O103" s="79"/>
      <c r="P103" s="79"/>
      <c r="Z103" t="s">
        <v>1568</v>
      </c>
    </row>
    <row r="104" spans="8:26" x14ac:dyDescent="0.25">
      <c r="H104" s="80" t="s">
        <v>1632</v>
      </c>
      <c r="I104" s="79"/>
      <c r="J104" s="79"/>
      <c r="K104" s="79"/>
      <c r="L104" s="79"/>
      <c r="M104" s="79"/>
      <c r="N104" s="79"/>
      <c r="O104" s="79"/>
      <c r="P104" s="79"/>
      <c r="Z104" t="s">
        <v>1569</v>
      </c>
    </row>
    <row r="105" spans="8:26" x14ac:dyDescent="0.25">
      <c r="H105" s="80" t="s">
        <v>1633</v>
      </c>
      <c r="I105" s="79" t="s">
        <v>1634</v>
      </c>
      <c r="J105" s="79"/>
      <c r="K105" s="79"/>
      <c r="L105" s="79"/>
      <c r="M105" s="79"/>
      <c r="N105" s="79"/>
      <c r="O105" s="79"/>
      <c r="P105" s="79"/>
      <c r="Z105" t="s">
        <v>1570</v>
      </c>
    </row>
    <row r="106" spans="8:26" x14ac:dyDescent="0.25">
      <c r="H106" s="80" t="s">
        <v>1635</v>
      </c>
      <c r="I106" s="79" t="s">
        <v>1636</v>
      </c>
      <c r="J106" s="79"/>
      <c r="K106" s="79"/>
      <c r="L106" s="79"/>
      <c r="M106" s="79"/>
      <c r="N106" s="79"/>
      <c r="O106" s="79"/>
      <c r="P106" s="79"/>
      <c r="Z106" t="s">
        <v>1571</v>
      </c>
    </row>
    <row r="107" spans="8:26" x14ac:dyDescent="0.25">
      <c r="H107" s="80" t="s">
        <v>1638</v>
      </c>
      <c r="I107" s="79"/>
      <c r="J107" s="79"/>
      <c r="K107" s="79"/>
      <c r="L107" s="79"/>
      <c r="M107" s="79"/>
      <c r="N107" s="79"/>
      <c r="O107" s="79"/>
      <c r="P107" s="79"/>
      <c r="Z107" t="s">
        <v>1572</v>
      </c>
    </row>
    <row r="108" spans="8:26" x14ac:dyDescent="0.25">
      <c r="H108" s="80" t="s">
        <v>1639</v>
      </c>
      <c r="I108" s="79"/>
      <c r="J108" s="79"/>
      <c r="K108" s="79"/>
      <c r="L108" s="79"/>
      <c r="M108" s="79"/>
      <c r="N108" s="79"/>
      <c r="O108" s="79"/>
      <c r="P108" s="79"/>
      <c r="Z108" t="s">
        <v>1573</v>
      </c>
    </row>
    <row r="109" spans="8:26" x14ac:dyDescent="0.25">
      <c r="H109" s="80" t="s">
        <v>1640</v>
      </c>
      <c r="I109" s="79"/>
      <c r="J109" s="79"/>
      <c r="K109" s="79"/>
      <c r="L109" s="79"/>
      <c r="M109" s="79"/>
      <c r="N109" s="79"/>
      <c r="O109" s="79"/>
      <c r="P109" s="79"/>
      <c r="Z109" t="s">
        <v>1905</v>
      </c>
    </row>
    <row r="110" spans="8:26" x14ac:dyDescent="0.25">
      <c r="H110" s="80" t="s">
        <v>1641</v>
      </c>
      <c r="I110" s="79" t="s">
        <v>1642</v>
      </c>
      <c r="J110" s="79"/>
      <c r="K110" s="79"/>
      <c r="L110" s="79"/>
      <c r="M110" s="79"/>
      <c r="N110" s="79"/>
      <c r="O110" s="79"/>
      <c r="P110" s="79"/>
      <c r="Z110" t="s">
        <v>1575</v>
      </c>
    </row>
    <row r="111" spans="8:26" x14ac:dyDescent="0.25">
      <c r="H111" s="80" t="s">
        <v>1644</v>
      </c>
      <c r="I111" s="79"/>
      <c r="J111" s="79"/>
      <c r="K111" s="79"/>
      <c r="L111" s="79"/>
      <c r="M111" s="79"/>
      <c r="N111" s="79"/>
      <c r="O111" s="79"/>
      <c r="P111" s="79"/>
      <c r="Z111" t="s">
        <v>1576</v>
      </c>
    </row>
    <row r="112" spans="8:26" x14ac:dyDescent="0.25">
      <c r="H112" s="80" t="s">
        <v>1645</v>
      </c>
      <c r="I112" s="79"/>
      <c r="J112" s="79"/>
      <c r="K112" s="79"/>
      <c r="L112" s="79"/>
      <c r="M112" s="79"/>
      <c r="N112" s="79"/>
      <c r="O112" s="79"/>
      <c r="P112" s="79"/>
      <c r="Z112" t="s">
        <v>1577</v>
      </c>
    </row>
    <row r="113" spans="8:26" x14ac:dyDescent="0.25">
      <c r="H113" s="80" t="s">
        <v>1646</v>
      </c>
      <c r="I113" s="79" t="s">
        <v>2072</v>
      </c>
      <c r="J113" s="79"/>
      <c r="K113" s="79"/>
      <c r="L113" s="79"/>
      <c r="M113" s="79"/>
      <c r="N113" s="79"/>
      <c r="O113" s="79"/>
      <c r="P113" s="79"/>
      <c r="Z113" t="s">
        <v>1578</v>
      </c>
    </row>
    <row r="114" spans="8:26" x14ac:dyDescent="0.25">
      <c r="H114" s="80" t="s">
        <v>1647</v>
      </c>
      <c r="I114" s="79"/>
      <c r="J114" s="79"/>
      <c r="K114" s="79"/>
      <c r="L114" s="79"/>
      <c r="M114" s="79"/>
      <c r="N114" s="79"/>
      <c r="O114" s="79"/>
      <c r="P114" s="79"/>
      <c r="Z114" t="s">
        <v>1579</v>
      </c>
    </row>
    <row r="115" spans="8:26" x14ac:dyDescent="0.25">
      <c r="H115" s="80" t="s">
        <v>1648</v>
      </c>
      <c r="I115" s="79" t="s">
        <v>1649</v>
      </c>
      <c r="J115" s="79"/>
      <c r="K115" s="79"/>
      <c r="L115" s="79"/>
      <c r="M115" s="79"/>
      <c r="N115" s="79"/>
      <c r="O115" s="79"/>
      <c r="P115" s="79"/>
      <c r="Z115" t="s">
        <v>1580</v>
      </c>
    </row>
    <row r="116" spans="8:26" x14ac:dyDescent="0.25">
      <c r="H116" s="80" t="s">
        <v>1650</v>
      </c>
      <c r="I116" s="79"/>
      <c r="J116" s="79"/>
      <c r="K116" s="79"/>
      <c r="L116" s="79"/>
      <c r="M116" s="79"/>
      <c r="N116" s="79"/>
      <c r="O116" s="79"/>
      <c r="P116" s="79"/>
      <c r="Z116" t="s">
        <v>1581</v>
      </c>
    </row>
    <row r="117" spans="8:26" x14ac:dyDescent="0.25">
      <c r="H117" s="80" t="s">
        <v>1651</v>
      </c>
      <c r="I117" s="79" t="s">
        <v>1652</v>
      </c>
      <c r="J117" s="79"/>
      <c r="K117" s="79"/>
      <c r="L117" s="79"/>
      <c r="M117" s="79"/>
      <c r="N117" s="79"/>
      <c r="O117" s="79"/>
      <c r="P117" s="79"/>
      <c r="Z117" t="s">
        <v>1582</v>
      </c>
    </row>
    <row r="118" spans="8:26" x14ac:dyDescent="0.25">
      <c r="H118" s="80" t="s">
        <v>1653</v>
      </c>
      <c r="I118" s="79" t="s">
        <v>1654</v>
      </c>
      <c r="J118" s="79" t="s">
        <v>1655</v>
      </c>
      <c r="K118" s="79"/>
      <c r="L118" s="79"/>
      <c r="M118" s="79"/>
      <c r="N118" s="79"/>
      <c r="O118" s="79"/>
      <c r="P118" s="79"/>
      <c r="Z118" t="s">
        <v>1583</v>
      </c>
    </row>
    <row r="119" spans="8:26" x14ac:dyDescent="0.25">
      <c r="H119" s="80" t="s">
        <v>1656</v>
      </c>
      <c r="I119" s="79"/>
      <c r="J119" s="79"/>
      <c r="K119" s="79"/>
      <c r="L119" s="79"/>
      <c r="M119" s="79"/>
      <c r="N119" s="79"/>
      <c r="O119" s="79"/>
      <c r="P119" s="79"/>
      <c r="Z119" t="s">
        <v>1584</v>
      </c>
    </row>
    <row r="120" spans="8:26" x14ac:dyDescent="0.25">
      <c r="H120" s="80" t="s">
        <v>1657</v>
      </c>
      <c r="I120" s="79"/>
      <c r="J120" s="79"/>
      <c r="K120" s="79"/>
      <c r="L120" s="79"/>
      <c r="M120" s="79"/>
      <c r="N120" s="79"/>
      <c r="O120" s="79"/>
      <c r="P120" s="79"/>
      <c r="Z120" t="s">
        <v>1637</v>
      </c>
    </row>
    <row r="121" spans="8:26" x14ac:dyDescent="0.25">
      <c r="H121" s="80" t="s">
        <v>1658</v>
      </c>
      <c r="I121" s="79"/>
      <c r="J121" s="79"/>
      <c r="K121" s="79"/>
      <c r="L121" s="79"/>
      <c r="M121" s="79"/>
      <c r="N121" s="79"/>
      <c r="O121" s="79"/>
      <c r="P121" s="79"/>
      <c r="Z121" t="s">
        <v>1586</v>
      </c>
    </row>
    <row r="122" spans="8:26" x14ac:dyDescent="0.25">
      <c r="H122" s="80" t="s">
        <v>2016</v>
      </c>
      <c r="I122" s="79" t="s">
        <v>1659</v>
      </c>
      <c r="J122" s="79"/>
      <c r="K122" s="79"/>
      <c r="L122" s="79"/>
      <c r="M122" s="79"/>
      <c r="N122" s="79"/>
      <c r="O122" s="79"/>
      <c r="P122" s="79"/>
      <c r="Z122" t="s">
        <v>1587</v>
      </c>
    </row>
    <row r="123" spans="8:26" x14ac:dyDescent="0.25">
      <c r="H123" s="80" t="s">
        <v>1660</v>
      </c>
      <c r="I123" s="79"/>
      <c r="J123" s="79"/>
      <c r="K123" s="79"/>
      <c r="L123" s="79"/>
      <c r="M123" s="79"/>
      <c r="N123" s="79"/>
      <c r="O123" s="79"/>
      <c r="P123" s="79"/>
      <c r="Z123" t="s">
        <v>1588</v>
      </c>
    </row>
    <row r="124" spans="8:26" x14ac:dyDescent="0.25">
      <c r="H124" s="80" t="s">
        <v>1661</v>
      </c>
      <c r="I124" s="79"/>
      <c r="J124" s="79"/>
      <c r="K124" s="79"/>
      <c r="L124" s="79"/>
      <c r="M124" s="79"/>
      <c r="N124" s="79"/>
      <c r="O124" s="79"/>
      <c r="P124" s="79"/>
      <c r="Z124" t="s">
        <v>1643</v>
      </c>
    </row>
    <row r="125" spans="8:26" x14ac:dyDescent="0.25">
      <c r="H125" s="80" t="s">
        <v>1662</v>
      </c>
      <c r="I125" s="79"/>
      <c r="J125" s="79"/>
      <c r="K125" s="79"/>
      <c r="L125" s="79"/>
      <c r="M125" s="79"/>
      <c r="N125" s="79"/>
      <c r="O125" s="79"/>
      <c r="P125" s="79"/>
      <c r="Z125" t="s">
        <v>1590</v>
      </c>
    </row>
    <row r="126" spans="8:26" x14ac:dyDescent="0.25">
      <c r="H126" s="80" t="s">
        <v>1663</v>
      </c>
      <c r="I126" s="79"/>
      <c r="J126" s="79"/>
      <c r="K126" s="79"/>
      <c r="L126" s="79"/>
      <c r="M126" s="79"/>
      <c r="N126" s="79"/>
      <c r="O126" s="79"/>
      <c r="P126" s="79"/>
      <c r="Z126" t="s">
        <v>1591</v>
      </c>
    </row>
    <row r="127" spans="8:26" x14ac:dyDescent="0.25">
      <c r="H127" s="80" t="s">
        <v>1664</v>
      </c>
      <c r="I127" s="79" t="s">
        <v>1665</v>
      </c>
      <c r="J127" s="79"/>
      <c r="K127" s="79"/>
      <c r="L127" s="79"/>
      <c r="M127" s="79"/>
      <c r="N127" s="79"/>
      <c r="O127" s="79"/>
      <c r="P127" s="79"/>
      <c r="Z127" t="s">
        <v>1592</v>
      </c>
    </row>
    <row r="128" spans="8:26" x14ac:dyDescent="0.25">
      <c r="H128" s="80" t="s">
        <v>1666</v>
      </c>
      <c r="I128" s="79" t="s">
        <v>1667</v>
      </c>
      <c r="J128" s="79" t="s">
        <v>1906</v>
      </c>
      <c r="K128" s="79"/>
      <c r="L128" s="79"/>
      <c r="M128" s="79"/>
      <c r="N128" s="79"/>
      <c r="O128" s="79"/>
      <c r="P128" s="79"/>
      <c r="Z128" t="s">
        <v>1593</v>
      </c>
    </row>
    <row r="129" spans="8:26" x14ac:dyDescent="0.25">
      <c r="H129" s="80" t="s">
        <v>1668</v>
      </c>
      <c r="I129" s="79" t="s">
        <v>2129</v>
      </c>
      <c r="J129" s="79"/>
      <c r="K129" s="79"/>
      <c r="L129" s="79"/>
      <c r="M129" s="79"/>
      <c r="N129" s="79"/>
      <c r="O129" s="79"/>
      <c r="P129" s="79"/>
      <c r="Z129" t="s">
        <v>1594</v>
      </c>
    </row>
    <row r="130" spans="8:26" x14ac:dyDescent="0.25">
      <c r="H130" s="80" t="s">
        <v>1669</v>
      </c>
      <c r="I130" s="79"/>
      <c r="J130" s="79"/>
      <c r="K130" s="79"/>
      <c r="L130" s="79"/>
      <c r="M130" s="79"/>
      <c r="N130" s="79"/>
      <c r="O130" s="79"/>
      <c r="P130" s="79"/>
      <c r="Z130" t="s">
        <v>1878</v>
      </c>
    </row>
    <row r="131" spans="8:26" x14ac:dyDescent="0.25">
      <c r="H131" s="80" t="s">
        <v>1670</v>
      </c>
      <c r="I131" s="79"/>
      <c r="J131" s="79"/>
      <c r="K131" s="79"/>
      <c r="L131" s="79"/>
      <c r="M131" s="79"/>
      <c r="N131" s="79"/>
      <c r="O131" s="79"/>
      <c r="P131" s="79"/>
      <c r="Z131" t="s">
        <v>1595</v>
      </c>
    </row>
    <row r="132" spans="8:26" x14ac:dyDescent="0.25">
      <c r="H132" s="80" t="s">
        <v>1671</v>
      </c>
      <c r="I132" s="79"/>
      <c r="J132" s="79"/>
      <c r="K132" s="79"/>
      <c r="L132" s="79"/>
      <c r="M132" s="79"/>
      <c r="N132" s="79"/>
      <c r="O132" s="79"/>
      <c r="P132" s="79"/>
      <c r="Z132" t="s">
        <v>1596</v>
      </c>
    </row>
    <row r="133" spans="8:26" x14ac:dyDescent="0.25">
      <c r="H133" s="80" t="s">
        <v>1672</v>
      </c>
      <c r="I133" s="79"/>
      <c r="J133" s="79"/>
      <c r="K133" s="79"/>
      <c r="L133" s="79"/>
      <c r="M133" s="79"/>
      <c r="N133" s="79"/>
      <c r="O133" s="79"/>
      <c r="P133" s="79"/>
      <c r="Z133" t="s">
        <v>1597</v>
      </c>
    </row>
    <row r="134" spans="8:26" x14ac:dyDescent="0.25">
      <c r="H134" s="80" t="s">
        <v>1673</v>
      </c>
      <c r="I134" s="79" t="s">
        <v>2309</v>
      </c>
      <c r="J134" s="79"/>
      <c r="K134" s="79"/>
      <c r="L134" s="79"/>
      <c r="M134" s="79"/>
      <c r="N134" s="79"/>
      <c r="O134" s="79"/>
      <c r="P134" s="79"/>
      <c r="Z134" t="s">
        <v>1598</v>
      </c>
    </row>
    <row r="135" spans="8:26" x14ac:dyDescent="0.25">
      <c r="H135" s="80" t="s">
        <v>1674</v>
      </c>
      <c r="I135" s="79"/>
      <c r="J135" s="79"/>
      <c r="K135" s="79"/>
      <c r="L135" s="79"/>
      <c r="M135" s="79"/>
      <c r="N135" s="79"/>
      <c r="O135" s="79"/>
      <c r="P135" s="79"/>
      <c r="Z135" t="s">
        <v>1599</v>
      </c>
    </row>
    <row r="136" spans="8:26" x14ac:dyDescent="0.25">
      <c r="H136" s="80" t="s">
        <v>1675</v>
      </c>
      <c r="I136" s="79"/>
      <c r="J136" s="79"/>
      <c r="K136" s="79"/>
      <c r="L136" s="79"/>
      <c r="M136" s="79"/>
      <c r="N136" s="79"/>
      <c r="O136" s="79"/>
      <c r="P136" s="79"/>
      <c r="Z136" t="s">
        <v>1600</v>
      </c>
    </row>
    <row r="137" spans="8:26" x14ac:dyDescent="0.25">
      <c r="H137" s="80" t="s">
        <v>1676</v>
      </c>
      <c r="I137" s="79"/>
      <c r="J137" s="79"/>
      <c r="K137" s="79"/>
      <c r="L137" s="79"/>
      <c r="M137" s="79"/>
      <c r="N137" s="79"/>
      <c r="O137" s="79"/>
      <c r="P137" s="79"/>
      <c r="Z137" t="s">
        <v>1601</v>
      </c>
    </row>
    <row r="138" spans="8:26" x14ac:dyDescent="0.25">
      <c r="H138" s="80" t="s">
        <v>1677</v>
      </c>
      <c r="I138" s="79"/>
      <c r="J138" s="79"/>
      <c r="K138" s="79"/>
      <c r="L138" s="79"/>
      <c r="M138" s="79"/>
      <c r="N138" s="79"/>
      <c r="O138" s="79"/>
      <c r="P138" s="79"/>
      <c r="Z138" t="s">
        <v>1602</v>
      </c>
    </row>
    <row r="139" spans="8:26" x14ac:dyDescent="0.25">
      <c r="H139" s="80" t="s">
        <v>1679</v>
      </c>
      <c r="I139" s="79"/>
      <c r="J139" s="79"/>
      <c r="K139" s="79"/>
      <c r="L139" s="79"/>
      <c r="M139" s="79"/>
      <c r="N139" s="79"/>
      <c r="O139" s="79"/>
      <c r="P139" s="79"/>
      <c r="Z139" t="s">
        <v>1603</v>
      </c>
    </row>
    <row r="140" spans="8:26" x14ac:dyDescent="0.25">
      <c r="H140" s="80" t="s">
        <v>1680</v>
      </c>
      <c r="I140" s="79"/>
      <c r="J140" s="79"/>
      <c r="K140" s="79"/>
      <c r="L140" s="79"/>
      <c r="M140" s="79"/>
      <c r="N140" s="79"/>
      <c r="O140" s="79"/>
      <c r="P140" s="79"/>
      <c r="Z140" t="s">
        <v>2547</v>
      </c>
    </row>
    <row r="141" spans="8:26" x14ac:dyDescent="0.25">
      <c r="H141" s="80" t="s">
        <v>1681</v>
      </c>
      <c r="I141" s="79"/>
      <c r="J141" s="79"/>
      <c r="K141" s="79"/>
      <c r="L141" s="79"/>
      <c r="M141" s="79"/>
      <c r="N141" s="79"/>
      <c r="O141" s="79"/>
      <c r="P141" s="79"/>
      <c r="Z141" t="s">
        <v>1605</v>
      </c>
    </row>
    <row r="142" spans="8:26" x14ac:dyDescent="0.25">
      <c r="H142" s="80" t="s">
        <v>1682</v>
      </c>
      <c r="I142" s="79"/>
      <c r="J142" s="79"/>
      <c r="K142" s="79"/>
      <c r="L142" s="79"/>
      <c r="M142" s="79"/>
      <c r="N142" s="79"/>
      <c r="O142" s="79"/>
      <c r="P142" s="79"/>
      <c r="Z142" t="s">
        <v>1606</v>
      </c>
    </row>
    <row r="143" spans="8:26" x14ac:dyDescent="0.25">
      <c r="H143" s="80" t="s">
        <v>1683</v>
      </c>
      <c r="I143" s="79" t="s">
        <v>1684</v>
      </c>
      <c r="J143" s="79"/>
      <c r="K143" s="79"/>
      <c r="L143" s="79"/>
      <c r="M143" s="79"/>
      <c r="N143" s="79"/>
      <c r="O143" s="79"/>
      <c r="P143" s="79"/>
      <c r="Z143" t="s">
        <v>1607</v>
      </c>
    </row>
    <row r="144" spans="8:26" x14ac:dyDescent="0.25">
      <c r="H144" s="80" t="s">
        <v>1685</v>
      </c>
      <c r="I144" s="79"/>
      <c r="J144" s="79"/>
      <c r="K144" s="79"/>
      <c r="L144" s="79"/>
      <c r="M144" s="79"/>
      <c r="N144" s="79"/>
      <c r="O144" s="79"/>
      <c r="P144" s="79"/>
      <c r="Z144" t="s">
        <v>1608</v>
      </c>
    </row>
    <row r="145" spans="1:26" x14ac:dyDescent="0.25">
      <c r="H145" s="80" t="s">
        <v>1686</v>
      </c>
      <c r="I145" s="79"/>
      <c r="J145" s="79"/>
      <c r="K145" s="79"/>
      <c r="L145" s="79"/>
      <c r="M145" s="79"/>
      <c r="N145" s="79"/>
      <c r="O145" s="79"/>
      <c r="P145" s="79"/>
      <c r="Z145" t="s">
        <v>1609</v>
      </c>
    </row>
    <row r="146" spans="1:26" x14ac:dyDescent="0.25">
      <c r="H146" s="80" t="s">
        <v>1688</v>
      </c>
      <c r="I146" s="79" t="s">
        <v>2365</v>
      </c>
      <c r="J146" s="79"/>
      <c r="K146" s="79"/>
      <c r="L146" s="79"/>
      <c r="M146" s="79"/>
      <c r="N146" s="79"/>
      <c r="O146" s="79"/>
      <c r="P146" s="79"/>
      <c r="Z146" t="s">
        <v>1610</v>
      </c>
    </row>
    <row r="147" spans="1:26" x14ac:dyDescent="0.25">
      <c r="H147" s="80" t="s">
        <v>1689</v>
      </c>
      <c r="I147" s="79"/>
      <c r="J147" s="79"/>
      <c r="K147" s="79"/>
      <c r="L147" s="79"/>
      <c r="M147" s="79"/>
      <c r="N147" s="79"/>
      <c r="O147" s="79"/>
      <c r="P147" s="79"/>
      <c r="Z147" t="s">
        <v>2548</v>
      </c>
    </row>
    <row r="148" spans="1:26" x14ac:dyDescent="0.25">
      <c r="H148" s="80" t="s">
        <v>1691</v>
      </c>
      <c r="I148" s="79"/>
      <c r="J148" s="79"/>
      <c r="K148" s="79"/>
      <c r="L148" s="79"/>
      <c r="M148" s="79"/>
      <c r="N148" s="79"/>
      <c r="O148" s="79"/>
      <c r="P148" s="79"/>
      <c r="Z148" t="s">
        <v>1612</v>
      </c>
    </row>
    <row r="149" spans="1:26" x14ac:dyDescent="0.25">
      <c r="H149" s="80" t="s">
        <v>1692</v>
      </c>
      <c r="I149" s="79"/>
      <c r="J149" s="79"/>
      <c r="K149" s="79"/>
      <c r="L149" s="79"/>
      <c r="M149" s="79"/>
      <c r="N149" s="79"/>
      <c r="O149" s="79"/>
      <c r="P149" s="79"/>
      <c r="Z149" t="s">
        <v>1613</v>
      </c>
    </row>
    <row r="150" spans="1:26" x14ac:dyDescent="0.25">
      <c r="H150" s="80" t="s">
        <v>1694</v>
      </c>
      <c r="I150" s="79"/>
      <c r="J150" s="79"/>
      <c r="K150" s="79"/>
      <c r="L150" s="79"/>
      <c r="M150" s="79"/>
      <c r="N150" s="79"/>
      <c r="O150" s="79"/>
      <c r="P150" s="79"/>
      <c r="Z150" t="s">
        <v>1614</v>
      </c>
    </row>
    <row r="151" spans="1:26" x14ac:dyDescent="0.25">
      <c r="H151" s="80" t="s">
        <v>1696</v>
      </c>
      <c r="I151" s="79"/>
      <c r="J151" s="79"/>
      <c r="K151" s="79"/>
      <c r="L151" s="79"/>
      <c r="M151" s="79"/>
      <c r="N151" s="79"/>
      <c r="O151" s="79"/>
      <c r="P151" s="79"/>
      <c r="Z151" t="s">
        <v>1615</v>
      </c>
    </row>
    <row r="152" spans="1:26" x14ac:dyDescent="0.25">
      <c r="H152" s="80" t="s">
        <v>1697</v>
      </c>
      <c r="I152" s="79"/>
      <c r="J152" s="79"/>
      <c r="K152" s="79"/>
      <c r="L152" s="79"/>
      <c r="M152" s="79"/>
      <c r="N152" s="79"/>
      <c r="O152" s="79"/>
      <c r="P152" s="79"/>
      <c r="Z152" t="s">
        <v>1616</v>
      </c>
    </row>
    <row r="153" spans="1:26" x14ac:dyDescent="0.25">
      <c r="H153" s="80" t="s">
        <v>1698</v>
      </c>
      <c r="I153" s="79"/>
      <c r="J153" s="79"/>
      <c r="K153" s="79"/>
      <c r="L153" s="79"/>
      <c r="M153" s="79"/>
      <c r="N153" s="79"/>
      <c r="O153" s="79"/>
      <c r="P153" s="79"/>
      <c r="Z153" t="s">
        <v>1617</v>
      </c>
    </row>
    <row r="154" spans="1:26" x14ac:dyDescent="0.25">
      <c r="H154" s="80" t="s">
        <v>1699</v>
      </c>
      <c r="I154" s="79"/>
      <c r="J154" s="79"/>
      <c r="K154" s="79"/>
      <c r="L154" s="79"/>
      <c r="M154" s="79"/>
      <c r="N154" s="79"/>
      <c r="O154" s="79"/>
      <c r="P154" s="79"/>
      <c r="Z154" t="s">
        <v>1618</v>
      </c>
    </row>
    <row r="155" spans="1:26" x14ac:dyDescent="0.25">
      <c r="A155" s="41" t="s">
        <v>1693</v>
      </c>
      <c r="H155" s="80" t="s">
        <v>1700</v>
      </c>
      <c r="I155" s="79"/>
      <c r="J155" s="79"/>
      <c r="K155" s="79"/>
      <c r="L155" s="79"/>
      <c r="M155" s="79"/>
      <c r="N155" s="79"/>
      <c r="O155" s="79"/>
      <c r="P155" s="79"/>
      <c r="Z155" t="s">
        <v>1619</v>
      </c>
    </row>
    <row r="156" spans="1:26" x14ac:dyDescent="0.25">
      <c r="A156" s="41" t="s">
        <v>1695</v>
      </c>
      <c r="H156" s="80" t="s">
        <v>1701</v>
      </c>
      <c r="I156" s="79"/>
      <c r="J156" s="79"/>
      <c r="K156" s="79"/>
      <c r="L156" s="79"/>
      <c r="M156" s="79"/>
      <c r="N156" s="79"/>
      <c r="O156" s="79"/>
      <c r="P156" s="79"/>
      <c r="Z156" t="s">
        <v>1620</v>
      </c>
    </row>
    <row r="157" spans="1:26" x14ac:dyDescent="0.25">
      <c r="H157" s="80" t="s">
        <v>1702</v>
      </c>
      <c r="I157" s="79"/>
      <c r="J157" s="79"/>
      <c r="K157" s="79"/>
      <c r="L157" s="79"/>
      <c r="M157" s="79"/>
      <c r="N157" s="79"/>
      <c r="O157" s="79"/>
      <c r="P157" s="79"/>
      <c r="Z157" t="s">
        <v>1621</v>
      </c>
    </row>
    <row r="158" spans="1:26" x14ac:dyDescent="0.25">
      <c r="H158" s="80" t="s">
        <v>1704</v>
      </c>
      <c r="I158" s="79"/>
      <c r="J158" s="79"/>
      <c r="K158" s="79"/>
      <c r="L158" s="79"/>
      <c r="M158" s="79"/>
      <c r="N158" s="79"/>
      <c r="O158" s="79"/>
      <c r="P158" s="79"/>
      <c r="Z158" t="s">
        <v>1865</v>
      </c>
    </row>
    <row r="159" spans="1:26" x14ac:dyDescent="0.25">
      <c r="H159" s="80" t="s">
        <v>1705</v>
      </c>
      <c r="I159" s="79"/>
      <c r="J159" s="79"/>
      <c r="K159" s="79"/>
      <c r="L159" s="79"/>
      <c r="M159" s="79"/>
      <c r="N159" s="79"/>
      <c r="O159" s="79"/>
      <c r="P159" s="79"/>
      <c r="Z159" t="s">
        <v>1622</v>
      </c>
    </row>
    <row r="160" spans="1:26" x14ac:dyDescent="0.25">
      <c r="H160" s="80" t="s">
        <v>1706</v>
      </c>
      <c r="I160" s="79"/>
      <c r="J160" s="79"/>
      <c r="K160" s="79"/>
      <c r="L160" s="79"/>
      <c r="M160" s="79"/>
      <c r="N160" s="79"/>
      <c r="O160" s="79"/>
      <c r="P160" s="79"/>
      <c r="Z160" t="s">
        <v>1623</v>
      </c>
    </row>
    <row r="161" spans="8:26" x14ac:dyDescent="0.25">
      <c r="H161" s="79" t="s">
        <v>1707</v>
      </c>
      <c r="I161" s="79"/>
      <c r="J161" s="79"/>
      <c r="K161" s="79"/>
      <c r="L161" s="79"/>
      <c r="M161" s="79"/>
      <c r="N161" s="79"/>
      <c r="O161" s="79"/>
      <c r="P161" s="79"/>
      <c r="Z161" t="s">
        <v>1624</v>
      </c>
    </row>
    <row r="162" spans="8:26" x14ac:dyDescent="0.25">
      <c r="H162" s="79" t="s">
        <v>1708</v>
      </c>
      <c r="I162" s="79"/>
      <c r="J162" s="79"/>
      <c r="K162" s="79"/>
      <c r="L162" s="79"/>
      <c r="M162" s="79"/>
      <c r="N162" s="79"/>
      <c r="O162" s="79"/>
      <c r="P162" s="79"/>
      <c r="Z162" t="s">
        <v>1625</v>
      </c>
    </row>
    <row r="163" spans="8:26" x14ac:dyDescent="0.25">
      <c r="H163" s="79" t="s">
        <v>1709</v>
      </c>
      <c r="I163" s="79" t="s">
        <v>1710</v>
      </c>
      <c r="J163" s="79" t="s">
        <v>1711</v>
      </c>
      <c r="K163" s="79"/>
      <c r="L163" s="79"/>
      <c r="M163" s="79"/>
      <c r="N163" s="79"/>
      <c r="O163" s="79"/>
      <c r="P163" s="79"/>
      <c r="Z163" t="s">
        <v>1626</v>
      </c>
    </row>
    <row r="164" spans="8:26" x14ac:dyDescent="0.25">
      <c r="H164" s="79" t="s">
        <v>1712</v>
      </c>
      <c r="I164" s="79"/>
      <c r="J164" s="79"/>
      <c r="K164" s="79"/>
      <c r="L164" s="79"/>
      <c r="M164" s="79"/>
      <c r="N164" s="79"/>
      <c r="O164" s="79"/>
      <c r="P164" s="79"/>
      <c r="Z164" t="s">
        <v>1627</v>
      </c>
    </row>
    <row r="165" spans="8:26" x14ac:dyDescent="0.25">
      <c r="H165" s="79" t="s">
        <v>1713</v>
      </c>
      <c r="I165" s="79"/>
      <c r="J165" s="79"/>
      <c r="K165" s="79"/>
      <c r="L165" s="79"/>
      <c r="M165" s="79"/>
      <c r="N165" s="79"/>
      <c r="O165" s="79"/>
      <c r="P165" s="79"/>
      <c r="Z165" t="s">
        <v>1628</v>
      </c>
    </row>
    <row r="166" spans="8:26" x14ac:dyDescent="0.25">
      <c r="H166" s="79" t="s">
        <v>1714</v>
      </c>
      <c r="I166" s="79"/>
      <c r="J166" s="79"/>
      <c r="K166" s="79"/>
      <c r="L166" s="79"/>
      <c r="M166" s="79"/>
      <c r="N166" s="79"/>
      <c r="O166" s="79"/>
      <c r="P166" s="79"/>
      <c r="Z166" t="s">
        <v>1630</v>
      </c>
    </row>
    <row r="167" spans="8:26" x14ac:dyDescent="0.25">
      <c r="H167" s="79" t="s">
        <v>1715</v>
      </c>
      <c r="I167" s="79"/>
      <c r="J167" s="79"/>
      <c r="K167" s="79"/>
      <c r="L167" s="79"/>
      <c r="M167" s="79"/>
      <c r="N167" s="79"/>
      <c r="O167" s="79"/>
      <c r="P167" s="79"/>
      <c r="Z167" t="s">
        <v>1631</v>
      </c>
    </row>
    <row r="168" spans="8:26" x14ac:dyDescent="0.25">
      <c r="H168" s="79" t="s">
        <v>1716</v>
      </c>
      <c r="I168" s="79"/>
      <c r="J168" s="79"/>
      <c r="K168" s="79"/>
      <c r="L168" s="79"/>
      <c r="M168" s="79"/>
      <c r="N168" s="79"/>
      <c r="O168" s="79"/>
      <c r="P168" s="79"/>
      <c r="Z168" t="s">
        <v>1632</v>
      </c>
    </row>
    <row r="169" spans="8:26" x14ac:dyDescent="0.25">
      <c r="H169" s="132" t="s">
        <v>1717</v>
      </c>
      <c r="I169" s="132"/>
      <c r="J169" s="132"/>
      <c r="K169" s="132"/>
      <c r="L169" s="79"/>
      <c r="M169" s="79"/>
      <c r="N169" s="79"/>
      <c r="O169" s="79"/>
      <c r="P169" s="79"/>
      <c r="Z169" t="s">
        <v>1633</v>
      </c>
    </row>
    <row r="170" spans="8:26" x14ac:dyDescent="0.25">
      <c r="H170" s="132" t="s">
        <v>1718</v>
      </c>
      <c r="I170" s="132"/>
      <c r="J170" s="132"/>
      <c r="K170" s="132"/>
      <c r="L170" s="79"/>
      <c r="M170" s="79"/>
      <c r="N170" s="79"/>
      <c r="O170" s="79"/>
      <c r="P170" s="79"/>
      <c r="Z170" t="s">
        <v>1634</v>
      </c>
    </row>
    <row r="171" spans="8:26" x14ac:dyDescent="0.25">
      <c r="H171" s="132" t="s">
        <v>1719</v>
      </c>
      <c r="I171" s="132" t="s">
        <v>1720</v>
      </c>
      <c r="J171" s="132"/>
      <c r="K171" s="132"/>
      <c r="L171" s="79"/>
      <c r="M171" s="79"/>
      <c r="N171" s="79"/>
      <c r="O171" s="79"/>
      <c r="P171" s="79"/>
      <c r="Z171" t="s">
        <v>1635</v>
      </c>
    </row>
    <row r="172" spans="8:26" x14ac:dyDescent="0.25">
      <c r="H172" s="132" t="s">
        <v>1721</v>
      </c>
      <c r="I172" s="132"/>
      <c r="J172" s="132"/>
      <c r="K172" s="132"/>
      <c r="L172" s="79"/>
      <c r="M172" s="79"/>
      <c r="N172" s="79"/>
      <c r="O172" s="79"/>
      <c r="P172" s="79"/>
      <c r="Z172" t="s">
        <v>1636</v>
      </c>
    </row>
    <row r="173" spans="8:26" x14ac:dyDescent="0.25">
      <c r="H173" s="132" t="s">
        <v>1722</v>
      </c>
      <c r="I173" s="132" t="s">
        <v>1723</v>
      </c>
      <c r="J173" s="132"/>
      <c r="K173" s="132"/>
      <c r="L173" s="79"/>
      <c r="M173" s="79"/>
      <c r="N173" s="79"/>
      <c r="O173" s="79"/>
      <c r="P173" s="79"/>
      <c r="Z173" t="s">
        <v>1638</v>
      </c>
    </row>
    <row r="174" spans="8:26" x14ac:dyDescent="0.25">
      <c r="H174" s="132" t="s">
        <v>1724</v>
      </c>
      <c r="I174" s="132"/>
      <c r="J174" s="132"/>
      <c r="K174" s="132"/>
      <c r="L174" s="79"/>
      <c r="M174" s="79"/>
      <c r="N174" s="79"/>
      <c r="O174" s="79"/>
      <c r="P174" s="79"/>
      <c r="Z174" t="s">
        <v>1639</v>
      </c>
    </row>
    <row r="175" spans="8:26" x14ac:dyDescent="0.25">
      <c r="H175" s="132" t="s">
        <v>1725</v>
      </c>
      <c r="I175" s="132"/>
      <c r="J175" s="132"/>
      <c r="K175" s="132"/>
      <c r="L175" s="79"/>
      <c r="M175" s="79"/>
      <c r="N175" s="79"/>
      <c r="O175" s="79"/>
      <c r="P175" s="79"/>
      <c r="Z175" t="s">
        <v>1703</v>
      </c>
    </row>
    <row r="176" spans="8:26" x14ac:dyDescent="0.25">
      <c r="H176" s="132" t="s">
        <v>1817</v>
      </c>
      <c r="I176" s="132"/>
      <c r="J176" s="132"/>
      <c r="K176" s="132"/>
      <c r="L176" s="79"/>
      <c r="M176" s="79"/>
      <c r="N176" s="79"/>
      <c r="O176" s="79"/>
      <c r="P176" s="79"/>
      <c r="Z176" t="s">
        <v>1641</v>
      </c>
    </row>
    <row r="177" spans="8:26" x14ac:dyDescent="0.25">
      <c r="H177" s="132" t="s">
        <v>1822</v>
      </c>
      <c r="I177" s="132"/>
      <c r="J177" s="132"/>
      <c r="K177" s="132"/>
      <c r="L177" s="79"/>
      <c r="M177" s="79"/>
      <c r="N177" s="79"/>
      <c r="O177" s="79"/>
      <c r="P177" s="79"/>
      <c r="Z177" t="s">
        <v>1642</v>
      </c>
    </row>
    <row r="178" spans="8:26" x14ac:dyDescent="0.25">
      <c r="H178" s="132" t="s">
        <v>1827</v>
      </c>
      <c r="I178" s="132"/>
      <c r="J178" s="132"/>
      <c r="K178" s="132"/>
      <c r="L178" s="79"/>
      <c r="M178" s="79"/>
      <c r="N178" s="79"/>
      <c r="O178" s="79"/>
      <c r="P178" s="79"/>
      <c r="Z178" t="s">
        <v>1644</v>
      </c>
    </row>
    <row r="179" spans="8:26" x14ac:dyDescent="0.25">
      <c r="H179" s="132" t="s">
        <v>1834</v>
      </c>
      <c r="I179" s="132" t="s">
        <v>1687</v>
      </c>
      <c r="J179" s="132" t="s">
        <v>1904</v>
      </c>
      <c r="K179" s="132"/>
      <c r="L179" s="79"/>
      <c r="M179" s="79"/>
      <c r="N179" s="79"/>
      <c r="O179" s="79"/>
      <c r="P179" s="79"/>
      <c r="Z179" t="s">
        <v>1645</v>
      </c>
    </row>
    <row r="180" spans="8:26" x14ac:dyDescent="0.25">
      <c r="H180" s="132" t="s">
        <v>1850</v>
      </c>
      <c r="I180" s="132"/>
      <c r="J180" s="132"/>
      <c r="K180" s="132"/>
      <c r="L180" s="79"/>
      <c r="M180" s="79"/>
      <c r="N180" s="79"/>
      <c r="O180" s="79"/>
      <c r="P180" s="79"/>
      <c r="Z180" t="s">
        <v>1646</v>
      </c>
    </row>
    <row r="181" spans="8:26" x14ac:dyDescent="0.25">
      <c r="H181" s="132" t="s">
        <v>1896</v>
      </c>
      <c r="I181" s="132" t="s">
        <v>1895</v>
      </c>
      <c r="J181" s="132"/>
      <c r="K181" s="132"/>
      <c r="L181" s="79"/>
      <c r="M181" s="79"/>
      <c r="N181" s="79"/>
      <c r="O181" s="79"/>
      <c r="P181" s="79"/>
      <c r="Z181" t="s">
        <v>2072</v>
      </c>
    </row>
    <row r="182" spans="8:26" x14ac:dyDescent="0.25">
      <c r="H182" s="132" t="s">
        <v>1899</v>
      </c>
      <c r="I182" s="132" t="s">
        <v>1900</v>
      </c>
      <c r="J182" s="132" t="s">
        <v>2293</v>
      </c>
      <c r="K182" s="132"/>
      <c r="L182" s="79"/>
      <c r="M182" s="79"/>
      <c r="N182" s="79"/>
      <c r="O182" s="79"/>
      <c r="P182" s="79"/>
      <c r="Z182" t="s">
        <v>1647</v>
      </c>
    </row>
    <row r="183" spans="8:26" x14ac:dyDescent="0.25">
      <c r="H183" s="132" t="s">
        <v>1909</v>
      </c>
      <c r="I183" s="132" t="s">
        <v>1910</v>
      </c>
      <c r="J183" s="132"/>
      <c r="K183" s="132"/>
      <c r="L183" s="132"/>
      <c r="M183" s="132"/>
      <c r="N183" s="79"/>
      <c r="O183" s="79"/>
      <c r="P183" s="79"/>
      <c r="Z183" t="s">
        <v>1648</v>
      </c>
    </row>
    <row r="184" spans="8:26" x14ac:dyDescent="0.25">
      <c r="H184" s="132" t="s">
        <v>1932</v>
      </c>
      <c r="I184" s="132"/>
      <c r="J184" s="132"/>
      <c r="K184" s="132"/>
      <c r="L184" s="132"/>
      <c r="M184" s="132"/>
      <c r="N184" s="79"/>
      <c r="O184" s="79"/>
      <c r="P184" s="79"/>
      <c r="Z184" t="s">
        <v>1649</v>
      </c>
    </row>
    <row r="185" spans="8:26" x14ac:dyDescent="0.25">
      <c r="H185" s="132" t="s">
        <v>2360</v>
      </c>
      <c r="I185" s="132"/>
      <c r="J185" s="132"/>
      <c r="K185" s="132"/>
      <c r="L185" s="132"/>
      <c r="M185" s="132"/>
      <c r="N185" s="79"/>
      <c r="O185" s="79"/>
      <c r="P185" s="79"/>
      <c r="Z185" t="s">
        <v>1650</v>
      </c>
    </row>
    <row r="186" spans="8:26" x14ac:dyDescent="0.25">
      <c r="H186" s="132" t="s">
        <v>1940</v>
      </c>
      <c r="I186" s="132"/>
      <c r="J186" s="132"/>
      <c r="K186" s="132"/>
      <c r="L186" s="132"/>
      <c r="M186" s="132"/>
      <c r="N186" s="79"/>
      <c r="O186" s="79"/>
      <c r="P186" s="79"/>
      <c r="Z186" t="s">
        <v>1651</v>
      </c>
    </row>
    <row r="187" spans="8:26" x14ac:dyDescent="0.25">
      <c r="H187" s="132" t="s">
        <v>1957</v>
      </c>
      <c r="I187" s="132"/>
      <c r="J187" s="132"/>
      <c r="K187" s="132"/>
      <c r="L187" s="132"/>
      <c r="M187" s="132"/>
      <c r="N187" s="79"/>
      <c r="O187" s="79"/>
      <c r="P187" s="79"/>
      <c r="Z187" t="s">
        <v>1652</v>
      </c>
    </row>
    <row r="188" spans="8:26" x14ac:dyDescent="0.25">
      <c r="H188" s="132" t="s">
        <v>1960</v>
      </c>
      <c r="I188" s="132"/>
      <c r="J188" s="132"/>
      <c r="K188" s="132"/>
      <c r="L188" s="132"/>
      <c r="M188" s="132"/>
      <c r="N188" s="79"/>
      <c r="O188" s="79"/>
      <c r="P188" s="79"/>
      <c r="Z188" t="s">
        <v>1653</v>
      </c>
    </row>
    <row r="189" spans="8:26" x14ac:dyDescent="0.25">
      <c r="H189" s="132" t="s">
        <v>1964</v>
      </c>
      <c r="I189" s="132"/>
      <c r="J189" s="132"/>
      <c r="K189" s="132"/>
      <c r="L189" s="132"/>
      <c r="M189" s="132"/>
      <c r="N189" s="79"/>
      <c r="O189" s="79"/>
      <c r="P189" s="79"/>
      <c r="Z189" t="s">
        <v>1654</v>
      </c>
    </row>
    <row r="190" spans="8:26" x14ac:dyDescent="0.25">
      <c r="H190" s="132" t="s">
        <v>1973</v>
      </c>
      <c r="I190" s="132" t="s">
        <v>2004</v>
      </c>
      <c r="J190" s="132"/>
      <c r="K190" s="132"/>
      <c r="L190" s="132"/>
      <c r="M190" s="132"/>
      <c r="N190" s="79"/>
      <c r="O190" s="79"/>
      <c r="P190" s="79"/>
      <c r="Z190" t="s">
        <v>1655</v>
      </c>
    </row>
    <row r="191" spans="8:26" x14ac:dyDescent="0.25">
      <c r="H191" s="132" t="s">
        <v>2039</v>
      </c>
      <c r="I191" s="132"/>
      <c r="J191" s="132"/>
      <c r="K191" s="132"/>
      <c r="L191" s="132"/>
      <c r="M191" s="132"/>
      <c r="N191" s="79"/>
      <c r="O191" s="79"/>
      <c r="P191" s="79"/>
      <c r="Z191" t="s">
        <v>1656</v>
      </c>
    </row>
    <row r="192" spans="8:26" x14ac:dyDescent="0.25">
      <c r="H192" s="132" t="s">
        <v>2040</v>
      </c>
      <c r="I192" s="132"/>
      <c r="J192" s="132"/>
      <c r="K192" s="132"/>
      <c r="L192" s="132"/>
      <c r="M192" s="132"/>
      <c r="N192" s="79"/>
      <c r="O192" s="79"/>
      <c r="P192" s="79"/>
      <c r="Z192" t="s">
        <v>1657</v>
      </c>
    </row>
    <row r="193" spans="8:26" x14ac:dyDescent="0.25">
      <c r="H193" s="132" t="s">
        <v>2041</v>
      </c>
      <c r="I193" s="132"/>
      <c r="J193" s="132"/>
      <c r="K193" s="132"/>
      <c r="L193" s="132"/>
      <c r="M193" s="132"/>
      <c r="N193" s="79"/>
      <c r="O193" s="79"/>
      <c r="P193" s="79"/>
      <c r="Z193" t="s">
        <v>1658</v>
      </c>
    </row>
    <row r="194" spans="8:26" x14ac:dyDescent="0.25">
      <c r="H194" s="132" t="s">
        <v>2042</v>
      </c>
      <c r="I194" s="132"/>
      <c r="J194" s="132"/>
      <c r="K194" s="132"/>
      <c r="L194" s="132"/>
      <c r="M194" s="132"/>
      <c r="N194" s="79"/>
      <c r="O194" s="79"/>
      <c r="P194" s="79"/>
      <c r="Z194" t="s">
        <v>2016</v>
      </c>
    </row>
    <row r="195" spans="8:26" x14ac:dyDescent="0.25">
      <c r="H195" s="132" t="s">
        <v>2043</v>
      </c>
      <c r="I195" s="132"/>
      <c r="J195" s="132"/>
      <c r="K195" s="132"/>
      <c r="L195" s="132"/>
      <c r="M195" s="132"/>
      <c r="N195" s="79"/>
      <c r="O195" s="79"/>
      <c r="P195" s="79"/>
      <c r="Z195" t="s">
        <v>1659</v>
      </c>
    </row>
    <row r="196" spans="8:26" x14ac:dyDescent="0.25">
      <c r="H196" s="132" t="s">
        <v>2044</v>
      </c>
      <c r="I196" s="132"/>
      <c r="J196" s="132"/>
      <c r="K196" s="132"/>
      <c r="L196" s="132"/>
      <c r="M196" s="132"/>
      <c r="N196" s="79"/>
      <c r="O196" s="79"/>
      <c r="P196" s="79"/>
      <c r="Z196" t="s">
        <v>1660</v>
      </c>
    </row>
    <row r="197" spans="8:26" x14ac:dyDescent="0.25">
      <c r="H197" s="132" t="s">
        <v>2045</v>
      </c>
      <c r="I197" s="132"/>
      <c r="J197" s="132"/>
      <c r="K197" s="132"/>
      <c r="L197" s="132"/>
      <c r="M197" s="132"/>
      <c r="N197" s="79"/>
      <c r="O197" s="79"/>
      <c r="P197" s="79"/>
      <c r="Z197" t="s">
        <v>1661</v>
      </c>
    </row>
    <row r="198" spans="8:26" x14ac:dyDescent="0.25">
      <c r="H198" s="132" t="s">
        <v>2046</v>
      </c>
      <c r="I198" s="132"/>
      <c r="J198" s="132"/>
      <c r="K198" s="132"/>
      <c r="L198" s="132"/>
      <c r="M198" s="132"/>
      <c r="N198" s="79"/>
      <c r="O198" s="79"/>
      <c r="P198" s="79"/>
      <c r="Z198" t="s">
        <v>1662</v>
      </c>
    </row>
    <row r="199" spans="8:26" x14ac:dyDescent="0.25">
      <c r="H199" s="132" t="s">
        <v>2162</v>
      </c>
      <c r="I199" s="132"/>
      <c r="J199" s="132"/>
      <c r="K199" s="132"/>
      <c r="L199" s="132"/>
      <c r="M199" s="132"/>
      <c r="N199" s="132"/>
      <c r="O199" s="79"/>
      <c r="P199" s="79"/>
      <c r="Z199" t="s">
        <v>1663</v>
      </c>
    </row>
    <row r="200" spans="8:26" x14ac:dyDescent="0.25">
      <c r="H200" s="132" t="s">
        <v>2076</v>
      </c>
      <c r="I200" s="132" t="s">
        <v>2294</v>
      </c>
      <c r="J200" s="132"/>
      <c r="K200" s="132"/>
      <c r="L200" s="132"/>
      <c r="M200" s="132"/>
      <c r="N200" s="132"/>
      <c r="O200" s="79"/>
      <c r="P200" s="79"/>
      <c r="Z200" t="s">
        <v>1664</v>
      </c>
    </row>
    <row r="201" spans="8:26" x14ac:dyDescent="0.25">
      <c r="H201" s="132" t="s">
        <v>2093</v>
      </c>
      <c r="I201" s="132"/>
      <c r="J201" s="132"/>
      <c r="K201" s="132"/>
      <c r="L201" s="132"/>
      <c r="M201" s="132"/>
      <c r="N201" s="132"/>
      <c r="O201" s="79"/>
      <c r="P201" s="79"/>
      <c r="Z201" t="s">
        <v>1665</v>
      </c>
    </row>
    <row r="202" spans="8:26" x14ac:dyDescent="0.25">
      <c r="H202" s="132" t="s">
        <v>2095</v>
      </c>
      <c r="I202" s="132"/>
      <c r="J202" s="132"/>
      <c r="K202" s="132"/>
      <c r="L202" s="132"/>
      <c r="M202" s="132"/>
      <c r="N202" s="132"/>
      <c r="O202" s="79"/>
      <c r="P202" s="79"/>
      <c r="Z202" t="s">
        <v>1666</v>
      </c>
    </row>
    <row r="203" spans="8:26" x14ac:dyDescent="0.25">
      <c r="H203" s="132" t="s">
        <v>2107</v>
      </c>
      <c r="I203" s="132"/>
      <c r="J203" s="132"/>
      <c r="K203" s="132"/>
      <c r="L203" s="132"/>
      <c r="M203" s="132"/>
      <c r="N203" s="132"/>
      <c r="O203" s="79"/>
      <c r="P203" s="79"/>
      <c r="Z203" t="s">
        <v>1667</v>
      </c>
    </row>
    <row r="204" spans="8:26" x14ac:dyDescent="0.25">
      <c r="H204" s="132" t="s">
        <v>2113</v>
      </c>
      <c r="I204" s="132"/>
      <c r="J204" s="132"/>
      <c r="K204" s="132"/>
      <c r="L204" s="132"/>
      <c r="M204" s="132"/>
      <c r="N204" s="132"/>
      <c r="O204" s="79"/>
      <c r="P204" s="79"/>
      <c r="Z204" t="s">
        <v>1906</v>
      </c>
    </row>
    <row r="205" spans="8:26" x14ac:dyDescent="0.25">
      <c r="H205" s="132" t="s">
        <v>2138</v>
      </c>
      <c r="I205" s="132"/>
      <c r="J205" s="132"/>
      <c r="K205" s="132"/>
      <c r="L205" s="132"/>
      <c r="M205" s="132"/>
      <c r="N205" s="132"/>
      <c r="O205" s="79"/>
      <c r="P205" s="79"/>
      <c r="Z205" t="s">
        <v>1668</v>
      </c>
    </row>
    <row r="206" spans="8:26" x14ac:dyDescent="0.25">
      <c r="H206" s="132" t="s">
        <v>2154</v>
      </c>
      <c r="I206" s="132"/>
      <c r="J206" s="132"/>
      <c r="K206" s="132"/>
      <c r="L206" s="132"/>
      <c r="M206" s="132"/>
      <c r="N206" s="132"/>
      <c r="O206" s="79"/>
      <c r="P206" s="79"/>
      <c r="Z206" t="s">
        <v>2130</v>
      </c>
    </row>
    <row r="207" spans="8:26" x14ac:dyDescent="0.25">
      <c r="H207" s="132" t="s">
        <v>2160</v>
      </c>
      <c r="I207" s="132"/>
      <c r="J207" s="132"/>
      <c r="K207" s="132"/>
      <c r="L207" s="132"/>
      <c r="M207" s="132"/>
      <c r="N207" s="132"/>
      <c r="O207" s="79"/>
      <c r="P207" s="79"/>
      <c r="Z207" t="s">
        <v>1726</v>
      </c>
    </row>
    <row r="208" spans="8:26" x14ac:dyDescent="0.25">
      <c r="H208" s="132" t="s">
        <v>2138</v>
      </c>
      <c r="I208" s="132" t="s">
        <v>2295</v>
      </c>
      <c r="J208" s="132" t="s">
        <v>2296</v>
      </c>
      <c r="K208" s="132"/>
      <c r="L208" s="132"/>
      <c r="M208" s="132"/>
      <c r="N208" s="132"/>
      <c r="O208" s="79"/>
      <c r="P208" s="79"/>
      <c r="Z208" t="s">
        <v>1727</v>
      </c>
    </row>
    <row r="209" spans="8:26" x14ac:dyDescent="0.25">
      <c r="H209" s="132" t="s">
        <v>2179</v>
      </c>
      <c r="I209" s="132"/>
      <c r="J209" s="132"/>
      <c r="K209" s="132"/>
      <c r="L209" s="132"/>
      <c r="M209" s="132"/>
      <c r="N209" s="132"/>
      <c r="O209" s="79"/>
      <c r="P209" s="79"/>
      <c r="Z209" t="s">
        <v>1671</v>
      </c>
    </row>
    <row r="210" spans="8:26" x14ac:dyDescent="0.25">
      <c r="H210" s="132" t="s">
        <v>2234</v>
      </c>
      <c r="I210" s="132"/>
      <c r="J210" s="132"/>
      <c r="K210" s="132"/>
      <c r="L210" s="132"/>
      <c r="M210" s="132"/>
      <c r="N210" s="132"/>
      <c r="O210" s="79"/>
      <c r="P210" s="79"/>
      <c r="Z210" t="s">
        <v>1672</v>
      </c>
    </row>
    <row r="211" spans="8:26" x14ac:dyDescent="0.25">
      <c r="H211" s="132" t="s">
        <v>2276</v>
      </c>
      <c r="I211" s="132"/>
      <c r="J211" s="132"/>
      <c r="K211" s="132"/>
      <c r="L211" s="132"/>
      <c r="M211" s="132"/>
      <c r="N211" s="132"/>
      <c r="O211" s="132"/>
      <c r="P211" s="132"/>
      <c r="Z211" t="s">
        <v>1673</v>
      </c>
    </row>
    <row r="212" spans="8:26" x14ac:dyDescent="0.25">
      <c r="H212" s="132" t="s">
        <v>2342</v>
      </c>
      <c r="I212" s="132"/>
      <c r="J212" s="132"/>
      <c r="K212" s="132"/>
      <c r="L212" s="132"/>
      <c r="M212" s="132"/>
      <c r="N212" s="132"/>
      <c r="O212" s="132"/>
      <c r="P212" s="132"/>
      <c r="Z212" t="s">
        <v>2309</v>
      </c>
    </row>
    <row r="213" spans="8:26" x14ac:dyDescent="0.25">
      <c r="H213" s="132" t="s">
        <v>2348</v>
      </c>
      <c r="I213" s="132"/>
      <c r="J213" s="132"/>
      <c r="K213" s="132"/>
      <c r="L213" s="132"/>
      <c r="M213" s="132"/>
      <c r="N213" s="132"/>
      <c r="O213" s="132"/>
      <c r="P213" s="132"/>
      <c r="Z213" t="s">
        <v>1674</v>
      </c>
    </row>
    <row r="214" spans="8:26" x14ac:dyDescent="0.25">
      <c r="H214" s="132" t="s">
        <v>2471</v>
      </c>
      <c r="I214" s="132"/>
      <c r="J214" s="132"/>
      <c r="K214" s="132"/>
      <c r="L214" s="132"/>
      <c r="M214" s="132"/>
      <c r="N214" s="132"/>
      <c r="O214" s="132"/>
      <c r="P214" s="132"/>
      <c r="Z214" t="s">
        <v>1675</v>
      </c>
    </row>
    <row r="215" spans="8:26" x14ac:dyDescent="0.25">
      <c r="H215" s="132" t="s">
        <v>2500</v>
      </c>
      <c r="I215" s="132"/>
      <c r="J215" s="132"/>
      <c r="K215" s="132"/>
      <c r="L215" s="132"/>
      <c r="M215" s="132"/>
      <c r="N215" s="132"/>
      <c r="O215" s="132"/>
      <c r="P215" s="132"/>
      <c r="Z215" t="s">
        <v>1676</v>
      </c>
    </row>
    <row r="216" spans="8:26" x14ac:dyDescent="0.25">
      <c r="H216" s="132" t="s">
        <v>2510</v>
      </c>
      <c r="I216" s="132"/>
      <c r="J216" s="132"/>
      <c r="K216" s="132"/>
      <c r="L216" s="132"/>
      <c r="M216" s="132"/>
      <c r="N216" s="132"/>
      <c r="O216" s="132"/>
      <c r="P216" s="132"/>
      <c r="Z216" t="s">
        <v>1677</v>
      </c>
    </row>
    <row r="217" spans="8:26" x14ac:dyDescent="0.25">
      <c r="H217" s="132" t="s">
        <v>2515</v>
      </c>
      <c r="I217" s="132"/>
      <c r="J217" s="132"/>
      <c r="K217" s="132"/>
      <c r="L217" s="132"/>
      <c r="M217" s="132"/>
      <c r="N217" s="132"/>
      <c r="O217" s="132"/>
      <c r="P217" s="132"/>
      <c r="Z217" t="s">
        <v>1679</v>
      </c>
    </row>
    <row r="218" spans="8:26" x14ac:dyDescent="0.25">
      <c r="H218" s="132" t="s">
        <v>2540</v>
      </c>
      <c r="I218" s="132"/>
      <c r="J218" s="132"/>
      <c r="K218" s="132"/>
      <c r="L218" s="132"/>
      <c r="M218" s="132"/>
      <c r="N218" s="132"/>
      <c r="O218" s="132"/>
      <c r="P218" s="132"/>
      <c r="Z218" t="s">
        <v>1680</v>
      </c>
    </row>
    <row r="219" spans="8:26" x14ac:dyDescent="0.25">
      <c r="H219" s="79" t="s">
        <v>2582</v>
      </c>
      <c r="I219" s="79"/>
      <c r="J219" s="79"/>
      <c r="K219" s="79"/>
      <c r="L219" s="79"/>
      <c r="M219" s="79"/>
      <c r="N219" s="79"/>
      <c r="O219" s="79"/>
      <c r="P219" s="79"/>
      <c r="Z219" t="s">
        <v>1681</v>
      </c>
    </row>
    <row r="220" spans="8:26" x14ac:dyDescent="0.25">
      <c r="Z220" t="s">
        <v>1728</v>
      </c>
    </row>
    <row r="221" spans="8:26" x14ac:dyDescent="0.25">
      <c r="Z221" t="s">
        <v>1683</v>
      </c>
    </row>
    <row r="222" spans="8:26" x14ac:dyDescent="0.25">
      <c r="Z222" t="s">
        <v>1684</v>
      </c>
    </row>
    <row r="223" spans="8:26" x14ac:dyDescent="0.25">
      <c r="Z223" t="s">
        <v>1685</v>
      </c>
    </row>
    <row r="224" spans="8:26" x14ac:dyDescent="0.25">
      <c r="Z224" t="s">
        <v>1686</v>
      </c>
    </row>
    <row r="225" spans="26:26" x14ac:dyDescent="0.25">
      <c r="Z225" t="s">
        <v>1688</v>
      </c>
    </row>
    <row r="226" spans="26:26" x14ac:dyDescent="0.25">
      <c r="Z226" t="s">
        <v>2365</v>
      </c>
    </row>
    <row r="227" spans="26:26" x14ac:dyDescent="0.25">
      <c r="Z227" t="s">
        <v>1689</v>
      </c>
    </row>
    <row r="228" spans="26:26" x14ac:dyDescent="0.25">
      <c r="Z228" t="s">
        <v>1691</v>
      </c>
    </row>
    <row r="229" spans="26:26" x14ac:dyDescent="0.25">
      <c r="Z229" t="s">
        <v>1692</v>
      </c>
    </row>
    <row r="230" spans="26:26" x14ac:dyDescent="0.25">
      <c r="Z230" t="s">
        <v>1694</v>
      </c>
    </row>
    <row r="231" spans="26:26" x14ac:dyDescent="0.25">
      <c r="Z231" t="s">
        <v>1696</v>
      </c>
    </row>
    <row r="232" spans="26:26" x14ac:dyDescent="0.25">
      <c r="Z232" t="s">
        <v>1697</v>
      </c>
    </row>
    <row r="233" spans="26:26" x14ac:dyDescent="0.25">
      <c r="Z233" t="s">
        <v>1698</v>
      </c>
    </row>
    <row r="234" spans="26:26" x14ac:dyDescent="0.25">
      <c r="Z234" t="s">
        <v>1699</v>
      </c>
    </row>
    <row r="235" spans="26:26" x14ac:dyDescent="0.25">
      <c r="Z235" t="s">
        <v>1700</v>
      </c>
    </row>
    <row r="236" spans="26:26" x14ac:dyDescent="0.25">
      <c r="Z236" t="s">
        <v>1701</v>
      </c>
    </row>
    <row r="237" spans="26:26" x14ac:dyDescent="0.25">
      <c r="Z237" t="s">
        <v>1702</v>
      </c>
    </row>
    <row r="238" spans="26:26" x14ac:dyDescent="0.25">
      <c r="Z238" t="s">
        <v>1704</v>
      </c>
    </row>
    <row r="239" spans="26:26" x14ac:dyDescent="0.25">
      <c r="Z239" t="s">
        <v>1705</v>
      </c>
    </row>
    <row r="240" spans="26:26" x14ac:dyDescent="0.25">
      <c r="Z240" t="s">
        <v>1706</v>
      </c>
    </row>
    <row r="241" spans="26:26" x14ac:dyDescent="0.25">
      <c r="Z241" t="s">
        <v>1707</v>
      </c>
    </row>
    <row r="242" spans="26:26" x14ac:dyDescent="0.25">
      <c r="Z242" t="s">
        <v>1708</v>
      </c>
    </row>
    <row r="243" spans="26:26" x14ac:dyDescent="0.25">
      <c r="Z243" t="s">
        <v>1709</v>
      </c>
    </row>
    <row r="244" spans="26:26" x14ac:dyDescent="0.25">
      <c r="Z244" t="s">
        <v>1710</v>
      </c>
    </row>
    <row r="245" spans="26:26" x14ac:dyDescent="0.25">
      <c r="Z245" t="s">
        <v>1711</v>
      </c>
    </row>
    <row r="246" spans="26:26" x14ac:dyDescent="0.25">
      <c r="Z246" t="s">
        <v>1712</v>
      </c>
    </row>
    <row r="247" spans="26:26" x14ac:dyDescent="0.25">
      <c r="Z247" t="s">
        <v>1713</v>
      </c>
    </row>
    <row r="248" spans="26:26" x14ac:dyDescent="0.25">
      <c r="Z248" t="s">
        <v>1714</v>
      </c>
    </row>
    <row r="249" spans="26:26" x14ac:dyDescent="0.25">
      <c r="Z249" t="s">
        <v>1715</v>
      </c>
    </row>
    <row r="250" spans="26:26" x14ac:dyDescent="0.25">
      <c r="Z250" t="s">
        <v>1716</v>
      </c>
    </row>
    <row r="251" spans="26:26" x14ac:dyDescent="0.25">
      <c r="Z251" t="s">
        <v>1717</v>
      </c>
    </row>
    <row r="252" spans="26:26" x14ac:dyDescent="0.25">
      <c r="Z252" t="s">
        <v>1718</v>
      </c>
    </row>
    <row r="253" spans="26:26" x14ac:dyDescent="0.25">
      <c r="Z253" t="s">
        <v>1719</v>
      </c>
    </row>
    <row r="254" spans="26:26" x14ac:dyDescent="0.25">
      <c r="Z254" t="s">
        <v>1720</v>
      </c>
    </row>
    <row r="255" spans="26:26" x14ac:dyDescent="0.25">
      <c r="Z255" t="s">
        <v>1721</v>
      </c>
    </row>
    <row r="256" spans="26:26" x14ac:dyDescent="0.25">
      <c r="Z256" t="s">
        <v>1722</v>
      </c>
    </row>
    <row r="257" spans="26:26" x14ac:dyDescent="0.25">
      <c r="Z257" t="s">
        <v>1723</v>
      </c>
    </row>
    <row r="258" spans="26:26" x14ac:dyDescent="0.25">
      <c r="Z258" t="s">
        <v>1724</v>
      </c>
    </row>
    <row r="259" spans="26:26" x14ac:dyDescent="0.25">
      <c r="Z259" t="s">
        <v>1725</v>
      </c>
    </row>
    <row r="260" spans="26:26" x14ac:dyDescent="0.25">
      <c r="Z260" t="s">
        <v>1817</v>
      </c>
    </row>
    <row r="261" spans="26:26" x14ac:dyDescent="0.25">
      <c r="Z261" t="s">
        <v>1822</v>
      </c>
    </row>
    <row r="262" spans="26:26" x14ac:dyDescent="0.25">
      <c r="Z262" t="s">
        <v>1827</v>
      </c>
    </row>
    <row r="263" spans="26:26" x14ac:dyDescent="0.25">
      <c r="Z263" t="s">
        <v>1834</v>
      </c>
    </row>
    <row r="264" spans="26:26" x14ac:dyDescent="0.25">
      <c r="Z264" t="s">
        <v>1687</v>
      </c>
    </row>
    <row r="265" spans="26:26" x14ac:dyDescent="0.25">
      <c r="Z265" t="s">
        <v>1904</v>
      </c>
    </row>
    <row r="266" spans="26:26" x14ac:dyDescent="0.25">
      <c r="Z266" t="s">
        <v>1850</v>
      </c>
    </row>
    <row r="267" spans="26:26" x14ac:dyDescent="0.25">
      <c r="Z267" t="s">
        <v>1896</v>
      </c>
    </row>
    <row r="268" spans="26:26" x14ac:dyDescent="0.25">
      <c r="Z268" t="s">
        <v>1895</v>
      </c>
    </row>
    <row r="269" spans="26:26" x14ac:dyDescent="0.25">
      <c r="Z269" t="s">
        <v>1899</v>
      </c>
    </row>
    <row r="270" spans="26:26" x14ac:dyDescent="0.25">
      <c r="Z270" t="s">
        <v>1900</v>
      </c>
    </row>
    <row r="271" spans="26:26" x14ac:dyDescent="0.25">
      <c r="Z271" t="s">
        <v>2293</v>
      </c>
    </row>
    <row r="272" spans="26:26" x14ac:dyDescent="0.25">
      <c r="Z272" t="s">
        <v>1909</v>
      </c>
    </row>
    <row r="273" spans="26:26" x14ac:dyDescent="0.25">
      <c r="Z273" t="s">
        <v>1910</v>
      </c>
    </row>
    <row r="274" spans="26:26" x14ac:dyDescent="0.25">
      <c r="Z274" t="s">
        <v>1932</v>
      </c>
    </row>
    <row r="275" spans="26:26" x14ac:dyDescent="0.25">
      <c r="Z275" t="s">
        <v>2360</v>
      </c>
    </row>
    <row r="276" spans="26:26" x14ac:dyDescent="0.25">
      <c r="Z276" t="s">
        <v>1940</v>
      </c>
    </row>
    <row r="277" spans="26:26" x14ac:dyDescent="0.25">
      <c r="Z277" t="s">
        <v>1957</v>
      </c>
    </row>
    <row r="278" spans="26:26" x14ac:dyDescent="0.25">
      <c r="Z278" t="s">
        <v>1960</v>
      </c>
    </row>
    <row r="279" spans="26:26" x14ac:dyDescent="0.25">
      <c r="Z279" t="s">
        <v>1964</v>
      </c>
    </row>
    <row r="280" spans="26:26" x14ac:dyDescent="0.25">
      <c r="Z280" t="s">
        <v>1973</v>
      </c>
    </row>
    <row r="281" spans="26:26" x14ac:dyDescent="0.25">
      <c r="Z281" t="s">
        <v>2004</v>
      </c>
    </row>
    <row r="282" spans="26:26" x14ac:dyDescent="0.25">
      <c r="Z282" t="s">
        <v>2039</v>
      </c>
    </row>
    <row r="283" spans="26:26" x14ac:dyDescent="0.25">
      <c r="Z283" t="s">
        <v>2040</v>
      </c>
    </row>
    <row r="284" spans="26:26" x14ac:dyDescent="0.25">
      <c r="Z284" t="s">
        <v>2041</v>
      </c>
    </row>
    <row r="285" spans="26:26" x14ac:dyDescent="0.25">
      <c r="Z285" t="s">
        <v>2042</v>
      </c>
    </row>
    <row r="286" spans="26:26" x14ac:dyDescent="0.25">
      <c r="Z286" t="s">
        <v>2043</v>
      </c>
    </row>
    <row r="287" spans="26:26" x14ac:dyDescent="0.25">
      <c r="Z287" t="s">
        <v>2044</v>
      </c>
    </row>
    <row r="288" spans="26:26" x14ac:dyDescent="0.25">
      <c r="Z288" t="s">
        <v>2045</v>
      </c>
    </row>
    <row r="289" spans="26:26" x14ac:dyDescent="0.25">
      <c r="Z289" t="s">
        <v>2046</v>
      </c>
    </row>
    <row r="290" spans="26:26" x14ac:dyDescent="0.25">
      <c r="Z290" t="s">
        <v>2162</v>
      </c>
    </row>
    <row r="291" spans="26:26" x14ac:dyDescent="0.25">
      <c r="Z291" t="s">
        <v>2076</v>
      </c>
    </row>
    <row r="292" spans="26:26" x14ac:dyDescent="0.25">
      <c r="Z292" t="s">
        <v>2294</v>
      </c>
    </row>
    <row r="293" spans="26:26" x14ac:dyDescent="0.25">
      <c r="Z293" t="s">
        <v>2093</v>
      </c>
    </row>
    <row r="294" spans="26:26" x14ac:dyDescent="0.25">
      <c r="Z294" t="s">
        <v>2095</v>
      </c>
    </row>
    <row r="295" spans="26:26" x14ac:dyDescent="0.25">
      <c r="Z295" t="s">
        <v>2107</v>
      </c>
    </row>
    <row r="296" spans="26:26" x14ac:dyDescent="0.25">
      <c r="Z296" t="s">
        <v>2113</v>
      </c>
    </row>
    <row r="297" spans="26:26" x14ac:dyDescent="0.25">
      <c r="Z297" t="s">
        <v>2138</v>
      </c>
    </row>
    <row r="298" spans="26:26" x14ac:dyDescent="0.25">
      <c r="Z298" t="s">
        <v>2154</v>
      </c>
    </row>
    <row r="299" spans="26:26" x14ac:dyDescent="0.25">
      <c r="Z299" t="s">
        <v>2160</v>
      </c>
    </row>
    <row r="300" spans="26:26" x14ac:dyDescent="0.25">
      <c r="Z300" t="s">
        <v>2295</v>
      </c>
    </row>
    <row r="301" spans="26:26" x14ac:dyDescent="0.25">
      <c r="Z301" t="s">
        <v>2296</v>
      </c>
    </row>
    <row r="302" spans="26:26" x14ac:dyDescent="0.25">
      <c r="Z302" t="s">
        <v>2179</v>
      </c>
    </row>
    <row r="303" spans="26:26" x14ac:dyDescent="0.25">
      <c r="Z303" t="s">
        <v>2234</v>
      </c>
    </row>
    <row r="304" spans="26:26" x14ac:dyDescent="0.25">
      <c r="Z304" t="s">
        <v>2276</v>
      </c>
    </row>
    <row r="305" spans="26:26" x14ac:dyDescent="0.25">
      <c r="Z305" t="s">
        <v>2342</v>
      </c>
    </row>
    <row r="306" spans="26:26" x14ac:dyDescent="0.25">
      <c r="Z306" t="s">
        <v>2348</v>
      </c>
    </row>
    <row r="307" spans="26:26" x14ac:dyDescent="0.25">
      <c r="Z307" t="s">
        <v>2471</v>
      </c>
    </row>
    <row r="308" spans="26:26" x14ac:dyDescent="0.25">
      <c r="Z308" t="s">
        <v>2500</v>
      </c>
    </row>
    <row r="309" spans="26:26" x14ac:dyDescent="0.25">
      <c r="Z309" t="s">
        <v>2510</v>
      </c>
    </row>
    <row r="310" spans="26:26" x14ac:dyDescent="0.25">
      <c r="Z310" t="s">
        <v>2515</v>
      </c>
    </row>
    <row r="311" spans="26:26" x14ac:dyDescent="0.25">
      <c r="Z311" t="s">
        <v>2540</v>
      </c>
    </row>
    <row r="312" spans="26:26" x14ac:dyDescent="0.25">
      <c r="Z312" t="s">
        <v>2582</v>
      </c>
    </row>
  </sheetData>
  <phoneticPr fontId="9" type="noConversion"/>
  <hyperlinks>
    <hyperlink ref="A155" location="'copy (30)'!A1" display="copy (30)" xr:uid="{207F0B97-6ECB-4824-9F2F-C3B321B28EE0}"/>
    <hyperlink ref="A156" location="'Sheet1'!A1" display="Sheet1" xr:uid="{83696609-3AB5-403C-9D0B-6048E57DF2E1}"/>
    <hyperlink ref="H9" location="'E Minh - TH'!A1" display="E Minh - TH" xr:uid="{852FCF0D-5998-4479-8ACA-0E622307A2DB}"/>
    <hyperlink ref="H10" location="'Cty Phú Minh'!A1" display="Cty Phú Minh" xr:uid="{473EE396-27E1-4FAC-A5D0-AD35C3699643}"/>
    <hyperlink ref="H11" location="'Cty Ý Thuỷ'!A1" display="Cty Ý Thuỷ" xr:uid="{A108808F-C04E-413F-ACE6-C040FA81F57A}"/>
    <hyperlink ref="H12" location="'Cty Vinh Oanh - Phủ Lý'!A1" display="Cty Vinh Oanh - Phủ Lý" xr:uid="{BCD85C9A-2994-4F01-9551-EA868829C0CB}"/>
    <hyperlink ref="H13" location="'A Hải - HP'!A1" display="A Hải - HP" xr:uid="{CCF98455-C343-4FE5-A08C-B869F6B71F8E}"/>
    <hyperlink ref="H14" location="'C Xếp - HP'!A1" display="C Xếp - HP" xr:uid="{2E97CE2B-72F9-4D2C-80E7-FD4ECB337889}"/>
    <hyperlink ref="H15" location="'Cty Kim Thành'!A1" display="Cty Kim Thành" xr:uid="{7FE11C67-80A7-4E83-965A-0CB2B56E055F}"/>
    <hyperlink ref="H16" location="'A Đông - Tân Hồng Phát'!A1" display="A Đông - Tân Hồng Phát" xr:uid="{3AC5BDBB-ED33-4D01-B8FC-594BC42F649E}"/>
    <hyperlink ref="H17" location="'E Thái - CMỹ'!A1" display="E Thái - CMỹ" xr:uid="{3686C9C3-C4AF-46F8-A5AC-BB5232DBADB8}"/>
    <hyperlink ref="H18" location="' E Giao - Cty Bạch Kim'!A1" display=" E Giao - Cty Bạch Kim" xr:uid="{A2160842-0996-4C0F-B557-105F074A6C94}"/>
    <hyperlink ref="H19" location="'C Thuỷ - HP'!A1" display="C Thuỷ - HP" xr:uid="{50C114F8-A59E-4814-945C-02FF0BF4F0A8}"/>
    <hyperlink ref="H20" location="'Cty An Phát - HP'!A1" display="Cty An Phát - HP" xr:uid="{E7EF7A9D-2F76-47B3-A734-70CE02BBD5A2}"/>
    <hyperlink ref="H21" location="'E Duy - Cty Hải Âu'!A1" display="E Duy - Cty Hải Âu" xr:uid="{99EA11B7-AC91-48D9-B3C4-FD9EF3C54522}"/>
    <hyperlink ref="H22" location="'A Tùng - Cty An Phú'!A1" display="A Tùng - Cty An Phú" xr:uid="{C2CE6DA7-5F57-4911-9878-5947824EEB3E}"/>
    <hyperlink ref="H23" location="'A Bản - Cty Cường Thịnh'!A1" display="A Bản - Cty Cường Thịnh" xr:uid="{793C5364-ED15-43FF-82BE-23D9566219D1}"/>
    <hyperlink ref="H24" location="'E Duyên - Rùa'!A1" display="E Duyên - Rùa" xr:uid="{7FE6571F-B52B-40C0-AF18-CD0B2E8A5EC3}"/>
    <hyperlink ref="H25" location="'Cty Hyundai - ĐN'!A1" display="Cty Hyundai - ĐN" xr:uid="{6009C5E7-32E2-4D2C-B3BF-DB58DFEA8B71}"/>
    <hyperlink ref="H26" location="'E Phúc - Cty Đức Phúc'!A1" display="E Phúc - Cty Đức Phúc" xr:uid="{FFD98524-14D5-406E-9FF9-504FD92C0065}"/>
    <hyperlink ref="H27" location="'Cty Lý Dương Hùng - ĐN'!A1" display="Cty Lý Dương Hùng - ĐN" xr:uid="{1DF3EFB6-4E1B-4462-8C59-96972EF8B55D}"/>
    <hyperlink ref="H28" location="'A Tuấn - Cty Hưng Phát'!A1" display="A Tuấn - Cty Hưng Phát" xr:uid="{70C7E735-ACC1-4D75-9934-29E679F06339}"/>
    <hyperlink ref="H29" location="'C Năm Đạo - Cầu Đuống'!A1" display="C Năm Đạo - Cầu Đuống" xr:uid="{AC8F88DA-F2DA-4920-A2C0-DDDF22C9D754}"/>
    <hyperlink ref="H30" location="'Khách lẻ'!A1" display="Khách lẻ" xr:uid="{B8FF8001-A5A4-419C-9D6F-E4D4E32CE391}"/>
    <hyperlink ref="H31" location="'C Đào - Cty Nam Khánh'!A1" display="C Đào - Cty Nam Khánh" xr:uid="{41E6EFF0-9999-4C64-A9C2-F581E7E2AE49}"/>
    <hyperlink ref="H32" location="'Cty Tân Phát'!A1" display="Cty Tân Phát" xr:uid="{D589FC35-9A9E-4901-B50F-129964C5BAC6}"/>
    <hyperlink ref="H33" location="' A Tùng - HD'!A1" display=" A Tùng - HD" xr:uid="{C5601F19-956B-42DB-87F5-793393DB7B00}"/>
    <hyperlink ref="H34" location="'E Kiên - HD'!A1" display="E Kiên - HD" xr:uid="{6CD09DCE-E591-48FE-A4E2-B19B7EF8E606}"/>
    <hyperlink ref="H35" location="'C Hà - HY'!A1" display="C Hà - HY" xr:uid="{B43134E7-86C0-49DF-8F3E-6B8A399A647C}"/>
    <hyperlink ref="H36" location="'Cty Phú Thành'!A1" display="Cty Phú Thành" xr:uid="{74728D68-7EAE-40F9-93A2-20AA1E484955}"/>
    <hyperlink ref="H37" location="'Cty Việt Anh'!A1" display="Cty Việt Anh" xr:uid="{6523AA04-6678-4546-B5F6-AD12A473C956}"/>
    <hyperlink ref="H38" location="'Cty Thép Hà Nội'!A1" display="Cty Thép Hà Nội" xr:uid="{7CBAF0F0-5704-44B0-A45B-6A90094C3FCC}"/>
    <hyperlink ref="H39" location="'C Thuỷ - TH'!A1" display="C Thuỷ - TH" xr:uid="{D1D9CC9B-2BCC-426A-830C-E0B67D5327D1}"/>
    <hyperlink ref="H40" location="'Cty Vạn Xuân'!A1" display="Cty Vạn Xuân" xr:uid="{8DB75A7F-DEA7-4581-8878-1C99BD0F9E26}"/>
    <hyperlink ref="H41" location="'E Đắc - NĐ'!A1" display="E Đắc - NĐ" xr:uid="{B4080140-8731-4D75-8C10-D20E86E6C0A8}"/>
    <hyperlink ref="H42" location="'Cty Đại Thuỷ'!A1" display="Cty Đại Thuỷ" xr:uid="{7904A6B2-3D99-4224-B304-D707C71483A4}"/>
    <hyperlink ref="H43" location="'Cty Thiên Hòa An'!A1" display="Cty Thiên Hòa An" xr:uid="{661B351C-3BAA-4074-8D5B-D1EAAF86957A}"/>
    <hyperlink ref="H44" location="'E Quân - CMy'!A1" display="E Quân - CMy" xr:uid="{ACDE93AE-1E46-4FE2-AFCC-0F8DD4F85358}"/>
    <hyperlink ref="H45" location="'A Trung'!A1" display="A Trung" xr:uid="{0C078B49-0ADC-4CF3-A4E7-A9C1DAE4D19A}"/>
    <hyperlink ref="H46" location="'Cty Tân Đạt'!A1" display="Cty Tân Đạt" xr:uid="{5CF003CE-3CFB-4237-B566-7BEED601C99C}"/>
    <hyperlink ref="H47" location="'Cty Ánh Dương'!A1" display="Cty Ánh Dương" xr:uid="{567BB98C-1A3A-4611-9480-1BA9FACF54B3}"/>
    <hyperlink ref="H48" location="'E Hoài - NĐ'!A1" display="E Hoài - NĐ" xr:uid="{BF5F4A8C-71EC-46BF-B7D3-00BBF79914A1}"/>
    <hyperlink ref="H49" location="' E Mão - NB'!A1" display=" E Mão - NB" xr:uid="{D8E37DB3-E316-4A24-A41A-24A72C9AEF03}"/>
    <hyperlink ref="H50" location="'Cty Minh Tiến'!A1" display="Cty Minh Tiến" xr:uid="{A67572FD-F852-4805-923B-78D8C73E01E2}"/>
    <hyperlink ref="H51" location="'C Hùng - HP'!A1" display="C Hùng - HP" xr:uid="{09EC3499-83BE-4091-9D0E-0CB846A55A2A}"/>
    <hyperlink ref="H52" location="'C Thuyên - Cty Gia Hưng'!A1" display="C Thuyên - Cty Gia Hưng" xr:uid="{4B8336E1-DBDA-4C36-8A07-BB39E5ECE51C}"/>
    <hyperlink ref="H53" location="'Cty Đại Đồng'!A1" display="Cty Đại Đồng" xr:uid="{1F4928AA-4E17-40B2-803B-2F19AB0A90B4}"/>
    <hyperlink ref="H54" location="'Cty Tân Tiến'!A1" display="Cty Tân Tiến" xr:uid="{5A824053-96E6-4381-9491-70A554722253}"/>
    <hyperlink ref="H55" location="'Cty Thiên Ân'!A1" display="Cty Thiên Ân" xr:uid="{A298F6D2-DBB8-4F77-8D4F-D046CCB63936}"/>
    <hyperlink ref="H56" location="'Cty Hà Cường'!A1" display="Cty Hà Cường" xr:uid="{BEE55F6B-9594-4222-B159-AA5253341320}"/>
    <hyperlink ref="H57" location="'Cty Anh Thư - Hồng Vân'!A1" display="Cty Anh Thư - Hồng Vân" xr:uid="{BA42C919-29C5-4A7C-A7DD-B06EEC106CDC}"/>
    <hyperlink ref="H58" location="'E Thuận - Ngọc Diệp'!A1" display="E Thuận - Ngọc Diệp" xr:uid="{75163F80-25D8-4DB0-A2CE-0E5CCEA959FE}"/>
    <hyperlink ref="H59" location="'Cty Minh Vũ'!A1" display="Cty Minh Vũ" xr:uid="{C1C5E831-D484-4E62-80A1-33D0B9E48F08}"/>
    <hyperlink ref="H60" location="'Cty CP An Phát - TT'!A1" display="Cty CP An Phát - TT" xr:uid="{4132BB82-5291-4055-A5D8-604B87450715}"/>
    <hyperlink ref="H61" location="'A Tùng - Cty Xuân Thành'!A1" display="A Tùng - Cty Xuân Thành" xr:uid="{C3C5D652-D83F-45F7-9B0C-6DC9A0CAD7A8}"/>
    <hyperlink ref="H62" location="'Cty Hưng Phát - NĐ'!A1" display="Cty Hưng Phát - NĐ" xr:uid="{3E618A9E-19C6-42BA-B167-B3118A6F81FA}"/>
    <hyperlink ref="H63" location="'A Bảy - NĐ'!A1" display="A Bảy - NĐ" xr:uid="{00F3046C-35CE-4A9E-B3CF-6A0725AB9887}"/>
    <hyperlink ref="H64" location="'A Đông - NĐ'!A1" display="A Đông - NĐ" xr:uid="{0B9E7BE1-DAC5-40C7-80E8-8B33A086E356}"/>
    <hyperlink ref="H65" location="'Cty Quang Nga - Phủ Lý'!A1" display="Cty Quang Nga - Phủ Lý" xr:uid="{4975FCCC-7426-4F6B-8BD2-7A06C1A882A2}"/>
    <hyperlink ref="H66" location="'A Nguyện - Cty Gia Anh'!A1" display="A Nguyện - Cty Gia Anh" xr:uid="{FBDC0BCF-D101-439B-9839-39E104931CB1}"/>
    <hyperlink ref="H67" location="'Cty Hiển Thịnh - HP'!A1" display="Cty Hiển Thịnh - HP" xr:uid="{372CC529-6971-40F0-9FD0-140BD0D8F5D6}"/>
    <hyperlink ref="H68" location="'A Hùng - Cty Ngọc Ngân - HP'!A1" display="A Hùng - Cty Ngọc Ngân - HP" xr:uid="{DCD787DE-95BB-4978-A3FA-EEDD2EB5C1D0}"/>
    <hyperlink ref="H69" location="'Cty Hoà Hưng'!A1" display="Cty Hoà Hưng" xr:uid="{BBFD8CFE-2499-4C2B-B0F5-270D55913EB0}"/>
    <hyperlink ref="H70" location="'E Toàn - Cty Quang Long'!A1" display="E Toàn - Cty Quang Long" xr:uid="{D7F5081B-9879-4979-99B6-00274A8FCFCC}"/>
    <hyperlink ref="H71" location="'Cty Minh Châu - TN'!A1" display="Cty Minh Châu - TN" xr:uid="{BA0A5095-68EC-497B-AE4E-661655D4AF49}"/>
    <hyperlink ref="H72" location="'Cty Anh Linh - TT'!A1" display="Cty Anh Linh - TT" xr:uid="{BE30AA6D-3B6C-419E-8C24-C4CCEBCE96C2}"/>
    <hyperlink ref="H73" location="'Cty Dung Tươi - Yên Bái '!A1" display="Cty Dung Tươi - Yên Bái " xr:uid="{35DECC42-0FCA-49C4-A63A-1D2CC9B8360E}"/>
    <hyperlink ref="H75" location="'Cty Hoàng Quân Phát '!A1" display="Cty Hoàng Quân Phát " xr:uid="{32105E3E-B1FE-4B44-82A5-C9FEDA80E27E}"/>
    <hyperlink ref="H76" location="'Cty Tân Hưng'!A1" display="Cty Tân Hưng" xr:uid="{01A69DFC-DB6F-43FA-BFCE-D15B2B3849A9}"/>
    <hyperlink ref="H77" location="'Cty Thanh Dương - ĐN'!A1" display="Cty Thanh Dương - ĐN" xr:uid="{D44A40DD-550D-4CCF-8AF3-E2EF7904802C}"/>
    <hyperlink ref="H78" location="'Cty Thép Việt'!A1" display="Cty Thép Việt" xr:uid="{5E143899-07A7-4F3C-A562-703B333550EF}"/>
    <hyperlink ref="H79" location="'A Long - Mỗ'!A1" display="A Long - Mỗ" xr:uid="{0968E6D7-ECE8-4583-A55A-8C1AECC9F475}"/>
    <hyperlink ref="H80" location="'E Tạo - NĐ'!A1" display="E Tạo - NĐ" xr:uid="{1A59BE93-335E-415A-A525-DDD50AE5428A}"/>
    <hyperlink ref="H81" location="'Cty Thái Dương'!A1" display="Cty Thái Dương" xr:uid="{31FB6225-0EBB-4DAB-B757-7E637C1A5799}"/>
    <hyperlink ref="H82" location="'Cty Hồng Tâm - Phủ Lý'!A1" display="Cty Hồng Tâm - Phủ Lý" xr:uid="{35545FFC-C365-4F69-A1A1-9E76DD3FA729}"/>
    <hyperlink ref="H83" location="'A Kiên - Long Biên'!A1" display="A Kiên - Long Biên" xr:uid="{463397F0-A512-4C83-9BBD-16FECB63BC4E}"/>
    <hyperlink ref="H84" location="'C Hà - Khoa học - HY'!A1" display="C Hà - Khoa học - HY" xr:uid="{05F3FDA9-E479-4122-87F9-1C0463C53B28}"/>
    <hyperlink ref="H85" location="'E Trung - Cty Hà Anh'!A1" display="E Trung - Cty Hà Anh" xr:uid="{6DCFC5E9-2442-4E22-96CD-D874D0290D11}"/>
    <hyperlink ref="H86" location="'Cty Bùi Gia'!A1" display="Cty Bùi Gia" xr:uid="{355139BC-34F1-408D-8454-15D7A63F14EC}"/>
    <hyperlink ref="H87" location="'Cty Hiền Hoa - NĐ'!A1" display="Cty Hiền Hoa - NĐ" xr:uid="{8836A70F-9FEC-47FF-8127-A2350564E420}"/>
    <hyperlink ref="H88" location="'A Cường - Linh Đàm'!A1" display="A Cường - Linh Đàm" xr:uid="{F4ED743E-FF93-4EC6-97E9-B1BCE2800A62}"/>
    <hyperlink ref="H89" location="'C Dung - HD'!A1" display="C Dung - HD" xr:uid="{19C12C36-F2CB-40F2-B18F-79963DA45794}"/>
    <hyperlink ref="H90" location="'Cty Cơ khí CTM Phú Thịnh - ĐN'!A1" display="Cty Cơ khí CTM Phú Thịnh - ĐN" xr:uid="{1FB09F23-16B8-41F1-AA7B-B6BB92315BCF}"/>
    <hyperlink ref="H91" location="'Cty Toàn Việt'!A1" display="Cty Toàn Việt" xr:uid="{578D615E-CDBC-4E23-8AED-A9B3CB9878BD}"/>
    <hyperlink ref="H92" location="'Cty Thảo Trang'!A1" display="Cty Thảo Trang" xr:uid="{7811B421-1111-4902-AB27-233E07D33172}"/>
    <hyperlink ref="H93" location="'C Dung - Cầu Diễn'!A1" display="C Dung - Cầu Diễn" xr:uid="{609BB807-9A95-4752-A243-C2C7E9325CE9}"/>
    <hyperlink ref="H94" location="'Cty Cường Hương - PX'!A1" display="Cty Cường Hương - PX" xr:uid="{B68EB7BD-629F-4963-89C7-19D7B42A9176}"/>
    <hyperlink ref="H95" location="'Cty INOX Việt'!A1" display="Cty INOX Việt" xr:uid="{7A809CA2-14B2-421E-901A-8D08FF0FFA1A}"/>
    <hyperlink ref="H96" location="'A Phong - Cty Việt Đức'!A1" display="A Phong - Cty Việt Đức" xr:uid="{C00819C2-B849-4409-A274-503537B9B2C9}"/>
    <hyperlink ref="H97" location="'Cty Thiết Bị Y Tế Hoàng Gia'!A1" display="Cty Thiết Bị Y Tế Hoàng Gia" xr:uid="{F89ADD59-EFFE-44FF-9048-4C751078956E}"/>
    <hyperlink ref="H98" location="'A Đức - Cty Hoà Phát'!A1" display="A Đức - Cty Hoà Phát" xr:uid="{C6F1C021-99D7-4B31-86DA-4545B8FC1CF4}"/>
    <hyperlink ref="H99" location="'Cty Đông Dương'!A1" display="Cty Đông Dương" xr:uid="{21EBFBBE-8FE1-4726-A6E6-36879CE4B56D}"/>
    <hyperlink ref="H100" location="'Cty TH Việt Nam'!A1" display="Cty TH Việt Nam" xr:uid="{0FD79937-3A5D-4EE4-9794-AF4855806ACB}"/>
    <hyperlink ref="H101" location="'E Ân - Thái Nguyên'!A1" display="E Ân - Thái Nguyên" xr:uid="{207CB3E8-5873-4EDC-A652-51447957C7F3}"/>
    <hyperlink ref="H102" location="'E Nguyên - Cty Huy Hoàng'!A1" display="E Nguyên - Cty Huy Hoàng" xr:uid="{D27E7258-0C6D-465B-BC03-745207395811}"/>
    <hyperlink ref="H103" location="'Cô Cúc - Rùa'!A1" display="Cô Cúc - Rùa" xr:uid="{6817DF9B-EA7C-4A4A-8667-75F9B1B9895B}"/>
    <hyperlink ref="H104" location="'Cty Nguyễn Hưng - HT'!A1" display="Cty Nguyễn Hưng - HT" xr:uid="{1F07EE35-AAAD-4559-94C1-1C90299598A7}"/>
    <hyperlink ref="H105" location="'Cty Thanh Phát'!A1" display="Cty Thanh Phát" xr:uid="{99872B1C-1C87-4310-9F6C-0A0EB350A2E8}"/>
    <hyperlink ref="H106" location="'E Mỹ - Rùa'!A1" display="E Mỹ - Rùa" xr:uid="{C45DA66C-530E-4B18-855C-BEEF19C6FEFF}"/>
    <hyperlink ref="H107" location="'Cty Thép Nam Phát - Từ Liêm'!A1" display="Cty Thép Nam Phát - Từ Liêm" xr:uid="{13C89EE3-9959-4FEF-B110-3E69223B2E51}"/>
    <hyperlink ref="H108" location="'E Thắng - Cty Quốc Thắng'!A1" display="E Thắng - Cty Quốc Thắng" xr:uid="{8732A1A0-E3BB-4EDA-A3BF-67494403BC0A}"/>
    <hyperlink ref="H109" location="'E Hiến - Cty Minh Hiến - HD '!A1" display="E Hiến - Cty Minh Hiến - HD " xr:uid="{E04F6E3D-0819-4869-A355-4038D3B1CA74}"/>
    <hyperlink ref="H110" location="'A Thắng - HP'!A1" display="A Thắng - HP" xr:uid="{84C33272-5F38-4B7D-8629-274E52288F65}"/>
    <hyperlink ref="H111" location="'Cty Thành An'!A1" display="Cty Thành An" xr:uid="{C7CC114C-5CF6-4253-B53E-E5686466329B}"/>
    <hyperlink ref="H112" location="'Cty Tam Việt - TH'!A1" display="Cty Tam Việt - TH" xr:uid="{919B6785-0A38-4BAE-897C-649AA0243805}"/>
    <hyperlink ref="H113" location="'E Đạt - Cty Bảo Phát'!A1" display="E Đạt - Cty Bảo Phát" xr:uid="{C068190E-9AF2-429A-959B-6ABF119253E9}"/>
    <hyperlink ref="H114" location="'A Hải - NH'!A1" display="A Hải - NH" xr:uid="{7FB6A041-E566-4FC8-A80C-9D84BE5E6045}"/>
    <hyperlink ref="H115" location="'Cty Nam Phát - Ngọc Hồi'!A1" display="Cty Nam Phát - Ngọc Hồi" xr:uid="{229A8011-4B46-47ED-B754-27F9278A953B}"/>
    <hyperlink ref="H116" location="'A Hùng - Cty Minh Phát'!A1" display="A Hùng - Cty Minh Phát" xr:uid="{C9A1D79C-0276-48AB-8C85-126DB89A0649}"/>
    <hyperlink ref="H117" location="'C Hà - Xuân Mai'!A1" display="C Hà - Xuân Mai" xr:uid="{B7241A85-9164-4A5D-B227-54E6A3B7E3EA}"/>
    <hyperlink ref="H118" location="'E Doanh - Cty Thép Thanh Oai'!A1" display="E Doanh - Cty Thép Thanh Oai" xr:uid="{73EF5A40-D629-4885-948F-1543EDE45B33}"/>
    <hyperlink ref="H119" location="'A Dự - NĐ'!A1" display="A Dự - NĐ" xr:uid="{7DECBA77-28C2-4A3E-AD69-803D3AC33369}"/>
    <hyperlink ref="H120" location="'Cty Giang Phương'!A1" display="Cty Giang Phương" xr:uid="{7490E817-DEAC-44E9-8AB1-D4F6AAC1906E}"/>
    <hyperlink ref="H121" location="'C Yến - Cty Tân Thành'!A1" display="C Yến - Cty Tân Thành" xr:uid="{39676169-A479-43A9-8F72-6CA6E4676DC1}"/>
    <hyperlink ref="H122" location="'C Phương - Cty XNK Thịnh Phát'!A1" display="C Phương - Cty XNK Thịnh Phát" xr:uid="{EE45B395-2759-4D98-91A3-FC5E22A3704D}"/>
    <hyperlink ref="H123" location="'Cty Hàn Việt'!A1" display="Cty Hàn Việt" xr:uid="{47D74BBD-52B9-44F4-8DDE-349DC36A71D4}"/>
    <hyperlink ref="H124" location="'Cty Năng lượng - Tứ Hiệp'!A1" display="Cty Năng lượng - Tứ Hiệp" xr:uid="{9DB50524-0B19-40DF-9961-205F01090BAC}"/>
    <hyperlink ref="H125" location="'C Hạnh - Cty Đức Phát'!A1" display="C Hạnh - Cty Đức Phát" xr:uid="{C5292598-DA5B-4369-9BF3-E6C04DFB211E}"/>
    <hyperlink ref="H126" location="'Cty Bảo Lâm'!A1" display="Cty Bảo Lâm" xr:uid="{5D8A6842-DAA7-401B-B25B-6086814BEC4C}"/>
    <hyperlink ref="H127" location="'Cty Toàn Phát - HP'!A1" display="Cty Toàn Phát - HP" xr:uid="{81AB7DDD-3764-4F43-BAD0-338C8355B634}"/>
    <hyperlink ref="H128" location="'E Trung - Cty An Phát - HY'!A1" display="E Trung - Cty An Phát - HY" xr:uid="{77610101-153F-4AEE-954D-2804496C025D}"/>
    <hyperlink ref="H129" location="'Cty Thịnh Hưng'!A1" display="Cty Thịnh Hưng" xr:uid="{53622D87-AC05-4C15-8E5B-6AA7C36E9E66}"/>
    <hyperlink ref="H130" location="'Cty Tuấn Nhung - Rùa '!A1" display="Cty Tuấn Nhung - Rùa " xr:uid="{0B9C8E37-8172-4B2D-A27F-1B9EF15ABE2E}"/>
    <hyperlink ref="H131" location="'Cty Thành Hưng '!A1" display="Cty Thành Hưng " xr:uid="{D185778D-0B4F-41D7-BEF8-26266185454B}"/>
    <hyperlink ref="H132" location="'Cty Minh Tám'!A1" display="Cty Minh Tám" xr:uid="{E145B70F-6E75-4EA4-8674-C6F90ADD2BC6}"/>
    <hyperlink ref="H133" location="'Cty Bình Minh'!A1" display="Cty Bình Minh" xr:uid="{74D2013A-1E8C-4064-B34F-A2ADF07F3678}"/>
    <hyperlink ref="H134" location="'A Cương - Rùa'!A1" display="A Cương - Rùa" xr:uid="{E84CE0C5-C69D-496D-A33E-31B14421DBD5}"/>
    <hyperlink ref="H135" location="'Cty Visco - Hải Phòng'!A1" display="Cty Visco - Hải Phòng" xr:uid="{79683C2E-CA64-4586-910B-9CA5DD198D29}"/>
    <hyperlink ref="H136" location="'Cty Thái Hưng - Phú Thọ'!A1" display="Cty Thái Hưng - Phú Thọ" xr:uid="{324557A3-9B95-4762-A7C0-2264DD33E88B}"/>
    <hyperlink ref="H137" location="'Cty Cường Thu - NĐ'!A1" display="Cty Cường Thu - NĐ" xr:uid="{624FDAC5-F3C9-4E81-80C2-20E3CB4BC306}"/>
    <hyperlink ref="H138" location="'Cty Anh Thư'!A1" display="Cty Anh Thư" xr:uid="{4D2454F9-DD5D-4B25-B1A1-BCFF89DE5B59}"/>
    <hyperlink ref="H139" location="'Cty Minh Phương - Hoài Đức'!A1" display="Cty Minh Phương - Hoài Đức" xr:uid="{17D3C057-A5E4-4443-9788-244FFD0F13CF}"/>
    <hyperlink ref="H140" location="'Cty Tiến Hưng'!A1" display="Cty Tiến Hưng" xr:uid="{E5A6F8D2-45B8-45F2-A68F-38B0A51B2764}"/>
    <hyperlink ref="H141" location="'Cty INOX Diện Hoài'!A1" display="Cty INOX Diện Hoài" xr:uid="{5F4543E8-B35D-447F-B694-7F9CAE8B8C43}"/>
    <hyperlink ref="H142" location="'Cty Đức Thuận HP '!A1" display="Cty Đức Thuận HP " xr:uid="{C1298E9A-6865-421D-9952-2E1BEECF10D2}"/>
    <hyperlink ref="H143" location="'Cty Khanh Tâm - NA'!A1" display="Cty Khanh Tâm - NA" xr:uid="{88B2AA67-4B64-41DC-8952-F4A03CDEFDFA}"/>
    <hyperlink ref="H144" location="'Cty Đạt Linh'!A1" display="Cty Đạt Linh" xr:uid="{64E4D1D3-3FBA-4D39-9BA2-D3BA3CCC51F0}"/>
    <hyperlink ref="H145" location="'Cty Quang Phương - Bắc Ninh'!A1" display="Cty Quang Phương - Bắc Ninh" xr:uid="{59363B93-955B-448B-8D46-AB8A28E95AC7}"/>
    <hyperlink ref="H146" location="'C Vui - HY'!A1" display="C Vui - HY" xr:uid="{07370892-D2A7-4DAA-A5FF-B32F6B0452BF}"/>
    <hyperlink ref="H147" location="'A Thép - Cty Thép Titan'!A1" display="A Thép - Cty Thép Titan" xr:uid="{60B512ED-263E-45B8-8866-4E5307A366B7}"/>
    <hyperlink ref="H148" location="'CH Phú Lý'!A1" display="CH Phú Lý" xr:uid="{6BA70C8A-7283-4823-A04D-42F191FD60EF}"/>
    <hyperlink ref="H149" location="'C Dung - Cty Việt Á'!A1" display="C Dung - Cty Việt Á" xr:uid="{78F2718B-9B62-4723-BC55-DECA1F0E89D1}"/>
    <hyperlink ref="H150" location="'Cty Thăng Long'!A1" display="Cty Thăng Long" xr:uid="{89278A06-D404-48D0-80FB-DB7236C3297C}"/>
    <hyperlink ref="H151" location="'Cty Tuấn Đạt'!A1" display="Cty Tuấn Đạt" xr:uid="{2608B583-FA45-4CC0-B351-F2B11E3E5FAC}"/>
    <hyperlink ref="H152" location="'Cty Sao Việt'!A1" display="Cty Sao Việt" xr:uid="{AA766DA6-C35C-4D46-B6BF-B1F6CF9591D6}"/>
    <hyperlink ref="H153" location="'Cty Hoàng Linh'!A1" display="Cty Hoàng Linh" xr:uid="{BE7997C9-3E67-443D-8397-D28364AF990A}"/>
    <hyperlink ref="H154" location="'Cty Thái An- HY'!A1" display="Cty Thái An- HY" xr:uid="{963BCC89-EE08-46E3-8EAB-84A7BC6ED5A6}"/>
    <hyperlink ref="H155" location="'Cty Từ Phương - QB'!A1" display="Cty Từ Phương - QB" xr:uid="{EDA10B40-2C18-4496-8BA4-CDC119A2347A}"/>
    <hyperlink ref="H156" location="'A Khuyến - Ecopark'!A1" display="A Khuyến - Ecopark" xr:uid="{EDCC1458-B179-458D-BABF-F37497A9BF7E}"/>
    <hyperlink ref="H157" location="'Cty CN Hà Thành'!A1" display="Cty CN Hà Thành" xr:uid="{6155022F-CF28-4998-8178-AF4641D32C54}"/>
    <hyperlink ref="H158" location="'Cty An Thịnh'!A1" display="Cty An Thịnh" xr:uid="{85B2163B-C951-4190-BEC9-D4104F84D100}"/>
    <hyperlink ref="H159" location="'Cty Hưng Thịnh'!A1" display="Cty Hưng Thịnh" xr:uid="{E79C8E41-F6B3-495A-8608-447A415C564C}"/>
    <hyperlink ref="H160" location="'Cty Thép 568'!A1" display="Cty Thép 568" xr:uid="{64F47BC1-F564-40CB-BF40-1842069E9E74}"/>
  </hyperlinks>
  <pageMargins left="0.7" right="0.7" top="0.75" bottom="0.75" header="0.3" footer="0.3"/>
  <pageSetup paperSize="9" orientation="portrait" verticalDpi="0" r:id="rId1"/>
  <drawing r:id="rId2"/>
  <tableParts count="2">
    <tablePart r:id="rId3"/>
    <tablePart r:id="rId4"/>
  </tableParts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828FF9-7295-4CEF-B8F6-A169ACDD0314}">
  <sheetPr codeName="Sheet9"/>
  <dimension ref="A1:F1283"/>
  <sheetViews>
    <sheetView workbookViewId="0">
      <selection activeCell="E1" sqref="E1"/>
    </sheetView>
  </sheetViews>
  <sheetFormatPr defaultRowHeight="15" x14ac:dyDescent="0.25"/>
  <cols>
    <col min="1" max="1" width="27.85546875" bestFit="1" customWidth="1"/>
    <col min="2" max="2" width="13.140625" bestFit="1" customWidth="1"/>
    <col min="3" max="3" width="11.28515625" bestFit="1" customWidth="1"/>
    <col min="4" max="4" width="18.7109375" bestFit="1" customWidth="1"/>
    <col min="5" max="5" width="15.140625" bestFit="1" customWidth="1"/>
    <col min="6" max="6" width="15.140625" customWidth="1"/>
    <col min="7" max="7" width="15.140625" bestFit="1" customWidth="1"/>
    <col min="8" max="8" width="20.5703125" bestFit="1" customWidth="1"/>
    <col min="9" max="9" width="15.140625" bestFit="1" customWidth="1"/>
  </cols>
  <sheetData>
    <row r="1" spans="1:6" x14ac:dyDescent="0.25">
      <c r="A1" t="s">
        <v>2165</v>
      </c>
      <c r="B1" s="100" t="s">
        <v>3</v>
      </c>
      <c r="C1" t="s">
        <v>4</v>
      </c>
      <c r="D1" t="s">
        <v>5</v>
      </c>
      <c r="E1" t="s">
        <v>6</v>
      </c>
      <c r="F1" s="107" t="s">
        <v>9</v>
      </c>
    </row>
    <row r="2" spans="1:6" hidden="1" x14ac:dyDescent="0.25">
      <c r="A2" s="210" t="s">
        <v>1485</v>
      </c>
      <c r="B2" s="100">
        <v>46178</v>
      </c>
      <c r="C2" t="s">
        <v>21</v>
      </c>
      <c r="D2" t="s">
        <v>22</v>
      </c>
      <c r="E2" t="s">
        <v>147</v>
      </c>
      <c r="F2" s="107">
        <v>100000000</v>
      </c>
    </row>
    <row r="3" spans="1:6" hidden="1" x14ac:dyDescent="0.25">
      <c r="A3" s="210" t="s">
        <v>1487</v>
      </c>
      <c r="B3" s="100">
        <v>46178</v>
      </c>
      <c r="C3" t="s">
        <v>21</v>
      </c>
      <c r="D3" t="s">
        <v>22</v>
      </c>
      <c r="E3" t="s">
        <v>147</v>
      </c>
      <c r="F3" s="107">
        <v>150000000</v>
      </c>
    </row>
    <row r="4" spans="1:6" hidden="1" x14ac:dyDescent="0.25">
      <c r="A4" s="210" t="s">
        <v>1488</v>
      </c>
      <c r="B4" s="100">
        <v>46178</v>
      </c>
      <c r="C4" t="s">
        <v>21</v>
      </c>
      <c r="D4" t="s">
        <v>22</v>
      </c>
      <c r="E4" t="s">
        <v>147</v>
      </c>
      <c r="F4" s="107">
        <v>100000000</v>
      </c>
    </row>
    <row r="5" spans="1:6" hidden="1" x14ac:dyDescent="0.25">
      <c r="A5" s="210" t="s">
        <v>1499</v>
      </c>
      <c r="B5" s="100">
        <v>46178</v>
      </c>
      <c r="C5" t="s">
        <v>21</v>
      </c>
      <c r="D5" t="s">
        <v>22</v>
      </c>
      <c r="E5" t="s">
        <v>147</v>
      </c>
      <c r="F5" s="107">
        <v>200000000</v>
      </c>
    </row>
    <row r="6" spans="1:6" hidden="1" x14ac:dyDescent="0.25">
      <c r="A6" s="210" t="s">
        <v>1525</v>
      </c>
      <c r="B6" s="100">
        <v>46178</v>
      </c>
      <c r="C6" t="s">
        <v>21</v>
      </c>
      <c r="D6" t="s">
        <v>22</v>
      </c>
      <c r="E6" t="s">
        <v>147</v>
      </c>
      <c r="F6" s="107">
        <v>170000000</v>
      </c>
    </row>
    <row r="7" spans="1:6" hidden="1" x14ac:dyDescent="0.25">
      <c r="A7" s="210" t="s">
        <v>1547</v>
      </c>
      <c r="B7" s="100">
        <v>46178</v>
      </c>
      <c r="C7" t="s">
        <v>21</v>
      </c>
      <c r="D7" t="s">
        <v>22</v>
      </c>
      <c r="E7" t="s">
        <v>147</v>
      </c>
      <c r="F7" s="107">
        <v>100000000</v>
      </c>
    </row>
    <row r="8" spans="1:6" hidden="1" x14ac:dyDescent="0.25">
      <c r="A8" s="210" t="s">
        <v>1562</v>
      </c>
      <c r="B8" s="100">
        <v>46178</v>
      </c>
      <c r="C8" t="s">
        <v>21</v>
      </c>
      <c r="D8" t="s">
        <v>22</v>
      </c>
      <c r="E8" t="s">
        <v>147</v>
      </c>
      <c r="F8" s="107">
        <v>200000000</v>
      </c>
    </row>
    <row r="9" spans="1:6" hidden="1" x14ac:dyDescent="0.25">
      <c r="A9" s="210" t="s">
        <v>1564</v>
      </c>
      <c r="B9" s="100">
        <v>46178</v>
      </c>
      <c r="C9" t="s">
        <v>21</v>
      </c>
      <c r="D9" t="s">
        <v>22</v>
      </c>
      <c r="E9" t="s">
        <v>147</v>
      </c>
      <c r="F9" s="107">
        <v>40000000</v>
      </c>
    </row>
    <row r="10" spans="1:6" hidden="1" x14ac:dyDescent="0.25">
      <c r="A10" s="210" t="s">
        <v>1577</v>
      </c>
      <c r="B10" s="100">
        <v>46178</v>
      </c>
      <c r="C10" t="s">
        <v>21</v>
      </c>
      <c r="D10" t="s">
        <v>22</v>
      </c>
      <c r="E10" t="s">
        <v>147</v>
      </c>
      <c r="F10" s="107">
        <v>200000000</v>
      </c>
    </row>
    <row r="11" spans="1:6" hidden="1" x14ac:dyDescent="0.25">
      <c r="A11" s="210" t="s">
        <v>1600</v>
      </c>
      <c r="B11" s="100">
        <v>46178</v>
      </c>
      <c r="C11" t="s">
        <v>21</v>
      </c>
      <c r="D11" t="s">
        <v>22</v>
      </c>
      <c r="E11" t="s">
        <v>147</v>
      </c>
      <c r="F11" s="107">
        <v>450000000</v>
      </c>
    </row>
    <row r="12" spans="1:6" hidden="1" x14ac:dyDescent="0.25">
      <c r="A12" s="210" t="s">
        <v>1623</v>
      </c>
      <c r="B12" s="100">
        <v>46178</v>
      </c>
      <c r="C12" t="s">
        <v>21</v>
      </c>
      <c r="D12" t="s">
        <v>22</v>
      </c>
      <c r="E12" t="s">
        <v>147</v>
      </c>
      <c r="F12" s="107">
        <v>200000000</v>
      </c>
    </row>
    <row r="13" spans="1:6" hidden="1" x14ac:dyDescent="0.25">
      <c r="A13" s="210" t="s">
        <v>1722</v>
      </c>
      <c r="B13" s="100">
        <v>46178</v>
      </c>
      <c r="C13" t="s">
        <v>21</v>
      </c>
      <c r="D13" t="s">
        <v>22</v>
      </c>
      <c r="E13" t="s">
        <v>147</v>
      </c>
      <c r="F13" s="107">
        <v>323824349</v>
      </c>
    </row>
    <row r="14" spans="1:6" hidden="1" x14ac:dyDescent="0.25">
      <c r="A14" s="210" t="s">
        <v>1479</v>
      </c>
      <c r="B14" s="100">
        <v>46177</v>
      </c>
      <c r="C14" t="s">
        <v>21</v>
      </c>
      <c r="D14" t="s">
        <v>22</v>
      </c>
      <c r="E14" t="s">
        <v>147</v>
      </c>
      <c r="F14" s="107">
        <v>300000000</v>
      </c>
    </row>
    <row r="15" spans="1:6" hidden="1" x14ac:dyDescent="0.25">
      <c r="A15" s="210" t="s">
        <v>1496</v>
      </c>
      <c r="B15" s="100">
        <v>46177</v>
      </c>
      <c r="C15" t="s">
        <v>21</v>
      </c>
      <c r="D15" t="s">
        <v>22</v>
      </c>
      <c r="E15" t="s">
        <v>147</v>
      </c>
      <c r="F15" s="107">
        <v>120000000</v>
      </c>
    </row>
    <row r="16" spans="1:6" hidden="1" x14ac:dyDescent="0.25">
      <c r="A16" s="210" t="s">
        <v>1545</v>
      </c>
      <c r="B16" s="100">
        <v>46177</v>
      </c>
      <c r="C16" t="s">
        <v>21</v>
      </c>
      <c r="D16" t="s">
        <v>22</v>
      </c>
      <c r="E16" t="s">
        <v>147</v>
      </c>
      <c r="F16" s="107">
        <v>154815383</v>
      </c>
    </row>
    <row r="17" spans="1:6" hidden="1" x14ac:dyDescent="0.25">
      <c r="A17" s="210" t="s">
        <v>1641</v>
      </c>
      <c r="B17" s="100">
        <v>46177</v>
      </c>
      <c r="C17" t="s">
        <v>21</v>
      </c>
      <c r="D17" t="s">
        <v>22</v>
      </c>
      <c r="E17" t="s">
        <v>147</v>
      </c>
      <c r="F17" s="107">
        <v>150000000</v>
      </c>
    </row>
    <row r="18" spans="1:6" hidden="1" x14ac:dyDescent="0.25">
      <c r="A18" s="210" t="s">
        <v>2113</v>
      </c>
      <c r="B18" s="100">
        <v>46177</v>
      </c>
      <c r="C18" t="s">
        <v>21</v>
      </c>
      <c r="D18" t="s">
        <v>22</v>
      </c>
      <c r="E18" t="s">
        <v>147</v>
      </c>
      <c r="F18" s="107">
        <v>73854000</v>
      </c>
    </row>
    <row r="19" spans="1:6" hidden="1" x14ac:dyDescent="0.25">
      <c r="A19" s="210" t="s">
        <v>1653</v>
      </c>
      <c r="B19" s="100">
        <v>46176</v>
      </c>
      <c r="C19" t="s">
        <v>21</v>
      </c>
      <c r="D19" t="s">
        <v>22</v>
      </c>
      <c r="E19" t="s">
        <v>147</v>
      </c>
      <c r="F19" s="107">
        <v>65155530</v>
      </c>
    </row>
    <row r="20" spans="1:6" hidden="1" x14ac:dyDescent="0.25">
      <c r="A20" s="210" t="s">
        <v>1707</v>
      </c>
      <c r="B20" s="100">
        <v>46175</v>
      </c>
      <c r="C20" t="s">
        <v>21</v>
      </c>
      <c r="D20" t="s">
        <v>22</v>
      </c>
      <c r="E20" t="s">
        <v>147</v>
      </c>
      <c r="F20" s="107">
        <v>253000671</v>
      </c>
    </row>
    <row r="21" spans="1:6" hidden="1" x14ac:dyDescent="0.25">
      <c r="A21" s="210" t="s">
        <v>1475</v>
      </c>
      <c r="B21" s="100">
        <v>46174</v>
      </c>
      <c r="C21" t="s">
        <v>21</v>
      </c>
      <c r="D21" t="s">
        <v>22</v>
      </c>
      <c r="E21" t="s">
        <v>47</v>
      </c>
      <c r="F21" s="107">
        <v>7680000</v>
      </c>
    </row>
    <row r="22" spans="1:6" hidden="1" x14ac:dyDescent="0.25">
      <c r="A22" s="210" t="s">
        <v>1475</v>
      </c>
      <c r="B22" s="100">
        <v>46174</v>
      </c>
      <c r="C22" t="s">
        <v>21</v>
      </c>
      <c r="D22" t="s">
        <v>22</v>
      </c>
      <c r="E22" t="s">
        <v>47</v>
      </c>
      <c r="F22" s="107">
        <v>20000000</v>
      </c>
    </row>
    <row r="23" spans="1:6" hidden="1" x14ac:dyDescent="0.25">
      <c r="A23" s="210" t="s">
        <v>1475</v>
      </c>
      <c r="B23" s="100">
        <v>46174</v>
      </c>
      <c r="C23" t="s">
        <v>21</v>
      </c>
      <c r="D23" t="s">
        <v>22</v>
      </c>
      <c r="E23" t="s">
        <v>47</v>
      </c>
      <c r="F23" s="107">
        <v>5900000</v>
      </c>
    </row>
    <row r="24" spans="1:6" hidden="1" x14ac:dyDescent="0.25">
      <c r="A24" s="210" t="s">
        <v>1504</v>
      </c>
      <c r="B24" s="100">
        <v>46174</v>
      </c>
      <c r="C24" t="s">
        <v>21</v>
      </c>
      <c r="D24" t="s">
        <v>22</v>
      </c>
      <c r="E24" t="s">
        <v>147</v>
      </c>
      <c r="F24" s="107">
        <v>363556555</v>
      </c>
    </row>
    <row r="25" spans="1:6" hidden="1" x14ac:dyDescent="0.25">
      <c r="A25" s="210" t="s">
        <v>1527</v>
      </c>
      <c r="B25" s="100">
        <v>46174</v>
      </c>
      <c r="C25" t="s">
        <v>21</v>
      </c>
      <c r="D25" t="s">
        <v>22</v>
      </c>
      <c r="E25" t="s">
        <v>147</v>
      </c>
      <c r="F25" s="107">
        <v>100000000</v>
      </c>
    </row>
    <row r="26" spans="1:6" hidden="1" x14ac:dyDescent="0.25">
      <c r="A26" s="210" t="s">
        <v>1562</v>
      </c>
      <c r="B26" s="100">
        <v>46174</v>
      </c>
      <c r="C26" t="s">
        <v>21</v>
      </c>
      <c r="D26" t="s">
        <v>22</v>
      </c>
      <c r="E26" t="s">
        <v>147</v>
      </c>
      <c r="F26" s="107">
        <v>200000000</v>
      </c>
    </row>
    <row r="27" spans="1:6" hidden="1" x14ac:dyDescent="0.25">
      <c r="A27" s="210" t="s">
        <v>2547</v>
      </c>
      <c r="B27" s="100">
        <v>46174</v>
      </c>
      <c r="C27" t="s">
        <v>21</v>
      </c>
      <c r="D27" t="s">
        <v>22</v>
      </c>
      <c r="E27" t="s">
        <v>147</v>
      </c>
      <c r="F27" s="107">
        <v>93938000</v>
      </c>
    </row>
    <row r="28" spans="1:6" hidden="1" x14ac:dyDescent="0.25">
      <c r="A28" s="210" t="s">
        <v>1648</v>
      </c>
      <c r="B28" s="100">
        <v>46174</v>
      </c>
      <c r="C28" t="s">
        <v>21</v>
      </c>
      <c r="D28" t="s">
        <v>22</v>
      </c>
      <c r="E28" t="s">
        <v>147</v>
      </c>
      <c r="F28" s="107">
        <v>19390140</v>
      </c>
    </row>
    <row r="29" spans="1:6" hidden="1" x14ac:dyDescent="0.25">
      <c r="A29" s="210" t="s">
        <v>1475</v>
      </c>
      <c r="B29" s="100">
        <v>46173</v>
      </c>
      <c r="C29" t="s">
        <v>21</v>
      </c>
      <c r="D29" t="s">
        <v>22</v>
      </c>
      <c r="E29" t="s">
        <v>47</v>
      </c>
      <c r="F29" s="107">
        <v>3300000</v>
      </c>
    </row>
    <row r="30" spans="1:6" hidden="1" x14ac:dyDescent="0.25">
      <c r="A30" s="210" t="s">
        <v>1475</v>
      </c>
      <c r="B30" s="100">
        <v>46172</v>
      </c>
      <c r="C30" t="s">
        <v>21</v>
      </c>
      <c r="D30" t="s">
        <v>22</v>
      </c>
      <c r="E30" t="s">
        <v>47</v>
      </c>
      <c r="F30" s="107">
        <v>14000000</v>
      </c>
    </row>
    <row r="31" spans="1:6" hidden="1" x14ac:dyDescent="0.25">
      <c r="A31" s="210" t="s">
        <v>1504</v>
      </c>
      <c r="B31" s="100">
        <v>46172</v>
      </c>
      <c r="C31" t="s">
        <v>21</v>
      </c>
      <c r="D31" t="s">
        <v>22</v>
      </c>
      <c r="E31" t="s">
        <v>147</v>
      </c>
      <c r="F31" s="107">
        <v>627902814</v>
      </c>
    </row>
    <row r="32" spans="1:6" hidden="1" x14ac:dyDescent="0.25">
      <c r="A32" s="210" t="s">
        <v>1541</v>
      </c>
      <c r="B32" s="100">
        <v>46172</v>
      </c>
      <c r="C32" t="s">
        <v>21</v>
      </c>
      <c r="D32" t="s">
        <v>22</v>
      </c>
      <c r="E32" t="s">
        <v>147</v>
      </c>
      <c r="F32" s="107">
        <v>200000000</v>
      </c>
    </row>
    <row r="33" spans="1:6" hidden="1" x14ac:dyDescent="0.25">
      <c r="A33" s="210" t="s">
        <v>1600</v>
      </c>
      <c r="B33" s="100">
        <v>46172</v>
      </c>
      <c r="C33" t="s">
        <v>21</v>
      </c>
      <c r="D33" t="s">
        <v>22</v>
      </c>
      <c r="E33" t="s">
        <v>147</v>
      </c>
      <c r="F33" s="107">
        <v>5840000</v>
      </c>
    </row>
    <row r="34" spans="1:6" hidden="1" x14ac:dyDescent="0.25">
      <c r="A34" s="210" t="s">
        <v>1727</v>
      </c>
      <c r="B34" s="100">
        <v>46172</v>
      </c>
      <c r="C34" t="s">
        <v>21</v>
      </c>
      <c r="D34" t="s">
        <v>22</v>
      </c>
      <c r="E34" t="s">
        <v>147</v>
      </c>
      <c r="F34" s="107">
        <v>60000000</v>
      </c>
    </row>
    <row r="35" spans="1:6" x14ac:dyDescent="0.25">
      <c r="A35" s="210" t="s">
        <v>1706</v>
      </c>
      <c r="B35" s="100">
        <v>46172</v>
      </c>
      <c r="C35" t="s">
        <v>2214</v>
      </c>
      <c r="D35" t="s">
        <v>22</v>
      </c>
      <c r="E35" t="s">
        <v>83</v>
      </c>
      <c r="F35" s="107">
        <v>-284188000</v>
      </c>
    </row>
    <row r="36" spans="1:6" hidden="1" x14ac:dyDescent="0.25">
      <c r="A36" s="210" t="s">
        <v>1896</v>
      </c>
      <c r="B36" s="100">
        <v>46172</v>
      </c>
      <c r="C36" t="s">
        <v>21</v>
      </c>
      <c r="D36" t="s">
        <v>22</v>
      </c>
      <c r="E36" t="s">
        <v>147</v>
      </c>
      <c r="F36" s="107">
        <v>74496233</v>
      </c>
    </row>
    <row r="37" spans="1:6" hidden="1" x14ac:dyDescent="0.25">
      <c r="A37" s="210" t="s">
        <v>1475</v>
      </c>
      <c r="B37" s="100">
        <v>46171</v>
      </c>
      <c r="C37" t="s">
        <v>21</v>
      </c>
      <c r="D37" t="s">
        <v>22</v>
      </c>
      <c r="E37" t="s">
        <v>47</v>
      </c>
      <c r="F37" s="107">
        <v>1792000</v>
      </c>
    </row>
    <row r="38" spans="1:6" hidden="1" x14ac:dyDescent="0.25">
      <c r="A38" s="210" t="s">
        <v>1475</v>
      </c>
      <c r="B38" s="100">
        <v>46171</v>
      </c>
      <c r="C38" t="s">
        <v>21</v>
      </c>
      <c r="D38" t="s">
        <v>22</v>
      </c>
      <c r="E38" t="s">
        <v>47</v>
      </c>
      <c r="F38" s="107">
        <v>12950000</v>
      </c>
    </row>
    <row r="39" spans="1:6" hidden="1" x14ac:dyDescent="0.25">
      <c r="A39" s="210" t="s">
        <v>1475</v>
      </c>
      <c r="B39" s="100">
        <v>46171</v>
      </c>
      <c r="C39" t="s">
        <v>21</v>
      </c>
      <c r="D39" t="s">
        <v>22</v>
      </c>
      <c r="E39" t="s">
        <v>47</v>
      </c>
      <c r="F39" s="107">
        <v>7000000</v>
      </c>
    </row>
    <row r="40" spans="1:6" hidden="1" x14ac:dyDescent="0.25">
      <c r="A40" s="210" t="s">
        <v>1487</v>
      </c>
      <c r="B40" s="100">
        <v>46171</v>
      </c>
      <c r="C40" t="s">
        <v>21</v>
      </c>
      <c r="D40" t="s">
        <v>22</v>
      </c>
      <c r="E40" t="s">
        <v>147</v>
      </c>
      <c r="F40" s="107">
        <v>100000000</v>
      </c>
    </row>
    <row r="41" spans="1:6" hidden="1" x14ac:dyDescent="0.25">
      <c r="A41" s="210" t="s">
        <v>1488</v>
      </c>
      <c r="B41" s="100">
        <v>46171</v>
      </c>
      <c r="C41" t="s">
        <v>21</v>
      </c>
      <c r="D41" t="s">
        <v>22</v>
      </c>
      <c r="E41" t="s">
        <v>147</v>
      </c>
      <c r="F41" s="107">
        <v>100000000</v>
      </c>
    </row>
    <row r="42" spans="1:6" hidden="1" x14ac:dyDescent="0.25">
      <c r="A42" s="210" t="s">
        <v>1490</v>
      </c>
      <c r="B42" s="100">
        <v>46171</v>
      </c>
      <c r="C42" t="s">
        <v>21</v>
      </c>
      <c r="D42" t="s">
        <v>22</v>
      </c>
      <c r="E42" t="s">
        <v>47</v>
      </c>
      <c r="F42" s="107">
        <v>90000000</v>
      </c>
    </row>
    <row r="43" spans="1:6" hidden="1" x14ac:dyDescent="0.25">
      <c r="A43" s="210" t="s">
        <v>1507</v>
      </c>
      <c r="B43" s="100">
        <v>46171</v>
      </c>
      <c r="C43" t="s">
        <v>21</v>
      </c>
      <c r="D43" t="s">
        <v>22</v>
      </c>
      <c r="E43" t="s">
        <v>147</v>
      </c>
      <c r="F43" s="107">
        <v>106699916</v>
      </c>
    </row>
    <row r="44" spans="1:6" hidden="1" x14ac:dyDescent="0.25">
      <c r="A44" s="210" t="s">
        <v>1512</v>
      </c>
      <c r="B44" s="100">
        <v>46171</v>
      </c>
      <c r="C44" t="s">
        <v>21</v>
      </c>
      <c r="D44" t="s">
        <v>260</v>
      </c>
      <c r="E44" t="s">
        <v>261</v>
      </c>
      <c r="F44" s="107">
        <v>100000000</v>
      </c>
    </row>
    <row r="45" spans="1:6" hidden="1" x14ac:dyDescent="0.25">
      <c r="A45" s="210" t="s">
        <v>1530</v>
      </c>
      <c r="B45" s="100">
        <v>46171</v>
      </c>
      <c r="C45" t="s">
        <v>21</v>
      </c>
      <c r="D45" t="s">
        <v>260</v>
      </c>
      <c r="E45" t="s">
        <v>261</v>
      </c>
      <c r="F45" s="107">
        <v>388272841</v>
      </c>
    </row>
    <row r="46" spans="1:6" hidden="1" x14ac:dyDescent="0.25">
      <c r="A46" s="210" t="s">
        <v>1548</v>
      </c>
      <c r="B46" s="100">
        <v>46171</v>
      </c>
      <c r="C46" t="s">
        <v>21</v>
      </c>
      <c r="D46" t="s">
        <v>22</v>
      </c>
      <c r="E46" t="s">
        <v>147</v>
      </c>
      <c r="F46" s="107">
        <v>100000000</v>
      </c>
    </row>
    <row r="47" spans="1:6" hidden="1" x14ac:dyDescent="0.25">
      <c r="A47" s="210" t="s">
        <v>1564</v>
      </c>
      <c r="B47" s="100">
        <v>46171</v>
      </c>
      <c r="C47" t="s">
        <v>21</v>
      </c>
      <c r="D47" t="s">
        <v>22</v>
      </c>
      <c r="E47" t="s">
        <v>147</v>
      </c>
      <c r="F47" s="107">
        <v>40000000</v>
      </c>
    </row>
    <row r="48" spans="1:6" hidden="1" x14ac:dyDescent="0.25">
      <c r="A48" s="210" t="s">
        <v>1577</v>
      </c>
      <c r="B48" s="100">
        <v>46171</v>
      </c>
      <c r="C48" t="s">
        <v>21</v>
      </c>
      <c r="D48" t="s">
        <v>22</v>
      </c>
      <c r="E48" t="s">
        <v>147</v>
      </c>
      <c r="F48" s="107">
        <v>200000000</v>
      </c>
    </row>
    <row r="49" spans="1:6" x14ac:dyDescent="0.25">
      <c r="A49" s="210" t="s">
        <v>1579</v>
      </c>
      <c r="B49" s="100">
        <v>46171</v>
      </c>
      <c r="C49" t="s">
        <v>21</v>
      </c>
      <c r="D49" t="s">
        <v>22</v>
      </c>
      <c r="E49" t="s">
        <v>83</v>
      </c>
      <c r="F49" s="107">
        <v>600000000</v>
      </c>
    </row>
    <row r="50" spans="1:6" hidden="1" x14ac:dyDescent="0.25">
      <c r="A50" s="210" t="s">
        <v>1600</v>
      </c>
      <c r="B50" s="100">
        <v>46171</v>
      </c>
      <c r="C50" t="s">
        <v>21</v>
      </c>
      <c r="D50" t="s">
        <v>22</v>
      </c>
      <c r="E50" t="s">
        <v>147</v>
      </c>
      <c r="F50" s="107">
        <v>60000000</v>
      </c>
    </row>
    <row r="51" spans="1:6" hidden="1" x14ac:dyDescent="0.25">
      <c r="A51" s="210" t="s">
        <v>1606</v>
      </c>
      <c r="B51" s="100">
        <v>46171</v>
      </c>
      <c r="C51" t="s">
        <v>21</v>
      </c>
      <c r="D51" t="s">
        <v>22</v>
      </c>
      <c r="E51" t="s">
        <v>147</v>
      </c>
      <c r="F51" s="107">
        <v>130000000</v>
      </c>
    </row>
    <row r="52" spans="1:6" hidden="1" x14ac:dyDescent="0.25">
      <c r="A52" s="210" t="s">
        <v>1623</v>
      </c>
      <c r="B52" s="100">
        <v>46171</v>
      </c>
      <c r="C52" t="s">
        <v>21</v>
      </c>
      <c r="D52" t="s">
        <v>22</v>
      </c>
      <c r="E52" t="s">
        <v>147</v>
      </c>
      <c r="F52" s="107">
        <v>150000000</v>
      </c>
    </row>
    <row r="53" spans="1:6" hidden="1" x14ac:dyDescent="0.25">
      <c r="A53" s="210" t="s">
        <v>1646</v>
      </c>
      <c r="B53" s="100">
        <v>46171</v>
      </c>
      <c r="C53" t="s">
        <v>21</v>
      </c>
      <c r="D53" t="s">
        <v>22</v>
      </c>
      <c r="E53" t="s">
        <v>147</v>
      </c>
      <c r="F53" s="107">
        <v>30000000</v>
      </c>
    </row>
    <row r="54" spans="1:6" x14ac:dyDescent="0.25">
      <c r="A54" s="210" t="s">
        <v>2016</v>
      </c>
      <c r="B54" s="100">
        <v>46171</v>
      </c>
      <c r="C54" t="s">
        <v>2214</v>
      </c>
      <c r="D54" t="s">
        <v>22</v>
      </c>
      <c r="E54" t="s">
        <v>83</v>
      </c>
      <c r="F54" s="107">
        <v>-100000000</v>
      </c>
    </row>
    <row r="55" spans="1:6" x14ac:dyDescent="0.25">
      <c r="A55" s="210" t="s">
        <v>1666</v>
      </c>
      <c r="B55" s="100">
        <v>46171</v>
      </c>
      <c r="C55" t="s">
        <v>21</v>
      </c>
      <c r="D55" t="s">
        <v>22</v>
      </c>
      <c r="E55" t="s">
        <v>83</v>
      </c>
      <c r="F55" s="107">
        <v>46972000</v>
      </c>
    </row>
    <row r="56" spans="1:6" x14ac:dyDescent="0.25">
      <c r="A56" s="210" t="s">
        <v>1672</v>
      </c>
      <c r="B56" s="100">
        <v>46171</v>
      </c>
      <c r="C56" t="s">
        <v>21</v>
      </c>
      <c r="D56" t="s">
        <v>22</v>
      </c>
      <c r="E56" t="s">
        <v>83</v>
      </c>
      <c r="F56" s="107">
        <v>31279908</v>
      </c>
    </row>
    <row r="57" spans="1:6" x14ac:dyDescent="0.25">
      <c r="A57" s="210" t="s">
        <v>1697</v>
      </c>
      <c r="B57" s="100">
        <v>46171</v>
      </c>
      <c r="C57" t="s">
        <v>2214</v>
      </c>
      <c r="D57" t="s">
        <v>22</v>
      </c>
      <c r="E57" t="s">
        <v>83</v>
      </c>
      <c r="F57" s="107">
        <v>-150000000</v>
      </c>
    </row>
    <row r="58" spans="1:6" hidden="1" x14ac:dyDescent="0.25">
      <c r="A58" s="210" t="s">
        <v>2107</v>
      </c>
      <c r="B58" s="100">
        <v>46171</v>
      </c>
      <c r="C58" t="s">
        <v>21</v>
      </c>
      <c r="D58" t="s">
        <v>22</v>
      </c>
      <c r="E58" t="s">
        <v>2158</v>
      </c>
      <c r="F58" s="107">
        <v>97000000</v>
      </c>
    </row>
    <row r="59" spans="1:6" hidden="1" x14ac:dyDescent="0.25">
      <c r="A59" s="210" t="s">
        <v>2348</v>
      </c>
      <c r="B59" s="100">
        <v>46171</v>
      </c>
      <c r="C59" t="s">
        <v>21</v>
      </c>
      <c r="D59" t="s">
        <v>22</v>
      </c>
      <c r="E59" t="s">
        <v>147</v>
      </c>
      <c r="F59" s="107">
        <v>67386000</v>
      </c>
    </row>
    <row r="60" spans="1:6" hidden="1" x14ac:dyDescent="0.25">
      <c r="A60" s="210" t="s">
        <v>1475</v>
      </c>
      <c r="B60" s="100">
        <v>46170</v>
      </c>
      <c r="C60" t="s">
        <v>21</v>
      </c>
      <c r="D60" t="s">
        <v>22</v>
      </c>
      <c r="E60" t="s">
        <v>47</v>
      </c>
      <c r="F60" s="107">
        <v>10000000</v>
      </c>
    </row>
    <row r="61" spans="1:6" hidden="1" x14ac:dyDescent="0.25">
      <c r="A61" s="210" t="s">
        <v>1475</v>
      </c>
      <c r="B61" s="100">
        <v>46170</v>
      </c>
      <c r="C61" t="s">
        <v>21</v>
      </c>
      <c r="D61" t="s">
        <v>22</v>
      </c>
      <c r="E61" t="s">
        <v>47</v>
      </c>
      <c r="F61" s="107">
        <v>4700000</v>
      </c>
    </row>
    <row r="62" spans="1:6" hidden="1" x14ac:dyDescent="0.25">
      <c r="A62" s="210" t="s">
        <v>1479</v>
      </c>
      <c r="B62" s="100">
        <v>46170</v>
      </c>
      <c r="C62" t="s">
        <v>21</v>
      </c>
      <c r="D62" t="s">
        <v>22</v>
      </c>
      <c r="E62" t="s">
        <v>147</v>
      </c>
      <c r="F62" s="107">
        <v>300000000</v>
      </c>
    </row>
    <row r="63" spans="1:6" hidden="1" x14ac:dyDescent="0.25">
      <c r="A63" s="210" t="s">
        <v>1493</v>
      </c>
      <c r="B63" s="100">
        <v>46170</v>
      </c>
      <c r="C63" t="s">
        <v>21</v>
      </c>
      <c r="D63" t="s">
        <v>22</v>
      </c>
      <c r="E63" t="s">
        <v>147</v>
      </c>
      <c r="F63" s="107">
        <v>150000000</v>
      </c>
    </row>
    <row r="64" spans="1:6" hidden="1" x14ac:dyDescent="0.25">
      <c r="A64" s="210" t="s">
        <v>1536</v>
      </c>
      <c r="B64" s="100">
        <v>46170</v>
      </c>
      <c r="C64" t="s">
        <v>21</v>
      </c>
      <c r="D64" t="s">
        <v>22</v>
      </c>
      <c r="E64" t="s">
        <v>147</v>
      </c>
      <c r="F64" s="107">
        <v>175319980</v>
      </c>
    </row>
    <row r="65" spans="1:6" x14ac:dyDescent="0.25">
      <c r="A65" s="210" t="s">
        <v>1538</v>
      </c>
      <c r="B65" s="100">
        <v>46170</v>
      </c>
      <c r="C65" t="s">
        <v>21</v>
      </c>
      <c r="D65" t="s">
        <v>22</v>
      </c>
      <c r="E65" t="s">
        <v>83</v>
      </c>
      <c r="F65" s="107">
        <v>36788000</v>
      </c>
    </row>
    <row r="66" spans="1:6" hidden="1" x14ac:dyDescent="0.25">
      <c r="A66" s="210" t="s">
        <v>1545</v>
      </c>
      <c r="B66" s="100">
        <v>46170</v>
      </c>
      <c r="C66" t="s">
        <v>21</v>
      </c>
      <c r="D66" t="s">
        <v>22</v>
      </c>
      <c r="E66" t="s">
        <v>147</v>
      </c>
      <c r="F66" s="107">
        <v>119835088</v>
      </c>
    </row>
    <row r="67" spans="1:6" x14ac:dyDescent="0.25">
      <c r="A67" s="210" t="s">
        <v>1608</v>
      </c>
      <c r="B67" s="100">
        <v>46170</v>
      </c>
      <c r="C67" t="s">
        <v>21</v>
      </c>
      <c r="D67" t="s">
        <v>22</v>
      </c>
      <c r="E67" t="s">
        <v>83</v>
      </c>
      <c r="F67" s="107">
        <v>50000000</v>
      </c>
    </row>
    <row r="68" spans="1:6" hidden="1" x14ac:dyDescent="0.25">
      <c r="A68" s="210" t="s">
        <v>1660</v>
      </c>
      <c r="B68" s="100">
        <v>46170</v>
      </c>
      <c r="C68" t="s">
        <v>21</v>
      </c>
      <c r="D68" t="s">
        <v>22</v>
      </c>
      <c r="E68" t="s">
        <v>147</v>
      </c>
      <c r="F68" s="107">
        <v>50000000</v>
      </c>
    </row>
    <row r="69" spans="1:6" x14ac:dyDescent="0.25">
      <c r="A69" s="210" t="s">
        <v>1675</v>
      </c>
      <c r="B69" s="100">
        <v>46170</v>
      </c>
      <c r="C69" t="s">
        <v>21</v>
      </c>
      <c r="D69" t="s">
        <v>22</v>
      </c>
      <c r="E69" t="s">
        <v>83</v>
      </c>
      <c r="F69" s="107">
        <v>400000000</v>
      </c>
    </row>
    <row r="70" spans="1:6" hidden="1" x14ac:dyDescent="0.25">
      <c r="A70" s="210" t="s">
        <v>1691</v>
      </c>
      <c r="B70" s="100">
        <v>46170</v>
      </c>
      <c r="C70" t="s">
        <v>21</v>
      </c>
      <c r="D70" t="s">
        <v>260</v>
      </c>
      <c r="E70" t="s">
        <v>261</v>
      </c>
      <c r="F70" s="107">
        <v>15004000</v>
      </c>
    </row>
    <row r="71" spans="1:6" hidden="1" x14ac:dyDescent="0.25">
      <c r="A71" s="210" t="s">
        <v>1475</v>
      </c>
      <c r="B71" s="100">
        <v>46169</v>
      </c>
      <c r="C71" t="s">
        <v>21</v>
      </c>
      <c r="D71" t="s">
        <v>22</v>
      </c>
      <c r="E71" t="s">
        <v>47</v>
      </c>
      <c r="F71" s="107">
        <v>4714000</v>
      </c>
    </row>
    <row r="72" spans="1:6" hidden="1" x14ac:dyDescent="0.25">
      <c r="A72" s="210" t="s">
        <v>1478</v>
      </c>
      <c r="B72" s="100">
        <v>46169</v>
      </c>
      <c r="C72" t="s">
        <v>21</v>
      </c>
      <c r="D72" t="s">
        <v>2157</v>
      </c>
      <c r="F72" s="107">
        <v>100000000</v>
      </c>
    </row>
    <row r="73" spans="1:6" hidden="1" x14ac:dyDescent="0.25">
      <c r="A73" s="210" t="s">
        <v>1478</v>
      </c>
      <c r="B73" s="100">
        <v>46169</v>
      </c>
      <c r="C73" t="s">
        <v>21</v>
      </c>
      <c r="D73" t="s">
        <v>22</v>
      </c>
      <c r="E73" t="s">
        <v>2067</v>
      </c>
      <c r="F73" s="107">
        <v>50000000</v>
      </c>
    </row>
    <row r="74" spans="1:6" x14ac:dyDescent="0.25">
      <c r="A74" s="210" t="s">
        <v>1580</v>
      </c>
      <c r="B74" s="100">
        <v>46169</v>
      </c>
      <c r="C74" t="s">
        <v>21</v>
      </c>
      <c r="D74" t="s">
        <v>22</v>
      </c>
      <c r="E74" t="s">
        <v>83</v>
      </c>
      <c r="F74" s="107">
        <v>96660850</v>
      </c>
    </row>
    <row r="75" spans="1:6" hidden="1" x14ac:dyDescent="0.25">
      <c r="A75" s="210" t="s">
        <v>1600</v>
      </c>
      <c r="B75" s="100">
        <v>46169</v>
      </c>
      <c r="C75" t="s">
        <v>21</v>
      </c>
      <c r="D75" t="s">
        <v>22</v>
      </c>
      <c r="E75" t="s">
        <v>147</v>
      </c>
      <c r="F75" s="107">
        <v>50000000</v>
      </c>
    </row>
    <row r="76" spans="1:6" hidden="1" x14ac:dyDescent="0.25">
      <c r="A76" s="210" t="s">
        <v>1641</v>
      </c>
      <c r="B76" s="100">
        <v>46169</v>
      </c>
      <c r="C76" t="s">
        <v>21</v>
      </c>
      <c r="D76" t="s">
        <v>22</v>
      </c>
      <c r="E76" t="s">
        <v>147</v>
      </c>
      <c r="F76" s="107">
        <v>150000000</v>
      </c>
    </row>
    <row r="77" spans="1:6" hidden="1" x14ac:dyDescent="0.25">
      <c r="A77" s="210" t="s">
        <v>1707</v>
      </c>
      <c r="B77" s="100">
        <v>46169</v>
      </c>
      <c r="C77" t="s">
        <v>21</v>
      </c>
      <c r="D77" t="s">
        <v>22</v>
      </c>
      <c r="E77" t="s">
        <v>147</v>
      </c>
      <c r="F77" s="107">
        <v>43899423</v>
      </c>
    </row>
    <row r="78" spans="1:6" hidden="1" x14ac:dyDescent="0.25">
      <c r="A78" s="210" t="s">
        <v>2582</v>
      </c>
      <c r="B78" s="100">
        <v>46169</v>
      </c>
      <c r="C78" t="s">
        <v>2214</v>
      </c>
      <c r="D78" t="s">
        <v>260</v>
      </c>
      <c r="E78" t="s">
        <v>261</v>
      </c>
      <c r="F78" s="107">
        <v>-210097017</v>
      </c>
    </row>
    <row r="79" spans="1:6" hidden="1" x14ac:dyDescent="0.25">
      <c r="A79" s="210" t="s">
        <v>1477</v>
      </c>
      <c r="B79" s="100">
        <v>46168</v>
      </c>
      <c r="C79" t="s">
        <v>21</v>
      </c>
      <c r="D79" t="s">
        <v>2157</v>
      </c>
      <c r="F79" s="107">
        <v>177850000</v>
      </c>
    </row>
    <row r="80" spans="1:6" hidden="1" x14ac:dyDescent="0.25">
      <c r="A80" s="210" t="s">
        <v>1478</v>
      </c>
      <c r="B80" s="100">
        <v>46168</v>
      </c>
      <c r="C80" t="s">
        <v>21</v>
      </c>
      <c r="D80" t="s">
        <v>22</v>
      </c>
      <c r="E80" t="s">
        <v>2067</v>
      </c>
      <c r="F80" s="107">
        <v>13510000</v>
      </c>
    </row>
    <row r="81" spans="1:6" hidden="1" x14ac:dyDescent="0.25">
      <c r="A81" s="210" t="s">
        <v>1478</v>
      </c>
      <c r="B81" s="100">
        <v>46168</v>
      </c>
      <c r="C81" t="s">
        <v>21</v>
      </c>
      <c r="D81" t="s">
        <v>22</v>
      </c>
      <c r="E81" t="s">
        <v>2067</v>
      </c>
      <c r="F81" s="107">
        <v>2000000</v>
      </c>
    </row>
    <row r="82" spans="1:6" hidden="1" x14ac:dyDescent="0.25">
      <c r="A82" s="210" t="s">
        <v>1518</v>
      </c>
      <c r="B82" s="100">
        <v>46168</v>
      </c>
      <c r="C82" t="s">
        <v>21</v>
      </c>
      <c r="D82" t="s">
        <v>260</v>
      </c>
      <c r="E82" t="s">
        <v>261</v>
      </c>
      <c r="F82" s="107">
        <v>50000000</v>
      </c>
    </row>
    <row r="83" spans="1:6" hidden="1" x14ac:dyDescent="0.25">
      <c r="A83" s="210" t="s">
        <v>1524</v>
      </c>
      <c r="B83" s="100">
        <v>46168</v>
      </c>
      <c r="C83" t="s">
        <v>2214</v>
      </c>
      <c r="D83" t="s">
        <v>24</v>
      </c>
      <c r="F83" s="107">
        <v>-126494000</v>
      </c>
    </row>
    <row r="84" spans="1:6" hidden="1" x14ac:dyDescent="0.25">
      <c r="A84" s="210" t="s">
        <v>1534</v>
      </c>
      <c r="B84" s="100">
        <v>46168</v>
      </c>
      <c r="C84" t="s">
        <v>21</v>
      </c>
      <c r="D84" t="s">
        <v>22</v>
      </c>
      <c r="E84" t="s">
        <v>261</v>
      </c>
      <c r="F84" s="107">
        <v>100000000</v>
      </c>
    </row>
    <row r="85" spans="1:6" x14ac:dyDescent="0.25">
      <c r="A85" s="210" t="s">
        <v>1538</v>
      </c>
      <c r="B85" s="100">
        <v>46168</v>
      </c>
      <c r="C85" t="s">
        <v>21</v>
      </c>
      <c r="D85" t="s">
        <v>22</v>
      </c>
      <c r="E85" t="s">
        <v>83</v>
      </c>
      <c r="F85" s="107">
        <v>70242000</v>
      </c>
    </row>
    <row r="86" spans="1:6" hidden="1" x14ac:dyDescent="0.25">
      <c r="A86" s="210" t="s">
        <v>1552</v>
      </c>
      <c r="B86" s="100">
        <v>46168</v>
      </c>
      <c r="C86" t="s">
        <v>21</v>
      </c>
      <c r="D86" t="s">
        <v>22</v>
      </c>
      <c r="E86" t="s">
        <v>261</v>
      </c>
      <c r="F86" s="107">
        <v>526162120</v>
      </c>
    </row>
    <row r="87" spans="1:6" hidden="1" x14ac:dyDescent="0.25">
      <c r="A87" s="210" t="s">
        <v>1609</v>
      </c>
      <c r="B87" s="100">
        <v>46168</v>
      </c>
      <c r="C87" t="s">
        <v>21</v>
      </c>
      <c r="D87" t="s">
        <v>22</v>
      </c>
      <c r="E87" t="s">
        <v>2067</v>
      </c>
      <c r="F87" s="107">
        <v>28945000</v>
      </c>
    </row>
    <row r="88" spans="1:6" hidden="1" x14ac:dyDescent="0.25">
      <c r="A88" s="210" t="s">
        <v>1609</v>
      </c>
      <c r="B88" s="100">
        <v>46168</v>
      </c>
      <c r="C88" t="s">
        <v>21</v>
      </c>
      <c r="D88" t="s">
        <v>22</v>
      </c>
      <c r="E88" t="s">
        <v>2067</v>
      </c>
      <c r="F88" s="107">
        <v>8950000</v>
      </c>
    </row>
    <row r="89" spans="1:6" hidden="1" x14ac:dyDescent="0.25">
      <c r="A89" s="210" t="s">
        <v>1610</v>
      </c>
      <c r="B89" s="100">
        <v>46168</v>
      </c>
      <c r="C89" t="s">
        <v>21</v>
      </c>
      <c r="D89" t="s">
        <v>2157</v>
      </c>
      <c r="F89" s="107">
        <v>139750000</v>
      </c>
    </row>
    <row r="90" spans="1:6" hidden="1" x14ac:dyDescent="0.25">
      <c r="A90" s="210" t="s">
        <v>1566</v>
      </c>
      <c r="B90" s="100">
        <v>46168</v>
      </c>
      <c r="C90" t="s">
        <v>21</v>
      </c>
      <c r="D90" t="s">
        <v>22</v>
      </c>
      <c r="E90" t="s">
        <v>261</v>
      </c>
      <c r="F90" s="107">
        <v>58790000</v>
      </c>
    </row>
    <row r="91" spans="1:6" hidden="1" x14ac:dyDescent="0.25">
      <c r="A91" s="210" t="s">
        <v>1664</v>
      </c>
      <c r="B91" s="100">
        <v>46168</v>
      </c>
      <c r="C91" t="s">
        <v>21</v>
      </c>
      <c r="D91" t="s">
        <v>22</v>
      </c>
      <c r="E91" t="s">
        <v>261</v>
      </c>
      <c r="F91" s="107">
        <v>50000000</v>
      </c>
    </row>
    <row r="92" spans="1:6" hidden="1" x14ac:dyDescent="0.25">
      <c r="A92" s="210" t="s">
        <v>1727</v>
      </c>
      <c r="B92" s="100">
        <v>46168</v>
      </c>
      <c r="C92" t="s">
        <v>21</v>
      </c>
      <c r="D92" t="s">
        <v>22</v>
      </c>
      <c r="E92" t="s">
        <v>147</v>
      </c>
      <c r="F92" s="107">
        <v>150000000</v>
      </c>
    </row>
    <row r="93" spans="1:6" hidden="1" x14ac:dyDescent="0.25">
      <c r="A93" s="210" t="s">
        <v>1692</v>
      </c>
      <c r="B93" s="100">
        <v>46168</v>
      </c>
      <c r="C93" t="s">
        <v>21</v>
      </c>
      <c r="D93" t="s">
        <v>260</v>
      </c>
      <c r="E93" t="s">
        <v>261</v>
      </c>
      <c r="F93" s="107">
        <v>100000000</v>
      </c>
    </row>
    <row r="94" spans="1:6" hidden="1" x14ac:dyDescent="0.25">
      <c r="A94" s="210" t="s">
        <v>2076</v>
      </c>
      <c r="B94" s="100">
        <v>46168</v>
      </c>
      <c r="C94" t="s">
        <v>21</v>
      </c>
      <c r="D94" t="s">
        <v>22</v>
      </c>
      <c r="E94" t="s">
        <v>261</v>
      </c>
      <c r="F94" s="107">
        <v>100000000</v>
      </c>
    </row>
    <row r="95" spans="1:6" hidden="1" x14ac:dyDescent="0.25">
      <c r="A95" s="210" t="s">
        <v>1490</v>
      </c>
      <c r="B95" s="100">
        <v>46167</v>
      </c>
      <c r="C95" t="s">
        <v>21</v>
      </c>
      <c r="D95" t="s">
        <v>22</v>
      </c>
      <c r="E95" t="s">
        <v>47</v>
      </c>
      <c r="F95" s="107">
        <v>200000000</v>
      </c>
    </row>
    <row r="96" spans="1:6" hidden="1" x14ac:dyDescent="0.25">
      <c r="A96" s="210" t="s">
        <v>1535</v>
      </c>
      <c r="B96" s="100">
        <v>46167</v>
      </c>
      <c r="C96" t="s">
        <v>21</v>
      </c>
      <c r="D96" t="s">
        <v>22</v>
      </c>
      <c r="E96" t="s">
        <v>261</v>
      </c>
      <c r="F96" s="107">
        <v>57715000</v>
      </c>
    </row>
    <row r="97" spans="1:6" x14ac:dyDescent="0.25">
      <c r="A97" s="210" t="s">
        <v>1547</v>
      </c>
      <c r="B97" s="100">
        <v>46167</v>
      </c>
      <c r="C97" t="s">
        <v>21</v>
      </c>
      <c r="D97" t="s">
        <v>22</v>
      </c>
      <c r="E97" t="s">
        <v>83</v>
      </c>
      <c r="F97" s="107">
        <v>173621391</v>
      </c>
    </row>
    <row r="98" spans="1:6" hidden="1" x14ac:dyDescent="0.25">
      <c r="A98" s="210" t="s">
        <v>1547</v>
      </c>
      <c r="B98" s="100">
        <v>46167</v>
      </c>
      <c r="C98" t="s">
        <v>21</v>
      </c>
      <c r="D98" t="s">
        <v>260</v>
      </c>
      <c r="E98" t="s">
        <v>261</v>
      </c>
      <c r="F98" s="107">
        <v>160407214</v>
      </c>
    </row>
    <row r="99" spans="1:6" hidden="1" x14ac:dyDescent="0.25">
      <c r="A99" s="210" t="s">
        <v>1558</v>
      </c>
      <c r="B99" s="100">
        <v>46167</v>
      </c>
      <c r="C99" t="s">
        <v>21</v>
      </c>
      <c r="D99" t="s">
        <v>2157</v>
      </c>
      <c r="F99" s="107">
        <v>200000000</v>
      </c>
    </row>
    <row r="100" spans="1:6" hidden="1" x14ac:dyDescent="0.25">
      <c r="A100" s="210" t="s">
        <v>1577</v>
      </c>
      <c r="B100" s="100">
        <v>46167</v>
      </c>
      <c r="C100" t="s">
        <v>21</v>
      </c>
      <c r="D100" t="s">
        <v>22</v>
      </c>
      <c r="E100" t="s">
        <v>147</v>
      </c>
      <c r="F100" s="107">
        <v>200000000</v>
      </c>
    </row>
    <row r="101" spans="1:6" hidden="1" x14ac:dyDescent="0.25">
      <c r="A101" s="210" t="s">
        <v>1609</v>
      </c>
      <c r="B101" s="100">
        <v>46167</v>
      </c>
      <c r="C101" t="s">
        <v>21</v>
      </c>
      <c r="D101" t="s">
        <v>22</v>
      </c>
      <c r="E101" t="s">
        <v>2067</v>
      </c>
      <c r="F101" s="107">
        <v>28100000</v>
      </c>
    </row>
    <row r="102" spans="1:6" hidden="1" x14ac:dyDescent="0.25">
      <c r="A102" s="210" t="s">
        <v>1703</v>
      </c>
      <c r="B102" s="100">
        <v>46167</v>
      </c>
      <c r="C102" t="s">
        <v>21</v>
      </c>
      <c r="D102" t="s">
        <v>2157</v>
      </c>
      <c r="F102" s="107">
        <v>70000000</v>
      </c>
    </row>
    <row r="103" spans="1:6" hidden="1" x14ac:dyDescent="0.25">
      <c r="A103" s="210" t="s">
        <v>1688</v>
      </c>
      <c r="B103" s="100">
        <v>46167</v>
      </c>
      <c r="C103" t="s">
        <v>21</v>
      </c>
      <c r="D103" t="s">
        <v>22</v>
      </c>
      <c r="E103" t="s">
        <v>261</v>
      </c>
      <c r="F103" s="107">
        <v>108931704</v>
      </c>
    </row>
    <row r="104" spans="1:6" hidden="1" x14ac:dyDescent="0.25">
      <c r="A104" s="210" t="s">
        <v>2107</v>
      </c>
      <c r="B104" s="100">
        <v>46167</v>
      </c>
      <c r="C104" t="s">
        <v>21</v>
      </c>
      <c r="D104" t="s">
        <v>22</v>
      </c>
      <c r="E104" t="s">
        <v>2158</v>
      </c>
      <c r="F104" s="107">
        <v>118000000</v>
      </c>
    </row>
    <row r="105" spans="1:6" hidden="1" x14ac:dyDescent="0.25">
      <c r="A105" s="210" t="s">
        <v>2276</v>
      </c>
      <c r="B105" s="100">
        <v>46167</v>
      </c>
      <c r="C105" t="s">
        <v>21</v>
      </c>
      <c r="D105" t="s">
        <v>22</v>
      </c>
      <c r="E105" t="s">
        <v>261</v>
      </c>
      <c r="F105" s="107">
        <v>139518500</v>
      </c>
    </row>
    <row r="106" spans="1:6" hidden="1" x14ac:dyDescent="0.25">
      <c r="A106" s="210" t="s">
        <v>1475</v>
      </c>
      <c r="B106" s="100">
        <v>46166</v>
      </c>
      <c r="C106" t="s">
        <v>21</v>
      </c>
      <c r="D106" t="s">
        <v>22</v>
      </c>
      <c r="E106" t="s">
        <v>47</v>
      </c>
      <c r="F106" s="107">
        <v>20000000</v>
      </c>
    </row>
    <row r="107" spans="1:6" hidden="1" x14ac:dyDescent="0.25">
      <c r="A107" s="210" t="s">
        <v>1478</v>
      </c>
      <c r="B107" s="100">
        <v>46166</v>
      </c>
      <c r="C107" t="s">
        <v>21</v>
      </c>
      <c r="D107" t="s">
        <v>22</v>
      </c>
      <c r="E107" t="s">
        <v>2067</v>
      </c>
      <c r="F107" s="107">
        <v>9000000</v>
      </c>
    </row>
    <row r="108" spans="1:6" hidden="1" x14ac:dyDescent="0.25">
      <c r="A108" s="210" t="s">
        <v>1496</v>
      </c>
      <c r="B108" s="100">
        <v>46166</v>
      </c>
      <c r="C108" t="s">
        <v>21</v>
      </c>
      <c r="D108" t="s">
        <v>22</v>
      </c>
      <c r="E108" t="s">
        <v>147</v>
      </c>
      <c r="F108" s="107">
        <v>100000000</v>
      </c>
    </row>
    <row r="109" spans="1:6" hidden="1" x14ac:dyDescent="0.25">
      <c r="A109" s="210" t="s">
        <v>1527</v>
      </c>
      <c r="B109" s="100">
        <v>46166</v>
      </c>
      <c r="C109" t="s">
        <v>21</v>
      </c>
      <c r="D109" t="s">
        <v>22</v>
      </c>
      <c r="E109" t="s">
        <v>147</v>
      </c>
      <c r="F109" s="107">
        <v>100000000</v>
      </c>
    </row>
    <row r="110" spans="1:6" hidden="1" x14ac:dyDescent="0.25">
      <c r="A110" s="210" t="s">
        <v>1609</v>
      </c>
      <c r="B110" s="100">
        <v>46166</v>
      </c>
      <c r="C110" t="s">
        <v>21</v>
      </c>
      <c r="D110" t="s">
        <v>22</v>
      </c>
      <c r="E110" t="s">
        <v>2067</v>
      </c>
      <c r="F110" s="107">
        <v>6260000</v>
      </c>
    </row>
    <row r="111" spans="1:6" hidden="1" x14ac:dyDescent="0.25">
      <c r="A111" s="210" t="s">
        <v>1478</v>
      </c>
      <c r="B111" s="100">
        <v>46165</v>
      </c>
      <c r="C111" t="s">
        <v>21</v>
      </c>
      <c r="D111" t="s">
        <v>22</v>
      </c>
      <c r="E111" t="s">
        <v>2067</v>
      </c>
      <c r="F111" s="107">
        <v>3498000</v>
      </c>
    </row>
    <row r="112" spans="1:6" hidden="1" x14ac:dyDescent="0.25">
      <c r="A112" s="210" t="s">
        <v>1609</v>
      </c>
      <c r="B112" s="100">
        <v>46165</v>
      </c>
      <c r="C112" t="s">
        <v>21</v>
      </c>
      <c r="D112" t="s">
        <v>22</v>
      </c>
      <c r="E112" t="s">
        <v>2067</v>
      </c>
      <c r="F112" s="107">
        <v>24100000</v>
      </c>
    </row>
    <row r="113" spans="1:6" hidden="1" x14ac:dyDescent="0.25">
      <c r="A113" s="210" t="s">
        <v>1734</v>
      </c>
      <c r="B113" s="100">
        <v>46165</v>
      </c>
      <c r="C113" t="s">
        <v>21</v>
      </c>
      <c r="D113" t="s">
        <v>22</v>
      </c>
      <c r="E113" t="s">
        <v>147</v>
      </c>
      <c r="F113" s="107">
        <v>912530535</v>
      </c>
    </row>
    <row r="114" spans="1:6" hidden="1" x14ac:dyDescent="0.25">
      <c r="A114" s="210" t="s">
        <v>1676</v>
      </c>
      <c r="B114" s="100">
        <v>46165</v>
      </c>
      <c r="C114" t="s">
        <v>21</v>
      </c>
      <c r="D114" t="s">
        <v>22</v>
      </c>
      <c r="E114" t="s">
        <v>261</v>
      </c>
      <c r="F114" s="107">
        <v>100000000</v>
      </c>
    </row>
    <row r="115" spans="1:6" hidden="1" x14ac:dyDescent="0.25">
      <c r="A115" s="210" t="s">
        <v>1478</v>
      </c>
      <c r="B115" s="100">
        <v>46164</v>
      </c>
      <c r="C115" t="s">
        <v>21</v>
      </c>
      <c r="D115" t="s">
        <v>2157</v>
      </c>
      <c r="F115" s="107">
        <v>100000000</v>
      </c>
    </row>
    <row r="116" spans="1:6" hidden="1" x14ac:dyDescent="0.25">
      <c r="A116" s="210" t="s">
        <v>1478</v>
      </c>
      <c r="B116" s="100">
        <v>46164</v>
      </c>
      <c r="C116" t="s">
        <v>21</v>
      </c>
      <c r="D116" t="s">
        <v>22</v>
      </c>
      <c r="E116" t="s">
        <v>2067</v>
      </c>
      <c r="F116" s="107">
        <v>4600000</v>
      </c>
    </row>
    <row r="117" spans="1:6" hidden="1" x14ac:dyDescent="0.25">
      <c r="A117" s="210" t="s">
        <v>1487</v>
      </c>
      <c r="B117" s="100">
        <v>46164</v>
      </c>
      <c r="C117" t="s">
        <v>21</v>
      </c>
      <c r="D117" t="s">
        <v>22</v>
      </c>
      <c r="E117" t="s">
        <v>147</v>
      </c>
      <c r="F117" s="107">
        <v>150000000</v>
      </c>
    </row>
    <row r="118" spans="1:6" hidden="1" x14ac:dyDescent="0.25">
      <c r="A118" s="210" t="s">
        <v>1491</v>
      </c>
      <c r="B118" s="100">
        <v>46164</v>
      </c>
      <c r="C118" t="s">
        <v>21</v>
      </c>
      <c r="D118" t="s">
        <v>22</v>
      </c>
      <c r="E118" t="s">
        <v>147</v>
      </c>
      <c r="F118" s="107">
        <v>200000000</v>
      </c>
    </row>
    <row r="119" spans="1:6" hidden="1" x14ac:dyDescent="0.25">
      <c r="A119" s="210" t="s">
        <v>1499</v>
      </c>
      <c r="B119" s="100">
        <v>46164</v>
      </c>
      <c r="C119" t="s">
        <v>21</v>
      </c>
      <c r="D119" t="s">
        <v>22</v>
      </c>
      <c r="E119" t="s">
        <v>147</v>
      </c>
      <c r="F119" s="107">
        <v>100000000</v>
      </c>
    </row>
    <row r="120" spans="1:6" hidden="1" x14ac:dyDescent="0.25">
      <c r="A120" s="210" t="s">
        <v>1512</v>
      </c>
      <c r="B120" s="100">
        <v>46164</v>
      </c>
      <c r="C120" t="s">
        <v>21</v>
      </c>
      <c r="D120" t="s">
        <v>260</v>
      </c>
      <c r="E120" t="s">
        <v>261</v>
      </c>
      <c r="F120" s="107">
        <v>100000000</v>
      </c>
    </row>
    <row r="121" spans="1:6" hidden="1" x14ac:dyDescent="0.25">
      <c r="A121" s="210" t="s">
        <v>1515</v>
      </c>
      <c r="B121" s="100">
        <v>46164</v>
      </c>
      <c r="C121" t="s">
        <v>21</v>
      </c>
      <c r="D121" t="s">
        <v>22</v>
      </c>
      <c r="E121" t="s">
        <v>147</v>
      </c>
      <c r="F121" s="107">
        <v>37115691</v>
      </c>
    </row>
    <row r="122" spans="1:6" hidden="1" x14ac:dyDescent="0.25">
      <c r="A122" s="210" t="s">
        <v>1525</v>
      </c>
      <c r="B122" s="100">
        <v>46164</v>
      </c>
      <c r="C122" t="s">
        <v>21</v>
      </c>
      <c r="D122" t="s">
        <v>22</v>
      </c>
      <c r="E122" t="s">
        <v>261</v>
      </c>
      <c r="F122" s="107">
        <v>240000000</v>
      </c>
    </row>
    <row r="123" spans="1:6" hidden="1" x14ac:dyDescent="0.25">
      <c r="A123" s="210" t="s">
        <v>1530</v>
      </c>
      <c r="B123" s="100">
        <v>46164</v>
      </c>
      <c r="C123" t="s">
        <v>21</v>
      </c>
      <c r="D123" t="s">
        <v>22</v>
      </c>
      <c r="E123" t="s">
        <v>261</v>
      </c>
      <c r="F123" s="107">
        <v>432799167</v>
      </c>
    </row>
    <row r="124" spans="1:6" hidden="1" x14ac:dyDescent="0.25">
      <c r="A124" s="210" t="s">
        <v>1536</v>
      </c>
      <c r="B124" s="100">
        <v>46164</v>
      </c>
      <c r="C124" t="s">
        <v>21</v>
      </c>
      <c r="D124" t="s">
        <v>22</v>
      </c>
      <c r="E124" t="s">
        <v>147</v>
      </c>
      <c r="F124" s="107">
        <v>55648000</v>
      </c>
    </row>
    <row r="125" spans="1:6" x14ac:dyDescent="0.25">
      <c r="A125" s="210" t="s">
        <v>1538</v>
      </c>
      <c r="B125" s="100">
        <v>46164</v>
      </c>
      <c r="C125" t="s">
        <v>21</v>
      </c>
      <c r="D125" t="s">
        <v>22</v>
      </c>
      <c r="E125" t="s">
        <v>83</v>
      </c>
      <c r="F125" s="107">
        <v>314151586</v>
      </c>
    </row>
    <row r="126" spans="1:6" hidden="1" x14ac:dyDescent="0.25">
      <c r="A126" s="210" t="s">
        <v>1539</v>
      </c>
      <c r="B126" s="100">
        <v>46164</v>
      </c>
      <c r="C126" t="s">
        <v>21</v>
      </c>
      <c r="D126" t="s">
        <v>22</v>
      </c>
      <c r="E126" t="s">
        <v>261</v>
      </c>
      <c r="F126" s="107">
        <v>35000000</v>
      </c>
    </row>
    <row r="127" spans="1:6" hidden="1" x14ac:dyDescent="0.25">
      <c r="A127" s="210" t="s">
        <v>1541</v>
      </c>
      <c r="B127" s="100">
        <v>46164</v>
      </c>
      <c r="C127" t="s">
        <v>21</v>
      </c>
      <c r="D127" t="s">
        <v>22</v>
      </c>
      <c r="E127" t="s">
        <v>147</v>
      </c>
      <c r="F127" s="107">
        <v>100000000</v>
      </c>
    </row>
    <row r="128" spans="1:6" hidden="1" x14ac:dyDescent="0.25">
      <c r="A128" s="210" t="s">
        <v>1547</v>
      </c>
      <c r="B128" s="100">
        <v>46164</v>
      </c>
      <c r="C128" t="s">
        <v>21</v>
      </c>
      <c r="D128" t="s">
        <v>22</v>
      </c>
      <c r="E128" t="s">
        <v>261</v>
      </c>
      <c r="F128" s="107">
        <v>100000000</v>
      </c>
    </row>
    <row r="129" spans="1:6" hidden="1" x14ac:dyDescent="0.25">
      <c r="A129" s="210" t="s">
        <v>1562</v>
      </c>
      <c r="B129" s="100">
        <v>46164</v>
      </c>
      <c r="C129" t="s">
        <v>21</v>
      </c>
      <c r="D129" t="s">
        <v>22</v>
      </c>
      <c r="E129" t="s">
        <v>147</v>
      </c>
      <c r="F129" s="107">
        <v>120000000</v>
      </c>
    </row>
    <row r="130" spans="1:6" hidden="1" x14ac:dyDescent="0.25">
      <c r="A130" s="210" t="s">
        <v>1564</v>
      </c>
      <c r="B130" s="100">
        <v>46164</v>
      </c>
      <c r="C130" t="s">
        <v>21</v>
      </c>
      <c r="D130" t="s">
        <v>22</v>
      </c>
      <c r="E130" t="s">
        <v>147</v>
      </c>
      <c r="F130" s="107">
        <v>40000000</v>
      </c>
    </row>
    <row r="131" spans="1:6" hidden="1" x14ac:dyDescent="0.25">
      <c r="A131" s="210" t="s">
        <v>1575</v>
      </c>
      <c r="B131" s="100">
        <v>46164</v>
      </c>
      <c r="C131" t="s">
        <v>21</v>
      </c>
      <c r="D131" t="s">
        <v>22</v>
      </c>
      <c r="E131" t="s">
        <v>261</v>
      </c>
      <c r="F131" s="107">
        <v>100000000</v>
      </c>
    </row>
    <row r="132" spans="1:6" x14ac:dyDescent="0.25">
      <c r="A132" s="210" t="s">
        <v>1579</v>
      </c>
      <c r="B132" s="100">
        <v>46164</v>
      </c>
      <c r="C132" t="s">
        <v>21</v>
      </c>
      <c r="D132" t="s">
        <v>22</v>
      </c>
      <c r="E132" t="s">
        <v>83</v>
      </c>
      <c r="F132" s="107">
        <v>500000000</v>
      </c>
    </row>
    <row r="133" spans="1:6" hidden="1" x14ac:dyDescent="0.25">
      <c r="A133" s="210" t="s">
        <v>1600</v>
      </c>
      <c r="B133" s="100">
        <v>46164</v>
      </c>
      <c r="C133" t="s">
        <v>21</v>
      </c>
      <c r="D133" t="s">
        <v>22</v>
      </c>
      <c r="E133" t="s">
        <v>147</v>
      </c>
      <c r="F133" s="107">
        <v>70000000</v>
      </c>
    </row>
    <row r="134" spans="1:6" hidden="1" x14ac:dyDescent="0.25">
      <c r="A134" s="210" t="s">
        <v>1600</v>
      </c>
      <c r="B134" s="100">
        <v>46164</v>
      </c>
      <c r="C134" t="s">
        <v>21</v>
      </c>
      <c r="D134" t="s">
        <v>22</v>
      </c>
      <c r="E134" t="s">
        <v>147</v>
      </c>
      <c r="F134" s="107">
        <v>40000000</v>
      </c>
    </row>
    <row r="135" spans="1:6" hidden="1" x14ac:dyDescent="0.25">
      <c r="A135" s="210" t="s">
        <v>1606</v>
      </c>
      <c r="B135" s="100">
        <v>46164</v>
      </c>
      <c r="C135" t="s">
        <v>21</v>
      </c>
      <c r="D135" t="s">
        <v>22</v>
      </c>
      <c r="E135" t="s">
        <v>147</v>
      </c>
      <c r="F135" s="107">
        <v>50000000</v>
      </c>
    </row>
    <row r="136" spans="1:6" hidden="1" x14ac:dyDescent="0.25">
      <c r="A136" s="210" t="s">
        <v>1623</v>
      </c>
      <c r="B136" s="100">
        <v>46164</v>
      </c>
      <c r="C136" t="s">
        <v>21</v>
      </c>
      <c r="D136" t="s">
        <v>22</v>
      </c>
      <c r="E136" t="s">
        <v>147</v>
      </c>
      <c r="F136" s="107">
        <v>150000000</v>
      </c>
    </row>
    <row r="137" spans="1:6" hidden="1" x14ac:dyDescent="0.25">
      <c r="A137" s="210" t="s">
        <v>1624</v>
      </c>
      <c r="B137" s="100">
        <v>46164</v>
      </c>
      <c r="C137" t="s">
        <v>21</v>
      </c>
      <c r="D137" t="s">
        <v>22</v>
      </c>
      <c r="E137" t="s">
        <v>261</v>
      </c>
      <c r="F137" s="107">
        <v>100000000</v>
      </c>
    </row>
    <row r="138" spans="1:6" hidden="1" x14ac:dyDescent="0.25">
      <c r="A138" s="210" t="s">
        <v>1627</v>
      </c>
      <c r="B138" s="100">
        <v>46164</v>
      </c>
      <c r="C138" t="s">
        <v>21</v>
      </c>
      <c r="D138" t="s">
        <v>22</v>
      </c>
      <c r="E138" t="s">
        <v>147</v>
      </c>
      <c r="F138" s="107">
        <v>50000000</v>
      </c>
    </row>
    <row r="139" spans="1:6" hidden="1" x14ac:dyDescent="0.25">
      <c r="A139" s="210" t="s">
        <v>1646</v>
      </c>
      <c r="B139" s="100">
        <v>46164</v>
      </c>
      <c r="C139" t="s">
        <v>21</v>
      </c>
      <c r="D139" t="s">
        <v>22</v>
      </c>
      <c r="E139" t="s">
        <v>147</v>
      </c>
      <c r="F139" s="107">
        <v>30000000</v>
      </c>
    </row>
    <row r="140" spans="1:6" x14ac:dyDescent="0.25">
      <c r="A140" s="210" t="s">
        <v>2016</v>
      </c>
      <c r="B140" s="100">
        <v>46164</v>
      </c>
      <c r="C140" t="s">
        <v>2214</v>
      </c>
      <c r="D140" t="s">
        <v>22</v>
      </c>
      <c r="E140" t="s">
        <v>83</v>
      </c>
      <c r="F140" s="107">
        <v>-100000000</v>
      </c>
    </row>
    <row r="141" spans="1:6" hidden="1" x14ac:dyDescent="0.25">
      <c r="A141" s="210" t="s">
        <v>1675</v>
      </c>
      <c r="B141" s="100">
        <v>46164</v>
      </c>
      <c r="C141" t="s">
        <v>21</v>
      </c>
      <c r="D141" t="s">
        <v>22</v>
      </c>
      <c r="E141" t="s">
        <v>261</v>
      </c>
      <c r="F141" s="107">
        <v>200000000</v>
      </c>
    </row>
    <row r="142" spans="1:6" hidden="1" x14ac:dyDescent="0.25">
      <c r="A142" s="210" t="s">
        <v>1689</v>
      </c>
      <c r="B142" s="100">
        <v>46164</v>
      </c>
      <c r="C142" t="s">
        <v>21</v>
      </c>
      <c r="D142" t="s">
        <v>22</v>
      </c>
      <c r="E142" t="s">
        <v>261</v>
      </c>
      <c r="F142" s="107">
        <v>100000000</v>
      </c>
    </row>
    <row r="143" spans="1:6" hidden="1" x14ac:dyDescent="0.25">
      <c r="A143" s="210" t="s">
        <v>1697</v>
      </c>
      <c r="B143" s="100">
        <v>46164</v>
      </c>
      <c r="C143" t="s">
        <v>2214</v>
      </c>
      <c r="D143" t="s">
        <v>24</v>
      </c>
      <c r="F143" s="107">
        <v>-4402000</v>
      </c>
    </row>
    <row r="144" spans="1:6" x14ac:dyDescent="0.25">
      <c r="A144" s="210" t="s">
        <v>1697</v>
      </c>
      <c r="B144" s="100">
        <v>46164</v>
      </c>
      <c r="C144" t="s">
        <v>2214</v>
      </c>
      <c r="D144" t="s">
        <v>22</v>
      </c>
      <c r="E144" t="s">
        <v>83</v>
      </c>
      <c r="F144" s="107">
        <v>-150000000</v>
      </c>
    </row>
    <row r="145" spans="1:6" hidden="1" x14ac:dyDescent="0.25">
      <c r="A145" s="210" t="s">
        <v>1715</v>
      </c>
      <c r="B145" s="100">
        <v>46164</v>
      </c>
      <c r="C145" t="s">
        <v>21</v>
      </c>
      <c r="D145" t="s">
        <v>22</v>
      </c>
      <c r="E145" t="s">
        <v>261</v>
      </c>
      <c r="F145" s="107">
        <v>45722160</v>
      </c>
    </row>
    <row r="146" spans="1:6" hidden="1" x14ac:dyDescent="0.25">
      <c r="A146" s="210" t="s">
        <v>1475</v>
      </c>
      <c r="B146" s="100">
        <v>46163</v>
      </c>
      <c r="C146" t="s">
        <v>21</v>
      </c>
      <c r="D146" t="s">
        <v>22</v>
      </c>
      <c r="E146" t="s">
        <v>47</v>
      </c>
      <c r="F146" s="107">
        <v>20000000</v>
      </c>
    </row>
    <row r="147" spans="1:6" hidden="1" x14ac:dyDescent="0.25">
      <c r="A147" s="210" t="s">
        <v>1475</v>
      </c>
      <c r="B147" s="100">
        <v>46163</v>
      </c>
      <c r="C147" t="s">
        <v>21</v>
      </c>
      <c r="D147" t="s">
        <v>22</v>
      </c>
      <c r="E147" t="s">
        <v>47</v>
      </c>
      <c r="F147" s="107">
        <v>7252000</v>
      </c>
    </row>
    <row r="148" spans="1:6" hidden="1" x14ac:dyDescent="0.25">
      <c r="A148" s="210" t="s">
        <v>1475</v>
      </c>
      <c r="B148" s="100">
        <v>46163</v>
      </c>
      <c r="C148" t="s">
        <v>21</v>
      </c>
      <c r="D148" t="s">
        <v>22</v>
      </c>
      <c r="E148" t="s">
        <v>47</v>
      </c>
      <c r="F148" s="107">
        <v>15700000</v>
      </c>
    </row>
    <row r="149" spans="1:6" hidden="1" x14ac:dyDescent="0.25">
      <c r="A149" s="210" t="s">
        <v>1475</v>
      </c>
      <c r="B149" s="100">
        <v>46163</v>
      </c>
      <c r="C149" t="s">
        <v>21</v>
      </c>
      <c r="D149" t="s">
        <v>22</v>
      </c>
      <c r="E149" t="s">
        <v>47</v>
      </c>
      <c r="F149" s="107">
        <v>4000000</v>
      </c>
    </row>
    <row r="150" spans="1:6" hidden="1" x14ac:dyDescent="0.25">
      <c r="A150" s="210" t="s">
        <v>1478</v>
      </c>
      <c r="B150" s="100">
        <v>46163</v>
      </c>
      <c r="C150" t="s">
        <v>21</v>
      </c>
      <c r="D150" t="s">
        <v>22</v>
      </c>
      <c r="E150" t="s">
        <v>2067</v>
      </c>
      <c r="F150" s="107">
        <v>16180000</v>
      </c>
    </row>
    <row r="151" spans="1:6" hidden="1" x14ac:dyDescent="0.25">
      <c r="A151" s="210" t="s">
        <v>1478</v>
      </c>
      <c r="B151" s="100">
        <v>46163</v>
      </c>
      <c r="C151" t="s">
        <v>21</v>
      </c>
      <c r="D151" t="s">
        <v>22</v>
      </c>
      <c r="E151" t="s">
        <v>2067</v>
      </c>
      <c r="F151" s="107">
        <v>3728000</v>
      </c>
    </row>
    <row r="152" spans="1:6" hidden="1" x14ac:dyDescent="0.25">
      <c r="A152" s="210" t="s">
        <v>1479</v>
      </c>
      <c r="B152" s="100">
        <v>46163</v>
      </c>
      <c r="C152" t="s">
        <v>21</v>
      </c>
      <c r="D152" t="s">
        <v>22</v>
      </c>
      <c r="E152" t="s">
        <v>147</v>
      </c>
      <c r="F152" s="107">
        <v>300000000</v>
      </c>
    </row>
    <row r="153" spans="1:6" hidden="1" x14ac:dyDescent="0.25">
      <c r="A153" s="210" t="s">
        <v>1485</v>
      </c>
      <c r="B153" s="100">
        <v>46163</v>
      </c>
      <c r="C153" t="s">
        <v>21</v>
      </c>
      <c r="D153" t="s">
        <v>22</v>
      </c>
      <c r="E153" t="s">
        <v>147</v>
      </c>
      <c r="F153" s="107">
        <v>150000000</v>
      </c>
    </row>
    <row r="154" spans="1:6" hidden="1" x14ac:dyDescent="0.25">
      <c r="A154" s="210" t="s">
        <v>1493</v>
      </c>
      <c r="B154" s="100">
        <v>46163</v>
      </c>
      <c r="C154" t="s">
        <v>21</v>
      </c>
      <c r="D154" t="s">
        <v>22</v>
      </c>
      <c r="E154" t="s">
        <v>261</v>
      </c>
      <c r="F154" s="107">
        <v>150000000</v>
      </c>
    </row>
    <row r="155" spans="1:6" hidden="1" x14ac:dyDescent="0.25">
      <c r="A155" s="210" t="s">
        <v>1531</v>
      </c>
      <c r="B155" s="100">
        <v>46163</v>
      </c>
      <c r="C155" t="s">
        <v>21</v>
      </c>
      <c r="D155" t="s">
        <v>2157</v>
      </c>
      <c r="F155" s="107">
        <v>55000000</v>
      </c>
    </row>
    <row r="156" spans="1:6" x14ac:dyDescent="0.25">
      <c r="A156" s="210" t="s">
        <v>1538</v>
      </c>
      <c r="B156" s="100">
        <v>46163</v>
      </c>
      <c r="C156" t="s">
        <v>21</v>
      </c>
      <c r="D156" t="s">
        <v>22</v>
      </c>
      <c r="E156" t="s">
        <v>83</v>
      </c>
      <c r="F156" s="107">
        <v>181866000</v>
      </c>
    </row>
    <row r="157" spans="1:6" hidden="1" x14ac:dyDescent="0.25">
      <c r="A157" s="210" t="s">
        <v>1572</v>
      </c>
      <c r="B157" s="100">
        <v>46163</v>
      </c>
      <c r="C157" t="s">
        <v>21</v>
      </c>
      <c r="D157" t="s">
        <v>22</v>
      </c>
      <c r="E157" t="s">
        <v>261</v>
      </c>
      <c r="F157" s="107">
        <v>157685000</v>
      </c>
    </row>
    <row r="158" spans="1:6" hidden="1" x14ac:dyDescent="0.25">
      <c r="A158" s="210" t="s">
        <v>1579</v>
      </c>
      <c r="B158" s="100">
        <v>46163</v>
      </c>
      <c r="C158" t="s">
        <v>2214</v>
      </c>
      <c r="D158" t="s">
        <v>22</v>
      </c>
      <c r="E158" t="s">
        <v>261</v>
      </c>
      <c r="F158" s="107">
        <v>311201085</v>
      </c>
    </row>
    <row r="159" spans="1:6" x14ac:dyDescent="0.25">
      <c r="A159" s="210" t="s">
        <v>1579</v>
      </c>
      <c r="B159" s="100">
        <v>46163</v>
      </c>
      <c r="C159" t="s">
        <v>2214</v>
      </c>
      <c r="D159" t="s">
        <v>22</v>
      </c>
      <c r="E159" t="s">
        <v>83</v>
      </c>
      <c r="F159" s="107">
        <v>-57049674</v>
      </c>
    </row>
    <row r="160" spans="1:6" hidden="1" x14ac:dyDescent="0.25">
      <c r="A160" s="210" t="s">
        <v>1610</v>
      </c>
      <c r="B160" s="100">
        <v>46163</v>
      </c>
      <c r="C160" t="s">
        <v>21</v>
      </c>
      <c r="D160" t="s">
        <v>2157</v>
      </c>
      <c r="F160" s="107">
        <v>244810000</v>
      </c>
    </row>
    <row r="161" spans="1:6" hidden="1" x14ac:dyDescent="0.25">
      <c r="A161" s="210" t="s">
        <v>1613</v>
      </c>
      <c r="B161" s="100">
        <v>46163</v>
      </c>
      <c r="C161" t="s">
        <v>21</v>
      </c>
      <c r="D161" t="s">
        <v>22</v>
      </c>
      <c r="E161" t="s">
        <v>261</v>
      </c>
      <c r="F161" s="107">
        <v>200000000</v>
      </c>
    </row>
    <row r="162" spans="1:6" hidden="1" x14ac:dyDescent="0.25">
      <c r="A162" s="210" t="s">
        <v>1635</v>
      </c>
      <c r="B162" s="100">
        <v>46163</v>
      </c>
      <c r="C162" t="s">
        <v>21</v>
      </c>
      <c r="D162" t="s">
        <v>22</v>
      </c>
      <c r="E162" t="s">
        <v>147</v>
      </c>
      <c r="F162" s="107">
        <v>302692500</v>
      </c>
    </row>
    <row r="163" spans="1:6" hidden="1" x14ac:dyDescent="0.25">
      <c r="A163" s="210" t="s">
        <v>1641</v>
      </c>
      <c r="B163" s="100">
        <v>46163</v>
      </c>
      <c r="C163" t="s">
        <v>21</v>
      </c>
      <c r="D163" t="s">
        <v>22</v>
      </c>
      <c r="E163" t="s">
        <v>147</v>
      </c>
      <c r="F163" s="107">
        <v>150000000</v>
      </c>
    </row>
    <row r="164" spans="1:6" hidden="1" x14ac:dyDescent="0.25">
      <c r="A164" s="210" t="s">
        <v>1822</v>
      </c>
      <c r="B164" s="100">
        <v>46163</v>
      </c>
      <c r="C164" t="s">
        <v>21</v>
      </c>
      <c r="D164" t="s">
        <v>22</v>
      </c>
      <c r="E164" t="s">
        <v>261</v>
      </c>
      <c r="F164" s="107">
        <v>148110000</v>
      </c>
    </row>
    <row r="165" spans="1:6" hidden="1" x14ac:dyDescent="0.25">
      <c r="A165" s="210" t="s">
        <v>2138</v>
      </c>
      <c r="B165" s="100">
        <v>46163</v>
      </c>
      <c r="C165" t="s">
        <v>2214</v>
      </c>
      <c r="D165" t="s">
        <v>22</v>
      </c>
      <c r="E165" t="s">
        <v>261</v>
      </c>
      <c r="F165" s="107">
        <v>-651756081</v>
      </c>
    </row>
    <row r="166" spans="1:6" hidden="1" x14ac:dyDescent="0.25">
      <c r="A166" s="210" t="s">
        <v>2138</v>
      </c>
      <c r="B166" s="100">
        <v>46163</v>
      </c>
      <c r="C166" t="s">
        <v>2214</v>
      </c>
      <c r="D166" t="s">
        <v>22</v>
      </c>
      <c r="E166" t="s">
        <v>261</v>
      </c>
      <c r="F166" s="107">
        <v>-1628577987</v>
      </c>
    </row>
    <row r="167" spans="1:6" hidden="1" x14ac:dyDescent="0.25">
      <c r="A167" s="210" t="s">
        <v>1478</v>
      </c>
      <c r="B167" s="100">
        <v>46162</v>
      </c>
      <c r="C167" t="s">
        <v>21</v>
      </c>
      <c r="D167" t="s">
        <v>22</v>
      </c>
      <c r="E167" t="s">
        <v>2067</v>
      </c>
      <c r="F167" s="107">
        <v>26738000</v>
      </c>
    </row>
    <row r="168" spans="1:6" hidden="1" x14ac:dyDescent="0.25">
      <c r="A168" s="210" t="s">
        <v>1478</v>
      </c>
      <c r="B168" s="100">
        <v>46162</v>
      </c>
      <c r="C168" t="s">
        <v>21</v>
      </c>
      <c r="D168" t="s">
        <v>22</v>
      </c>
      <c r="E168" t="s">
        <v>2067</v>
      </c>
      <c r="F168" s="107">
        <v>5384000</v>
      </c>
    </row>
    <row r="169" spans="1:6" hidden="1" x14ac:dyDescent="0.25">
      <c r="A169" s="210" t="s">
        <v>1478</v>
      </c>
      <c r="B169" s="100">
        <v>46162</v>
      </c>
      <c r="C169" t="s">
        <v>21</v>
      </c>
      <c r="D169" t="s">
        <v>22</v>
      </c>
      <c r="E169" t="s">
        <v>2067</v>
      </c>
      <c r="F169" s="107">
        <v>26900000</v>
      </c>
    </row>
    <row r="170" spans="1:6" hidden="1" x14ac:dyDescent="0.25">
      <c r="A170" s="210" t="s">
        <v>1478</v>
      </c>
      <c r="B170" s="100">
        <v>46162</v>
      </c>
      <c r="C170" t="s">
        <v>21</v>
      </c>
      <c r="D170" t="s">
        <v>22</v>
      </c>
      <c r="E170" t="s">
        <v>2067</v>
      </c>
      <c r="F170" s="107">
        <v>11900000</v>
      </c>
    </row>
    <row r="171" spans="1:6" hidden="1" x14ac:dyDescent="0.25">
      <c r="A171" s="210" t="s">
        <v>1478</v>
      </c>
      <c r="B171" s="100">
        <v>46162</v>
      </c>
      <c r="C171" t="s">
        <v>21</v>
      </c>
      <c r="D171" t="s">
        <v>22</v>
      </c>
      <c r="E171" t="s">
        <v>2067</v>
      </c>
      <c r="F171" s="107">
        <v>3550000</v>
      </c>
    </row>
    <row r="172" spans="1:6" hidden="1" x14ac:dyDescent="0.25">
      <c r="A172" s="210" t="s">
        <v>1531</v>
      </c>
      <c r="B172" s="100">
        <v>46162</v>
      </c>
      <c r="C172" t="s">
        <v>21</v>
      </c>
      <c r="D172" t="s">
        <v>22</v>
      </c>
      <c r="E172" t="s">
        <v>726</v>
      </c>
      <c r="F172" s="107">
        <v>100000000</v>
      </c>
    </row>
    <row r="173" spans="1:6" hidden="1" x14ac:dyDescent="0.25">
      <c r="A173" s="210" t="s">
        <v>1531</v>
      </c>
      <c r="B173" s="100">
        <v>46162</v>
      </c>
      <c r="C173" t="s">
        <v>21</v>
      </c>
      <c r="D173" t="s">
        <v>2157</v>
      </c>
      <c r="F173" s="107">
        <v>25000000</v>
      </c>
    </row>
    <row r="174" spans="1:6" hidden="1" x14ac:dyDescent="0.25">
      <c r="A174" s="210" t="s">
        <v>1554</v>
      </c>
      <c r="B174" s="100">
        <v>46162</v>
      </c>
      <c r="C174" t="s">
        <v>21</v>
      </c>
      <c r="D174" t="s">
        <v>22</v>
      </c>
      <c r="E174" t="s">
        <v>726</v>
      </c>
      <c r="F174" s="107">
        <v>13300000</v>
      </c>
    </row>
    <row r="175" spans="1:6" hidden="1" x14ac:dyDescent="0.25">
      <c r="A175" s="210" t="s">
        <v>1597</v>
      </c>
      <c r="B175" s="100">
        <v>46162</v>
      </c>
      <c r="C175" t="s">
        <v>21</v>
      </c>
      <c r="D175" t="s">
        <v>22</v>
      </c>
      <c r="E175" t="s">
        <v>261</v>
      </c>
      <c r="F175" s="107">
        <v>200000000</v>
      </c>
    </row>
    <row r="176" spans="1:6" hidden="1" x14ac:dyDescent="0.25">
      <c r="A176" s="210" t="s">
        <v>1648</v>
      </c>
      <c r="B176" s="100">
        <v>46162</v>
      </c>
      <c r="C176" t="s">
        <v>21</v>
      </c>
      <c r="D176" t="s">
        <v>22</v>
      </c>
      <c r="E176" t="s">
        <v>147</v>
      </c>
      <c r="F176" s="107">
        <v>39468506</v>
      </c>
    </row>
    <row r="177" spans="1:6" hidden="1" x14ac:dyDescent="0.25">
      <c r="A177" s="210" t="s">
        <v>1692</v>
      </c>
      <c r="B177" s="100">
        <v>46162</v>
      </c>
      <c r="C177" t="s">
        <v>21</v>
      </c>
      <c r="D177" t="s">
        <v>260</v>
      </c>
      <c r="E177" t="s">
        <v>261</v>
      </c>
      <c r="F177" s="107">
        <v>100000000</v>
      </c>
    </row>
    <row r="178" spans="1:6" hidden="1" x14ac:dyDescent="0.25">
      <c r="A178" s="210" t="s">
        <v>1899</v>
      </c>
      <c r="B178" s="100">
        <v>46162</v>
      </c>
      <c r="C178" t="s">
        <v>21</v>
      </c>
      <c r="D178" t="s">
        <v>22</v>
      </c>
      <c r="E178" t="s">
        <v>261</v>
      </c>
      <c r="F178" s="107">
        <v>39318231</v>
      </c>
    </row>
    <row r="179" spans="1:6" hidden="1" x14ac:dyDescent="0.25">
      <c r="A179" s="210" t="s">
        <v>2076</v>
      </c>
      <c r="B179" s="100">
        <v>46162</v>
      </c>
      <c r="C179" t="s">
        <v>21</v>
      </c>
      <c r="D179" t="s">
        <v>22</v>
      </c>
      <c r="E179" t="s">
        <v>261</v>
      </c>
      <c r="F179" s="107">
        <v>104335120</v>
      </c>
    </row>
    <row r="180" spans="1:6" x14ac:dyDescent="0.25">
      <c r="A180" s="210" t="s">
        <v>1518</v>
      </c>
      <c r="B180" s="100">
        <v>46161</v>
      </c>
      <c r="C180" t="s">
        <v>21</v>
      </c>
      <c r="D180" t="s">
        <v>22</v>
      </c>
      <c r="E180" t="s">
        <v>83</v>
      </c>
      <c r="F180" s="107">
        <v>50000000</v>
      </c>
    </row>
    <row r="181" spans="1:6" hidden="1" x14ac:dyDescent="0.25">
      <c r="A181" s="210" t="s">
        <v>1536</v>
      </c>
      <c r="B181" s="100">
        <v>46161</v>
      </c>
      <c r="C181" t="s">
        <v>21</v>
      </c>
      <c r="D181" t="s">
        <v>22</v>
      </c>
      <c r="E181" t="s">
        <v>147</v>
      </c>
      <c r="F181" s="107">
        <v>52501020</v>
      </c>
    </row>
    <row r="182" spans="1:6" x14ac:dyDescent="0.25">
      <c r="A182" s="210" t="s">
        <v>1538</v>
      </c>
      <c r="B182" s="100">
        <v>46161</v>
      </c>
      <c r="C182" t="s">
        <v>21</v>
      </c>
      <c r="D182" t="s">
        <v>22</v>
      </c>
      <c r="E182" t="s">
        <v>83</v>
      </c>
      <c r="F182" s="107">
        <v>15050000</v>
      </c>
    </row>
    <row r="183" spans="1:6" hidden="1" x14ac:dyDescent="0.25">
      <c r="A183" s="210" t="s">
        <v>1545</v>
      </c>
      <c r="B183" s="100">
        <v>46161</v>
      </c>
      <c r="C183" t="s">
        <v>21</v>
      </c>
      <c r="D183" t="s">
        <v>22</v>
      </c>
      <c r="E183" t="s">
        <v>147</v>
      </c>
      <c r="F183" s="107">
        <v>150000000</v>
      </c>
    </row>
    <row r="184" spans="1:6" hidden="1" x14ac:dyDescent="0.25">
      <c r="A184" s="210" t="s">
        <v>1582</v>
      </c>
      <c r="B184" s="100">
        <v>46161</v>
      </c>
      <c r="C184" t="s">
        <v>21</v>
      </c>
      <c r="D184" t="s">
        <v>22</v>
      </c>
      <c r="E184" t="s">
        <v>261</v>
      </c>
      <c r="F184" s="107">
        <v>143674001</v>
      </c>
    </row>
    <row r="185" spans="1:6" hidden="1" x14ac:dyDescent="0.25">
      <c r="A185" s="210" t="s">
        <v>1609</v>
      </c>
      <c r="B185" s="100">
        <v>46161</v>
      </c>
      <c r="C185" t="s">
        <v>21</v>
      </c>
      <c r="D185" t="s">
        <v>22</v>
      </c>
      <c r="E185" t="s">
        <v>2067</v>
      </c>
      <c r="F185" s="107">
        <v>7000000</v>
      </c>
    </row>
    <row r="186" spans="1:6" hidden="1" x14ac:dyDescent="0.25">
      <c r="A186" s="210" t="s">
        <v>1822</v>
      </c>
      <c r="B186" s="100">
        <v>46161</v>
      </c>
      <c r="C186" t="s">
        <v>21</v>
      </c>
      <c r="D186" t="s">
        <v>22</v>
      </c>
      <c r="E186" t="s">
        <v>2158</v>
      </c>
      <c r="F186" s="107">
        <v>130948000</v>
      </c>
    </row>
    <row r="187" spans="1:6" hidden="1" x14ac:dyDescent="0.25">
      <c r="A187" s="210" t="s">
        <v>1475</v>
      </c>
      <c r="B187" s="100">
        <v>46160</v>
      </c>
      <c r="C187" t="s">
        <v>21</v>
      </c>
      <c r="D187" t="s">
        <v>22</v>
      </c>
      <c r="E187" t="s">
        <v>2067</v>
      </c>
      <c r="F187" s="107">
        <v>20000000</v>
      </c>
    </row>
    <row r="188" spans="1:6" hidden="1" x14ac:dyDescent="0.25">
      <c r="A188" s="210" t="s">
        <v>1475</v>
      </c>
      <c r="B188" s="100">
        <v>46160</v>
      </c>
      <c r="C188" t="s">
        <v>21</v>
      </c>
      <c r="D188" t="s">
        <v>22</v>
      </c>
      <c r="E188" t="s">
        <v>47</v>
      </c>
      <c r="F188" s="107">
        <v>15000000</v>
      </c>
    </row>
    <row r="189" spans="1:6" hidden="1" x14ac:dyDescent="0.25">
      <c r="A189" s="210" t="s">
        <v>1475</v>
      </c>
      <c r="B189" s="100">
        <v>46160</v>
      </c>
      <c r="C189" t="s">
        <v>21</v>
      </c>
      <c r="D189" t="s">
        <v>22</v>
      </c>
      <c r="E189" t="s">
        <v>47</v>
      </c>
      <c r="F189" s="107">
        <v>10000000</v>
      </c>
    </row>
    <row r="190" spans="1:6" hidden="1" x14ac:dyDescent="0.25">
      <c r="A190" s="210" t="s">
        <v>1475</v>
      </c>
      <c r="B190" s="100">
        <v>46160</v>
      </c>
      <c r="C190" t="s">
        <v>21</v>
      </c>
      <c r="D190" t="s">
        <v>2157</v>
      </c>
      <c r="F190" s="107">
        <v>70780000</v>
      </c>
    </row>
    <row r="191" spans="1:6" hidden="1" x14ac:dyDescent="0.25">
      <c r="A191" s="210" t="s">
        <v>1475</v>
      </c>
      <c r="B191" s="100">
        <v>46160</v>
      </c>
      <c r="C191" t="s">
        <v>21</v>
      </c>
      <c r="D191" t="s">
        <v>2157</v>
      </c>
      <c r="F191" s="107">
        <v>10000000</v>
      </c>
    </row>
    <row r="192" spans="1:6" hidden="1" x14ac:dyDescent="0.25">
      <c r="A192" s="210" t="s">
        <v>1475</v>
      </c>
      <c r="B192" s="100">
        <v>46160</v>
      </c>
      <c r="C192" t="s">
        <v>21</v>
      </c>
      <c r="D192" t="s">
        <v>2157</v>
      </c>
      <c r="F192" s="107">
        <v>6014000</v>
      </c>
    </row>
    <row r="193" spans="1:6" hidden="1" x14ac:dyDescent="0.25">
      <c r="A193" s="210" t="s">
        <v>1478</v>
      </c>
      <c r="B193" s="100">
        <v>46160</v>
      </c>
      <c r="C193" t="s">
        <v>21</v>
      </c>
      <c r="D193" t="s">
        <v>22</v>
      </c>
      <c r="E193" t="s">
        <v>2067</v>
      </c>
      <c r="F193" s="107">
        <v>10000000</v>
      </c>
    </row>
    <row r="194" spans="1:6" hidden="1" x14ac:dyDescent="0.25">
      <c r="A194" s="210" t="s">
        <v>1478</v>
      </c>
      <c r="B194" s="100">
        <v>46160</v>
      </c>
      <c r="C194" t="s">
        <v>21</v>
      </c>
      <c r="D194" t="s">
        <v>22</v>
      </c>
      <c r="E194" t="s">
        <v>2067</v>
      </c>
      <c r="F194" s="107">
        <v>7560000</v>
      </c>
    </row>
    <row r="195" spans="1:6" hidden="1" x14ac:dyDescent="0.25">
      <c r="A195" s="210" t="s">
        <v>1490</v>
      </c>
      <c r="B195" s="100">
        <v>46160</v>
      </c>
      <c r="C195" t="s">
        <v>21</v>
      </c>
      <c r="D195" t="s">
        <v>22</v>
      </c>
      <c r="E195" t="s">
        <v>47</v>
      </c>
      <c r="F195" s="107">
        <v>50000000</v>
      </c>
    </row>
    <row r="196" spans="1:6" hidden="1" x14ac:dyDescent="0.25">
      <c r="A196" s="210" t="s">
        <v>1554</v>
      </c>
      <c r="B196" s="100">
        <v>46160</v>
      </c>
      <c r="C196" t="s">
        <v>21</v>
      </c>
      <c r="D196" t="s">
        <v>2157</v>
      </c>
      <c r="F196" s="107">
        <v>73718000</v>
      </c>
    </row>
    <row r="197" spans="1:6" hidden="1" x14ac:dyDescent="0.25">
      <c r="A197" s="210" t="s">
        <v>1558</v>
      </c>
      <c r="B197" s="100">
        <v>46160</v>
      </c>
      <c r="C197" t="s">
        <v>21</v>
      </c>
      <c r="D197" t="s">
        <v>2157</v>
      </c>
      <c r="F197" s="107">
        <v>197000000</v>
      </c>
    </row>
    <row r="198" spans="1:6" hidden="1" x14ac:dyDescent="0.25">
      <c r="A198" s="210" t="s">
        <v>1592</v>
      </c>
      <c r="B198" s="100">
        <v>46160</v>
      </c>
      <c r="C198" t="s">
        <v>21</v>
      </c>
      <c r="D198" t="s">
        <v>22</v>
      </c>
      <c r="E198" t="s">
        <v>261</v>
      </c>
      <c r="F198" s="107">
        <v>103148000</v>
      </c>
    </row>
    <row r="199" spans="1:6" hidden="1" x14ac:dyDescent="0.25">
      <c r="A199" s="210" t="s">
        <v>1609</v>
      </c>
      <c r="B199" s="100">
        <v>46160</v>
      </c>
      <c r="C199" t="s">
        <v>21</v>
      </c>
      <c r="D199" t="s">
        <v>22</v>
      </c>
      <c r="E199" t="s">
        <v>2067</v>
      </c>
      <c r="F199" s="107">
        <v>12500000</v>
      </c>
    </row>
    <row r="200" spans="1:6" hidden="1" x14ac:dyDescent="0.25">
      <c r="A200" s="210" t="s">
        <v>1656</v>
      </c>
      <c r="B200" s="100">
        <v>46160</v>
      </c>
      <c r="C200" t="s">
        <v>21</v>
      </c>
      <c r="D200" t="s">
        <v>2157</v>
      </c>
      <c r="F200" s="107">
        <v>533850000</v>
      </c>
    </row>
    <row r="201" spans="1:6" hidden="1" x14ac:dyDescent="0.25">
      <c r="A201" s="210" t="s">
        <v>1734</v>
      </c>
      <c r="B201" s="100">
        <v>46160</v>
      </c>
      <c r="C201" t="s">
        <v>21</v>
      </c>
      <c r="D201" t="s">
        <v>22</v>
      </c>
      <c r="E201" t="s">
        <v>147</v>
      </c>
      <c r="F201" s="107">
        <v>30000000</v>
      </c>
    </row>
    <row r="202" spans="1:6" hidden="1" x14ac:dyDescent="0.25">
      <c r="A202" s="210" t="s">
        <v>1727</v>
      </c>
      <c r="B202" s="100">
        <v>46160</v>
      </c>
      <c r="C202" t="s">
        <v>21</v>
      </c>
      <c r="D202" t="s">
        <v>22</v>
      </c>
      <c r="E202" t="s">
        <v>147</v>
      </c>
      <c r="F202" s="107">
        <v>200000000</v>
      </c>
    </row>
    <row r="203" spans="1:6" x14ac:dyDescent="0.25">
      <c r="A203" s="210" t="s">
        <v>1672</v>
      </c>
      <c r="B203" s="100">
        <v>46160</v>
      </c>
      <c r="C203" t="s">
        <v>21</v>
      </c>
      <c r="D203" t="s">
        <v>22</v>
      </c>
      <c r="E203" t="s">
        <v>83</v>
      </c>
      <c r="F203" s="107">
        <v>52000000</v>
      </c>
    </row>
    <row r="204" spans="1:6" hidden="1" x14ac:dyDescent="0.25">
      <c r="A204" s="210" t="s">
        <v>2582</v>
      </c>
      <c r="B204" s="100">
        <v>46160</v>
      </c>
      <c r="C204" t="s">
        <v>2214</v>
      </c>
      <c r="D204" t="s">
        <v>260</v>
      </c>
      <c r="E204" t="s">
        <v>261</v>
      </c>
      <c r="F204" s="107">
        <v>-195155391</v>
      </c>
    </row>
    <row r="205" spans="1:6" hidden="1" x14ac:dyDescent="0.25">
      <c r="A205" s="210" t="s">
        <v>1475</v>
      </c>
      <c r="B205" s="100">
        <v>46159</v>
      </c>
      <c r="C205" t="s">
        <v>21</v>
      </c>
      <c r="D205" t="s">
        <v>22</v>
      </c>
      <c r="E205" t="s">
        <v>47</v>
      </c>
      <c r="F205" s="107">
        <v>30540000</v>
      </c>
    </row>
    <row r="206" spans="1:6" hidden="1" x14ac:dyDescent="0.25">
      <c r="A206" s="210" t="s">
        <v>1475</v>
      </c>
      <c r="B206" s="100">
        <v>46158</v>
      </c>
      <c r="C206" t="s">
        <v>21</v>
      </c>
      <c r="D206" t="s">
        <v>22</v>
      </c>
      <c r="E206" t="s">
        <v>47</v>
      </c>
      <c r="F206" s="107">
        <v>50000000</v>
      </c>
    </row>
    <row r="207" spans="1:6" hidden="1" x14ac:dyDescent="0.25">
      <c r="A207" s="210" t="s">
        <v>1478</v>
      </c>
      <c r="B207" s="100">
        <v>46158</v>
      </c>
      <c r="C207" t="s">
        <v>21</v>
      </c>
      <c r="D207" t="s">
        <v>22</v>
      </c>
      <c r="E207" t="s">
        <v>2067</v>
      </c>
      <c r="F207" s="107">
        <v>20000000</v>
      </c>
    </row>
    <row r="208" spans="1:6" hidden="1" x14ac:dyDescent="0.25">
      <c r="A208" s="210" t="s">
        <v>1478</v>
      </c>
      <c r="B208" s="100">
        <v>46158</v>
      </c>
      <c r="C208" t="s">
        <v>21</v>
      </c>
      <c r="D208" t="s">
        <v>22</v>
      </c>
      <c r="E208" t="s">
        <v>2067</v>
      </c>
      <c r="F208" s="107">
        <v>30000000</v>
      </c>
    </row>
    <row r="209" spans="1:6" hidden="1" x14ac:dyDescent="0.25">
      <c r="A209" s="210" t="s">
        <v>1478</v>
      </c>
      <c r="B209" s="100">
        <v>46158</v>
      </c>
      <c r="C209" t="s">
        <v>21</v>
      </c>
      <c r="D209" t="s">
        <v>22</v>
      </c>
      <c r="E209" t="s">
        <v>2067</v>
      </c>
      <c r="F209" s="107">
        <v>50000000</v>
      </c>
    </row>
    <row r="210" spans="1:6" hidden="1" x14ac:dyDescent="0.25">
      <c r="A210" s="210" t="s">
        <v>1527</v>
      </c>
      <c r="B210" s="100">
        <v>46158</v>
      </c>
      <c r="C210" t="s">
        <v>21</v>
      </c>
      <c r="D210" t="s">
        <v>22</v>
      </c>
      <c r="E210" t="s">
        <v>147</v>
      </c>
      <c r="F210" s="107">
        <v>100000000</v>
      </c>
    </row>
    <row r="211" spans="1:6" hidden="1" x14ac:dyDescent="0.25">
      <c r="A211" s="210" t="s">
        <v>1536</v>
      </c>
      <c r="B211" s="100">
        <v>46158</v>
      </c>
      <c r="C211" t="s">
        <v>21</v>
      </c>
      <c r="D211" t="s">
        <v>260</v>
      </c>
      <c r="E211" t="s">
        <v>261</v>
      </c>
      <c r="F211" s="107">
        <v>70000000</v>
      </c>
    </row>
    <row r="212" spans="1:6" hidden="1" x14ac:dyDescent="0.25">
      <c r="A212" s="210" t="s">
        <v>1547</v>
      </c>
      <c r="B212" s="100">
        <v>46158</v>
      </c>
      <c r="C212" t="s">
        <v>21</v>
      </c>
      <c r="D212" t="s">
        <v>22</v>
      </c>
      <c r="E212" t="s">
        <v>147</v>
      </c>
      <c r="F212" s="107">
        <v>100000000</v>
      </c>
    </row>
    <row r="213" spans="1:6" hidden="1" x14ac:dyDescent="0.25">
      <c r="A213" s="210" t="s">
        <v>1558</v>
      </c>
      <c r="B213" s="100">
        <v>46158</v>
      </c>
      <c r="C213" t="s">
        <v>21</v>
      </c>
      <c r="D213" t="s">
        <v>22</v>
      </c>
      <c r="E213" t="s">
        <v>727</v>
      </c>
      <c r="F213" s="107">
        <v>103000000</v>
      </c>
    </row>
    <row r="214" spans="1:6" hidden="1" x14ac:dyDescent="0.25">
      <c r="A214" s="210" t="s">
        <v>1568</v>
      </c>
      <c r="B214" s="100">
        <v>46158</v>
      </c>
      <c r="C214" t="s">
        <v>21</v>
      </c>
      <c r="D214" t="s">
        <v>2157</v>
      </c>
      <c r="F214" s="107">
        <v>50000000</v>
      </c>
    </row>
    <row r="215" spans="1:6" x14ac:dyDescent="0.25">
      <c r="A215" s="210" t="s">
        <v>1580</v>
      </c>
      <c r="B215" s="100">
        <v>46158</v>
      </c>
      <c r="C215" t="s">
        <v>21</v>
      </c>
      <c r="D215" t="s">
        <v>22</v>
      </c>
      <c r="E215" t="s">
        <v>83</v>
      </c>
      <c r="F215" s="107">
        <v>90988508</v>
      </c>
    </row>
    <row r="216" spans="1:6" hidden="1" x14ac:dyDescent="0.25">
      <c r="A216" s="210" t="s">
        <v>1637</v>
      </c>
      <c r="B216" s="100">
        <v>46158</v>
      </c>
      <c r="C216" t="s">
        <v>21</v>
      </c>
      <c r="D216" t="s">
        <v>22</v>
      </c>
      <c r="E216" t="s">
        <v>261</v>
      </c>
      <c r="F216" s="107">
        <v>38389415</v>
      </c>
    </row>
    <row r="217" spans="1:6" hidden="1" x14ac:dyDescent="0.25">
      <c r="A217" s="210" t="s">
        <v>1643</v>
      </c>
      <c r="B217" s="100">
        <v>46158</v>
      </c>
      <c r="C217" t="s">
        <v>21</v>
      </c>
      <c r="D217" t="s">
        <v>22</v>
      </c>
      <c r="E217" t="s">
        <v>261</v>
      </c>
      <c r="F217" s="107">
        <v>50000000</v>
      </c>
    </row>
    <row r="218" spans="1:6" hidden="1" x14ac:dyDescent="0.25">
      <c r="A218" s="210" t="s">
        <v>1596</v>
      </c>
      <c r="B218" s="100">
        <v>46158</v>
      </c>
      <c r="C218" t="s">
        <v>21</v>
      </c>
      <c r="D218" t="s">
        <v>22</v>
      </c>
      <c r="E218" t="s">
        <v>2158</v>
      </c>
      <c r="F218" s="107">
        <v>-1351000</v>
      </c>
    </row>
    <row r="219" spans="1:6" x14ac:dyDescent="0.25">
      <c r="A219" s="210" t="s">
        <v>1607</v>
      </c>
      <c r="B219" s="100">
        <v>46158</v>
      </c>
      <c r="C219" t="s">
        <v>2214</v>
      </c>
      <c r="D219" t="s">
        <v>22</v>
      </c>
      <c r="E219" t="s">
        <v>83</v>
      </c>
      <c r="F219" s="107">
        <v>-67600533</v>
      </c>
    </row>
    <row r="220" spans="1:6" hidden="1" x14ac:dyDescent="0.25">
      <c r="A220" s="210" t="s">
        <v>1621</v>
      </c>
      <c r="B220" s="100">
        <v>46158</v>
      </c>
      <c r="C220" t="s">
        <v>21</v>
      </c>
      <c r="D220" t="s">
        <v>24</v>
      </c>
      <c r="F220" s="107">
        <v>26320000</v>
      </c>
    </row>
    <row r="221" spans="1:6" x14ac:dyDescent="0.25">
      <c r="A221" s="210" t="s">
        <v>2016</v>
      </c>
      <c r="B221" s="100">
        <v>46158</v>
      </c>
      <c r="C221" t="s">
        <v>2214</v>
      </c>
      <c r="D221" t="s">
        <v>22</v>
      </c>
      <c r="E221" t="s">
        <v>83</v>
      </c>
      <c r="F221" s="107">
        <v>-100000000</v>
      </c>
    </row>
    <row r="222" spans="1:6" hidden="1" x14ac:dyDescent="0.25">
      <c r="A222" s="210" t="s">
        <v>1734</v>
      </c>
      <c r="B222" s="100">
        <v>46158</v>
      </c>
      <c r="C222" t="s">
        <v>21</v>
      </c>
      <c r="D222" t="s">
        <v>22</v>
      </c>
      <c r="E222" t="s">
        <v>147</v>
      </c>
      <c r="F222" s="107">
        <v>70000000</v>
      </c>
    </row>
    <row r="223" spans="1:6" x14ac:dyDescent="0.25">
      <c r="A223" s="210" t="s">
        <v>1697</v>
      </c>
      <c r="B223" s="100">
        <v>46158</v>
      </c>
      <c r="C223" t="s">
        <v>2214</v>
      </c>
      <c r="D223" t="s">
        <v>22</v>
      </c>
      <c r="E223" t="s">
        <v>83</v>
      </c>
      <c r="F223" s="107">
        <v>-100000000</v>
      </c>
    </row>
    <row r="224" spans="1:6" hidden="1" x14ac:dyDescent="0.25">
      <c r="A224" s="210" t="s">
        <v>1475</v>
      </c>
      <c r="B224" s="100">
        <v>46157</v>
      </c>
      <c r="C224" t="s">
        <v>21</v>
      </c>
      <c r="D224" t="s">
        <v>22</v>
      </c>
      <c r="E224" t="s">
        <v>47</v>
      </c>
      <c r="F224" s="107">
        <v>16000000</v>
      </c>
    </row>
    <row r="225" spans="1:6" hidden="1" x14ac:dyDescent="0.25">
      <c r="A225" s="210" t="s">
        <v>1475</v>
      </c>
      <c r="B225" s="100">
        <v>46157</v>
      </c>
      <c r="C225" t="s">
        <v>21</v>
      </c>
      <c r="D225" t="s">
        <v>22</v>
      </c>
      <c r="E225" t="s">
        <v>47</v>
      </c>
      <c r="F225" s="107">
        <v>46918000</v>
      </c>
    </row>
    <row r="226" spans="1:6" hidden="1" x14ac:dyDescent="0.25">
      <c r="A226" s="210" t="s">
        <v>1478</v>
      </c>
      <c r="B226" s="100">
        <v>46157</v>
      </c>
      <c r="C226" t="s">
        <v>21</v>
      </c>
      <c r="D226" t="s">
        <v>22</v>
      </c>
      <c r="E226" t="s">
        <v>2067</v>
      </c>
      <c r="F226" s="107">
        <v>3330000</v>
      </c>
    </row>
    <row r="227" spans="1:6" hidden="1" x14ac:dyDescent="0.25">
      <c r="A227" s="210" t="s">
        <v>1478</v>
      </c>
      <c r="B227" s="100">
        <v>46157</v>
      </c>
      <c r="C227" t="s">
        <v>21</v>
      </c>
      <c r="D227" t="s">
        <v>22</v>
      </c>
      <c r="E227" t="s">
        <v>2067</v>
      </c>
      <c r="F227" s="107">
        <v>35000000</v>
      </c>
    </row>
    <row r="228" spans="1:6" hidden="1" x14ac:dyDescent="0.25">
      <c r="A228" s="210" t="s">
        <v>1478</v>
      </c>
      <c r="B228" s="100">
        <v>46157</v>
      </c>
      <c r="C228" t="s">
        <v>21</v>
      </c>
      <c r="D228" t="s">
        <v>22</v>
      </c>
      <c r="E228" t="s">
        <v>2067</v>
      </c>
      <c r="F228" s="107">
        <v>11533000</v>
      </c>
    </row>
    <row r="229" spans="1:6" hidden="1" x14ac:dyDescent="0.25">
      <c r="A229" s="210" t="s">
        <v>1478</v>
      </c>
      <c r="B229" s="100">
        <v>46157</v>
      </c>
      <c r="C229" t="s">
        <v>21</v>
      </c>
      <c r="D229" t="s">
        <v>22</v>
      </c>
      <c r="E229" t="s">
        <v>2067</v>
      </c>
      <c r="F229" s="107">
        <v>3592000</v>
      </c>
    </row>
    <row r="230" spans="1:6" hidden="1" x14ac:dyDescent="0.25">
      <c r="A230" s="210" t="s">
        <v>1485</v>
      </c>
      <c r="B230" s="100">
        <v>46157</v>
      </c>
      <c r="C230" t="s">
        <v>21</v>
      </c>
      <c r="D230" t="s">
        <v>22</v>
      </c>
      <c r="E230" t="s">
        <v>147</v>
      </c>
      <c r="F230" s="107">
        <v>150000000</v>
      </c>
    </row>
    <row r="231" spans="1:6" hidden="1" x14ac:dyDescent="0.25">
      <c r="A231" s="210" t="s">
        <v>1487</v>
      </c>
      <c r="B231" s="100">
        <v>46157</v>
      </c>
      <c r="C231" t="s">
        <v>21</v>
      </c>
      <c r="D231" t="s">
        <v>22</v>
      </c>
      <c r="E231" t="s">
        <v>147</v>
      </c>
      <c r="F231" s="107">
        <v>200000000</v>
      </c>
    </row>
    <row r="232" spans="1:6" hidden="1" x14ac:dyDescent="0.25">
      <c r="A232" s="210" t="s">
        <v>1493</v>
      </c>
      <c r="B232" s="100">
        <v>46157</v>
      </c>
      <c r="C232" t="s">
        <v>21</v>
      </c>
      <c r="D232" t="s">
        <v>22</v>
      </c>
      <c r="E232" t="s">
        <v>2155</v>
      </c>
      <c r="F232" s="107">
        <v>150000000</v>
      </c>
    </row>
    <row r="233" spans="1:6" hidden="1" x14ac:dyDescent="0.25">
      <c r="A233" s="210" t="s">
        <v>1494</v>
      </c>
      <c r="B233" s="100">
        <v>46157</v>
      </c>
      <c r="C233" t="s">
        <v>21</v>
      </c>
      <c r="D233" t="s">
        <v>22</v>
      </c>
      <c r="E233" t="s">
        <v>2155</v>
      </c>
      <c r="F233" s="107">
        <v>50000000</v>
      </c>
    </row>
    <row r="234" spans="1:6" hidden="1" x14ac:dyDescent="0.25">
      <c r="A234" s="210" t="s">
        <v>1499</v>
      </c>
      <c r="B234" s="100">
        <v>46157</v>
      </c>
      <c r="C234" t="s">
        <v>21</v>
      </c>
      <c r="D234" t="s">
        <v>22</v>
      </c>
      <c r="E234" t="s">
        <v>2155</v>
      </c>
      <c r="F234" s="107">
        <v>100000000</v>
      </c>
    </row>
    <row r="235" spans="1:6" hidden="1" x14ac:dyDescent="0.25">
      <c r="A235" s="210" t="s">
        <v>1506</v>
      </c>
      <c r="B235" s="100">
        <v>46157</v>
      </c>
      <c r="C235" t="s">
        <v>21</v>
      </c>
      <c r="D235" t="s">
        <v>22</v>
      </c>
      <c r="E235" t="s">
        <v>2155</v>
      </c>
      <c r="F235" s="107">
        <v>250000000</v>
      </c>
    </row>
    <row r="236" spans="1:6" hidden="1" x14ac:dyDescent="0.25">
      <c r="A236" s="210" t="s">
        <v>1507</v>
      </c>
      <c r="B236" s="100">
        <v>46157</v>
      </c>
      <c r="C236" t="s">
        <v>21</v>
      </c>
      <c r="D236" t="s">
        <v>22</v>
      </c>
      <c r="E236" t="s">
        <v>147</v>
      </c>
      <c r="F236" s="107">
        <v>100000000</v>
      </c>
    </row>
    <row r="237" spans="1:6" hidden="1" x14ac:dyDescent="0.25">
      <c r="A237" s="210" t="s">
        <v>1512</v>
      </c>
      <c r="B237" s="100">
        <v>46157</v>
      </c>
      <c r="C237" t="s">
        <v>21</v>
      </c>
      <c r="D237" t="s">
        <v>22</v>
      </c>
      <c r="E237" t="s">
        <v>2155</v>
      </c>
      <c r="F237" s="107">
        <v>100000000</v>
      </c>
    </row>
    <row r="238" spans="1:6" hidden="1" x14ac:dyDescent="0.25">
      <c r="A238" s="210" t="s">
        <v>1526</v>
      </c>
      <c r="B238" s="100">
        <v>46157</v>
      </c>
      <c r="C238" t="s">
        <v>21</v>
      </c>
      <c r="D238" t="s">
        <v>22</v>
      </c>
      <c r="E238" t="s">
        <v>2155</v>
      </c>
      <c r="F238" s="107">
        <v>200000000</v>
      </c>
    </row>
    <row r="239" spans="1:6" hidden="1" x14ac:dyDescent="0.25">
      <c r="A239" s="210" t="s">
        <v>1538</v>
      </c>
      <c r="B239" s="100">
        <v>46157</v>
      </c>
      <c r="C239" t="s">
        <v>21</v>
      </c>
      <c r="D239" t="s">
        <v>22</v>
      </c>
      <c r="E239" t="s">
        <v>2155</v>
      </c>
      <c r="F239" s="107">
        <v>185770000</v>
      </c>
    </row>
    <row r="240" spans="1:6" x14ac:dyDescent="0.25">
      <c r="A240" s="210" t="s">
        <v>1538</v>
      </c>
      <c r="B240" s="100">
        <v>46157</v>
      </c>
      <c r="C240" t="s">
        <v>21</v>
      </c>
      <c r="D240" t="s">
        <v>22</v>
      </c>
      <c r="E240" t="s">
        <v>83</v>
      </c>
      <c r="F240" s="107">
        <v>87122000</v>
      </c>
    </row>
    <row r="241" spans="1:6" hidden="1" x14ac:dyDescent="0.25">
      <c r="A241" s="210" t="s">
        <v>1539</v>
      </c>
      <c r="B241" s="100">
        <v>46157</v>
      </c>
      <c r="C241" t="s">
        <v>21</v>
      </c>
      <c r="D241" t="s">
        <v>22</v>
      </c>
      <c r="E241" t="s">
        <v>2155</v>
      </c>
      <c r="F241" s="107">
        <v>30000000</v>
      </c>
    </row>
    <row r="242" spans="1:6" hidden="1" x14ac:dyDescent="0.25">
      <c r="A242" s="210" t="s">
        <v>1545</v>
      </c>
      <c r="B242" s="100">
        <v>46157</v>
      </c>
      <c r="C242" t="s">
        <v>21</v>
      </c>
      <c r="D242" t="s">
        <v>22</v>
      </c>
      <c r="E242" t="s">
        <v>147</v>
      </c>
      <c r="F242" s="107">
        <v>167574534</v>
      </c>
    </row>
    <row r="243" spans="1:6" hidden="1" x14ac:dyDescent="0.25">
      <c r="A243" s="210" t="s">
        <v>1548</v>
      </c>
      <c r="B243" s="100">
        <v>46157</v>
      </c>
      <c r="C243" t="s">
        <v>21</v>
      </c>
      <c r="D243" t="s">
        <v>22</v>
      </c>
      <c r="E243" t="s">
        <v>147</v>
      </c>
      <c r="F243" s="107">
        <v>70000000</v>
      </c>
    </row>
    <row r="244" spans="1:6" hidden="1" x14ac:dyDescent="0.25">
      <c r="A244" s="210" t="s">
        <v>1555</v>
      </c>
      <c r="B244" s="100">
        <v>46157</v>
      </c>
      <c r="C244" t="s">
        <v>21</v>
      </c>
      <c r="D244" t="s">
        <v>24</v>
      </c>
      <c r="F244" s="107">
        <v>13464000</v>
      </c>
    </row>
    <row r="245" spans="1:6" hidden="1" x14ac:dyDescent="0.25">
      <c r="A245" s="210" t="s">
        <v>1562</v>
      </c>
      <c r="B245" s="100">
        <v>46157</v>
      </c>
      <c r="C245" t="s">
        <v>21</v>
      </c>
      <c r="D245" t="s">
        <v>22</v>
      </c>
      <c r="E245" t="s">
        <v>147</v>
      </c>
      <c r="F245" s="107">
        <v>100000000</v>
      </c>
    </row>
    <row r="246" spans="1:6" hidden="1" x14ac:dyDescent="0.25">
      <c r="A246" s="210" t="s">
        <v>1567</v>
      </c>
      <c r="B246" s="100">
        <v>46157</v>
      </c>
      <c r="C246" t="s">
        <v>21</v>
      </c>
      <c r="D246" t="s">
        <v>24</v>
      </c>
      <c r="F246" s="107">
        <v>78350000</v>
      </c>
    </row>
    <row r="247" spans="1:6" hidden="1" x14ac:dyDescent="0.25">
      <c r="A247" s="210" t="s">
        <v>1568</v>
      </c>
      <c r="B247" s="100">
        <v>46157</v>
      </c>
      <c r="C247" t="s">
        <v>21</v>
      </c>
      <c r="D247" t="s">
        <v>22</v>
      </c>
      <c r="E247" t="s">
        <v>2158</v>
      </c>
      <c r="F247" s="107">
        <v>100000000</v>
      </c>
    </row>
    <row r="248" spans="1:6" hidden="1" x14ac:dyDescent="0.25">
      <c r="A248" s="210" t="s">
        <v>1575</v>
      </c>
      <c r="B248" s="100">
        <v>46157</v>
      </c>
      <c r="C248" t="s">
        <v>21</v>
      </c>
      <c r="D248" t="s">
        <v>22</v>
      </c>
      <c r="E248" t="s">
        <v>2155</v>
      </c>
      <c r="F248" s="107">
        <v>100000000</v>
      </c>
    </row>
    <row r="249" spans="1:6" hidden="1" x14ac:dyDescent="0.25">
      <c r="A249" s="210" t="s">
        <v>1577</v>
      </c>
      <c r="B249" s="100">
        <v>46157</v>
      </c>
      <c r="C249" t="s">
        <v>21</v>
      </c>
      <c r="D249" t="s">
        <v>22</v>
      </c>
      <c r="E249" t="s">
        <v>147</v>
      </c>
      <c r="F249" s="107">
        <v>200000000</v>
      </c>
    </row>
    <row r="250" spans="1:6" x14ac:dyDescent="0.25">
      <c r="A250" s="210" t="s">
        <v>1579</v>
      </c>
      <c r="B250" s="100">
        <v>46157</v>
      </c>
      <c r="C250" t="s">
        <v>21</v>
      </c>
      <c r="D250" t="s">
        <v>22</v>
      </c>
      <c r="E250" t="s">
        <v>83</v>
      </c>
      <c r="F250" s="107">
        <v>400000000</v>
      </c>
    </row>
    <row r="251" spans="1:6" hidden="1" x14ac:dyDescent="0.25">
      <c r="A251" s="210" t="s">
        <v>1596</v>
      </c>
      <c r="B251" s="100">
        <v>46157</v>
      </c>
      <c r="C251" t="s">
        <v>2214</v>
      </c>
      <c r="D251" t="s">
        <v>22</v>
      </c>
      <c r="E251" t="s">
        <v>2158</v>
      </c>
      <c r="F251" s="107">
        <v>-19000000</v>
      </c>
    </row>
    <row r="252" spans="1:6" hidden="1" x14ac:dyDescent="0.25">
      <c r="A252" s="210" t="s">
        <v>1600</v>
      </c>
      <c r="B252" s="100">
        <v>46157</v>
      </c>
      <c r="C252" t="s">
        <v>21</v>
      </c>
      <c r="D252" t="s">
        <v>22</v>
      </c>
      <c r="E252" t="s">
        <v>147</v>
      </c>
      <c r="F252" s="107">
        <v>80000000</v>
      </c>
    </row>
    <row r="253" spans="1:6" hidden="1" x14ac:dyDescent="0.25">
      <c r="A253" s="210" t="s">
        <v>1606</v>
      </c>
      <c r="B253" s="100">
        <v>46157</v>
      </c>
      <c r="C253" t="s">
        <v>21</v>
      </c>
      <c r="D253" t="s">
        <v>22</v>
      </c>
      <c r="E253" t="s">
        <v>147</v>
      </c>
      <c r="F253" s="107">
        <v>70000000</v>
      </c>
    </row>
    <row r="254" spans="1:6" x14ac:dyDescent="0.25">
      <c r="A254" s="210" t="s">
        <v>1620</v>
      </c>
      <c r="B254" s="100">
        <v>46157</v>
      </c>
      <c r="C254" t="s">
        <v>21</v>
      </c>
      <c r="D254" t="s">
        <v>22</v>
      </c>
      <c r="E254" t="s">
        <v>83</v>
      </c>
      <c r="F254" s="107">
        <v>21665635</v>
      </c>
    </row>
    <row r="255" spans="1:6" hidden="1" x14ac:dyDescent="0.25">
      <c r="A255" s="210" t="s">
        <v>1623</v>
      </c>
      <c r="B255" s="100">
        <v>46157</v>
      </c>
      <c r="C255" t="s">
        <v>21</v>
      </c>
      <c r="D255" t="s">
        <v>22</v>
      </c>
      <c r="E255" t="s">
        <v>147</v>
      </c>
      <c r="F255" s="107">
        <v>200000000</v>
      </c>
    </row>
    <row r="256" spans="1:6" hidden="1" x14ac:dyDescent="0.25">
      <c r="A256" s="210" t="s">
        <v>1626</v>
      </c>
      <c r="B256" s="100">
        <v>46157</v>
      </c>
      <c r="C256" t="s">
        <v>21</v>
      </c>
      <c r="D256" t="s">
        <v>22</v>
      </c>
      <c r="E256" t="s">
        <v>147</v>
      </c>
      <c r="F256" s="107">
        <v>15561000</v>
      </c>
    </row>
    <row r="257" spans="1:6" hidden="1" x14ac:dyDescent="0.25">
      <c r="A257" s="210" t="s">
        <v>1641</v>
      </c>
      <c r="B257" s="100">
        <v>46157</v>
      </c>
      <c r="C257" t="s">
        <v>21</v>
      </c>
      <c r="D257" t="s">
        <v>22</v>
      </c>
      <c r="E257" t="s">
        <v>147</v>
      </c>
      <c r="F257" s="107">
        <v>150000000</v>
      </c>
    </row>
    <row r="258" spans="1:6" hidden="1" x14ac:dyDescent="0.25">
      <c r="A258" s="210" t="s">
        <v>1646</v>
      </c>
      <c r="B258" s="100">
        <v>46157</v>
      </c>
      <c r="C258" t="s">
        <v>21</v>
      </c>
      <c r="D258" t="s">
        <v>22</v>
      </c>
      <c r="E258" t="s">
        <v>147</v>
      </c>
      <c r="F258" s="107">
        <v>30000000</v>
      </c>
    </row>
    <row r="259" spans="1:6" hidden="1" x14ac:dyDescent="0.25">
      <c r="A259" s="210" t="s">
        <v>1650</v>
      </c>
      <c r="B259" s="100">
        <v>46157</v>
      </c>
      <c r="C259" t="s">
        <v>21</v>
      </c>
      <c r="D259" t="s">
        <v>22</v>
      </c>
      <c r="E259" t="s">
        <v>2155</v>
      </c>
      <c r="F259" s="107">
        <v>80000000</v>
      </c>
    </row>
    <row r="260" spans="1:6" hidden="1" x14ac:dyDescent="0.25">
      <c r="A260" s="210" t="s">
        <v>1653</v>
      </c>
      <c r="B260" s="100">
        <v>46157</v>
      </c>
      <c r="C260" t="s">
        <v>21</v>
      </c>
      <c r="D260" t="s">
        <v>22</v>
      </c>
      <c r="E260" t="s">
        <v>147</v>
      </c>
      <c r="F260" s="107">
        <v>43825320</v>
      </c>
    </row>
    <row r="261" spans="1:6" hidden="1" x14ac:dyDescent="0.25">
      <c r="A261" s="210" t="s">
        <v>1668</v>
      </c>
      <c r="B261" s="100">
        <v>46157</v>
      </c>
      <c r="C261" t="s">
        <v>21</v>
      </c>
      <c r="D261" t="s">
        <v>22</v>
      </c>
      <c r="E261" t="s">
        <v>147</v>
      </c>
      <c r="F261" s="107">
        <v>30000000</v>
      </c>
    </row>
    <row r="262" spans="1:6" hidden="1" x14ac:dyDescent="0.25">
      <c r="A262" s="210" t="s">
        <v>1676</v>
      </c>
      <c r="B262" s="100">
        <v>46157</v>
      </c>
      <c r="C262" t="s">
        <v>21</v>
      </c>
      <c r="D262" t="s">
        <v>22</v>
      </c>
      <c r="E262" t="s">
        <v>2155</v>
      </c>
      <c r="F262" s="107">
        <v>100000000</v>
      </c>
    </row>
    <row r="263" spans="1:6" hidden="1" x14ac:dyDescent="0.25">
      <c r="A263" s="210" t="s">
        <v>1689</v>
      </c>
      <c r="B263" s="100">
        <v>46157</v>
      </c>
      <c r="C263" t="s">
        <v>21</v>
      </c>
      <c r="D263" t="s">
        <v>22</v>
      </c>
      <c r="E263" t="s">
        <v>2155</v>
      </c>
      <c r="F263" s="107">
        <v>100000000</v>
      </c>
    </row>
    <row r="264" spans="1:6" x14ac:dyDescent="0.25">
      <c r="A264" s="210" t="s">
        <v>1708</v>
      </c>
      <c r="B264" s="100">
        <v>46157</v>
      </c>
      <c r="C264" t="s">
        <v>21</v>
      </c>
      <c r="D264" t="s">
        <v>22</v>
      </c>
      <c r="E264" t="s">
        <v>83</v>
      </c>
      <c r="F264" s="107">
        <v>183225461</v>
      </c>
    </row>
    <row r="265" spans="1:6" hidden="1" x14ac:dyDescent="0.25">
      <c r="A265" s="210" t="s">
        <v>1834</v>
      </c>
      <c r="B265" s="100">
        <v>46157</v>
      </c>
      <c r="C265" t="s">
        <v>21</v>
      </c>
      <c r="D265" t="s">
        <v>22</v>
      </c>
      <c r="E265" t="s">
        <v>2155</v>
      </c>
      <c r="F265" s="107">
        <v>39528500</v>
      </c>
    </row>
    <row r="266" spans="1:6" hidden="1" x14ac:dyDescent="0.25">
      <c r="A266" s="210" t="s">
        <v>2107</v>
      </c>
      <c r="B266" s="100">
        <v>46157</v>
      </c>
      <c r="C266" t="s">
        <v>21</v>
      </c>
      <c r="D266" t="s">
        <v>24</v>
      </c>
      <c r="F266" s="107">
        <v>70000000</v>
      </c>
    </row>
    <row r="267" spans="1:6" hidden="1" x14ac:dyDescent="0.25">
      <c r="A267" s="210" t="s">
        <v>2113</v>
      </c>
      <c r="B267" s="100">
        <v>46157</v>
      </c>
      <c r="C267" t="s">
        <v>21</v>
      </c>
      <c r="D267" t="s">
        <v>22</v>
      </c>
      <c r="E267" t="s">
        <v>2155</v>
      </c>
      <c r="F267" s="107">
        <v>177583000</v>
      </c>
    </row>
    <row r="268" spans="1:6" hidden="1" x14ac:dyDescent="0.25">
      <c r="A268" s="210" t="s">
        <v>2138</v>
      </c>
      <c r="B268" s="100">
        <v>46157</v>
      </c>
      <c r="C268" t="s">
        <v>654</v>
      </c>
      <c r="D268" t="s">
        <v>22</v>
      </c>
      <c r="E268" t="s">
        <v>2134</v>
      </c>
      <c r="F268" s="107">
        <v>-1646494933</v>
      </c>
    </row>
    <row r="269" spans="1:6" hidden="1" x14ac:dyDescent="0.25">
      <c r="A269" s="210" t="s">
        <v>1475</v>
      </c>
      <c r="B269" s="100">
        <v>46156</v>
      </c>
      <c r="C269" t="s">
        <v>21</v>
      </c>
      <c r="D269" t="s">
        <v>22</v>
      </c>
      <c r="E269" t="s">
        <v>47</v>
      </c>
      <c r="F269" s="107">
        <v>14755000</v>
      </c>
    </row>
    <row r="270" spans="1:6" hidden="1" x14ac:dyDescent="0.25">
      <c r="A270" s="210" t="s">
        <v>1475</v>
      </c>
      <c r="B270" s="100">
        <v>46156</v>
      </c>
      <c r="C270" t="s">
        <v>21</v>
      </c>
      <c r="D270" t="s">
        <v>22</v>
      </c>
      <c r="E270" t="s">
        <v>47</v>
      </c>
      <c r="F270" s="107">
        <v>19200000</v>
      </c>
    </row>
    <row r="271" spans="1:6" hidden="1" x14ac:dyDescent="0.25">
      <c r="A271" s="210" t="s">
        <v>1478</v>
      </c>
      <c r="B271" s="100">
        <v>46156</v>
      </c>
      <c r="C271" t="s">
        <v>21</v>
      </c>
      <c r="D271" t="s">
        <v>22</v>
      </c>
      <c r="E271" t="s">
        <v>2067</v>
      </c>
      <c r="F271" s="107">
        <v>104106000</v>
      </c>
    </row>
    <row r="272" spans="1:6" hidden="1" x14ac:dyDescent="0.25">
      <c r="A272" s="210" t="s">
        <v>1479</v>
      </c>
      <c r="B272" s="100">
        <v>46156</v>
      </c>
      <c r="C272" t="s">
        <v>21</v>
      </c>
      <c r="D272" t="s">
        <v>22</v>
      </c>
      <c r="E272" t="s">
        <v>147</v>
      </c>
      <c r="F272" s="107">
        <v>300000000</v>
      </c>
    </row>
    <row r="273" spans="1:6" hidden="1" x14ac:dyDescent="0.25">
      <c r="A273" s="210" t="s">
        <v>1491</v>
      </c>
      <c r="B273" s="100">
        <v>46156</v>
      </c>
      <c r="C273" t="s">
        <v>21</v>
      </c>
      <c r="D273" t="s">
        <v>22</v>
      </c>
      <c r="E273" t="s">
        <v>261</v>
      </c>
      <c r="F273" s="107">
        <v>200000000</v>
      </c>
    </row>
    <row r="274" spans="1:6" hidden="1" x14ac:dyDescent="0.25">
      <c r="A274" s="210" t="s">
        <v>1496</v>
      </c>
      <c r="B274" s="100">
        <v>46156</v>
      </c>
      <c r="C274" t="s">
        <v>21</v>
      </c>
      <c r="D274" t="s">
        <v>22</v>
      </c>
      <c r="E274" t="s">
        <v>147</v>
      </c>
      <c r="F274" s="107">
        <v>100000000</v>
      </c>
    </row>
    <row r="275" spans="1:6" hidden="1" x14ac:dyDescent="0.25">
      <c r="A275" s="210" t="s">
        <v>1525</v>
      </c>
      <c r="B275" s="100">
        <v>46156</v>
      </c>
      <c r="C275" t="s">
        <v>21</v>
      </c>
      <c r="D275" t="s">
        <v>22</v>
      </c>
      <c r="E275" t="s">
        <v>261</v>
      </c>
      <c r="F275" s="107">
        <v>160000000</v>
      </c>
    </row>
    <row r="276" spans="1:6" hidden="1" x14ac:dyDescent="0.25">
      <c r="A276" s="210" t="s">
        <v>1541</v>
      </c>
      <c r="B276" s="100">
        <v>46156</v>
      </c>
      <c r="C276" t="s">
        <v>21</v>
      </c>
      <c r="D276" t="s">
        <v>22</v>
      </c>
      <c r="E276" t="s">
        <v>147</v>
      </c>
      <c r="F276" s="107">
        <v>150000000</v>
      </c>
    </row>
    <row r="277" spans="1:6" hidden="1" x14ac:dyDescent="0.25">
      <c r="A277" s="210" t="s">
        <v>1564</v>
      </c>
      <c r="B277" s="100">
        <v>46156</v>
      </c>
      <c r="C277" t="s">
        <v>21</v>
      </c>
      <c r="D277" t="s">
        <v>22</v>
      </c>
      <c r="E277" t="s">
        <v>147</v>
      </c>
      <c r="F277" s="107">
        <v>40000000</v>
      </c>
    </row>
    <row r="278" spans="1:6" hidden="1" x14ac:dyDescent="0.25">
      <c r="A278" s="210" t="s">
        <v>1648</v>
      </c>
      <c r="B278" s="100">
        <v>46156</v>
      </c>
      <c r="C278" t="s">
        <v>21</v>
      </c>
      <c r="D278" t="s">
        <v>22</v>
      </c>
      <c r="E278" t="s">
        <v>147</v>
      </c>
      <c r="F278" s="107">
        <v>42619500</v>
      </c>
    </row>
    <row r="279" spans="1:6" hidden="1" x14ac:dyDescent="0.25">
      <c r="A279" s="210" t="s">
        <v>2107</v>
      </c>
      <c r="B279" s="100">
        <v>46156</v>
      </c>
      <c r="C279" t="s">
        <v>21</v>
      </c>
      <c r="D279" t="s">
        <v>22</v>
      </c>
      <c r="E279" t="s">
        <v>727</v>
      </c>
      <c r="F279" s="107">
        <v>262000000</v>
      </c>
    </row>
    <row r="280" spans="1:6" hidden="1" x14ac:dyDescent="0.25">
      <c r="A280" s="210" t="s">
        <v>2154</v>
      </c>
      <c r="B280" s="100">
        <v>46156</v>
      </c>
      <c r="C280" t="s">
        <v>21</v>
      </c>
      <c r="D280" t="s">
        <v>22</v>
      </c>
      <c r="E280" t="s">
        <v>261</v>
      </c>
      <c r="F280" s="107">
        <v>61779485</v>
      </c>
    </row>
    <row r="281" spans="1:6" hidden="1" x14ac:dyDescent="0.25">
      <c r="A281" s="210" t="s">
        <v>1475</v>
      </c>
      <c r="B281" s="100">
        <v>46155</v>
      </c>
      <c r="C281" t="s">
        <v>21</v>
      </c>
      <c r="D281" t="s">
        <v>22</v>
      </c>
      <c r="E281" t="s">
        <v>47</v>
      </c>
      <c r="F281" s="107">
        <v>70000000</v>
      </c>
    </row>
    <row r="282" spans="1:6" hidden="1" x14ac:dyDescent="0.25">
      <c r="A282" s="210" t="s">
        <v>1475</v>
      </c>
      <c r="B282" s="100">
        <v>46155</v>
      </c>
      <c r="C282" t="s">
        <v>21</v>
      </c>
      <c r="D282" t="s">
        <v>22</v>
      </c>
      <c r="E282" t="s">
        <v>47</v>
      </c>
      <c r="F282" s="107">
        <v>4000000</v>
      </c>
    </row>
    <row r="283" spans="1:6" hidden="1" x14ac:dyDescent="0.25">
      <c r="A283" s="210" t="s">
        <v>1518</v>
      </c>
      <c r="B283" s="100">
        <v>46155</v>
      </c>
      <c r="C283" t="s">
        <v>21</v>
      </c>
      <c r="D283" t="s">
        <v>260</v>
      </c>
      <c r="E283" t="s">
        <v>261</v>
      </c>
      <c r="F283" s="107">
        <v>50000000</v>
      </c>
    </row>
    <row r="284" spans="1:6" hidden="1" x14ac:dyDescent="0.25">
      <c r="A284" s="210" t="s">
        <v>1531</v>
      </c>
      <c r="B284" s="100">
        <v>46155</v>
      </c>
      <c r="C284" t="s">
        <v>21</v>
      </c>
      <c r="D284" t="s">
        <v>24</v>
      </c>
      <c r="F284" s="107">
        <v>515000000</v>
      </c>
    </row>
    <row r="285" spans="1:6" hidden="1" x14ac:dyDescent="0.25">
      <c r="A285" s="210" t="s">
        <v>1541</v>
      </c>
      <c r="B285" s="100">
        <v>46155</v>
      </c>
      <c r="C285" t="s">
        <v>21</v>
      </c>
      <c r="D285" t="s">
        <v>24</v>
      </c>
      <c r="F285" s="107">
        <v>100000000</v>
      </c>
    </row>
    <row r="286" spans="1:6" hidden="1" x14ac:dyDescent="0.25">
      <c r="A286" s="210" t="s">
        <v>1554</v>
      </c>
      <c r="B286" s="100">
        <v>46155</v>
      </c>
      <c r="C286" t="s">
        <v>21</v>
      </c>
      <c r="D286" t="s">
        <v>22</v>
      </c>
      <c r="E286" t="s">
        <v>2067</v>
      </c>
      <c r="F286" s="107">
        <v>60000000</v>
      </c>
    </row>
    <row r="287" spans="1:6" hidden="1" x14ac:dyDescent="0.25">
      <c r="A287" s="210" t="s">
        <v>1595</v>
      </c>
      <c r="B287" s="100">
        <v>46155</v>
      </c>
      <c r="C287" t="s">
        <v>21</v>
      </c>
      <c r="D287" t="s">
        <v>22</v>
      </c>
      <c r="E287" t="s">
        <v>726</v>
      </c>
      <c r="F287" s="107">
        <v>32530000</v>
      </c>
    </row>
    <row r="288" spans="1:6" hidden="1" x14ac:dyDescent="0.25">
      <c r="A288" s="210" t="s">
        <v>2547</v>
      </c>
      <c r="B288" s="100">
        <v>46155</v>
      </c>
      <c r="C288" t="s">
        <v>21</v>
      </c>
      <c r="D288" t="s">
        <v>22</v>
      </c>
      <c r="E288" t="s">
        <v>147</v>
      </c>
      <c r="F288" s="107">
        <v>65000000</v>
      </c>
    </row>
    <row r="289" spans="1:6" hidden="1" x14ac:dyDescent="0.25">
      <c r="A289" s="210" t="s">
        <v>1609</v>
      </c>
      <c r="B289" s="100">
        <v>46155</v>
      </c>
      <c r="C289" t="s">
        <v>21</v>
      </c>
      <c r="D289" t="s">
        <v>22</v>
      </c>
      <c r="E289" t="s">
        <v>2067</v>
      </c>
      <c r="F289" s="107">
        <v>10150000</v>
      </c>
    </row>
    <row r="290" spans="1:6" hidden="1" x14ac:dyDescent="0.25">
      <c r="A290" s="210" t="s">
        <v>1656</v>
      </c>
      <c r="B290" s="100">
        <v>46155</v>
      </c>
      <c r="C290" t="s">
        <v>21</v>
      </c>
      <c r="D290" t="s">
        <v>22</v>
      </c>
      <c r="E290" t="s">
        <v>47</v>
      </c>
      <c r="F290" s="107">
        <v>75920000</v>
      </c>
    </row>
    <row r="291" spans="1:6" x14ac:dyDescent="0.25">
      <c r="A291" s="210" t="s">
        <v>1672</v>
      </c>
      <c r="B291" s="100">
        <v>46155</v>
      </c>
      <c r="C291" t="s">
        <v>21</v>
      </c>
      <c r="D291" t="s">
        <v>22</v>
      </c>
      <c r="E291" t="s">
        <v>83</v>
      </c>
      <c r="F291" s="107">
        <v>70000000</v>
      </c>
    </row>
    <row r="292" spans="1:6" hidden="1" x14ac:dyDescent="0.25">
      <c r="A292" s="210" t="s">
        <v>1692</v>
      </c>
      <c r="B292" s="100">
        <v>46155</v>
      </c>
      <c r="C292" t="s">
        <v>21</v>
      </c>
      <c r="D292" t="s">
        <v>260</v>
      </c>
      <c r="E292" t="s">
        <v>261</v>
      </c>
      <c r="F292" s="107">
        <v>100000000</v>
      </c>
    </row>
    <row r="293" spans="1:6" hidden="1" x14ac:dyDescent="0.25">
      <c r="A293" s="210" t="s">
        <v>1476</v>
      </c>
      <c r="B293" s="100">
        <v>46154</v>
      </c>
      <c r="C293" t="s">
        <v>21</v>
      </c>
      <c r="D293" t="s">
        <v>22</v>
      </c>
      <c r="E293" t="s">
        <v>147</v>
      </c>
      <c r="F293" s="107">
        <v>26169215</v>
      </c>
    </row>
    <row r="294" spans="1:6" hidden="1" x14ac:dyDescent="0.25">
      <c r="A294" s="210" t="s">
        <v>1478</v>
      </c>
      <c r="B294" s="100">
        <v>46154</v>
      </c>
      <c r="C294" t="s">
        <v>21</v>
      </c>
      <c r="D294" t="s">
        <v>22</v>
      </c>
      <c r="E294" t="s">
        <v>2067</v>
      </c>
      <c r="F294" s="107">
        <v>1520000</v>
      </c>
    </row>
    <row r="295" spans="1:6" hidden="1" x14ac:dyDescent="0.25">
      <c r="A295" s="210" t="s">
        <v>1552</v>
      </c>
      <c r="B295" s="100">
        <v>46154</v>
      </c>
      <c r="C295" t="s">
        <v>21</v>
      </c>
      <c r="D295" t="s">
        <v>22</v>
      </c>
      <c r="E295" t="s">
        <v>261</v>
      </c>
      <c r="F295" s="107">
        <v>174117180</v>
      </c>
    </row>
    <row r="296" spans="1:6" hidden="1" x14ac:dyDescent="0.25">
      <c r="A296" s="210" t="s">
        <v>1554</v>
      </c>
      <c r="B296" s="100">
        <v>46154</v>
      </c>
      <c r="C296" t="s">
        <v>21</v>
      </c>
      <c r="D296" t="s">
        <v>22</v>
      </c>
      <c r="E296" t="s">
        <v>2067</v>
      </c>
      <c r="F296" s="107">
        <v>170000000</v>
      </c>
    </row>
    <row r="297" spans="1:6" hidden="1" x14ac:dyDescent="0.25">
      <c r="A297" s="210" t="s">
        <v>1556</v>
      </c>
      <c r="B297" s="100">
        <v>46154</v>
      </c>
      <c r="C297" t="s">
        <v>21</v>
      </c>
      <c r="D297" t="s">
        <v>22</v>
      </c>
      <c r="E297" t="s">
        <v>147</v>
      </c>
      <c r="F297" s="107">
        <v>239500351</v>
      </c>
    </row>
    <row r="298" spans="1:6" hidden="1" x14ac:dyDescent="0.25">
      <c r="A298" s="210" t="s">
        <v>1593</v>
      </c>
      <c r="B298" s="100">
        <v>46154</v>
      </c>
      <c r="C298" t="s">
        <v>21</v>
      </c>
      <c r="D298" t="s">
        <v>22</v>
      </c>
      <c r="E298" t="s">
        <v>261</v>
      </c>
      <c r="F298" s="107">
        <v>38000000</v>
      </c>
    </row>
    <row r="299" spans="1:6" hidden="1" x14ac:dyDescent="0.25">
      <c r="A299" s="210" t="s">
        <v>1607</v>
      </c>
      <c r="B299" s="100">
        <v>46154</v>
      </c>
      <c r="C299" t="s">
        <v>654</v>
      </c>
      <c r="D299" t="s">
        <v>22</v>
      </c>
      <c r="E299" t="s">
        <v>2134</v>
      </c>
      <c r="F299" s="107">
        <v>-877026158</v>
      </c>
    </row>
    <row r="300" spans="1:6" hidden="1" x14ac:dyDescent="0.25">
      <c r="A300" s="210" t="s">
        <v>1633</v>
      </c>
      <c r="B300" s="100">
        <v>46154</v>
      </c>
      <c r="C300" t="s">
        <v>21</v>
      </c>
      <c r="D300" t="s">
        <v>22</v>
      </c>
      <c r="E300" t="s">
        <v>261</v>
      </c>
      <c r="F300" s="107">
        <v>170000000</v>
      </c>
    </row>
    <row r="301" spans="1:6" hidden="1" x14ac:dyDescent="0.25">
      <c r="A301" s="210" t="s">
        <v>1688</v>
      </c>
      <c r="B301" s="100">
        <v>46154</v>
      </c>
      <c r="C301" t="s">
        <v>21</v>
      </c>
      <c r="D301" t="s">
        <v>22</v>
      </c>
      <c r="E301" t="s">
        <v>261</v>
      </c>
      <c r="F301" s="107">
        <v>122263033</v>
      </c>
    </row>
    <row r="302" spans="1:6" hidden="1" x14ac:dyDescent="0.25">
      <c r="A302" s="210" t="s">
        <v>1706</v>
      </c>
      <c r="B302" s="100">
        <v>46154</v>
      </c>
      <c r="C302" t="s">
        <v>2214</v>
      </c>
      <c r="D302" t="s">
        <v>22</v>
      </c>
      <c r="E302" t="s">
        <v>2134</v>
      </c>
      <c r="F302" s="107">
        <v>-797259486</v>
      </c>
    </row>
    <row r="303" spans="1:6" hidden="1" x14ac:dyDescent="0.25">
      <c r="A303" s="210" t="s">
        <v>2162</v>
      </c>
      <c r="B303" s="100">
        <v>46154</v>
      </c>
      <c r="C303" t="s">
        <v>21</v>
      </c>
      <c r="D303" t="s">
        <v>22</v>
      </c>
      <c r="E303" t="s">
        <v>47</v>
      </c>
      <c r="F303" s="107">
        <v>98710000</v>
      </c>
    </row>
    <row r="304" spans="1:6" hidden="1" x14ac:dyDescent="0.25">
      <c r="A304" s="210" t="s">
        <v>2093</v>
      </c>
      <c r="B304" s="100">
        <v>46154</v>
      </c>
      <c r="C304" t="s">
        <v>21</v>
      </c>
      <c r="D304" t="s">
        <v>22</v>
      </c>
      <c r="E304" t="s">
        <v>47</v>
      </c>
      <c r="F304" s="107">
        <v>138462000</v>
      </c>
    </row>
    <row r="305" spans="1:6" hidden="1" x14ac:dyDescent="0.25">
      <c r="A305" s="210" t="s">
        <v>1475</v>
      </c>
      <c r="B305" s="100">
        <v>46153</v>
      </c>
      <c r="C305" t="s">
        <v>21</v>
      </c>
      <c r="D305" t="s">
        <v>22</v>
      </c>
      <c r="E305" t="s">
        <v>47</v>
      </c>
      <c r="F305" s="107">
        <v>15565555</v>
      </c>
    </row>
    <row r="306" spans="1:6" hidden="1" x14ac:dyDescent="0.25">
      <c r="A306" s="210" t="s">
        <v>1488</v>
      </c>
      <c r="B306" s="100">
        <v>46153</v>
      </c>
      <c r="C306" t="s">
        <v>21</v>
      </c>
      <c r="D306" t="s">
        <v>22</v>
      </c>
      <c r="E306" t="s">
        <v>147</v>
      </c>
      <c r="F306" s="107">
        <v>100000000</v>
      </c>
    </row>
    <row r="307" spans="1:6" hidden="1" x14ac:dyDescent="0.25">
      <c r="A307" s="210" t="s">
        <v>1554</v>
      </c>
      <c r="B307" s="100">
        <v>46153</v>
      </c>
      <c r="C307" t="s">
        <v>21</v>
      </c>
      <c r="D307" t="s">
        <v>22</v>
      </c>
      <c r="E307" t="s">
        <v>2067</v>
      </c>
      <c r="F307" s="107">
        <v>40000000</v>
      </c>
    </row>
    <row r="308" spans="1:6" hidden="1" x14ac:dyDescent="0.25">
      <c r="A308" s="210" t="s">
        <v>1554</v>
      </c>
      <c r="B308" s="100">
        <v>46153</v>
      </c>
      <c r="C308" t="s">
        <v>21</v>
      </c>
      <c r="D308" t="s">
        <v>22</v>
      </c>
      <c r="E308" t="s">
        <v>726</v>
      </c>
      <c r="F308" s="107">
        <v>89132000</v>
      </c>
    </row>
    <row r="309" spans="1:6" hidden="1" x14ac:dyDescent="0.25">
      <c r="A309" s="210" t="s">
        <v>1555</v>
      </c>
      <c r="B309" s="100">
        <v>46153</v>
      </c>
      <c r="C309" t="s">
        <v>21</v>
      </c>
      <c r="D309" t="s">
        <v>22</v>
      </c>
      <c r="E309" t="s">
        <v>2158</v>
      </c>
      <c r="F309" s="107">
        <v>2460000</v>
      </c>
    </row>
    <row r="310" spans="1:6" hidden="1" x14ac:dyDescent="0.25">
      <c r="A310" s="210" t="s">
        <v>1562</v>
      </c>
      <c r="B310" s="100">
        <v>46153</v>
      </c>
      <c r="C310" t="s">
        <v>21</v>
      </c>
      <c r="D310" t="s">
        <v>22</v>
      </c>
      <c r="E310" t="s">
        <v>147</v>
      </c>
      <c r="F310" s="107">
        <v>150000000</v>
      </c>
    </row>
    <row r="311" spans="1:6" hidden="1" x14ac:dyDescent="0.25">
      <c r="A311" s="210" t="s">
        <v>1567</v>
      </c>
      <c r="B311" s="100">
        <v>46153</v>
      </c>
      <c r="C311" t="s">
        <v>21</v>
      </c>
      <c r="D311" t="s">
        <v>24</v>
      </c>
      <c r="F311" s="107">
        <v>75780000</v>
      </c>
    </row>
    <row r="312" spans="1:6" hidden="1" x14ac:dyDescent="0.25">
      <c r="A312" s="210" t="s">
        <v>1567</v>
      </c>
      <c r="B312" s="100">
        <v>46153</v>
      </c>
      <c r="C312" t="s">
        <v>21</v>
      </c>
      <c r="D312" t="s">
        <v>22</v>
      </c>
      <c r="E312" t="s">
        <v>47</v>
      </c>
      <c r="F312" s="107">
        <v>30600000</v>
      </c>
    </row>
    <row r="313" spans="1:6" x14ac:dyDescent="0.25">
      <c r="A313" s="210" t="s">
        <v>1582</v>
      </c>
      <c r="B313" s="100">
        <v>46153</v>
      </c>
      <c r="C313" t="s">
        <v>21</v>
      </c>
      <c r="D313" t="s">
        <v>22</v>
      </c>
      <c r="E313" t="s">
        <v>83</v>
      </c>
      <c r="F313" s="107">
        <v>160000000</v>
      </c>
    </row>
    <row r="314" spans="1:6" x14ac:dyDescent="0.25">
      <c r="A314" s="210" t="s">
        <v>1587</v>
      </c>
      <c r="B314" s="100">
        <v>46153</v>
      </c>
      <c r="C314" t="s">
        <v>21</v>
      </c>
      <c r="D314" t="s">
        <v>22</v>
      </c>
      <c r="E314" t="s">
        <v>83</v>
      </c>
      <c r="F314" s="107">
        <v>300000000</v>
      </c>
    </row>
    <row r="315" spans="1:6" hidden="1" x14ac:dyDescent="0.25">
      <c r="A315" s="210" t="s">
        <v>1591</v>
      </c>
      <c r="B315" s="100">
        <v>46153</v>
      </c>
      <c r="C315" t="s">
        <v>21</v>
      </c>
      <c r="D315" t="s">
        <v>22</v>
      </c>
      <c r="E315" t="s">
        <v>147</v>
      </c>
      <c r="F315" s="107">
        <v>118888739</v>
      </c>
    </row>
    <row r="316" spans="1:6" hidden="1" x14ac:dyDescent="0.25">
      <c r="A316" s="210" t="s">
        <v>1593</v>
      </c>
      <c r="B316" s="100">
        <v>46153</v>
      </c>
      <c r="C316" t="s">
        <v>21</v>
      </c>
      <c r="D316" t="s">
        <v>22</v>
      </c>
      <c r="E316" t="s">
        <v>261</v>
      </c>
      <c r="F316" s="107">
        <v>54519500</v>
      </c>
    </row>
    <row r="317" spans="1:6" hidden="1" x14ac:dyDescent="0.25">
      <c r="A317" s="210" t="s">
        <v>1608</v>
      </c>
      <c r="B317" s="100">
        <v>46153</v>
      </c>
      <c r="C317" t="s">
        <v>21</v>
      </c>
      <c r="D317" t="s">
        <v>24</v>
      </c>
      <c r="F317" s="107">
        <v>75960000</v>
      </c>
    </row>
    <row r="318" spans="1:6" hidden="1" x14ac:dyDescent="0.25">
      <c r="A318" s="210" t="s">
        <v>1610</v>
      </c>
      <c r="B318" s="100">
        <v>46153</v>
      </c>
      <c r="C318" t="s">
        <v>21</v>
      </c>
      <c r="D318" t="s">
        <v>24</v>
      </c>
      <c r="F318" s="107">
        <v>64700000</v>
      </c>
    </row>
    <row r="319" spans="1:6" hidden="1" x14ac:dyDescent="0.25">
      <c r="A319" s="210" t="s">
        <v>1635</v>
      </c>
      <c r="B319" s="100">
        <v>46153</v>
      </c>
      <c r="C319" t="s">
        <v>21</v>
      </c>
      <c r="D319" t="s">
        <v>24</v>
      </c>
      <c r="F319" s="107">
        <v>100000000</v>
      </c>
    </row>
    <row r="320" spans="1:6" hidden="1" x14ac:dyDescent="0.25">
      <c r="A320" s="210" t="s">
        <v>1703</v>
      </c>
      <c r="B320" s="100">
        <v>46153</v>
      </c>
      <c r="C320" t="s">
        <v>21</v>
      </c>
      <c r="D320" t="s">
        <v>22</v>
      </c>
      <c r="E320" t="s">
        <v>726</v>
      </c>
      <c r="F320" s="107">
        <v>70000000</v>
      </c>
    </row>
    <row r="321" spans="1:6" hidden="1" x14ac:dyDescent="0.25">
      <c r="A321" s="210" t="s">
        <v>1651</v>
      </c>
      <c r="B321" s="100">
        <v>46153</v>
      </c>
      <c r="C321" t="s">
        <v>21</v>
      </c>
      <c r="D321" t="s">
        <v>22</v>
      </c>
      <c r="E321" t="s">
        <v>261</v>
      </c>
      <c r="F321" s="107">
        <v>10160000</v>
      </c>
    </row>
    <row r="322" spans="1:6" x14ac:dyDescent="0.25">
      <c r="A322" s="210" t="s">
        <v>2016</v>
      </c>
      <c r="B322" s="100">
        <v>46153</v>
      </c>
      <c r="C322" t="s">
        <v>2214</v>
      </c>
      <c r="D322" t="s">
        <v>22</v>
      </c>
      <c r="E322" t="s">
        <v>83</v>
      </c>
      <c r="F322" s="107">
        <v>-100000000</v>
      </c>
    </row>
    <row r="323" spans="1:6" x14ac:dyDescent="0.25">
      <c r="A323" s="210" t="s">
        <v>1697</v>
      </c>
      <c r="B323" s="100">
        <v>46153</v>
      </c>
      <c r="C323" t="s">
        <v>2214</v>
      </c>
      <c r="D323" t="s">
        <v>22</v>
      </c>
      <c r="E323" t="s">
        <v>83</v>
      </c>
      <c r="F323" s="107">
        <v>-150000000</v>
      </c>
    </row>
    <row r="324" spans="1:6" x14ac:dyDescent="0.25">
      <c r="A324" s="210" t="s">
        <v>1724</v>
      </c>
      <c r="B324" s="100">
        <v>46153</v>
      </c>
      <c r="C324" t="s">
        <v>2214</v>
      </c>
      <c r="D324" t="s">
        <v>22</v>
      </c>
      <c r="E324" t="s">
        <v>83</v>
      </c>
      <c r="F324" s="107">
        <v>-101954417</v>
      </c>
    </row>
    <row r="325" spans="1:6" hidden="1" x14ac:dyDescent="0.25">
      <c r="A325" s="210" t="s">
        <v>1531</v>
      </c>
      <c r="B325" s="100">
        <v>46152</v>
      </c>
      <c r="C325" t="s">
        <v>21</v>
      </c>
      <c r="D325" t="s">
        <v>22</v>
      </c>
      <c r="E325" t="s">
        <v>726</v>
      </c>
      <c r="F325" s="107">
        <v>25000000</v>
      </c>
    </row>
    <row r="326" spans="1:6" hidden="1" x14ac:dyDescent="0.25">
      <c r="A326" s="210" t="s">
        <v>1595</v>
      </c>
      <c r="B326" s="100">
        <v>46152</v>
      </c>
      <c r="C326" t="s">
        <v>21</v>
      </c>
      <c r="D326" t="s">
        <v>22</v>
      </c>
      <c r="E326" t="s">
        <v>726</v>
      </c>
      <c r="F326" s="107">
        <v>15000000</v>
      </c>
    </row>
    <row r="327" spans="1:6" hidden="1" x14ac:dyDescent="0.25">
      <c r="A327" s="210" t="s">
        <v>1609</v>
      </c>
      <c r="B327" s="100">
        <v>46152</v>
      </c>
      <c r="C327" t="s">
        <v>21</v>
      </c>
      <c r="D327" t="s">
        <v>22</v>
      </c>
      <c r="E327" t="s">
        <v>2067</v>
      </c>
      <c r="F327" s="107">
        <v>35900000</v>
      </c>
    </row>
    <row r="328" spans="1:6" hidden="1" x14ac:dyDescent="0.25">
      <c r="A328" s="210" t="s">
        <v>1491</v>
      </c>
      <c r="B328" s="100">
        <v>46151</v>
      </c>
      <c r="C328" t="s">
        <v>21</v>
      </c>
      <c r="D328" t="s">
        <v>22</v>
      </c>
      <c r="E328" t="s">
        <v>261</v>
      </c>
      <c r="F328" s="107">
        <v>200000000</v>
      </c>
    </row>
    <row r="329" spans="1:6" hidden="1" x14ac:dyDescent="0.25">
      <c r="A329" s="210" t="s">
        <v>1531</v>
      </c>
      <c r="B329" s="100">
        <v>46151</v>
      </c>
      <c r="C329" t="s">
        <v>21</v>
      </c>
      <c r="D329" t="s">
        <v>22</v>
      </c>
      <c r="E329" t="s">
        <v>726</v>
      </c>
      <c r="F329" s="107">
        <v>50000000</v>
      </c>
    </row>
    <row r="330" spans="1:6" hidden="1" x14ac:dyDescent="0.25">
      <c r="A330" s="210" t="s">
        <v>1541</v>
      </c>
      <c r="B330" s="100">
        <v>46151</v>
      </c>
      <c r="C330" t="s">
        <v>21</v>
      </c>
      <c r="D330" t="s">
        <v>22</v>
      </c>
      <c r="E330" t="s">
        <v>147</v>
      </c>
      <c r="F330" s="107">
        <v>170000000</v>
      </c>
    </row>
    <row r="331" spans="1:6" hidden="1" x14ac:dyDescent="0.25">
      <c r="A331" s="210" t="s">
        <v>1568</v>
      </c>
      <c r="B331" s="100">
        <v>46151</v>
      </c>
      <c r="C331" t="s">
        <v>21</v>
      </c>
      <c r="D331" t="s">
        <v>24</v>
      </c>
      <c r="F331" s="107">
        <v>107700000</v>
      </c>
    </row>
    <row r="332" spans="1:6" hidden="1" x14ac:dyDescent="0.25">
      <c r="A332" s="210" t="s">
        <v>1593</v>
      </c>
      <c r="B332" s="100">
        <v>46151</v>
      </c>
      <c r="C332" t="s">
        <v>21</v>
      </c>
      <c r="D332" t="s">
        <v>22</v>
      </c>
      <c r="E332" t="s">
        <v>261</v>
      </c>
      <c r="F332" s="107">
        <v>166900000</v>
      </c>
    </row>
    <row r="333" spans="1:6" hidden="1" x14ac:dyDescent="0.25">
      <c r="A333" s="210" t="s">
        <v>1595</v>
      </c>
      <c r="B333" s="100">
        <v>46151</v>
      </c>
      <c r="C333" t="s">
        <v>21</v>
      </c>
      <c r="D333" t="s">
        <v>22</v>
      </c>
      <c r="E333" t="s">
        <v>726</v>
      </c>
      <c r="F333" s="107">
        <v>20000000</v>
      </c>
    </row>
    <row r="334" spans="1:6" hidden="1" x14ac:dyDescent="0.25">
      <c r="A334" s="210" t="s">
        <v>1673</v>
      </c>
      <c r="B334" s="100">
        <v>46151</v>
      </c>
      <c r="C334" t="s">
        <v>21</v>
      </c>
      <c r="D334" t="s">
        <v>24</v>
      </c>
      <c r="F334" s="107">
        <v>174766000</v>
      </c>
    </row>
    <row r="335" spans="1:6" hidden="1" x14ac:dyDescent="0.25">
      <c r="A335" s="210" t="s">
        <v>1680</v>
      </c>
      <c r="B335" s="100">
        <v>46151</v>
      </c>
      <c r="C335" t="s">
        <v>21</v>
      </c>
      <c r="D335" t="s">
        <v>22</v>
      </c>
      <c r="E335" t="s">
        <v>147</v>
      </c>
      <c r="F335" s="107">
        <v>50200000</v>
      </c>
    </row>
    <row r="336" spans="1:6" hidden="1" x14ac:dyDescent="0.25">
      <c r="A336" s="210" t="s">
        <v>1485</v>
      </c>
      <c r="B336" s="100">
        <v>46150</v>
      </c>
      <c r="C336" t="s">
        <v>21</v>
      </c>
      <c r="D336" t="s">
        <v>22</v>
      </c>
      <c r="E336" t="s">
        <v>147</v>
      </c>
      <c r="F336" s="107">
        <v>100000000</v>
      </c>
    </row>
    <row r="337" spans="1:6" hidden="1" x14ac:dyDescent="0.25">
      <c r="A337" s="210" t="s">
        <v>1487</v>
      </c>
      <c r="B337" s="100">
        <v>46150</v>
      </c>
      <c r="C337" t="s">
        <v>21</v>
      </c>
      <c r="D337" t="s">
        <v>22</v>
      </c>
      <c r="E337" t="s">
        <v>147</v>
      </c>
      <c r="F337" s="107">
        <v>200000000</v>
      </c>
    </row>
    <row r="338" spans="1:6" hidden="1" x14ac:dyDescent="0.25">
      <c r="A338" s="210" t="s">
        <v>1490</v>
      </c>
      <c r="B338" s="100">
        <v>46150</v>
      </c>
      <c r="C338" t="s">
        <v>21</v>
      </c>
      <c r="D338" t="s">
        <v>22</v>
      </c>
      <c r="E338" t="s">
        <v>261</v>
      </c>
      <c r="F338" s="107">
        <v>150000000</v>
      </c>
    </row>
    <row r="339" spans="1:6" hidden="1" x14ac:dyDescent="0.25">
      <c r="A339" s="210" t="s">
        <v>1494</v>
      </c>
      <c r="B339" s="100">
        <v>46150</v>
      </c>
      <c r="C339" t="s">
        <v>21</v>
      </c>
      <c r="D339" t="s">
        <v>22</v>
      </c>
      <c r="E339" t="s">
        <v>261</v>
      </c>
      <c r="F339" s="107">
        <v>50000000</v>
      </c>
    </row>
    <row r="340" spans="1:6" hidden="1" x14ac:dyDescent="0.25">
      <c r="A340" s="210" t="s">
        <v>1499</v>
      </c>
      <c r="B340" s="100">
        <v>46150</v>
      </c>
      <c r="C340" t="s">
        <v>21</v>
      </c>
      <c r="D340" t="s">
        <v>22</v>
      </c>
      <c r="E340" t="s">
        <v>261</v>
      </c>
      <c r="F340" s="107">
        <v>100000000</v>
      </c>
    </row>
    <row r="341" spans="1:6" hidden="1" x14ac:dyDescent="0.25">
      <c r="A341" s="210" t="s">
        <v>1507</v>
      </c>
      <c r="B341" s="100">
        <v>46150</v>
      </c>
      <c r="C341" t="s">
        <v>21</v>
      </c>
      <c r="D341" t="s">
        <v>22</v>
      </c>
      <c r="E341" t="s">
        <v>147</v>
      </c>
      <c r="F341" s="107">
        <v>100000000</v>
      </c>
    </row>
    <row r="342" spans="1:6" hidden="1" x14ac:dyDescent="0.25">
      <c r="A342" s="210" t="s">
        <v>1509</v>
      </c>
      <c r="B342" s="100">
        <v>46150</v>
      </c>
      <c r="C342" t="s">
        <v>21</v>
      </c>
      <c r="D342" t="s">
        <v>22</v>
      </c>
      <c r="E342" t="s">
        <v>261</v>
      </c>
      <c r="F342" s="107">
        <v>75963482</v>
      </c>
    </row>
    <row r="343" spans="1:6" hidden="1" x14ac:dyDescent="0.25">
      <c r="A343" s="210" t="s">
        <v>1527</v>
      </c>
      <c r="B343" s="100">
        <v>46150</v>
      </c>
      <c r="C343" t="s">
        <v>21</v>
      </c>
      <c r="D343" t="s">
        <v>22</v>
      </c>
      <c r="E343" t="s">
        <v>147</v>
      </c>
      <c r="F343" s="107">
        <v>150000000</v>
      </c>
    </row>
    <row r="344" spans="1:6" hidden="1" x14ac:dyDescent="0.25">
      <c r="A344" s="210" t="s">
        <v>1531</v>
      </c>
      <c r="B344" s="100">
        <v>46150</v>
      </c>
      <c r="C344" t="s">
        <v>21</v>
      </c>
      <c r="D344" t="s">
        <v>22</v>
      </c>
      <c r="E344" t="s">
        <v>2067</v>
      </c>
      <c r="F344" s="107">
        <v>30000000</v>
      </c>
    </row>
    <row r="345" spans="1:6" hidden="1" x14ac:dyDescent="0.25">
      <c r="A345" s="210" t="s">
        <v>1539</v>
      </c>
      <c r="B345" s="100">
        <v>46150</v>
      </c>
      <c r="C345" t="s">
        <v>21</v>
      </c>
      <c r="D345" t="s">
        <v>22</v>
      </c>
      <c r="E345" t="s">
        <v>261</v>
      </c>
      <c r="F345" s="107">
        <v>40000000</v>
      </c>
    </row>
    <row r="346" spans="1:6" hidden="1" x14ac:dyDescent="0.25">
      <c r="A346" s="210" t="s">
        <v>1547</v>
      </c>
      <c r="B346" s="100">
        <v>46150</v>
      </c>
      <c r="C346" t="s">
        <v>21</v>
      </c>
      <c r="D346" t="s">
        <v>22</v>
      </c>
      <c r="E346" t="s">
        <v>261</v>
      </c>
      <c r="F346" s="107">
        <v>80000000</v>
      </c>
    </row>
    <row r="347" spans="1:6" hidden="1" x14ac:dyDescent="0.25">
      <c r="A347" s="210" t="s">
        <v>1548</v>
      </c>
      <c r="B347" s="100">
        <v>46150</v>
      </c>
      <c r="C347" t="s">
        <v>21</v>
      </c>
      <c r="D347" t="s">
        <v>22</v>
      </c>
      <c r="E347" t="s">
        <v>147</v>
      </c>
      <c r="F347" s="107">
        <v>40000000</v>
      </c>
    </row>
    <row r="348" spans="1:6" hidden="1" x14ac:dyDescent="0.25">
      <c r="A348" s="210" t="s">
        <v>1572</v>
      </c>
      <c r="B348" s="100">
        <v>46150</v>
      </c>
      <c r="C348" t="s">
        <v>21</v>
      </c>
      <c r="D348" t="s">
        <v>22</v>
      </c>
      <c r="E348" t="s">
        <v>261</v>
      </c>
      <c r="F348" s="107">
        <v>383906600</v>
      </c>
    </row>
    <row r="349" spans="1:6" hidden="1" x14ac:dyDescent="0.25">
      <c r="A349" s="210" t="s">
        <v>1575</v>
      </c>
      <c r="B349" s="100">
        <v>46150</v>
      </c>
      <c r="C349" t="s">
        <v>21</v>
      </c>
      <c r="D349" t="s">
        <v>22</v>
      </c>
      <c r="E349" t="s">
        <v>261</v>
      </c>
      <c r="F349" s="107">
        <v>100000000</v>
      </c>
    </row>
    <row r="350" spans="1:6" hidden="1" x14ac:dyDescent="0.25">
      <c r="A350" s="210" t="s">
        <v>1577</v>
      </c>
      <c r="B350" s="100">
        <v>46150</v>
      </c>
      <c r="C350" t="s">
        <v>21</v>
      </c>
      <c r="D350" t="s">
        <v>22</v>
      </c>
      <c r="E350" t="s">
        <v>147</v>
      </c>
      <c r="F350" s="107">
        <v>200000000</v>
      </c>
    </row>
    <row r="351" spans="1:6" x14ac:dyDescent="0.25">
      <c r="A351" s="210" t="s">
        <v>1579</v>
      </c>
      <c r="B351" s="100">
        <v>46150</v>
      </c>
      <c r="C351" t="s">
        <v>21</v>
      </c>
      <c r="D351" t="s">
        <v>22</v>
      </c>
      <c r="E351" t="s">
        <v>83</v>
      </c>
      <c r="F351" s="107">
        <v>400000000</v>
      </c>
    </row>
    <row r="352" spans="1:6" x14ac:dyDescent="0.25">
      <c r="A352" s="210" t="s">
        <v>1580</v>
      </c>
      <c r="B352" s="100">
        <v>46150</v>
      </c>
      <c r="C352" t="s">
        <v>21</v>
      </c>
      <c r="D352" t="s">
        <v>22</v>
      </c>
      <c r="E352" t="s">
        <v>83</v>
      </c>
      <c r="F352" s="107">
        <v>240144538</v>
      </c>
    </row>
    <row r="353" spans="1:6" hidden="1" x14ac:dyDescent="0.25">
      <c r="A353" s="210" t="s">
        <v>1600</v>
      </c>
      <c r="B353" s="100">
        <v>46150</v>
      </c>
      <c r="C353" t="s">
        <v>21</v>
      </c>
      <c r="D353" t="s">
        <v>22</v>
      </c>
      <c r="E353" t="s">
        <v>147</v>
      </c>
      <c r="F353" s="107">
        <v>140000000</v>
      </c>
    </row>
    <row r="354" spans="1:6" hidden="1" x14ac:dyDescent="0.25">
      <c r="A354" s="210" t="s">
        <v>2547</v>
      </c>
      <c r="B354" s="100">
        <v>46150</v>
      </c>
      <c r="C354" t="s">
        <v>21</v>
      </c>
      <c r="D354" t="s">
        <v>22</v>
      </c>
      <c r="E354" t="s">
        <v>147</v>
      </c>
      <c r="F354" s="107">
        <v>90000000</v>
      </c>
    </row>
    <row r="355" spans="1:6" hidden="1" x14ac:dyDescent="0.25">
      <c r="A355" s="210" t="s">
        <v>1609</v>
      </c>
      <c r="B355" s="100">
        <v>46150</v>
      </c>
      <c r="C355" t="s">
        <v>21</v>
      </c>
      <c r="D355" t="s">
        <v>22</v>
      </c>
      <c r="E355" t="s">
        <v>2067</v>
      </c>
      <c r="F355" s="107">
        <v>17470000</v>
      </c>
    </row>
    <row r="356" spans="1:6" hidden="1" x14ac:dyDescent="0.25">
      <c r="A356" s="210" t="s">
        <v>1609</v>
      </c>
      <c r="B356" s="100">
        <v>46150</v>
      </c>
      <c r="C356" t="s">
        <v>21</v>
      </c>
      <c r="D356" t="s">
        <v>22</v>
      </c>
      <c r="E356" t="s">
        <v>2067</v>
      </c>
      <c r="F356" s="107">
        <v>16300000</v>
      </c>
    </row>
    <row r="357" spans="1:6" hidden="1" x14ac:dyDescent="0.25">
      <c r="A357" s="210" t="s">
        <v>1623</v>
      </c>
      <c r="B357" s="100">
        <v>46150</v>
      </c>
      <c r="C357" t="s">
        <v>21</v>
      </c>
      <c r="D357" t="s">
        <v>22</v>
      </c>
      <c r="E357" t="s">
        <v>147</v>
      </c>
      <c r="F357" s="107">
        <v>100000000</v>
      </c>
    </row>
    <row r="358" spans="1:6" x14ac:dyDescent="0.25">
      <c r="A358" s="210" t="s">
        <v>1624</v>
      </c>
      <c r="B358" s="100">
        <v>46150</v>
      </c>
      <c r="C358" t="s">
        <v>21</v>
      </c>
      <c r="D358" t="s">
        <v>22</v>
      </c>
      <c r="E358" t="s">
        <v>83</v>
      </c>
      <c r="F358" s="107">
        <v>100000000</v>
      </c>
    </row>
    <row r="359" spans="1:6" hidden="1" x14ac:dyDescent="0.25">
      <c r="A359" s="210" t="s">
        <v>1566</v>
      </c>
      <c r="B359" s="100">
        <v>46150</v>
      </c>
      <c r="C359" t="s">
        <v>21</v>
      </c>
      <c r="D359" t="s">
        <v>22</v>
      </c>
      <c r="E359" t="s">
        <v>261</v>
      </c>
      <c r="F359" s="107">
        <v>77282505</v>
      </c>
    </row>
    <row r="360" spans="1:6" hidden="1" x14ac:dyDescent="0.25">
      <c r="A360" s="210" t="s">
        <v>1641</v>
      </c>
      <c r="B360" s="100">
        <v>46150</v>
      </c>
      <c r="C360" t="s">
        <v>21</v>
      </c>
      <c r="D360" t="s">
        <v>22</v>
      </c>
      <c r="E360" t="s">
        <v>147</v>
      </c>
      <c r="F360" s="107">
        <v>150000000</v>
      </c>
    </row>
    <row r="361" spans="1:6" hidden="1" x14ac:dyDescent="0.25">
      <c r="A361" s="210" t="s">
        <v>1646</v>
      </c>
      <c r="B361" s="100">
        <v>46150</v>
      </c>
      <c r="C361" t="s">
        <v>21</v>
      </c>
      <c r="D361" t="s">
        <v>22</v>
      </c>
      <c r="E361" t="s">
        <v>147</v>
      </c>
      <c r="F361" s="107">
        <v>30000000</v>
      </c>
    </row>
    <row r="362" spans="1:6" hidden="1" x14ac:dyDescent="0.25">
      <c r="A362" s="210" t="s">
        <v>1668</v>
      </c>
      <c r="B362" s="100">
        <v>46150</v>
      </c>
      <c r="C362" t="s">
        <v>21</v>
      </c>
      <c r="D362" t="s">
        <v>22</v>
      </c>
      <c r="E362" t="s">
        <v>147</v>
      </c>
      <c r="F362" s="107">
        <v>40000000</v>
      </c>
    </row>
    <row r="363" spans="1:6" hidden="1" x14ac:dyDescent="0.25">
      <c r="A363" s="210" t="s">
        <v>1689</v>
      </c>
      <c r="B363" s="100">
        <v>46150</v>
      </c>
      <c r="C363" t="s">
        <v>21</v>
      </c>
      <c r="D363" t="s">
        <v>22</v>
      </c>
      <c r="E363" t="s">
        <v>261</v>
      </c>
      <c r="F363" s="107">
        <v>100000000</v>
      </c>
    </row>
    <row r="364" spans="1:6" hidden="1" x14ac:dyDescent="0.25">
      <c r="A364" s="210" t="s">
        <v>1706</v>
      </c>
      <c r="B364" s="100">
        <v>46150</v>
      </c>
      <c r="C364" t="s">
        <v>2214</v>
      </c>
      <c r="D364" t="s">
        <v>22</v>
      </c>
      <c r="E364" t="s">
        <v>147</v>
      </c>
      <c r="F364" s="107">
        <v>-500000000</v>
      </c>
    </row>
    <row r="365" spans="1:6" hidden="1" x14ac:dyDescent="0.25">
      <c r="A365" s="210" t="s">
        <v>1714</v>
      </c>
      <c r="B365" s="100">
        <v>46150</v>
      </c>
      <c r="C365" t="s">
        <v>21</v>
      </c>
      <c r="D365" t="s">
        <v>22</v>
      </c>
      <c r="E365" t="s">
        <v>147</v>
      </c>
      <c r="F365" s="107">
        <v>130892304</v>
      </c>
    </row>
    <row r="366" spans="1:6" x14ac:dyDescent="0.25">
      <c r="A366" s="210" t="s">
        <v>1717</v>
      </c>
      <c r="B366" s="100">
        <v>46150</v>
      </c>
      <c r="C366" t="s">
        <v>21</v>
      </c>
      <c r="D366" t="s">
        <v>22</v>
      </c>
      <c r="E366" t="s">
        <v>83</v>
      </c>
      <c r="F366" s="107">
        <v>51422736</v>
      </c>
    </row>
    <row r="367" spans="1:6" hidden="1" x14ac:dyDescent="0.25">
      <c r="A367" s="210" t="s">
        <v>1475</v>
      </c>
      <c r="B367" s="100">
        <v>46149</v>
      </c>
      <c r="C367" t="s">
        <v>21</v>
      </c>
      <c r="D367" t="s">
        <v>22</v>
      </c>
      <c r="E367" t="s">
        <v>47</v>
      </c>
      <c r="F367" s="107">
        <v>8000000</v>
      </c>
    </row>
    <row r="368" spans="1:6" hidden="1" x14ac:dyDescent="0.25">
      <c r="A368" s="210" t="s">
        <v>1478</v>
      </c>
      <c r="B368" s="100">
        <v>46149</v>
      </c>
      <c r="C368" t="s">
        <v>21</v>
      </c>
      <c r="D368" t="s">
        <v>22</v>
      </c>
      <c r="E368" t="s">
        <v>2067</v>
      </c>
      <c r="F368" s="107"/>
    </row>
    <row r="369" spans="1:6" hidden="1" x14ac:dyDescent="0.25">
      <c r="A369" s="210" t="s">
        <v>1502</v>
      </c>
      <c r="B369" s="100">
        <v>46149</v>
      </c>
      <c r="C369" t="s">
        <v>21</v>
      </c>
      <c r="D369" t="s">
        <v>22</v>
      </c>
      <c r="E369" t="s">
        <v>261</v>
      </c>
      <c r="F369" s="107">
        <v>347544505</v>
      </c>
    </row>
    <row r="370" spans="1:6" hidden="1" x14ac:dyDescent="0.25">
      <c r="A370" s="210" t="s">
        <v>1525</v>
      </c>
      <c r="B370" s="100">
        <v>46149</v>
      </c>
      <c r="C370" t="s">
        <v>21</v>
      </c>
      <c r="D370" t="s">
        <v>24</v>
      </c>
      <c r="F370" s="107">
        <v>170000000</v>
      </c>
    </row>
    <row r="371" spans="1:6" hidden="1" x14ac:dyDescent="0.25">
      <c r="A371" s="210" t="s">
        <v>1531</v>
      </c>
      <c r="B371" s="100">
        <v>46149</v>
      </c>
      <c r="C371" t="s">
        <v>21</v>
      </c>
      <c r="D371" t="s">
        <v>24</v>
      </c>
      <c r="F371" s="107">
        <v>200000000</v>
      </c>
    </row>
    <row r="372" spans="1:6" hidden="1" x14ac:dyDescent="0.25">
      <c r="A372" s="210" t="s">
        <v>1564</v>
      </c>
      <c r="B372" s="100">
        <v>46149</v>
      </c>
      <c r="C372" t="s">
        <v>21</v>
      </c>
      <c r="D372" t="s">
        <v>22</v>
      </c>
      <c r="E372" t="s">
        <v>147</v>
      </c>
      <c r="F372" s="107">
        <v>50000000</v>
      </c>
    </row>
    <row r="373" spans="1:6" hidden="1" x14ac:dyDescent="0.25">
      <c r="A373" s="210" t="s">
        <v>1609</v>
      </c>
      <c r="B373" s="100">
        <v>46149</v>
      </c>
      <c r="C373" t="s">
        <v>21</v>
      </c>
      <c r="D373" t="s">
        <v>22</v>
      </c>
      <c r="E373" t="s">
        <v>2067</v>
      </c>
      <c r="F373" s="107">
        <v>3390000</v>
      </c>
    </row>
    <row r="374" spans="1:6" hidden="1" x14ac:dyDescent="0.25">
      <c r="A374" s="210" t="s">
        <v>1609</v>
      </c>
      <c r="B374" s="100">
        <v>46149</v>
      </c>
      <c r="C374" t="s">
        <v>21</v>
      </c>
      <c r="D374" t="s">
        <v>22</v>
      </c>
      <c r="E374" t="s">
        <v>2067</v>
      </c>
      <c r="F374" s="107">
        <v>8370000</v>
      </c>
    </row>
    <row r="375" spans="1:6" x14ac:dyDescent="0.25">
      <c r="A375" s="210" t="s">
        <v>1672</v>
      </c>
      <c r="B375" s="100">
        <v>46149</v>
      </c>
      <c r="C375" t="s">
        <v>21</v>
      </c>
      <c r="D375" t="s">
        <v>22</v>
      </c>
      <c r="E375" t="s">
        <v>83</v>
      </c>
      <c r="F375" s="107">
        <v>25440617</v>
      </c>
    </row>
    <row r="376" spans="1:6" hidden="1" x14ac:dyDescent="0.25">
      <c r="A376" s="210" t="s">
        <v>1679</v>
      </c>
      <c r="B376" s="100">
        <v>46149</v>
      </c>
      <c r="C376" t="s">
        <v>21</v>
      </c>
      <c r="D376" t="s">
        <v>22</v>
      </c>
      <c r="E376" t="s">
        <v>261</v>
      </c>
      <c r="F376" s="107">
        <v>186362000</v>
      </c>
    </row>
    <row r="377" spans="1:6" hidden="1" x14ac:dyDescent="0.25">
      <c r="A377" s="210" t="s">
        <v>1822</v>
      </c>
      <c r="B377" s="100">
        <v>46149</v>
      </c>
      <c r="C377" t="s">
        <v>21</v>
      </c>
      <c r="D377" t="s">
        <v>22</v>
      </c>
      <c r="E377" t="s">
        <v>261</v>
      </c>
      <c r="F377" s="107">
        <v>31596000</v>
      </c>
    </row>
    <row r="378" spans="1:6" hidden="1" x14ac:dyDescent="0.25">
      <c r="A378" s="210" t="s">
        <v>1964</v>
      </c>
      <c r="B378" s="100">
        <v>46149</v>
      </c>
      <c r="C378" t="s">
        <v>21</v>
      </c>
      <c r="D378" t="s">
        <v>22</v>
      </c>
      <c r="E378" t="s">
        <v>147</v>
      </c>
      <c r="F378" s="107">
        <v>57121000</v>
      </c>
    </row>
    <row r="379" spans="1:6" hidden="1" x14ac:dyDescent="0.25">
      <c r="A379" s="210" t="s">
        <v>1479</v>
      </c>
      <c r="B379" s="100">
        <v>46148</v>
      </c>
      <c r="C379" t="s">
        <v>21</v>
      </c>
      <c r="D379" t="s">
        <v>22</v>
      </c>
      <c r="E379" t="s">
        <v>147</v>
      </c>
      <c r="F379" s="107">
        <v>300000000</v>
      </c>
    </row>
    <row r="380" spans="1:6" hidden="1" x14ac:dyDescent="0.25">
      <c r="A380" s="210" t="s">
        <v>1512</v>
      </c>
      <c r="B380" s="100">
        <v>46148</v>
      </c>
      <c r="C380" t="s">
        <v>21</v>
      </c>
      <c r="D380" t="s">
        <v>22</v>
      </c>
      <c r="E380" t="s">
        <v>261</v>
      </c>
      <c r="F380" s="107">
        <v>100000000</v>
      </c>
    </row>
    <row r="381" spans="1:6" hidden="1" x14ac:dyDescent="0.25">
      <c r="A381" s="210" t="s">
        <v>1531</v>
      </c>
      <c r="B381" s="100">
        <v>46148</v>
      </c>
      <c r="C381" t="s">
        <v>21</v>
      </c>
      <c r="D381" t="s">
        <v>22</v>
      </c>
      <c r="E381" t="s">
        <v>726</v>
      </c>
      <c r="F381" s="107">
        <v>45000000</v>
      </c>
    </row>
    <row r="382" spans="1:6" hidden="1" x14ac:dyDescent="0.25">
      <c r="A382" s="210" t="s">
        <v>1531</v>
      </c>
      <c r="B382" s="100">
        <v>46148</v>
      </c>
      <c r="C382" t="s">
        <v>21</v>
      </c>
      <c r="D382" t="s">
        <v>22</v>
      </c>
      <c r="E382" t="s">
        <v>726</v>
      </c>
      <c r="F382" s="107">
        <v>113250000</v>
      </c>
    </row>
    <row r="383" spans="1:6" hidden="1" x14ac:dyDescent="0.25">
      <c r="A383" s="210" t="s">
        <v>1545</v>
      </c>
      <c r="B383" s="100">
        <v>46148</v>
      </c>
      <c r="C383" t="s">
        <v>21</v>
      </c>
      <c r="D383" t="s">
        <v>24</v>
      </c>
      <c r="F383" s="107">
        <v>155050000</v>
      </c>
    </row>
    <row r="384" spans="1:6" hidden="1" x14ac:dyDescent="0.25">
      <c r="A384" s="210" t="s">
        <v>1551</v>
      </c>
      <c r="B384" s="100">
        <v>46148</v>
      </c>
      <c r="C384" t="s">
        <v>21</v>
      </c>
      <c r="D384" t="s">
        <v>22</v>
      </c>
      <c r="E384" t="s">
        <v>147</v>
      </c>
      <c r="F384" s="107">
        <v>24522500</v>
      </c>
    </row>
    <row r="385" spans="1:6" hidden="1" x14ac:dyDescent="0.25">
      <c r="A385" s="210" t="s">
        <v>1610</v>
      </c>
      <c r="B385" s="100">
        <v>46148</v>
      </c>
      <c r="C385" t="s">
        <v>21</v>
      </c>
      <c r="D385" t="s">
        <v>24</v>
      </c>
      <c r="F385" s="107">
        <v>43165000</v>
      </c>
    </row>
    <row r="386" spans="1:6" hidden="1" x14ac:dyDescent="0.25">
      <c r="A386" s="210" t="s">
        <v>1648</v>
      </c>
      <c r="B386" s="100">
        <v>46148</v>
      </c>
      <c r="C386" t="s">
        <v>21</v>
      </c>
      <c r="D386" t="s">
        <v>22</v>
      </c>
      <c r="E386" t="s">
        <v>147</v>
      </c>
      <c r="F386" s="107">
        <v>23103696</v>
      </c>
    </row>
    <row r="387" spans="1:6" hidden="1" x14ac:dyDescent="0.25">
      <c r="A387" s="210" t="s">
        <v>1656</v>
      </c>
      <c r="B387" s="100">
        <v>46148</v>
      </c>
      <c r="C387" t="s">
        <v>21</v>
      </c>
      <c r="D387" t="s">
        <v>22</v>
      </c>
      <c r="E387" t="s">
        <v>261</v>
      </c>
      <c r="F387" s="107">
        <v>54648000</v>
      </c>
    </row>
    <row r="388" spans="1:6" hidden="1" x14ac:dyDescent="0.25">
      <c r="A388" s="210" t="s">
        <v>1664</v>
      </c>
      <c r="B388" s="100">
        <v>46148</v>
      </c>
      <c r="C388" t="s">
        <v>21</v>
      </c>
      <c r="D388" t="s">
        <v>22</v>
      </c>
      <c r="E388" t="s">
        <v>147</v>
      </c>
      <c r="F388" s="107">
        <v>55768000</v>
      </c>
    </row>
    <row r="389" spans="1:6" hidden="1" x14ac:dyDescent="0.25">
      <c r="A389" s="210" t="s">
        <v>1960</v>
      </c>
      <c r="B389" s="100">
        <v>46148</v>
      </c>
      <c r="C389" t="s">
        <v>21</v>
      </c>
      <c r="D389" t="s">
        <v>22</v>
      </c>
      <c r="E389" t="s">
        <v>726</v>
      </c>
      <c r="F389" s="107">
        <v>11220000</v>
      </c>
    </row>
    <row r="390" spans="1:6" hidden="1" x14ac:dyDescent="0.25">
      <c r="A390" s="210" t="s">
        <v>1692</v>
      </c>
      <c r="B390" s="100">
        <v>46148</v>
      </c>
      <c r="C390" t="s">
        <v>21</v>
      </c>
      <c r="D390" t="s">
        <v>260</v>
      </c>
      <c r="E390" t="s">
        <v>261</v>
      </c>
      <c r="F390" s="107">
        <v>108840074</v>
      </c>
    </row>
    <row r="391" spans="1:6" hidden="1" x14ac:dyDescent="0.25">
      <c r="A391" s="210" t="s">
        <v>1899</v>
      </c>
      <c r="B391" s="100">
        <v>46148</v>
      </c>
      <c r="C391" t="s">
        <v>21</v>
      </c>
      <c r="D391" t="s">
        <v>22</v>
      </c>
      <c r="E391" t="s">
        <v>261</v>
      </c>
      <c r="F391" s="107">
        <v>55379412</v>
      </c>
    </row>
    <row r="392" spans="1:6" hidden="1" x14ac:dyDescent="0.25">
      <c r="A392" s="210" t="s">
        <v>1957</v>
      </c>
      <c r="B392" s="100">
        <v>46148</v>
      </c>
      <c r="C392" t="s">
        <v>21</v>
      </c>
      <c r="D392" t="s">
        <v>24</v>
      </c>
      <c r="F392" s="107">
        <v>16080000</v>
      </c>
    </row>
    <row r="393" spans="1:6" hidden="1" x14ac:dyDescent="0.25">
      <c r="A393" s="210" t="s">
        <v>2162</v>
      </c>
      <c r="B393" s="100">
        <v>46148</v>
      </c>
      <c r="C393" t="s">
        <v>21</v>
      </c>
      <c r="D393" t="s">
        <v>22</v>
      </c>
      <c r="E393" t="s">
        <v>726</v>
      </c>
      <c r="F393" s="107">
        <v>10000000</v>
      </c>
    </row>
    <row r="394" spans="1:6" hidden="1" x14ac:dyDescent="0.25">
      <c r="A394" s="210" t="s">
        <v>1478</v>
      </c>
      <c r="B394" s="100">
        <v>46147</v>
      </c>
      <c r="C394" t="s">
        <v>21</v>
      </c>
      <c r="D394" t="s">
        <v>22</v>
      </c>
      <c r="E394" t="s">
        <v>2067</v>
      </c>
      <c r="F394" s="107">
        <v>36000000</v>
      </c>
    </row>
    <row r="395" spans="1:6" hidden="1" x14ac:dyDescent="0.25">
      <c r="A395" s="210" t="s">
        <v>1478</v>
      </c>
      <c r="B395" s="100">
        <v>46147</v>
      </c>
      <c r="C395" t="s">
        <v>21</v>
      </c>
      <c r="D395" t="s">
        <v>22</v>
      </c>
      <c r="E395" t="s">
        <v>2067</v>
      </c>
      <c r="F395" s="107">
        <v>12300000</v>
      </c>
    </row>
    <row r="396" spans="1:6" hidden="1" x14ac:dyDescent="0.25">
      <c r="A396" s="210" t="s">
        <v>1493</v>
      </c>
      <c r="B396" s="100">
        <v>46147</v>
      </c>
      <c r="C396" t="s">
        <v>21</v>
      </c>
      <c r="D396" t="s">
        <v>22</v>
      </c>
      <c r="E396" t="s">
        <v>261</v>
      </c>
      <c r="F396" s="107">
        <v>150000000</v>
      </c>
    </row>
    <row r="397" spans="1:6" hidden="1" x14ac:dyDescent="0.25">
      <c r="A397" s="210" t="s">
        <v>1558</v>
      </c>
      <c r="B397" s="100">
        <v>46147</v>
      </c>
      <c r="C397" t="s">
        <v>21</v>
      </c>
      <c r="D397" t="s">
        <v>24</v>
      </c>
      <c r="F397" s="107">
        <v>110000000</v>
      </c>
    </row>
    <row r="398" spans="1:6" hidden="1" x14ac:dyDescent="0.25">
      <c r="A398" s="210" t="s">
        <v>1727</v>
      </c>
      <c r="B398" s="100">
        <v>46147</v>
      </c>
      <c r="C398" t="s">
        <v>21</v>
      </c>
      <c r="D398" t="s">
        <v>22</v>
      </c>
      <c r="E398" t="s">
        <v>147</v>
      </c>
      <c r="F398" s="107">
        <v>180000000</v>
      </c>
    </row>
    <row r="399" spans="1:6" hidden="1" x14ac:dyDescent="0.25">
      <c r="A399" s="210" t="s">
        <v>1677</v>
      </c>
      <c r="B399" s="100">
        <v>46147</v>
      </c>
      <c r="C399" t="s">
        <v>21</v>
      </c>
      <c r="D399" t="s">
        <v>22</v>
      </c>
      <c r="E399" t="s">
        <v>261</v>
      </c>
      <c r="F399" s="107">
        <v>95874350</v>
      </c>
    </row>
    <row r="400" spans="1:6" hidden="1" x14ac:dyDescent="0.25">
      <c r="A400" s="210" t="s">
        <v>1712</v>
      </c>
      <c r="B400" s="100">
        <v>46147</v>
      </c>
      <c r="C400" t="s">
        <v>21</v>
      </c>
      <c r="D400" t="s">
        <v>22</v>
      </c>
      <c r="E400" t="s">
        <v>261</v>
      </c>
      <c r="F400" s="107">
        <v>172010282</v>
      </c>
    </row>
    <row r="401" spans="1:6" hidden="1" x14ac:dyDescent="0.25">
      <c r="A401" s="210" t="s">
        <v>1725</v>
      </c>
      <c r="B401" s="100">
        <v>46147</v>
      </c>
      <c r="C401" t="s">
        <v>654</v>
      </c>
      <c r="D401" t="s">
        <v>22</v>
      </c>
      <c r="E401" t="s">
        <v>2067</v>
      </c>
      <c r="F401" s="107">
        <v>-2097000</v>
      </c>
    </row>
    <row r="402" spans="1:6" hidden="1" x14ac:dyDescent="0.25">
      <c r="A402" s="210" t="s">
        <v>1817</v>
      </c>
      <c r="B402" s="100">
        <v>46147</v>
      </c>
      <c r="C402" t="s">
        <v>21</v>
      </c>
      <c r="D402" t="s">
        <v>22</v>
      </c>
      <c r="E402" t="s">
        <v>261</v>
      </c>
      <c r="F402" s="107">
        <v>306700993</v>
      </c>
    </row>
    <row r="403" spans="1:6" hidden="1" x14ac:dyDescent="0.25">
      <c r="A403" s="210" t="s">
        <v>2360</v>
      </c>
      <c r="B403" s="100">
        <v>46147</v>
      </c>
      <c r="C403" t="s">
        <v>21</v>
      </c>
      <c r="F403" s="107">
        <v>63900000</v>
      </c>
    </row>
    <row r="404" spans="1:6" hidden="1" x14ac:dyDescent="0.25">
      <c r="A404" s="210" t="s">
        <v>1940</v>
      </c>
      <c r="B404" s="100">
        <v>46147</v>
      </c>
      <c r="C404" t="s">
        <v>21</v>
      </c>
      <c r="D404" t="s">
        <v>22</v>
      </c>
      <c r="E404" t="s">
        <v>261</v>
      </c>
      <c r="F404" s="107">
        <v>191137320</v>
      </c>
    </row>
    <row r="405" spans="1:6" hidden="1" x14ac:dyDescent="0.25">
      <c r="A405" s="210" t="s">
        <v>1964</v>
      </c>
      <c r="B405" s="100">
        <v>46147</v>
      </c>
      <c r="C405" t="s">
        <v>21</v>
      </c>
      <c r="D405" t="s">
        <v>22</v>
      </c>
      <c r="E405" t="s">
        <v>147</v>
      </c>
      <c r="F405" s="107">
        <v>30000000</v>
      </c>
    </row>
    <row r="406" spans="1:6" hidden="1" x14ac:dyDescent="0.25">
      <c r="A406" s="210" t="s">
        <v>1475</v>
      </c>
      <c r="B406" s="100">
        <v>46146</v>
      </c>
      <c r="C406" t="s">
        <v>21</v>
      </c>
      <c r="D406" t="s">
        <v>22</v>
      </c>
      <c r="E406" t="s">
        <v>47</v>
      </c>
      <c r="F406" s="107">
        <v>45770000</v>
      </c>
    </row>
    <row r="407" spans="1:6" hidden="1" x14ac:dyDescent="0.25">
      <c r="A407" s="210" t="s">
        <v>1475</v>
      </c>
      <c r="B407" s="100">
        <v>46146</v>
      </c>
      <c r="C407" t="s">
        <v>21</v>
      </c>
      <c r="D407" t="s">
        <v>22</v>
      </c>
      <c r="E407" t="s">
        <v>47</v>
      </c>
      <c r="F407" s="107">
        <v>20265000</v>
      </c>
    </row>
    <row r="408" spans="1:6" x14ac:dyDescent="0.25">
      <c r="A408" s="210" t="s">
        <v>1518</v>
      </c>
      <c r="B408" s="100">
        <v>46146</v>
      </c>
      <c r="C408" t="s">
        <v>21</v>
      </c>
      <c r="D408" t="s">
        <v>22</v>
      </c>
      <c r="E408" t="s">
        <v>83</v>
      </c>
      <c r="F408" s="107">
        <v>50000000</v>
      </c>
    </row>
    <row r="409" spans="1:6" hidden="1" x14ac:dyDescent="0.25">
      <c r="A409" s="210" t="s">
        <v>1525</v>
      </c>
      <c r="B409" s="100">
        <v>46146</v>
      </c>
      <c r="C409" t="s">
        <v>21</v>
      </c>
      <c r="D409" t="s">
        <v>260</v>
      </c>
      <c r="E409" t="s">
        <v>261</v>
      </c>
      <c r="F409" s="107">
        <v>58455340</v>
      </c>
    </row>
    <row r="410" spans="1:6" hidden="1" x14ac:dyDescent="0.25">
      <c r="A410" s="210" t="s">
        <v>1536</v>
      </c>
      <c r="B410" s="100">
        <v>46146</v>
      </c>
      <c r="C410" t="s">
        <v>21</v>
      </c>
      <c r="D410" t="s">
        <v>22</v>
      </c>
      <c r="F410" s="107">
        <v>58455380</v>
      </c>
    </row>
    <row r="411" spans="1:6" x14ac:dyDescent="0.25">
      <c r="A411" s="210" t="s">
        <v>1538</v>
      </c>
      <c r="B411" s="100">
        <v>46146</v>
      </c>
      <c r="C411" t="s">
        <v>21</v>
      </c>
      <c r="D411" t="s">
        <v>22</v>
      </c>
      <c r="E411" t="s">
        <v>83</v>
      </c>
      <c r="F411" s="107">
        <v>56232000</v>
      </c>
    </row>
    <row r="412" spans="1:6" hidden="1" x14ac:dyDescent="0.25">
      <c r="A412" s="210" t="s">
        <v>1582</v>
      </c>
      <c r="B412" s="100">
        <v>46146</v>
      </c>
      <c r="C412" t="s">
        <v>21</v>
      </c>
      <c r="D412" t="s">
        <v>22</v>
      </c>
      <c r="E412" t="s">
        <v>261</v>
      </c>
      <c r="F412" s="107">
        <v>92917469</v>
      </c>
    </row>
    <row r="413" spans="1:6" hidden="1" x14ac:dyDescent="0.25">
      <c r="A413" s="210" t="s">
        <v>1582</v>
      </c>
      <c r="B413" s="100">
        <v>46146</v>
      </c>
      <c r="C413" t="s">
        <v>21</v>
      </c>
      <c r="D413" t="s">
        <v>22</v>
      </c>
      <c r="E413" t="s">
        <v>261</v>
      </c>
      <c r="F413" s="107">
        <v>127720639</v>
      </c>
    </row>
    <row r="414" spans="1:6" hidden="1" x14ac:dyDescent="0.25">
      <c r="A414" s="210" t="s">
        <v>1593</v>
      </c>
      <c r="B414" s="100">
        <v>46146</v>
      </c>
      <c r="C414" t="s">
        <v>21</v>
      </c>
      <c r="D414" t="s">
        <v>22</v>
      </c>
      <c r="E414" t="s">
        <v>261</v>
      </c>
      <c r="F414" s="107">
        <v>116660000</v>
      </c>
    </row>
    <row r="415" spans="1:6" hidden="1" x14ac:dyDescent="0.25">
      <c r="A415" s="210" t="s">
        <v>1595</v>
      </c>
      <c r="B415" s="100">
        <v>46146</v>
      </c>
      <c r="C415" t="s">
        <v>21</v>
      </c>
      <c r="D415" t="s">
        <v>22</v>
      </c>
      <c r="E415" t="s">
        <v>2067</v>
      </c>
      <c r="F415" s="107">
        <v>4180000</v>
      </c>
    </row>
    <row r="416" spans="1:6" hidden="1" x14ac:dyDescent="0.25">
      <c r="A416" s="210" t="s">
        <v>1610</v>
      </c>
      <c r="B416" s="100">
        <v>46146</v>
      </c>
      <c r="C416" t="s">
        <v>21</v>
      </c>
      <c r="D416" t="s">
        <v>24</v>
      </c>
      <c r="F416" s="107">
        <v>75042000</v>
      </c>
    </row>
    <row r="417" spans="1:6" hidden="1" x14ac:dyDescent="0.25">
      <c r="A417" s="210" t="s">
        <v>1613</v>
      </c>
      <c r="B417" s="100">
        <v>46146</v>
      </c>
      <c r="C417" t="s">
        <v>21</v>
      </c>
      <c r="D417" t="s">
        <v>22</v>
      </c>
      <c r="E417" t="s">
        <v>261</v>
      </c>
      <c r="F417" s="107">
        <v>292993439</v>
      </c>
    </row>
    <row r="418" spans="1:6" hidden="1" x14ac:dyDescent="0.25">
      <c r="A418" s="210" t="s">
        <v>1615</v>
      </c>
      <c r="B418" s="100">
        <v>46146</v>
      </c>
      <c r="C418" t="s">
        <v>21</v>
      </c>
      <c r="D418" t="s">
        <v>22</v>
      </c>
      <c r="E418" t="s">
        <v>261</v>
      </c>
      <c r="F418" s="107">
        <v>66971258</v>
      </c>
    </row>
    <row r="419" spans="1:6" x14ac:dyDescent="0.25">
      <c r="A419" s="210" t="s">
        <v>1672</v>
      </c>
      <c r="B419" s="100">
        <v>46146</v>
      </c>
      <c r="C419" t="s">
        <v>21</v>
      </c>
      <c r="D419" t="s">
        <v>22</v>
      </c>
      <c r="E419" t="s">
        <v>83</v>
      </c>
      <c r="F419" s="107">
        <v>14352166</v>
      </c>
    </row>
    <row r="420" spans="1:6" hidden="1" x14ac:dyDescent="0.25">
      <c r="A420" s="210" t="s">
        <v>1697</v>
      </c>
      <c r="B420" s="100">
        <v>46146</v>
      </c>
      <c r="C420" t="s">
        <v>2214</v>
      </c>
      <c r="D420" t="s">
        <v>24</v>
      </c>
      <c r="F420" s="107">
        <v>-1550000</v>
      </c>
    </row>
    <row r="421" spans="1:6" hidden="1" x14ac:dyDescent="0.25">
      <c r="A421" s="210" t="s">
        <v>1701</v>
      </c>
      <c r="B421" s="100">
        <v>46146</v>
      </c>
      <c r="C421" t="s">
        <v>21</v>
      </c>
      <c r="D421" t="s">
        <v>22</v>
      </c>
      <c r="E421" t="s">
        <v>726</v>
      </c>
      <c r="F421" s="107">
        <v>40000000</v>
      </c>
    </row>
    <row r="422" spans="1:6" hidden="1" x14ac:dyDescent="0.25">
      <c r="A422" s="210" t="s">
        <v>1822</v>
      </c>
      <c r="B422" s="100">
        <v>46146</v>
      </c>
      <c r="C422" t="s">
        <v>21</v>
      </c>
      <c r="D422" t="s">
        <v>22</v>
      </c>
      <c r="E422" t="s">
        <v>261</v>
      </c>
      <c r="F422" s="107">
        <v>131070000</v>
      </c>
    </row>
    <row r="423" spans="1:6" hidden="1" x14ac:dyDescent="0.25">
      <c r="A423" s="210" t="s">
        <v>2160</v>
      </c>
      <c r="B423" s="100">
        <v>46146</v>
      </c>
      <c r="C423" t="s">
        <v>21</v>
      </c>
      <c r="D423" t="s">
        <v>22</v>
      </c>
      <c r="E423" t="s">
        <v>726</v>
      </c>
      <c r="F423" s="107">
        <v>20000000</v>
      </c>
    </row>
    <row r="424" spans="1:6" hidden="1" x14ac:dyDescent="0.25">
      <c r="A424" s="210" t="s">
        <v>1475</v>
      </c>
      <c r="B424" s="100">
        <v>46145</v>
      </c>
      <c r="C424" t="s">
        <v>21</v>
      </c>
      <c r="D424" t="s">
        <v>22</v>
      </c>
      <c r="E424" t="s">
        <v>47</v>
      </c>
      <c r="F424" s="107">
        <v>52800000</v>
      </c>
    </row>
    <row r="425" spans="1:6" hidden="1" x14ac:dyDescent="0.25">
      <c r="A425" s="210" t="s">
        <v>1478</v>
      </c>
      <c r="B425" s="100">
        <v>46145</v>
      </c>
      <c r="C425" t="s">
        <v>21</v>
      </c>
      <c r="D425" t="s">
        <v>22</v>
      </c>
      <c r="E425" t="s">
        <v>2067</v>
      </c>
      <c r="F425" s="107">
        <v>59900000</v>
      </c>
    </row>
    <row r="426" spans="1:6" hidden="1" x14ac:dyDescent="0.25">
      <c r="A426" s="210" t="s">
        <v>1531</v>
      </c>
      <c r="B426" s="100">
        <v>46145</v>
      </c>
      <c r="C426" t="s">
        <v>21</v>
      </c>
      <c r="D426" t="s">
        <v>22</v>
      </c>
      <c r="E426" t="s">
        <v>726</v>
      </c>
      <c r="F426" s="107">
        <v>20000000</v>
      </c>
    </row>
    <row r="427" spans="1:6" hidden="1" x14ac:dyDescent="0.25">
      <c r="A427" s="210" t="s">
        <v>1475</v>
      </c>
      <c r="B427" s="100">
        <v>46144</v>
      </c>
      <c r="C427" t="s">
        <v>21</v>
      </c>
      <c r="D427" t="s">
        <v>22</v>
      </c>
      <c r="E427" t="s">
        <v>47</v>
      </c>
      <c r="F427" s="107">
        <v>29600000</v>
      </c>
    </row>
    <row r="428" spans="1:6" hidden="1" x14ac:dyDescent="0.25">
      <c r="A428" s="210" t="s">
        <v>1595</v>
      </c>
      <c r="B428" s="100">
        <v>46144</v>
      </c>
      <c r="C428" t="s">
        <v>21</v>
      </c>
      <c r="D428" t="s">
        <v>22</v>
      </c>
      <c r="E428" t="s">
        <v>726</v>
      </c>
      <c r="F428" s="107">
        <v>40000000</v>
      </c>
    </row>
    <row r="429" spans="1:6" hidden="1" x14ac:dyDescent="0.25">
      <c r="A429" s="210" t="s">
        <v>1566</v>
      </c>
      <c r="B429" s="100">
        <v>46142</v>
      </c>
      <c r="C429" t="s">
        <v>21</v>
      </c>
      <c r="D429" t="s">
        <v>22</v>
      </c>
      <c r="E429" t="s">
        <v>261</v>
      </c>
      <c r="F429" s="107">
        <v>32250000</v>
      </c>
    </row>
    <row r="430" spans="1:6" hidden="1" x14ac:dyDescent="0.25">
      <c r="A430" s="210" t="s">
        <v>1478</v>
      </c>
      <c r="B430" s="100">
        <v>46141</v>
      </c>
      <c r="C430" t="s">
        <v>21</v>
      </c>
      <c r="D430" t="s">
        <v>22</v>
      </c>
      <c r="E430" t="s">
        <v>2067</v>
      </c>
      <c r="F430" s="107">
        <v>19870000</v>
      </c>
    </row>
    <row r="431" spans="1:6" hidden="1" x14ac:dyDescent="0.25">
      <c r="A431" s="210" t="s">
        <v>1485</v>
      </c>
      <c r="B431" s="100">
        <v>46141</v>
      </c>
      <c r="C431" t="s">
        <v>21</v>
      </c>
      <c r="D431" t="s">
        <v>22</v>
      </c>
      <c r="E431" t="s">
        <v>147</v>
      </c>
      <c r="F431" s="107">
        <v>100000000</v>
      </c>
    </row>
    <row r="432" spans="1:6" hidden="1" x14ac:dyDescent="0.25">
      <c r="A432" s="210" t="s">
        <v>1496</v>
      </c>
      <c r="B432" s="100">
        <v>46141</v>
      </c>
      <c r="C432" t="s">
        <v>21</v>
      </c>
      <c r="D432" t="s">
        <v>22</v>
      </c>
      <c r="E432" t="s">
        <v>147</v>
      </c>
      <c r="F432" s="107">
        <v>65000000</v>
      </c>
    </row>
    <row r="433" spans="1:6" hidden="1" x14ac:dyDescent="0.25">
      <c r="A433" s="210" t="s">
        <v>1504</v>
      </c>
      <c r="B433" s="100">
        <v>46141</v>
      </c>
      <c r="C433" t="s">
        <v>21</v>
      </c>
      <c r="D433" t="s">
        <v>22</v>
      </c>
      <c r="E433" t="s">
        <v>147</v>
      </c>
      <c r="F433" s="107">
        <v>171497920</v>
      </c>
    </row>
    <row r="434" spans="1:6" hidden="1" x14ac:dyDescent="0.25">
      <c r="A434" s="210" t="s">
        <v>1512</v>
      </c>
      <c r="B434" s="100">
        <v>46141</v>
      </c>
      <c r="C434" t="s">
        <v>21</v>
      </c>
      <c r="D434" t="s">
        <v>22</v>
      </c>
      <c r="E434" t="s">
        <v>261</v>
      </c>
      <c r="F434" s="107">
        <v>100000000</v>
      </c>
    </row>
    <row r="435" spans="1:6" hidden="1" x14ac:dyDescent="0.25">
      <c r="A435" s="210" t="s">
        <v>1527</v>
      </c>
      <c r="B435" s="100">
        <v>46141</v>
      </c>
      <c r="C435" t="s">
        <v>21</v>
      </c>
      <c r="D435" t="s">
        <v>22</v>
      </c>
      <c r="E435" t="s">
        <v>147</v>
      </c>
      <c r="F435" s="107">
        <v>163066000</v>
      </c>
    </row>
    <row r="436" spans="1:6" hidden="1" x14ac:dyDescent="0.25">
      <c r="A436" s="210" t="s">
        <v>1536</v>
      </c>
      <c r="B436" s="100">
        <v>46141</v>
      </c>
      <c r="C436" t="s">
        <v>21</v>
      </c>
      <c r="D436" t="s">
        <v>22</v>
      </c>
      <c r="E436" t="s">
        <v>147</v>
      </c>
      <c r="F436" s="107">
        <v>14520000</v>
      </c>
    </row>
    <row r="437" spans="1:6" x14ac:dyDescent="0.25">
      <c r="A437" s="210" t="s">
        <v>1538</v>
      </c>
      <c r="B437" s="100">
        <v>46141</v>
      </c>
      <c r="C437" t="s">
        <v>21</v>
      </c>
      <c r="D437" t="s">
        <v>22</v>
      </c>
      <c r="E437" t="s">
        <v>83</v>
      </c>
      <c r="F437" s="107">
        <v>124209000</v>
      </c>
    </row>
    <row r="438" spans="1:6" hidden="1" x14ac:dyDescent="0.25">
      <c r="A438" s="210" t="s">
        <v>1547</v>
      </c>
      <c r="B438" s="100">
        <v>46141</v>
      </c>
      <c r="C438" t="s">
        <v>21</v>
      </c>
      <c r="D438" t="s">
        <v>22</v>
      </c>
      <c r="E438" t="s">
        <v>261</v>
      </c>
      <c r="F438" s="107">
        <v>100000000</v>
      </c>
    </row>
    <row r="439" spans="1:6" hidden="1" x14ac:dyDescent="0.25">
      <c r="A439" s="210" t="s">
        <v>1558</v>
      </c>
      <c r="B439" s="100">
        <v>46141</v>
      </c>
      <c r="C439" t="s">
        <v>21</v>
      </c>
      <c r="D439" t="s">
        <v>24</v>
      </c>
      <c r="F439" s="107">
        <v>190000000</v>
      </c>
    </row>
    <row r="440" spans="1:6" hidden="1" x14ac:dyDescent="0.25">
      <c r="A440" s="210" t="s">
        <v>1575</v>
      </c>
      <c r="B440" s="100">
        <v>46141</v>
      </c>
      <c r="C440" t="s">
        <v>21</v>
      </c>
      <c r="D440" t="s">
        <v>22</v>
      </c>
      <c r="E440" t="s">
        <v>261</v>
      </c>
      <c r="F440" s="107">
        <v>100000000</v>
      </c>
    </row>
    <row r="441" spans="1:6" x14ac:dyDescent="0.25">
      <c r="A441" s="210" t="s">
        <v>1579</v>
      </c>
      <c r="B441" s="100">
        <v>46141</v>
      </c>
      <c r="C441" t="s">
        <v>21</v>
      </c>
      <c r="D441" t="s">
        <v>22</v>
      </c>
      <c r="E441" t="s">
        <v>83</v>
      </c>
      <c r="F441" s="107">
        <v>200000000</v>
      </c>
    </row>
    <row r="442" spans="1:6" hidden="1" x14ac:dyDescent="0.25">
      <c r="A442" s="210" t="s">
        <v>1592</v>
      </c>
      <c r="B442" s="100">
        <v>46141</v>
      </c>
      <c r="C442" t="s">
        <v>21</v>
      </c>
      <c r="D442" t="s">
        <v>22</v>
      </c>
      <c r="E442" t="s">
        <v>261</v>
      </c>
      <c r="F442" s="107">
        <v>100000000</v>
      </c>
    </row>
    <row r="443" spans="1:6" hidden="1" x14ac:dyDescent="0.25">
      <c r="A443" s="210" t="s">
        <v>1593</v>
      </c>
      <c r="B443" s="100">
        <v>46141</v>
      </c>
      <c r="C443" t="s">
        <v>21</v>
      </c>
      <c r="D443" t="s">
        <v>22</v>
      </c>
      <c r="E443" t="s">
        <v>261</v>
      </c>
      <c r="F443" s="107">
        <v>47400000</v>
      </c>
    </row>
    <row r="444" spans="1:6" hidden="1" x14ac:dyDescent="0.25">
      <c r="A444" s="210" t="s">
        <v>1593</v>
      </c>
      <c r="B444" s="100">
        <v>46141</v>
      </c>
      <c r="C444" t="s">
        <v>21</v>
      </c>
      <c r="D444" t="s">
        <v>22</v>
      </c>
      <c r="E444" t="s">
        <v>261</v>
      </c>
      <c r="F444" s="107">
        <v>26200000</v>
      </c>
    </row>
    <row r="445" spans="1:6" hidden="1" x14ac:dyDescent="0.25">
      <c r="A445" s="210" t="s">
        <v>1595</v>
      </c>
      <c r="B445" s="100">
        <v>46141</v>
      </c>
      <c r="C445" t="s">
        <v>21</v>
      </c>
      <c r="D445" t="s">
        <v>22</v>
      </c>
      <c r="E445" t="s">
        <v>726</v>
      </c>
      <c r="F445" s="107">
        <v>32405000</v>
      </c>
    </row>
    <row r="446" spans="1:6" hidden="1" x14ac:dyDescent="0.25">
      <c r="A446" s="210" t="s">
        <v>1600</v>
      </c>
      <c r="B446" s="100">
        <v>46141</v>
      </c>
      <c r="C446" t="s">
        <v>21</v>
      </c>
      <c r="D446" t="s">
        <v>22</v>
      </c>
      <c r="E446" t="s">
        <v>147</v>
      </c>
      <c r="F446" s="107">
        <v>60000000</v>
      </c>
    </row>
    <row r="447" spans="1:6" hidden="1" x14ac:dyDescent="0.25">
      <c r="A447" s="210" t="s">
        <v>1621</v>
      </c>
      <c r="B447" s="100">
        <v>46141</v>
      </c>
      <c r="C447" t="s">
        <v>21</v>
      </c>
      <c r="D447" t="s">
        <v>22</v>
      </c>
      <c r="E447" t="s">
        <v>2067</v>
      </c>
      <c r="F447" s="107">
        <v>30000000</v>
      </c>
    </row>
    <row r="448" spans="1:6" hidden="1" x14ac:dyDescent="0.25">
      <c r="A448" s="210" t="s">
        <v>1623</v>
      </c>
      <c r="B448" s="100">
        <v>46141</v>
      </c>
      <c r="C448" t="s">
        <v>21</v>
      </c>
      <c r="D448" t="s">
        <v>22</v>
      </c>
      <c r="E448" t="s">
        <v>147</v>
      </c>
      <c r="F448" s="107">
        <v>80000000</v>
      </c>
    </row>
    <row r="449" spans="1:6" hidden="1" x14ac:dyDescent="0.25">
      <c r="A449" s="210" t="s">
        <v>1626</v>
      </c>
      <c r="B449" s="100">
        <v>46141</v>
      </c>
      <c r="C449" t="s">
        <v>21</v>
      </c>
      <c r="D449" t="s">
        <v>22</v>
      </c>
      <c r="E449" t="s">
        <v>147</v>
      </c>
      <c r="F449" s="107">
        <v>144330983</v>
      </c>
    </row>
    <row r="450" spans="1:6" hidden="1" x14ac:dyDescent="0.25">
      <c r="A450" s="210" t="s">
        <v>1628</v>
      </c>
      <c r="B450" s="100">
        <v>46141</v>
      </c>
      <c r="C450" t="s">
        <v>21</v>
      </c>
      <c r="D450" t="s">
        <v>22</v>
      </c>
      <c r="E450" t="s">
        <v>147</v>
      </c>
      <c r="F450" s="107">
        <v>25688000</v>
      </c>
    </row>
    <row r="451" spans="1:6" hidden="1" x14ac:dyDescent="0.25">
      <c r="A451" s="210" t="s">
        <v>1633</v>
      </c>
      <c r="B451" s="100">
        <v>46141</v>
      </c>
      <c r="C451" t="s">
        <v>21</v>
      </c>
      <c r="D451" t="s">
        <v>22</v>
      </c>
      <c r="E451" t="s">
        <v>261</v>
      </c>
      <c r="F451" s="107">
        <v>145000000</v>
      </c>
    </row>
    <row r="452" spans="1:6" x14ac:dyDescent="0.25">
      <c r="A452" s="210" t="s">
        <v>1635</v>
      </c>
      <c r="B452" s="100">
        <v>46141</v>
      </c>
      <c r="C452" t="s">
        <v>21</v>
      </c>
      <c r="D452" t="s">
        <v>22</v>
      </c>
      <c r="E452" t="s">
        <v>83</v>
      </c>
      <c r="F452" s="107">
        <v>100000000</v>
      </c>
    </row>
    <row r="453" spans="1:6" hidden="1" x14ac:dyDescent="0.25">
      <c r="A453" s="210" t="s">
        <v>1641</v>
      </c>
      <c r="B453" s="100">
        <v>46141</v>
      </c>
      <c r="C453" t="s">
        <v>21</v>
      </c>
      <c r="D453" t="s">
        <v>22</v>
      </c>
      <c r="E453" t="s">
        <v>147</v>
      </c>
      <c r="F453" s="107">
        <v>100000000</v>
      </c>
    </row>
    <row r="454" spans="1:6" hidden="1" x14ac:dyDescent="0.25">
      <c r="A454" s="210" t="s">
        <v>1658</v>
      </c>
      <c r="B454" s="100">
        <v>46141</v>
      </c>
      <c r="C454" t="s">
        <v>21</v>
      </c>
      <c r="D454" t="s">
        <v>22</v>
      </c>
      <c r="E454" t="s">
        <v>261</v>
      </c>
      <c r="F454" s="107">
        <v>40000000</v>
      </c>
    </row>
    <row r="455" spans="1:6" hidden="1" x14ac:dyDescent="0.25">
      <c r="A455" s="210" t="s">
        <v>2016</v>
      </c>
      <c r="B455" s="100">
        <v>46141</v>
      </c>
      <c r="C455" t="s">
        <v>2214</v>
      </c>
      <c r="D455" t="s">
        <v>22</v>
      </c>
      <c r="E455" t="s">
        <v>261</v>
      </c>
      <c r="F455" s="107">
        <v>-100000000</v>
      </c>
    </row>
    <row r="456" spans="1:6" hidden="1" x14ac:dyDescent="0.25">
      <c r="A456" s="210" t="s">
        <v>1668</v>
      </c>
      <c r="B456" s="100">
        <v>46141</v>
      </c>
      <c r="C456" t="s">
        <v>21</v>
      </c>
      <c r="D456" t="s">
        <v>22</v>
      </c>
      <c r="E456" t="s">
        <v>147</v>
      </c>
      <c r="F456" s="107">
        <v>100000000</v>
      </c>
    </row>
    <row r="457" spans="1:6" x14ac:dyDescent="0.25">
      <c r="A457" s="210" t="s">
        <v>1694</v>
      </c>
      <c r="B457" s="100">
        <v>46141</v>
      </c>
      <c r="C457" t="s">
        <v>21</v>
      </c>
      <c r="D457" t="s">
        <v>22</v>
      </c>
      <c r="E457" t="s">
        <v>83</v>
      </c>
      <c r="F457" s="107">
        <v>144173441</v>
      </c>
    </row>
    <row r="458" spans="1:6" hidden="1" x14ac:dyDescent="0.25">
      <c r="A458" s="210" t="s">
        <v>1699</v>
      </c>
      <c r="B458" s="100">
        <v>46141</v>
      </c>
      <c r="C458" t="s">
        <v>21</v>
      </c>
      <c r="D458" t="s">
        <v>24</v>
      </c>
      <c r="F458" s="107">
        <v>188972000</v>
      </c>
    </row>
    <row r="459" spans="1:6" hidden="1" x14ac:dyDescent="0.25">
      <c r="A459" s="210" t="s">
        <v>1714</v>
      </c>
      <c r="B459" s="100">
        <v>46141</v>
      </c>
      <c r="C459" t="s">
        <v>21</v>
      </c>
      <c r="D459" t="s">
        <v>22</v>
      </c>
      <c r="E459" t="s">
        <v>147</v>
      </c>
      <c r="F459" s="107">
        <v>150000000</v>
      </c>
    </row>
    <row r="460" spans="1:6" hidden="1" x14ac:dyDescent="0.25">
      <c r="A460" s="210" t="s">
        <v>2093</v>
      </c>
      <c r="B460" s="100">
        <v>46141</v>
      </c>
      <c r="C460" t="s">
        <v>21</v>
      </c>
      <c r="D460" t="s">
        <v>22</v>
      </c>
      <c r="E460" t="s">
        <v>727</v>
      </c>
      <c r="F460" s="107">
        <v>30000000</v>
      </c>
    </row>
    <row r="461" spans="1:6" hidden="1" x14ac:dyDescent="0.25">
      <c r="A461" s="210" t="s">
        <v>1477</v>
      </c>
      <c r="B461" s="100">
        <v>46140</v>
      </c>
      <c r="C461" t="s">
        <v>21</v>
      </c>
      <c r="D461" t="s">
        <v>24</v>
      </c>
      <c r="F461" s="107">
        <v>76350000</v>
      </c>
    </row>
    <row r="462" spans="1:6" hidden="1" x14ac:dyDescent="0.25">
      <c r="A462" s="210" t="s">
        <v>1478</v>
      </c>
      <c r="B462" s="100">
        <v>46140</v>
      </c>
      <c r="C462" t="s">
        <v>21</v>
      </c>
      <c r="D462" t="s">
        <v>22</v>
      </c>
      <c r="E462" t="s">
        <v>2067</v>
      </c>
      <c r="F462" s="107">
        <v>20930000</v>
      </c>
    </row>
    <row r="463" spans="1:6" hidden="1" x14ac:dyDescent="0.25">
      <c r="A463" s="210" t="s">
        <v>1479</v>
      </c>
      <c r="B463" s="100">
        <v>46140</v>
      </c>
      <c r="C463" t="s">
        <v>21</v>
      </c>
      <c r="D463" t="s">
        <v>22</v>
      </c>
      <c r="E463" t="s">
        <v>147</v>
      </c>
      <c r="F463" s="107">
        <v>300000000</v>
      </c>
    </row>
    <row r="464" spans="1:6" x14ac:dyDescent="0.25">
      <c r="A464" s="210" t="s">
        <v>1494</v>
      </c>
      <c r="B464" s="100">
        <v>46140</v>
      </c>
      <c r="C464" t="s">
        <v>21</v>
      </c>
      <c r="D464" t="s">
        <v>22</v>
      </c>
      <c r="E464" t="s">
        <v>83</v>
      </c>
      <c r="F464" s="107">
        <v>50000000</v>
      </c>
    </row>
    <row r="465" spans="1:6" hidden="1" x14ac:dyDescent="0.25">
      <c r="A465" s="210" t="s">
        <v>1505</v>
      </c>
      <c r="B465" s="100">
        <v>46140</v>
      </c>
      <c r="C465" t="s">
        <v>21</v>
      </c>
      <c r="D465" t="s">
        <v>22</v>
      </c>
      <c r="E465" t="s">
        <v>261</v>
      </c>
      <c r="F465" s="107">
        <v>95423830</v>
      </c>
    </row>
    <row r="466" spans="1:6" x14ac:dyDescent="0.25">
      <c r="A466" s="210" t="s">
        <v>1518</v>
      </c>
      <c r="B466" s="100">
        <v>46140</v>
      </c>
      <c r="C466" t="s">
        <v>21</v>
      </c>
      <c r="D466" t="s">
        <v>22</v>
      </c>
      <c r="E466" t="s">
        <v>83</v>
      </c>
      <c r="F466" s="107">
        <v>50000000</v>
      </c>
    </row>
    <row r="467" spans="1:6" hidden="1" x14ac:dyDescent="0.25">
      <c r="A467" s="210" t="s">
        <v>1531</v>
      </c>
      <c r="B467" s="100">
        <v>46140</v>
      </c>
      <c r="C467" t="s">
        <v>21</v>
      </c>
      <c r="D467" t="s">
        <v>22</v>
      </c>
      <c r="E467" t="s">
        <v>727</v>
      </c>
      <c r="F467" s="107">
        <v>97678000</v>
      </c>
    </row>
    <row r="468" spans="1:6" hidden="1" x14ac:dyDescent="0.25">
      <c r="A468" s="210" t="s">
        <v>1531</v>
      </c>
      <c r="B468" s="100">
        <v>46140</v>
      </c>
      <c r="C468" t="s">
        <v>21</v>
      </c>
      <c r="D468" t="s">
        <v>24</v>
      </c>
      <c r="F468" s="107">
        <v>118220000</v>
      </c>
    </row>
    <row r="469" spans="1:6" hidden="1" x14ac:dyDescent="0.25">
      <c r="A469" s="210" t="s">
        <v>1536</v>
      </c>
      <c r="B469" s="100">
        <v>46140</v>
      </c>
      <c r="C469" t="s">
        <v>21</v>
      </c>
      <c r="F469" s="107">
        <v>216182174</v>
      </c>
    </row>
    <row r="470" spans="1:6" hidden="1" x14ac:dyDescent="0.25">
      <c r="A470" s="210" t="s">
        <v>1538</v>
      </c>
      <c r="B470" s="100">
        <v>46140</v>
      </c>
      <c r="C470" t="s">
        <v>21</v>
      </c>
      <c r="D470" t="s">
        <v>22</v>
      </c>
      <c r="E470" t="s">
        <v>261</v>
      </c>
      <c r="F470" s="107">
        <v>94855719</v>
      </c>
    </row>
    <row r="471" spans="1:6" hidden="1" x14ac:dyDescent="0.25">
      <c r="A471" s="210" t="s">
        <v>1541</v>
      </c>
      <c r="B471" s="100">
        <v>46140</v>
      </c>
      <c r="C471" t="s">
        <v>21</v>
      </c>
      <c r="D471" t="s">
        <v>260</v>
      </c>
      <c r="E471" t="s">
        <v>261</v>
      </c>
      <c r="F471" s="107">
        <v>200000000</v>
      </c>
    </row>
    <row r="472" spans="1:6" hidden="1" x14ac:dyDescent="0.25">
      <c r="A472" s="210" t="s">
        <v>1545</v>
      </c>
      <c r="B472" s="100">
        <v>46140</v>
      </c>
      <c r="C472" t="s">
        <v>21</v>
      </c>
      <c r="D472" t="s">
        <v>22</v>
      </c>
      <c r="E472" t="s">
        <v>147</v>
      </c>
      <c r="F472" s="107">
        <v>100000000</v>
      </c>
    </row>
    <row r="473" spans="1:6" x14ac:dyDescent="0.25">
      <c r="A473" s="210" t="s">
        <v>1552</v>
      </c>
      <c r="B473" s="100">
        <v>46140</v>
      </c>
      <c r="C473" t="s">
        <v>21</v>
      </c>
      <c r="D473" t="s">
        <v>22</v>
      </c>
      <c r="E473" t="s">
        <v>83</v>
      </c>
      <c r="F473" s="107">
        <v>367935150</v>
      </c>
    </row>
    <row r="474" spans="1:6" hidden="1" x14ac:dyDescent="0.25">
      <c r="A474" s="210" t="s">
        <v>1562</v>
      </c>
      <c r="B474" s="100">
        <v>46140</v>
      </c>
      <c r="C474" t="s">
        <v>21</v>
      </c>
      <c r="D474" t="s">
        <v>22</v>
      </c>
      <c r="E474" t="s">
        <v>147</v>
      </c>
      <c r="F474" s="107">
        <v>100000000</v>
      </c>
    </row>
    <row r="475" spans="1:6" hidden="1" x14ac:dyDescent="0.25">
      <c r="A475" s="210" t="s">
        <v>1595</v>
      </c>
      <c r="B475" s="100">
        <v>46140</v>
      </c>
      <c r="C475" t="s">
        <v>21</v>
      </c>
      <c r="D475" t="s">
        <v>24</v>
      </c>
      <c r="F475" s="107">
        <v>50000000</v>
      </c>
    </row>
    <row r="476" spans="1:6" hidden="1" x14ac:dyDescent="0.25">
      <c r="A476" s="210" t="s">
        <v>1610</v>
      </c>
      <c r="B476" s="100">
        <v>46140</v>
      </c>
      <c r="C476" t="s">
        <v>21</v>
      </c>
      <c r="D476" t="s">
        <v>22</v>
      </c>
      <c r="E476" t="s">
        <v>261</v>
      </c>
      <c r="F476" s="107">
        <v>92109160</v>
      </c>
    </row>
    <row r="477" spans="1:6" hidden="1" x14ac:dyDescent="0.25">
      <c r="A477" s="210" t="s">
        <v>2548</v>
      </c>
      <c r="B477" s="100">
        <v>46140</v>
      </c>
      <c r="C477" t="s">
        <v>21</v>
      </c>
      <c r="D477" t="s">
        <v>22</v>
      </c>
      <c r="E477" t="s">
        <v>261</v>
      </c>
      <c r="F477" s="107">
        <v>182161822</v>
      </c>
    </row>
    <row r="478" spans="1:6" hidden="1" x14ac:dyDescent="0.25">
      <c r="A478" s="210" t="s">
        <v>1622</v>
      </c>
      <c r="B478" s="100">
        <v>46140</v>
      </c>
      <c r="C478" t="s">
        <v>21</v>
      </c>
      <c r="D478" t="s">
        <v>22</v>
      </c>
      <c r="E478" t="s">
        <v>261</v>
      </c>
      <c r="F478" s="107">
        <v>177957309</v>
      </c>
    </row>
    <row r="479" spans="1:6" hidden="1" x14ac:dyDescent="0.25">
      <c r="A479" s="210" t="s">
        <v>1627</v>
      </c>
      <c r="B479" s="100">
        <v>46140</v>
      </c>
      <c r="C479" t="s">
        <v>21</v>
      </c>
      <c r="D479" t="s">
        <v>260</v>
      </c>
      <c r="E479" t="s">
        <v>261</v>
      </c>
      <c r="F479" s="107">
        <v>50000000</v>
      </c>
    </row>
    <row r="480" spans="1:6" x14ac:dyDescent="0.25">
      <c r="A480" s="210" t="s">
        <v>1638</v>
      </c>
      <c r="B480" s="100">
        <v>46140</v>
      </c>
      <c r="C480" t="s">
        <v>21</v>
      </c>
      <c r="D480" t="s">
        <v>22</v>
      </c>
      <c r="E480" t="s">
        <v>83</v>
      </c>
      <c r="F480" s="107">
        <v>10062000</v>
      </c>
    </row>
    <row r="481" spans="1:6" hidden="1" x14ac:dyDescent="0.25">
      <c r="A481" s="210" t="s">
        <v>1676</v>
      </c>
      <c r="B481" s="100">
        <v>46140</v>
      </c>
      <c r="C481" t="s">
        <v>21</v>
      </c>
      <c r="D481" t="s">
        <v>22</v>
      </c>
      <c r="E481" t="s">
        <v>261</v>
      </c>
      <c r="F481" s="107">
        <v>100000000</v>
      </c>
    </row>
    <row r="482" spans="1:6" hidden="1" x14ac:dyDescent="0.25">
      <c r="A482" s="210" t="s">
        <v>1692</v>
      </c>
      <c r="B482" s="100">
        <v>46140</v>
      </c>
      <c r="C482" t="s">
        <v>21</v>
      </c>
      <c r="D482" t="s">
        <v>260</v>
      </c>
      <c r="E482" t="s">
        <v>261</v>
      </c>
      <c r="F482" s="107">
        <v>100000000</v>
      </c>
    </row>
    <row r="483" spans="1:6" hidden="1" x14ac:dyDescent="0.25">
      <c r="A483" s="210" t="s">
        <v>1706</v>
      </c>
      <c r="B483" s="100">
        <v>46140</v>
      </c>
      <c r="C483" t="s">
        <v>2214</v>
      </c>
      <c r="D483" t="s">
        <v>22</v>
      </c>
      <c r="E483" t="s">
        <v>147</v>
      </c>
      <c r="F483" s="107">
        <v>-978849558</v>
      </c>
    </row>
    <row r="484" spans="1:6" hidden="1" x14ac:dyDescent="0.25">
      <c r="A484" s="210" t="s">
        <v>1478</v>
      </c>
      <c r="B484" s="100">
        <v>46139</v>
      </c>
      <c r="C484" t="s">
        <v>21</v>
      </c>
      <c r="D484" t="s">
        <v>22</v>
      </c>
      <c r="E484" t="s">
        <v>2067</v>
      </c>
      <c r="F484" s="107">
        <v>100000000</v>
      </c>
    </row>
    <row r="485" spans="1:6" hidden="1" x14ac:dyDescent="0.25">
      <c r="A485" s="210" t="s">
        <v>1478</v>
      </c>
      <c r="B485" s="100">
        <v>46139</v>
      </c>
      <c r="C485" t="s">
        <v>21</v>
      </c>
      <c r="D485" t="s">
        <v>22</v>
      </c>
      <c r="E485" t="s">
        <v>2067</v>
      </c>
      <c r="F485" s="107">
        <v>5000000</v>
      </c>
    </row>
    <row r="486" spans="1:6" hidden="1" x14ac:dyDescent="0.25">
      <c r="A486" s="210" t="s">
        <v>1478</v>
      </c>
      <c r="B486" s="100">
        <v>46139</v>
      </c>
      <c r="C486" t="s">
        <v>21</v>
      </c>
      <c r="F486" s="107">
        <v>12040000</v>
      </c>
    </row>
    <row r="487" spans="1:6" hidden="1" x14ac:dyDescent="0.25">
      <c r="A487" s="210" t="s">
        <v>1499</v>
      </c>
      <c r="B487" s="100">
        <v>46139</v>
      </c>
      <c r="C487" t="s">
        <v>21</v>
      </c>
      <c r="D487" t="s">
        <v>22</v>
      </c>
      <c r="E487" t="s">
        <v>261</v>
      </c>
      <c r="F487" s="107">
        <v>100000000</v>
      </c>
    </row>
    <row r="488" spans="1:6" hidden="1" x14ac:dyDescent="0.25">
      <c r="A488" s="210" t="s">
        <v>1524</v>
      </c>
      <c r="B488" s="100">
        <v>46139</v>
      </c>
      <c r="C488" t="s">
        <v>654</v>
      </c>
      <c r="D488" t="s">
        <v>22</v>
      </c>
      <c r="E488" t="s">
        <v>2067</v>
      </c>
      <c r="F488" s="107">
        <v>-113520000</v>
      </c>
    </row>
    <row r="489" spans="1:6" hidden="1" x14ac:dyDescent="0.25">
      <c r="A489" s="210" t="s">
        <v>1531</v>
      </c>
      <c r="B489" s="100">
        <v>46139</v>
      </c>
      <c r="C489" t="s">
        <v>21</v>
      </c>
      <c r="D489" t="s">
        <v>24</v>
      </c>
      <c r="F489" s="107">
        <v>140000000</v>
      </c>
    </row>
    <row r="490" spans="1:6" hidden="1" x14ac:dyDescent="0.25">
      <c r="A490" s="210" t="s">
        <v>1554</v>
      </c>
      <c r="B490" s="100">
        <v>46139</v>
      </c>
      <c r="C490" t="s">
        <v>21</v>
      </c>
      <c r="D490" t="s">
        <v>24</v>
      </c>
      <c r="F490" s="107">
        <v>30000000</v>
      </c>
    </row>
    <row r="491" spans="1:6" hidden="1" x14ac:dyDescent="0.25">
      <c r="A491" s="210" t="s">
        <v>1582</v>
      </c>
      <c r="B491" s="100">
        <v>46139</v>
      </c>
      <c r="C491" t="s">
        <v>21</v>
      </c>
      <c r="D491" t="s">
        <v>22</v>
      </c>
      <c r="E491" t="s">
        <v>261</v>
      </c>
      <c r="F491" s="107">
        <v>135000000</v>
      </c>
    </row>
    <row r="492" spans="1:6" hidden="1" x14ac:dyDescent="0.25">
      <c r="A492" s="210" t="s">
        <v>1593</v>
      </c>
      <c r="B492" s="100">
        <v>46139</v>
      </c>
      <c r="C492" t="s">
        <v>21</v>
      </c>
      <c r="D492" t="s">
        <v>22</v>
      </c>
      <c r="E492" t="s">
        <v>261</v>
      </c>
      <c r="F492" s="107">
        <v>44240000</v>
      </c>
    </row>
    <row r="493" spans="1:6" x14ac:dyDescent="0.25">
      <c r="A493" s="210" t="s">
        <v>1608</v>
      </c>
      <c r="B493" s="100">
        <v>46139</v>
      </c>
      <c r="C493" t="s">
        <v>21</v>
      </c>
      <c r="D493" t="s">
        <v>22</v>
      </c>
      <c r="E493" t="s">
        <v>83</v>
      </c>
      <c r="F493" s="107">
        <v>200000000</v>
      </c>
    </row>
    <row r="494" spans="1:6" hidden="1" x14ac:dyDescent="0.25">
      <c r="A494" s="210" t="s">
        <v>1672</v>
      </c>
      <c r="B494" s="100">
        <v>46139</v>
      </c>
      <c r="C494" t="s">
        <v>2214</v>
      </c>
      <c r="D494" t="s">
        <v>22</v>
      </c>
      <c r="F494" s="107">
        <v>31682000</v>
      </c>
    </row>
    <row r="495" spans="1:6" hidden="1" x14ac:dyDescent="0.25">
      <c r="A495" s="210" t="s">
        <v>1817</v>
      </c>
      <c r="B495" s="100">
        <v>46139</v>
      </c>
      <c r="C495" t="s">
        <v>21</v>
      </c>
      <c r="D495" t="s">
        <v>22</v>
      </c>
      <c r="E495" t="s">
        <v>261</v>
      </c>
      <c r="F495" s="107">
        <v>999999998</v>
      </c>
    </row>
    <row r="496" spans="1:6" hidden="1" x14ac:dyDescent="0.25">
      <c r="A496" s="210" t="s">
        <v>1827</v>
      </c>
      <c r="B496" s="100">
        <v>46139</v>
      </c>
      <c r="C496" t="s">
        <v>21</v>
      </c>
      <c r="D496" t="s">
        <v>22</v>
      </c>
      <c r="E496" t="s">
        <v>261</v>
      </c>
      <c r="F496" s="107">
        <v>47314346</v>
      </c>
    </row>
    <row r="497" spans="1:6" hidden="1" x14ac:dyDescent="0.25">
      <c r="A497" s="210" t="s">
        <v>1850</v>
      </c>
      <c r="B497" s="100">
        <v>46139</v>
      </c>
      <c r="C497" t="s">
        <v>21</v>
      </c>
      <c r="D497" t="s">
        <v>24</v>
      </c>
      <c r="F497" s="107">
        <v>83010000</v>
      </c>
    </row>
    <row r="498" spans="1:6" hidden="1" x14ac:dyDescent="0.25">
      <c r="A498" s="210" t="s">
        <v>1475</v>
      </c>
      <c r="B498" s="100">
        <v>46138</v>
      </c>
      <c r="C498" t="s">
        <v>21</v>
      </c>
      <c r="D498" t="s">
        <v>22</v>
      </c>
      <c r="E498" t="s">
        <v>47</v>
      </c>
      <c r="F498" s="107">
        <v>33000000</v>
      </c>
    </row>
    <row r="499" spans="1:6" hidden="1" x14ac:dyDescent="0.25">
      <c r="A499" s="210" t="s">
        <v>1475</v>
      </c>
      <c r="B499" s="100">
        <v>46138</v>
      </c>
      <c r="C499" t="s">
        <v>21</v>
      </c>
      <c r="D499" t="s">
        <v>24</v>
      </c>
      <c r="F499" s="107">
        <v>50000000</v>
      </c>
    </row>
    <row r="500" spans="1:6" hidden="1" x14ac:dyDescent="0.25">
      <c r="A500" s="210" t="s">
        <v>1567</v>
      </c>
      <c r="B500" s="100">
        <v>46138</v>
      </c>
      <c r="C500" t="s">
        <v>21</v>
      </c>
      <c r="D500" t="s">
        <v>22</v>
      </c>
      <c r="E500" t="s">
        <v>727</v>
      </c>
      <c r="F500" s="107">
        <v>70000000</v>
      </c>
    </row>
    <row r="501" spans="1:6" hidden="1" x14ac:dyDescent="0.25">
      <c r="A501" s="210" t="s">
        <v>1630</v>
      </c>
      <c r="B501" s="100">
        <v>46138</v>
      </c>
      <c r="C501" t="s">
        <v>21</v>
      </c>
      <c r="D501" t="s">
        <v>22</v>
      </c>
      <c r="E501" t="s">
        <v>147</v>
      </c>
      <c r="F501" s="107">
        <v>45990865</v>
      </c>
    </row>
    <row r="502" spans="1:6" hidden="1" x14ac:dyDescent="0.25">
      <c r="A502" s="210" t="s">
        <v>1489</v>
      </c>
      <c r="B502" s="100">
        <v>46137</v>
      </c>
      <c r="C502" t="s">
        <v>21</v>
      </c>
      <c r="D502" t="s">
        <v>24</v>
      </c>
      <c r="F502" s="107">
        <v>50000000</v>
      </c>
    </row>
    <row r="503" spans="1:6" hidden="1" x14ac:dyDescent="0.25">
      <c r="A503" s="210" t="s">
        <v>1531</v>
      </c>
      <c r="B503" s="100">
        <v>46137</v>
      </c>
      <c r="C503" t="s">
        <v>21</v>
      </c>
      <c r="D503" t="s">
        <v>22</v>
      </c>
      <c r="E503" t="s">
        <v>727</v>
      </c>
      <c r="F503" s="107">
        <v>28304000</v>
      </c>
    </row>
    <row r="504" spans="1:6" hidden="1" x14ac:dyDescent="0.25">
      <c r="A504" s="210" t="s">
        <v>1534</v>
      </c>
      <c r="B504" s="100">
        <v>46137</v>
      </c>
      <c r="C504" t="s">
        <v>21</v>
      </c>
      <c r="D504" t="s">
        <v>22</v>
      </c>
      <c r="E504" t="s">
        <v>261</v>
      </c>
      <c r="F504" s="107">
        <v>100000000</v>
      </c>
    </row>
    <row r="505" spans="1:6" hidden="1" x14ac:dyDescent="0.25">
      <c r="A505" s="210" t="s">
        <v>1541</v>
      </c>
      <c r="B505" s="100">
        <v>46137</v>
      </c>
      <c r="C505" t="s">
        <v>21</v>
      </c>
      <c r="D505" t="s">
        <v>22</v>
      </c>
      <c r="E505" t="s">
        <v>261</v>
      </c>
      <c r="F505" s="107">
        <v>200000000</v>
      </c>
    </row>
    <row r="506" spans="1:6" hidden="1" x14ac:dyDescent="0.25">
      <c r="A506" s="210" t="s">
        <v>1554</v>
      </c>
      <c r="B506" s="100">
        <v>46137</v>
      </c>
      <c r="C506" t="s">
        <v>21</v>
      </c>
      <c r="D506" t="s">
        <v>24</v>
      </c>
      <c r="F506" s="107">
        <v>50000000</v>
      </c>
    </row>
    <row r="507" spans="1:6" x14ac:dyDescent="0.25">
      <c r="A507" s="210" t="s">
        <v>1587</v>
      </c>
      <c r="B507" s="100">
        <v>46137</v>
      </c>
      <c r="C507" t="s">
        <v>21</v>
      </c>
      <c r="D507" t="s">
        <v>22</v>
      </c>
      <c r="E507" t="s">
        <v>83</v>
      </c>
      <c r="F507" s="107">
        <v>300000000</v>
      </c>
    </row>
    <row r="508" spans="1:6" hidden="1" x14ac:dyDescent="0.25">
      <c r="A508" s="210" t="s">
        <v>1609</v>
      </c>
      <c r="B508" s="100">
        <v>46137</v>
      </c>
      <c r="C508" t="s">
        <v>21</v>
      </c>
      <c r="D508" t="s">
        <v>22</v>
      </c>
      <c r="E508" t="s">
        <v>2067</v>
      </c>
      <c r="F508" s="107">
        <v>250000</v>
      </c>
    </row>
    <row r="509" spans="1:6" hidden="1" x14ac:dyDescent="0.25">
      <c r="A509" s="210" t="s">
        <v>1703</v>
      </c>
      <c r="B509" s="100">
        <v>46137</v>
      </c>
      <c r="C509" t="s">
        <v>21</v>
      </c>
      <c r="D509" t="s">
        <v>24</v>
      </c>
      <c r="F509" s="107">
        <v>85000000</v>
      </c>
    </row>
    <row r="510" spans="1:6" hidden="1" x14ac:dyDescent="0.25">
      <c r="A510" s="210" t="s">
        <v>1644</v>
      </c>
      <c r="B510" s="100">
        <v>46137</v>
      </c>
      <c r="C510" t="s">
        <v>21</v>
      </c>
      <c r="D510" t="s">
        <v>22</v>
      </c>
      <c r="E510" t="s">
        <v>147</v>
      </c>
      <c r="F510" s="107">
        <v>24444000</v>
      </c>
    </row>
    <row r="511" spans="1:6" x14ac:dyDescent="0.25">
      <c r="A511" s="210" t="s">
        <v>1672</v>
      </c>
      <c r="B511" s="100">
        <v>46137</v>
      </c>
      <c r="C511" t="s">
        <v>21</v>
      </c>
      <c r="D511" t="s">
        <v>22</v>
      </c>
      <c r="E511" t="s">
        <v>83</v>
      </c>
      <c r="F511" s="107">
        <v>100000000</v>
      </c>
    </row>
    <row r="512" spans="1:6" hidden="1" x14ac:dyDescent="0.25">
      <c r="A512" s="210" t="s">
        <v>1677</v>
      </c>
      <c r="B512" s="100">
        <v>46137</v>
      </c>
      <c r="C512" t="s">
        <v>21</v>
      </c>
      <c r="D512" t="s">
        <v>22</v>
      </c>
      <c r="E512" t="s">
        <v>261</v>
      </c>
      <c r="F512" s="107">
        <v>18327905</v>
      </c>
    </row>
    <row r="513" spans="1:6" hidden="1" x14ac:dyDescent="0.25">
      <c r="A513" s="210" t="s">
        <v>1822</v>
      </c>
      <c r="B513" s="100">
        <v>46137</v>
      </c>
      <c r="C513" t="s">
        <v>21</v>
      </c>
      <c r="D513" t="s">
        <v>22</v>
      </c>
      <c r="E513" t="s">
        <v>261</v>
      </c>
      <c r="F513" s="107">
        <v>62040000</v>
      </c>
    </row>
    <row r="514" spans="1:6" hidden="1" x14ac:dyDescent="0.25">
      <c r="A514" s="210" t="s">
        <v>1475</v>
      </c>
      <c r="B514" s="100">
        <v>46136</v>
      </c>
      <c r="C514" t="s">
        <v>21</v>
      </c>
      <c r="D514" t="s">
        <v>22</v>
      </c>
      <c r="E514" t="s">
        <v>47</v>
      </c>
      <c r="F514" s="107">
        <v>55141000</v>
      </c>
    </row>
    <row r="515" spans="1:6" hidden="1" x14ac:dyDescent="0.25">
      <c r="A515" s="210" t="s">
        <v>1478</v>
      </c>
      <c r="B515" s="100">
        <v>46136</v>
      </c>
      <c r="C515" t="s">
        <v>21</v>
      </c>
      <c r="D515" t="s">
        <v>22</v>
      </c>
      <c r="E515" t="s">
        <v>2067</v>
      </c>
      <c r="F515" s="107">
        <v>4608000</v>
      </c>
    </row>
    <row r="516" spans="1:6" hidden="1" x14ac:dyDescent="0.25">
      <c r="A516" s="210" t="s">
        <v>1485</v>
      </c>
      <c r="B516" s="100">
        <v>46136</v>
      </c>
      <c r="C516" t="s">
        <v>21</v>
      </c>
      <c r="D516" t="s">
        <v>22</v>
      </c>
      <c r="E516" t="s">
        <v>147</v>
      </c>
      <c r="F516" s="107">
        <v>100000000</v>
      </c>
    </row>
    <row r="517" spans="1:6" hidden="1" x14ac:dyDescent="0.25">
      <c r="A517" s="210" t="s">
        <v>1487</v>
      </c>
      <c r="B517" s="100">
        <v>46136</v>
      </c>
      <c r="C517" t="s">
        <v>21</v>
      </c>
      <c r="D517" t="s">
        <v>22</v>
      </c>
      <c r="E517" t="s">
        <v>147</v>
      </c>
      <c r="F517" s="107">
        <v>100000000</v>
      </c>
    </row>
    <row r="518" spans="1:6" hidden="1" x14ac:dyDescent="0.25">
      <c r="A518" s="210" t="s">
        <v>1488</v>
      </c>
      <c r="B518" s="100">
        <v>46136</v>
      </c>
      <c r="C518" t="s">
        <v>21</v>
      </c>
      <c r="D518" t="s">
        <v>22</v>
      </c>
      <c r="E518" t="s">
        <v>147</v>
      </c>
      <c r="F518" s="107">
        <v>150000000</v>
      </c>
    </row>
    <row r="519" spans="1:6" hidden="1" x14ac:dyDescent="0.25">
      <c r="A519" s="210" t="s">
        <v>1490</v>
      </c>
      <c r="B519" s="100">
        <v>46136</v>
      </c>
      <c r="C519" t="s">
        <v>21</v>
      </c>
      <c r="D519" t="s">
        <v>22</v>
      </c>
      <c r="E519" t="s">
        <v>47</v>
      </c>
      <c r="F519" s="107">
        <v>122070000</v>
      </c>
    </row>
    <row r="520" spans="1:6" hidden="1" x14ac:dyDescent="0.25">
      <c r="A520" s="210" t="s">
        <v>1491</v>
      </c>
      <c r="B520" s="100">
        <v>46136</v>
      </c>
      <c r="C520" t="s">
        <v>21</v>
      </c>
      <c r="D520" t="s">
        <v>22</v>
      </c>
      <c r="E520" t="s">
        <v>261</v>
      </c>
      <c r="F520" s="107">
        <v>200000000</v>
      </c>
    </row>
    <row r="521" spans="1:6" hidden="1" x14ac:dyDescent="0.25">
      <c r="A521" s="210" t="s">
        <v>1493</v>
      </c>
      <c r="B521" s="100">
        <v>46136</v>
      </c>
      <c r="C521" t="s">
        <v>21</v>
      </c>
      <c r="D521" t="s">
        <v>22</v>
      </c>
      <c r="E521" t="s">
        <v>261</v>
      </c>
      <c r="F521" s="107">
        <v>150000000</v>
      </c>
    </row>
    <row r="522" spans="1:6" hidden="1" x14ac:dyDescent="0.25">
      <c r="A522" s="210" t="s">
        <v>1512</v>
      </c>
      <c r="B522" s="100">
        <v>46136</v>
      </c>
      <c r="C522" t="s">
        <v>21</v>
      </c>
      <c r="D522" t="s">
        <v>22</v>
      </c>
      <c r="E522" t="s">
        <v>261</v>
      </c>
      <c r="F522" s="107">
        <v>100000000</v>
      </c>
    </row>
    <row r="523" spans="1:6" hidden="1" x14ac:dyDescent="0.25">
      <c r="A523" s="210" t="s">
        <v>1520</v>
      </c>
      <c r="B523" s="100">
        <v>46136</v>
      </c>
      <c r="C523" t="s">
        <v>21</v>
      </c>
      <c r="D523" t="s">
        <v>22</v>
      </c>
      <c r="E523" t="s">
        <v>147</v>
      </c>
      <c r="F523" s="107">
        <v>41573932</v>
      </c>
    </row>
    <row r="524" spans="1:6" hidden="1" x14ac:dyDescent="0.25">
      <c r="A524" s="210" t="s">
        <v>1525</v>
      </c>
      <c r="B524" s="100">
        <v>46136</v>
      </c>
      <c r="C524" t="s">
        <v>21</v>
      </c>
      <c r="D524" t="s">
        <v>22</v>
      </c>
      <c r="E524" t="s">
        <v>261</v>
      </c>
      <c r="F524" s="107">
        <v>150000000</v>
      </c>
    </row>
    <row r="525" spans="1:6" x14ac:dyDescent="0.25">
      <c r="A525" s="210" t="s">
        <v>1530</v>
      </c>
      <c r="B525" s="100">
        <v>46136</v>
      </c>
      <c r="C525" t="s">
        <v>654</v>
      </c>
      <c r="D525" t="s">
        <v>22</v>
      </c>
      <c r="E525" t="s">
        <v>83</v>
      </c>
      <c r="F525" s="107">
        <v>-180000000</v>
      </c>
    </row>
    <row r="526" spans="1:6" hidden="1" x14ac:dyDescent="0.25">
      <c r="A526" s="210" t="s">
        <v>1530</v>
      </c>
      <c r="B526" s="100">
        <v>46136</v>
      </c>
      <c r="C526" t="s">
        <v>654</v>
      </c>
      <c r="D526" t="s">
        <v>22</v>
      </c>
      <c r="E526" t="s">
        <v>261</v>
      </c>
      <c r="F526" s="107">
        <v>-300000000</v>
      </c>
    </row>
    <row r="527" spans="1:6" hidden="1" x14ac:dyDescent="0.25">
      <c r="A527" s="210" t="s">
        <v>1530</v>
      </c>
      <c r="B527" s="100">
        <v>46136</v>
      </c>
      <c r="C527" t="s">
        <v>21</v>
      </c>
      <c r="D527" t="s">
        <v>22</v>
      </c>
      <c r="E527" t="s">
        <v>261</v>
      </c>
      <c r="F527" s="107">
        <v>180000000</v>
      </c>
    </row>
    <row r="528" spans="1:6" hidden="1" x14ac:dyDescent="0.25">
      <c r="A528" s="210" t="s">
        <v>1530</v>
      </c>
      <c r="B528" s="100">
        <v>46136</v>
      </c>
      <c r="C528" t="s">
        <v>21</v>
      </c>
      <c r="D528" t="s">
        <v>22</v>
      </c>
      <c r="E528" t="s">
        <v>261</v>
      </c>
      <c r="F528" s="107">
        <v>300331664</v>
      </c>
    </row>
    <row r="529" spans="1:6" hidden="1" x14ac:dyDescent="0.25">
      <c r="A529" s="210" t="s">
        <v>1535</v>
      </c>
      <c r="B529" s="100">
        <v>46136</v>
      </c>
      <c r="C529" t="s">
        <v>21</v>
      </c>
      <c r="D529" t="s">
        <v>22</v>
      </c>
      <c r="E529" t="s">
        <v>261</v>
      </c>
      <c r="F529" s="107">
        <v>56260000</v>
      </c>
    </row>
    <row r="530" spans="1:6" hidden="1" x14ac:dyDescent="0.25">
      <c r="A530" s="210" t="s">
        <v>1536</v>
      </c>
      <c r="B530" s="100">
        <v>46136</v>
      </c>
      <c r="C530" t="s">
        <v>21</v>
      </c>
      <c r="D530" t="s">
        <v>22</v>
      </c>
      <c r="E530" t="s">
        <v>261</v>
      </c>
      <c r="F530" s="107">
        <v>40088472</v>
      </c>
    </row>
    <row r="531" spans="1:6" hidden="1" x14ac:dyDescent="0.25">
      <c r="A531" s="210" t="s">
        <v>1536</v>
      </c>
      <c r="B531" s="100">
        <v>46136</v>
      </c>
      <c r="C531" t="s">
        <v>21</v>
      </c>
      <c r="D531" t="s">
        <v>260</v>
      </c>
      <c r="E531" t="s">
        <v>261</v>
      </c>
      <c r="F531" s="107">
        <v>11506000</v>
      </c>
    </row>
    <row r="532" spans="1:6" x14ac:dyDescent="0.25">
      <c r="A532" s="210" t="s">
        <v>1538</v>
      </c>
      <c r="B532" s="100">
        <v>46136</v>
      </c>
      <c r="C532" t="s">
        <v>21</v>
      </c>
      <c r="D532" t="s">
        <v>22</v>
      </c>
      <c r="E532" t="s">
        <v>83</v>
      </c>
      <c r="F532" s="107">
        <v>169866000</v>
      </c>
    </row>
    <row r="533" spans="1:6" hidden="1" x14ac:dyDescent="0.25">
      <c r="A533" s="210" t="s">
        <v>1539</v>
      </c>
      <c r="B533" s="100">
        <v>46136</v>
      </c>
      <c r="C533" t="s">
        <v>21</v>
      </c>
      <c r="D533" t="s">
        <v>22</v>
      </c>
      <c r="E533" t="s">
        <v>261</v>
      </c>
      <c r="F533" s="107">
        <v>40000000</v>
      </c>
    </row>
    <row r="534" spans="1:6" hidden="1" x14ac:dyDescent="0.25">
      <c r="A534" s="210" t="s">
        <v>1545</v>
      </c>
      <c r="B534" s="100">
        <v>46136</v>
      </c>
      <c r="C534" t="s">
        <v>21</v>
      </c>
      <c r="D534" t="s">
        <v>24</v>
      </c>
      <c r="F534" s="107">
        <v>15850000</v>
      </c>
    </row>
    <row r="535" spans="1:6" hidden="1" x14ac:dyDescent="0.25">
      <c r="A535" s="210" t="s">
        <v>1547</v>
      </c>
      <c r="B535" s="100">
        <v>46136</v>
      </c>
      <c r="C535" t="s">
        <v>21</v>
      </c>
      <c r="D535" t="s">
        <v>22</v>
      </c>
      <c r="E535" t="s">
        <v>261</v>
      </c>
      <c r="F535" s="107">
        <v>70000000</v>
      </c>
    </row>
    <row r="536" spans="1:6" hidden="1" x14ac:dyDescent="0.25">
      <c r="A536" s="210" t="s">
        <v>1548</v>
      </c>
      <c r="B536" s="100">
        <v>46136</v>
      </c>
      <c r="C536" t="s">
        <v>21</v>
      </c>
      <c r="D536" t="s">
        <v>22</v>
      </c>
      <c r="E536" t="s">
        <v>147</v>
      </c>
      <c r="F536" s="107">
        <v>50000000</v>
      </c>
    </row>
    <row r="537" spans="1:6" hidden="1" x14ac:dyDescent="0.25">
      <c r="A537" s="210" t="s">
        <v>1554</v>
      </c>
      <c r="B537" s="100">
        <v>46136</v>
      </c>
      <c r="C537" t="s">
        <v>21</v>
      </c>
      <c r="D537" t="s">
        <v>24</v>
      </c>
      <c r="F537" s="107">
        <v>49160000</v>
      </c>
    </row>
    <row r="538" spans="1:6" hidden="1" x14ac:dyDescent="0.25">
      <c r="A538" s="210" t="s">
        <v>1564</v>
      </c>
      <c r="B538" s="100">
        <v>46136</v>
      </c>
      <c r="C538" t="s">
        <v>21</v>
      </c>
      <c r="D538" t="s">
        <v>22</v>
      </c>
      <c r="E538" t="s">
        <v>147</v>
      </c>
      <c r="F538" s="107">
        <v>40000000</v>
      </c>
    </row>
    <row r="539" spans="1:6" hidden="1" x14ac:dyDescent="0.25">
      <c r="A539" s="210" t="s">
        <v>1573</v>
      </c>
      <c r="B539" s="100">
        <v>46136</v>
      </c>
      <c r="C539" t="s">
        <v>21</v>
      </c>
      <c r="D539" t="s">
        <v>22</v>
      </c>
      <c r="E539" t="s">
        <v>261</v>
      </c>
      <c r="F539" s="107">
        <v>94056050</v>
      </c>
    </row>
    <row r="540" spans="1:6" hidden="1" x14ac:dyDescent="0.25">
      <c r="A540" s="210" t="s">
        <v>1575</v>
      </c>
      <c r="B540" s="100">
        <v>46136</v>
      </c>
      <c r="C540" t="s">
        <v>21</v>
      </c>
      <c r="D540" t="s">
        <v>22</v>
      </c>
      <c r="E540" t="s">
        <v>261</v>
      </c>
      <c r="F540" s="107">
        <v>100000000</v>
      </c>
    </row>
    <row r="541" spans="1:6" hidden="1" x14ac:dyDescent="0.25">
      <c r="A541" s="210" t="s">
        <v>1577</v>
      </c>
      <c r="B541" s="100">
        <v>46136</v>
      </c>
      <c r="C541" t="s">
        <v>21</v>
      </c>
      <c r="D541" t="s">
        <v>22</v>
      </c>
      <c r="E541" t="s">
        <v>147</v>
      </c>
      <c r="F541" s="107">
        <v>100000000</v>
      </c>
    </row>
    <row r="542" spans="1:6" hidden="1" x14ac:dyDescent="0.25">
      <c r="A542" s="210" t="s">
        <v>1579</v>
      </c>
      <c r="B542" s="100">
        <v>46136</v>
      </c>
      <c r="C542" t="s">
        <v>21</v>
      </c>
      <c r="D542" t="s">
        <v>22</v>
      </c>
      <c r="E542" t="s">
        <v>261</v>
      </c>
      <c r="F542" s="107">
        <v>300000000</v>
      </c>
    </row>
    <row r="543" spans="1:6" hidden="1" x14ac:dyDescent="0.25">
      <c r="A543" s="210" t="s">
        <v>1600</v>
      </c>
      <c r="B543" s="100">
        <v>46136</v>
      </c>
      <c r="C543" t="s">
        <v>21</v>
      </c>
      <c r="D543" t="s">
        <v>22</v>
      </c>
      <c r="E543" t="s">
        <v>147</v>
      </c>
      <c r="F543" s="107">
        <v>100000000</v>
      </c>
    </row>
    <row r="544" spans="1:6" hidden="1" x14ac:dyDescent="0.25">
      <c r="A544" s="210" t="s">
        <v>1606</v>
      </c>
      <c r="B544" s="100">
        <v>46136</v>
      </c>
      <c r="C544" t="s">
        <v>21</v>
      </c>
      <c r="D544" t="s">
        <v>22</v>
      </c>
      <c r="E544" t="s">
        <v>147</v>
      </c>
      <c r="F544" s="107">
        <v>70000000</v>
      </c>
    </row>
    <row r="545" spans="1:6" x14ac:dyDescent="0.25">
      <c r="A545" s="210" t="s">
        <v>1618</v>
      </c>
      <c r="B545" s="100">
        <v>46136</v>
      </c>
      <c r="C545" t="s">
        <v>21</v>
      </c>
      <c r="D545" t="s">
        <v>22</v>
      </c>
      <c r="E545" t="s">
        <v>83</v>
      </c>
      <c r="F545" s="107">
        <v>50115780</v>
      </c>
    </row>
    <row r="546" spans="1:6" hidden="1" x14ac:dyDescent="0.25">
      <c r="A546" s="210" t="s">
        <v>1618</v>
      </c>
      <c r="B546" s="100">
        <v>46136</v>
      </c>
      <c r="C546" t="s">
        <v>21</v>
      </c>
      <c r="D546" t="s">
        <v>22</v>
      </c>
      <c r="E546" t="s">
        <v>726</v>
      </c>
      <c r="F546" s="107">
        <v>176248000</v>
      </c>
    </row>
    <row r="547" spans="1:6" hidden="1" x14ac:dyDescent="0.25">
      <c r="A547" s="210" t="s">
        <v>1620</v>
      </c>
      <c r="B547" s="100">
        <v>46136</v>
      </c>
      <c r="C547" t="s">
        <v>21</v>
      </c>
      <c r="D547" t="s">
        <v>22</v>
      </c>
      <c r="E547" t="s">
        <v>261</v>
      </c>
      <c r="F547" s="107">
        <v>114000000</v>
      </c>
    </row>
    <row r="548" spans="1:6" hidden="1" x14ac:dyDescent="0.25">
      <c r="A548" s="210" t="s">
        <v>1623</v>
      </c>
      <c r="B548" s="100">
        <v>46136</v>
      </c>
      <c r="C548" t="s">
        <v>21</v>
      </c>
      <c r="D548" t="s">
        <v>22</v>
      </c>
      <c r="E548" t="s">
        <v>147</v>
      </c>
      <c r="F548" s="107">
        <v>100000000</v>
      </c>
    </row>
    <row r="549" spans="1:6" x14ac:dyDescent="0.25">
      <c r="A549" s="210" t="s">
        <v>1624</v>
      </c>
      <c r="B549" s="100">
        <v>46136</v>
      </c>
      <c r="C549" t="s">
        <v>21</v>
      </c>
      <c r="D549" t="s">
        <v>22</v>
      </c>
      <c r="E549" t="s">
        <v>83</v>
      </c>
      <c r="F549" s="107">
        <v>100000000</v>
      </c>
    </row>
    <row r="550" spans="1:6" x14ac:dyDescent="0.25">
      <c r="A550" s="210" t="s">
        <v>1635</v>
      </c>
      <c r="B550" s="100">
        <v>46136</v>
      </c>
      <c r="C550" t="s">
        <v>21</v>
      </c>
      <c r="D550" t="s">
        <v>22</v>
      </c>
      <c r="E550" t="s">
        <v>83</v>
      </c>
      <c r="F550" s="107">
        <v>100000000</v>
      </c>
    </row>
    <row r="551" spans="1:6" hidden="1" x14ac:dyDescent="0.25">
      <c r="A551" s="210" t="s">
        <v>1646</v>
      </c>
      <c r="B551" s="100">
        <v>46136</v>
      </c>
      <c r="C551" t="s">
        <v>21</v>
      </c>
      <c r="D551" t="s">
        <v>22</v>
      </c>
      <c r="E551" t="s">
        <v>147</v>
      </c>
      <c r="F551" s="107">
        <v>30000000</v>
      </c>
    </row>
    <row r="552" spans="1:6" hidden="1" x14ac:dyDescent="0.25">
      <c r="A552" s="210" t="s">
        <v>1653</v>
      </c>
      <c r="B552" s="100">
        <v>46136</v>
      </c>
      <c r="C552" t="s">
        <v>21</v>
      </c>
      <c r="D552" t="s">
        <v>22</v>
      </c>
      <c r="E552" t="s">
        <v>261</v>
      </c>
      <c r="F552" s="107">
        <v>94845520</v>
      </c>
    </row>
    <row r="553" spans="1:6" x14ac:dyDescent="0.25">
      <c r="A553" s="210" t="s">
        <v>2016</v>
      </c>
      <c r="B553" s="100">
        <v>46136</v>
      </c>
      <c r="C553" t="s">
        <v>2214</v>
      </c>
      <c r="D553" t="s">
        <v>22</v>
      </c>
      <c r="E553" t="s">
        <v>83</v>
      </c>
      <c r="F553" s="107">
        <v>-100000000</v>
      </c>
    </row>
    <row r="554" spans="1:6" hidden="1" x14ac:dyDescent="0.25">
      <c r="A554" s="210" t="s">
        <v>1666</v>
      </c>
      <c r="B554" s="100">
        <v>46136</v>
      </c>
      <c r="C554" t="s">
        <v>21</v>
      </c>
      <c r="D554" t="s">
        <v>22</v>
      </c>
      <c r="E554" t="s">
        <v>261</v>
      </c>
      <c r="F554" s="107">
        <v>31868206</v>
      </c>
    </row>
    <row r="555" spans="1:6" hidden="1" x14ac:dyDescent="0.25">
      <c r="A555" s="210" t="s">
        <v>1668</v>
      </c>
      <c r="B555" s="100">
        <v>46136</v>
      </c>
      <c r="C555" t="s">
        <v>21</v>
      </c>
      <c r="D555" t="s">
        <v>22</v>
      </c>
      <c r="E555" t="s">
        <v>147</v>
      </c>
      <c r="F555" s="107">
        <v>100000000</v>
      </c>
    </row>
    <row r="556" spans="1:6" x14ac:dyDescent="0.25">
      <c r="A556" s="210" t="s">
        <v>1728</v>
      </c>
      <c r="B556" s="100">
        <v>46136</v>
      </c>
      <c r="C556" t="s">
        <v>21</v>
      </c>
      <c r="D556" t="s">
        <v>22</v>
      </c>
      <c r="E556" t="s">
        <v>83</v>
      </c>
      <c r="F556" s="107">
        <v>218816400</v>
      </c>
    </row>
    <row r="557" spans="1:6" x14ac:dyDescent="0.25">
      <c r="A557" s="210" t="s">
        <v>1697</v>
      </c>
      <c r="B557" s="100">
        <v>46136</v>
      </c>
      <c r="C557" t="s">
        <v>2214</v>
      </c>
      <c r="D557" t="s">
        <v>22</v>
      </c>
      <c r="E557" t="s">
        <v>83</v>
      </c>
      <c r="F557" s="107">
        <v>-150000000</v>
      </c>
    </row>
    <row r="558" spans="1:6" hidden="1" x14ac:dyDescent="0.25">
      <c r="A558" s="210" t="s">
        <v>1700</v>
      </c>
      <c r="B558" s="100">
        <v>46136</v>
      </c>
      <c r="C558" t="s">
        <v>21</v>
      </c>
      <c r="D558" t="s">
        <v>22</v>
      </c>
      <c r="F558" s="107">
        <v>11740000</v>
      </c>
    </row>
    <row r="559" spans="1:6" x14ac:dyDescent="0.25">
      <c r="A559" s="210" t="s">
        <v>1705</v>
      </c>
      <c r="B559" s="100">
        <v>46136</v>
      </c>
      <c r="C559" t="s">
        <v>654</v>
      </c>
      <c r="D559" t="s">
        <v>22</v>
      </c>
      <c r="E559" t="s">
        <v>83</v>
      </c>
      <c r="F559" s="107">
        <v>-68978000</v>
      </c>
    </row>
    <row r="560" spans="1:6" hidden="1" x14ac:dyDescent="0.25">
      <c r="A560" s="210" t="s">
        <v>1706</v>
      </c>
      <c r="B560" s="100">
        <v>46136</v>
      </c>
      <c r="C560" t="s">
        <v>2214</v>
      </c>
      <c r="D560" t="s">
        <v>22</v>
      </c>
      <c r="E560" t="s">
        <v>147</v>
      </c>
      <c r="F560" s="107">
        <v>-500000000</v>
      </c>
    </row>
    <row r="561" spans="1:6" hidden="1" x14ac:dyDescent="0.25">
      <c r="A561" s="210" t="s">
        <v>1822</v>
      </c>
      <c r="B561" s="100">
        <v>46136</v>
      </c>
      <c r="C561" t="s">
        <v>21</v>
      </c>
      <c r="D561" t="s">
        <v>22</v>
      </c>
      <c r="E561" t="s">
        <v>261</v>
      </c>
      <c r="F561" s="107">
        <v>105000000</v>
      </c>
    </row>
    <row r="562" spans="1:6" hidden="1" x14ac:dyDescent="0.25">
      <c r="A562" s="210" t="s">
        <v>1834</v>
      </c>
      <c r="B562" s="100">
        <v>46136</v>
      </c>
      <c r="C562" t="s">
        <v>21</v>
      </c>
      <c r="D562" t="s">
        <v>22</v>
      </c>
      <c r="E562" t="s">
        <v>261</v>
      </c>
      <c r="F562" s="107">
        <v>147290000</v>
      </c>
    </row>
    <row r="563" spans="1:6" hidden="1" x14ac:dyDescent="0.25">
      <c r="A563" s="210" t="s">
        <v>1475</v>
      </c>
      <c r="B563" s="100">
        <v>46135</v>
      </c>
      <c r="C563" t="s">
        <v>21</v>
      </c>
      <c r="D563" t="s">
        <v>22</v>
      </c>
      <c r="E563" t="s">
        <v>47</v>
      </c>
      <c r="F563" s="107">
        <v>28527000</v>
      </c>
    </row>
    <row r="564" spans="1:6" hidden="1" x14ac:dyDescent="0.25">
      <c r="A564" s="210" t="s">
        <v>1478</v>
      </c>
      <c r="B564" s="100">
        <v>46135</v>
      </c>
      <c r="C564" t="s">
        <v>21</v>
      </c>
      <c r="D564" t="s">
        <v>22</v>
      </c>
      <c r="E564" t="s">
        <v>2067</v>
      </c>
      <c r="F564" s="107">
        <v>15000000</v>
      </c>
    </row>
    <row r="565" spans="1:6" x14ac:dyDescent="0.25">
      <c r="A565" s="210" t="s">
        <v>1523</v>
      </c>
      <c r="B565" s="100">
        <v>46135</v>
      </c>
      <c r="C565" t="s">
        <v>21</v>
      </c>
      <c r="D565" t="s">
        <v>22</v>
      </c>
      <c r="E565" t="s">
        <v>83</v>
      </c>
      <c r="F565" s="107">
        <v>90028153</v>
      </c>
    </row>
    <row r="566" spans="1:6" hidden="1" x14ac:dyDescent="0.25">
      <c r="A566" s="210" t="s">
        <v>1531</v>
      </c>
      <c r="B566" s="100">
        <v>46135</v>
      </c>
      <c r="C566" t="s">
        <v>21</v>
      </c>
      <c r="D566" t="s">
        <v>22</v>
      </c>
      <c r="E566" t="s">
        <v>726</v>
      </c>
      <c r="F566" s="107">
        <v>66792000</v>
      </c>
    </row>
    <row r="567" spans="1:6" hidden="1" x14ac:dyDescent="0.25">
      <c r="A567" s="210" t="s">
        <v>1531</v>
      </c>
      <c r="B567" s="100">
        <v>46135</v>
      </c>
      <c r="C567" t="s">
        <v>21</v>
      </c>
      <c r="D567" t="s">
        <v>22</v>
      </c>
      <c r="E567" t="s">
        <v>1907</v>
      </c>
      <c r="F567" s="107">
        <v>60000000</v>
      </c>
    </row>
    <row r="568" spans="1:6" hidden="1" x14ac:dyDescent="0.25">
      <c r="A568" s="210" t="s">
        <v>1538</v>
      </c>
      <c r="B568" s="100">
        <v>46135</v>
      </c>
      <c r="C568" t="s">
        <v>21</v>
      </c>
      <c r="D568" t="s">
        <v>22</v>
      </c>
      <c r="E568" t="s">
        <v>261</v>
      </c>
      <c r="F568" s="107">
        <v>32852000</v>
      </c>
    </row>
    <row r="569" spans="1:6" hidden="1" x14ac:dyDescent="0.25">
      <c r="A569" s="210" t="s">
        <v>1593</v>
      </c>
      <c r="B569" s="100">
        <v>46135</v>
      </c>
      <c r="C569" t="s">
        <v>21</v>
      </c>
      <c r="D569" t="s">
        <v>22</v>
      </c>
      <c r="E569" t="s">
        <v>261</v>
      </c>
      <c r="F569" s="107">
        <v>107316000</v>
      </c>
    </row>
    <row r="570" spans="1:6" hidden="1" x14ac:dyDescent="0.25">
      <c r="A570" s="210" t="s">
        <v>1696</v>
      </c>
      <c r="B570" s="100">
        <v>46135</v>
      </c>
      <c r="C570" t="s">
        <v>21</v>
      </c>
      <c r="D570" t="s">
        <v>22</v>
      </c>
      <c r="E570" t="s">
        <v>261</v>
      </c>
      <c r="F570" s="107">
        <v>32787975</v>
      </c>
    </row>
    <row r="571" spans="1:6" hidden="1" x14ac:dyDescent="0.25">
      <c r="A571" s="210" t="s">
        <v>1822</v>
      </c>
      <c r="B571" s="100">
        <v>46135</v>
      </c>
      <c r="C571" t="s">
        <v>21</v>
      </c>
      <c r="D571" t="s">
        <v>22</v>
      </c>
      <c r="E571" t="s">
        <v>261</v>
      </c>
      <c r="F571" s="107">
        <v>30000000</v>
      </c>
    </row>
    <row r="572" spans="1:6" hidden="1" x14ac:dyDescent="0.25">
      <c r="A572" s="210" t="s">
        <v>1475</v>
      </c>
      <c r="B572" s="100">
        <v>46134</v>
      </c>
      <c r="C572" t="s">
        <v>21</v>
      </c>
      <c r="D572" t="s">
        <v>22</v>
      </c>
      <c r="E572" t="s">
        <v>47</v>
      </c>
      <c r="F572" s="107">
        <v>92891000</v>
      </c>
    </row>
    <row r="573" spans="1:6" hidden="1" x14ac:dyDescent="0.25">
      <c r="A573" s="210" t="s">
        <v>1491</v>
      </c>
      <c r="B573" s="100">
        <v>46134</v>
      </c>
      <c r="C573" t="s">
        <v>21</v>
      </c>
      <c r="D573" t="s">
        <v>22</v>
      </c>
      <c r="E573" t="s">
        <v>261</v>
      </c>
      <c r="F573" s="107">
        <v>300000000</v>
      </c>
    </row>
    <row r="574" spans="1:6" hidden="1" x14ac:dyDescent="0.25">
      <c r="A574" s="210" t="s">
        <v>1527</v>
      </c>
      <c r="B574" s="100">
        <v>46134</v>
      </c>
      <c r="C574" t="s">
        <v>21</v>
      </c>
      <c r="D574" t="s">
        <v>22</v>
      </c>
      <c r="E574" t="s">
        <v>147</v>
      </c>
      <c r="F574" s="107">
        <v>67156000</v>
      </c>
    </row>
    <row r="575" spans="1:6" hidden="1" x14ac:dyDescent="0.25">
      <c r="A575" s="210" t="s">
        <v>1531</v>
      </c>
      <c r="B575" s="100">
        <v>46134</v>
      </c>
      <c r="C575" t="s">
        <v>21</v>
      </c>
      <c r="D575" t="s">
        <v>24</v>
      </c>
      <c r="F575" s="107">
        <v>58000000</v>
      </c>
    </row>
    <row r="576" spans="1:6" hidden="1" x14ac:dyDescent="0.25">
      <c r="A576" s="210" t="s">
        <v>1538</v>
      </c>
      <c r="B576" s="100">
        <v>46134</v>
      </c>
      <c r="C576" t="s">
        <v>21</v>
      </c>
      <c r="D576" t="s">
        <v>22</v>
      </c>
      <c r="E576" t="s">
        <v>261</v>
      </c>
      <c r="F576" s="107">
        <v>32766000</v>
      </c>
    </row>
    <row r="577" spans="1:6" hidden="1" x14ac:dyDescent="0.25">
      <c r="A577" s="210" t="s">
        <v>1545</v>
      </c>
      <c r="B577" s="100">
        <v>46134</v>
      </c>
      <c r="C577" t="s">
        <v>21</v>
      </c>
      <c r="D577" t="s">
        <v>22</v>
      </c>
      <c r="E577" t="s">
        <v>147</v>
      </c>
      <c r="F577" s="107">
        <v>100000000</v>
      </c>
    </row>
    <row r="578" spans="1:6" hidden="1" x14ac:dyDescent="0.25">
      <c r="A578" s="210" t="s">
        <v>1554</v>
      </c>
      <c r="B578" s="100">
        <v>46134</v>
      </c>
      <c r="C578" t="s">
        <v>21</v>
      </c>
      <c r="D578" t="s">
        <v>22</v>
      </c>
      <c r="E578" t="s">
        <v>726</v>
      </c>
      <c r="F578" s="107">
        <v>62709200</v>
      </c>
    </row>
    <row r="579" spans="1:6" hidden="1" x14ac:dyDescent="0.25">
      <c r="A579" s="210" t="s">
        <v>1555</v>
      </c>
      <c r="B579" s="100">
        <v>46134</v>
      </c>
      <c r="C579" t="s">
        <v>21</v>
      </c>
      <c r="D579" t="s">
        <v>22</v>
      </c>
      <c r="E579" t="s">
        <v>726</v>
      </c>
      <c r="F579" s="107">
        <v>7705000</v>
      </c>
    </row>
    <row r="580" spans="1:6" hidden="1" x14ac:dyDescent="0.25">
      <c r="A580" s="210" t="s">
        <v>1555</v>
      </c>
      <c r="B580" s="100">
        <v>46134</v>
      </c>
      <c r="C580" t="s">
        <v>21</v>
      </c>
      <c r="D580" t="s">
        <v>22</v>
      </c>
      <c r="E580" t="s">
        <v>261</v>
      </c>
      <c r="F580" s="107">
        <v>89933678</v>
      </c>
    </row>
    <row r="581" spans="1:6" hidden="1" x14ac:dyDescent="0.25">
      <c r="A581" s="210" t="s">
        <v>1558</v>
      </c>
      <c r="B581" s="100">
        <v>46134</v>
      </c>
      <c r="C581" t="s">
        <v>21</v>
      </c>
      <c r="D581" t="s">
        <v>22</v>
      </c>
      <c r="E581" t="s">
        <v>727</v>
      </c>
      <c r="F581" s="107">
        <v>80000000</v>
      </c>
    </row>
    <row r="582" spans="1:6" hidden="1" x14ac:dyDescent="0.25">
      <c r="A582" s="210" t="s">
        <v>1558</v>
      </c>
      <c r="B582" s="100">
        <v>46134</v>
      </c>
      <c r="C582" t="s">
        <v>21</v>
      </c>
      <c r="D582" t="s">
        <v>24</v>
      </c>
      <c r="F582" s="107">
        <v>95000000</v>
      </c>
    </row>
    <row r="583" spans="1:6" hidden="1" x14ac:dyDescent="0.25">
      <c r="A583" s="210" t="s">
        <v>1591</v>
      </c>
      <c r="B583" s="100">
        <v>46134</v>
      </c>
      <c r="C583" t="s">
        <v>21</v>
      </c>
      <c r="D583" t="s">
        <v>22</v>
      </c>
      <c r="E583" t="s">
        <v>147</v>
      </c>
      <c r="F583" s="107">
        <v>186543720</v>
      </c>
    </row>
    <row r="584" spans="1:6" hidden="1" x14ac:dyDescent="0.25">
      <c r="A584" s="210" t="s">
        <v>1593</v>
      </c>
      <c r="B584" s="100">
        <v>46134</v>
      </c>
      <c r="C584" t="s">
        <v>21</v>
      </c>
      <c r="D584" t="s">
        <v>22</v>
      </c>
      <c r="E584" t="s">
        <v>261</v>
      </c>
      <c r="F584" s="107">
        <v>68495000</v>
      </c>
    </row>
    <row r="585" spans="1:6" hidden="1" x14ac:dyDescent="0.25">
      <c r="A585" s="210" t="s">
        <v>1609</v>
      </c>
      <c r="B585" s="100">
        <v>46134</v>
      </c>
      <c r="C585" t="s">
        <v>21</v>
      </c>
      <c r="D585" t="s">
        <v>22</v>
      </c>
      <c r="E585" t="s">
        <v>2067</v>
      </c>
      <c r="F585" s="107">
        <v>17300000</v>
      </c>
    </row>
    <row r="586" spans="1:6" hidden="1" x14ac:dyDescent="0.25">
      <c r="A586" s="210" t="s">
        <v>1609</v>
      </c>
      <c r="B586" s="100">
        <v>46134</v>
      </c>
      <c r="C586" t="s">
        <v>21</v>
      </c>
      <c r="D586" t="s">
        <v>22</v>
      </c>
      <c r="E586" t="s">
        <v>2067</v>
      </c>
      <c r="F586" s="107">
        <v>6400000</v>
      </c>
    </row>
    <row r="587" spans="1:6" hidden="1" x14ac:dyDescent="0.25">
      <c r="A587" s="210" t="s">
        <v>1566</v>
      </c>
      <c r="B587" s="100">
        <v>46134</v>
      </c>
      <c r="C587" t="s">
        <v>21</v>
      </c>
      <c r="D587" t="s">
        <v>22</v>
      </c>
      <c r="E587" t="s">
        <v>261</v>
      </c>
      <c r="F587" s="107">
        <v>150000000</v>
      </c>
    </row>
    <row r="588" spans="1:6" hidden="1" x14ac:dyDescent="0.25">
      <c r="A588" s="210" t="s">
        <v>1638</v>
      </c>
      <c r="B588" s="100">
        <v>46134</v>
      </c>
      <c r="C588" t="s">
        <v>21</v>
      </c>
      <c r="D588" t="s">
        <v>22</v>
      </c>
      <c r="E588" t="s">
        <v>261</v>
      </c>
      <c r="F588" s="107">
        <v>298904500</v>
      </c>
    </row>
    <row r="589" spans="1:6" x14ac:dyDescent="0.25">
      <c r="A589" s="210" t="s">
        <v>1674</v>
      </c>
      <c r="B589" s="100">
        <v>46134</v>
      </c>
      <c r="C589" t="s">
        <v>21</v>
      </c>
      <c r="D589" t="s">
        <v>22</v>
      </c>
      <c r="E589" t="s">
        <v>83</v>
      </c>
      <c r="F589" s="107">
        <v>121176000</v>
      </c>
    </row>
    <row r="590" spans="1:6" hidden="1" x14ac:dyDescent="0.25">
      <c r="A590" s="210" t="s">
        <v>1677</v>
      </c>
      <c r="B590" s="100">
        <v>46134</v>
      </c>
      <c r="C590" t="s">
        <v>21</v>
      </c>
      <c r="D590" t="s">
        <v>22</v>
      </c>
      <c r="E590" t="s">
        <v>261</v>
      </c>
      <c r="F590" s="107">
        <v>68093000</v>
      </c>
    </row>
    <row r="591" spans="1:6" hidden="1" x14ac:dyDescent="0.25">
      <c r="A591" s="210" t="s">
        <v>1697</v>
      </c>
      <c r="B591" s="100">
        <v>46134</v>
      </c>
      <c r="C591" t="s">
        <v>2214</v>
      </c>
      <c r="D591" t="s">
        <v>24</v>
      </c>
      <c r="F591" s="107">
        <v>-10830000</v>
      </c>
    </row>
    <row r="592" spans="1:6" x14ac:dyDescent="0.25">
      <c r="A592" s="210" t="s">
        <v>1718</v>
      </c>
      <c r="B592" s="100">
        <v>46134</v>
      </c>
      <c r="C592" t="s">
        <v>21</v>
      </c>
      <c r="D592" t="s">
        <v>22</v>
      </c>
      <c r="E592" t="s">
        <v>83</v>
      </c>
      <c r="F592" s="107">
        <v>197313600</v>
      </c>
    </row>
    <row r="593" spans="1:6" hidden="1" x14ac:dyDescent="0.25">
      <c r="A593" s="210" t="s">
        <v>1509</v>
      </c>
      <c r="B593" s="100">
        <v>46133</v>
      </c>
      <c r="C593" t="s">
        <v>21</v>
      </c>
      <c r="D593" t="s">
        <v>22</v>
      </c>
      <c r="E593" t="s">
        <v>261</v>
      </c>
      <c r="F593" s="107">
        <v>394754250</v>
      </c>
    </row>
    <row r="594" spans="1:6" hidden="1" x14ac:dyDescent="0.25">
      <c r="A594" s="210" t="s">
        <v>1518</v>
      </c>
      <c r="B594" s="100">
        <v>46133</v>
      </c>
      <c r="C594" t="s">
        <v>21</v>
      </c>
      <c r="D594" t="s">
        <v>260</v>
      </c>
      <c r="E594" t="s">
        <v>261</v>
      </c>
      <c r="F594" s="107">
        <v>50000000</v>
      </c>
    </row>
    <row r="595" spans="1:6" hidden="1" x14ac:dyDescent="0.25">
      <c r="A595" s="210" t="s">
        <v>1554</v>
      </c>
      <c r="B595" s="100">
        <v>46133</v>
      </c>
      <c r="C595" t="s">
        <v>21</v>
      </c>
      <c r="D595" t="s">
        <v>22</v>
      </c>
      <c r="E595" t="s">
        <v>726</v>
      </c>
      <c r="F595" s="107">
        <v>30000000</v>
      </c>
    </row>
    <row r="596" spans="1:6" x14ac:dyDescent="0.25">
      <c r="A596" s="210" t="s">
        <v>1580</v>
      </c>
      <c r="B596" s="100">
        <v>46133</v>
      </c>
      <c r="C596" t="s">
        <v>21</v>
      </c>
      <c r="D596" t="s">
        <v>22</v>
      </c>
      <c r="E596" t="s">
        <v>83</v>
      </c>
      <c r="F596" s="107">
        <v>130792766</v>
      </c>
    </row>
    <row r="597" spans="1:6" hidden="1" x14ac:dyDescent="0.25">
      <c r="A597" s="210" t="s">
        <v>1597</v>
      </c>
      <c r="B597" s="100">
        <v>46133</v>
      </c>
      <c r="C597" t="s">
        <v>21</v>
      </c>
      <c r="D597" t="s">
        <v>22</v>
      </c>
      <c r="E597" t="s">
        <v>147</v>
      </c>
      <c r="F597" s="107">
        <v>269747720</v>
      </c>
    </row>
    <row r="598" spans="1:6" x14ac:dyDescent="0.25">
      <c r="A598" s="210" t="s">
        <v>2548</v>
      </c>
      <c r="B598" s="100">
        <v>46133</v>
      </c>
      <c r="C598" t="s">
        <v>21</v>
      </c>
      <c r="D598" t="s">
        <v>22</v>
      </c>
      <c r="E598" t="s">
        <v>83</v>
      </c>
      <c r="F598" s="107">
        <v>982299823</v>
      </c>
    </row>
    <row r="599" spans="1:6" hidden="1" x14ac:dyDescent="0.25">
      <c r="A599" s="210" t="s">
        <v>1614</v>
      </c>
      <c r="B599" s="100">
        <v>46133</v>
      </c>
      <c r="C599" t="s">
        <v>21</v>
      </c>
      <c r="D599" t="s">
        <v>22</v>
      </c>
      <c r="E599" t="s">
        <v>261</v>
      </c>
      <c r="F599" s="107">
        <v>30648320</v>
      </c>
    </row>
    <row r="600" spans="1:6" hidden="1" x14ac:dyDescent="0.25">
      <c r="A600" s="210" t="s">
        <v>1641</v>
      </c>
      <c r="B600" s="100">
        <v>46133</v>
      </c>
      <c r="C600" t="s">
        <v>21</v>
      </c>
      <c r="D600" t="s">
        <v>22</v>
      </c>
      <c r="E600" t="s">
        <v>147</v>
      </c>
      <c r="F600" s="107">
        <v>200000000</v>
      </c>
    </row>
    <row r="601" spans="1:6" hidden="1" x14ac:dyDescent="0.25">
      <c r="A601" s="210" t="s">
        <v>1672</v>
      </c>
      <c r="B601" s="100">
        <v>46133</v>
      </c>
      <c r="C601" t="s">
        <v>2214</v>
      </c>
      <c r="D601" t="s">
        <v>22</v>
      </c>
      <c r="E601" t="s">
        <v>2067</v>
      </c>
      <c r="F601" s="107">
        <v>-2483000</v>
      </c>
    </row>
    <row r="602" spans="1:6" hidden="1" x14ac:dyDescent="0.25">
      <c r="A602" s="210" t="s">
        <v>1677</v>
      </c>
      <c r="B602" s="100">
        <v>46133</v>
      </c>
      <c r="C602" t="s">
        <v>21</v>
      </c>
      <c r="D602" t="s">
        <v>22</v>
      </c>
      <c r="E602" t="s">
        <v>47</v>
      </c>
      <c r="F602" s="107">
        <v>816000</v>
      </c>
    </row>
    <row r="603" spans="1:6" hidden="1" x14ac:dyDescent="0.25">
      <c r="A603" s="210" t="s">
        <v>1681</v>
      </c>
      <c r="B603" s="100">
        <v>46133</v>
      </c>
      <c r="C603" t="s">
        <v>21</v>
      </c>
      <c r="D603" t="s">
        <v>22</v>
      </c>
      <c r="E603" t="s">
        <v>147</v>
      </c>
      <c r="F603" s="107">
        <v>51977178</v>
      </c>
    </row>
    <row r="604" spans="1:6" x14ac:dyDescent="0.25">
      <c r="A604" s="210" t="s">
        <v>1689</v>
      </c>
      <c r="B604" s="100">
        <v>46133</v>
      </c>
      <c r="C604" t="s">
        <v>21</v>
      </c>
      <c r="D604" t="s">
        <v>22</v>
      </c>
      <c r="E604" t="s">
        <v>83</v>
      </c>
      <c r="F604" s="107">
        <v>1200000000</v>
      </c>
    </row>
    <row r="605" spans="1:6" hidden="1" x14ac:dyDescent="0.25">
      <c r="A605" s="210" t="s">
        <v>1715</v>
      </c>
      <c r="B605" s="100">
        <v>46133</v>
      </c>
      <c r="C605" t="s">
        <v>21</v>
      </c>
      <c r="D605" t="s">
        <v>22</v>
      </c>
      <c r="E605" t="s">
        <v>261</v>
      </c>
      <c r="F605" s="107">
        <v>41860000</v>
      </c>
    </row>
    <row r="606" spans="1:6" hidden="1" x14ac:dyDescent="0.25">
      <c r="A606" s="210" t="s">
        <v>1475</v>
      </c>
      <c r="B606" s="100">
        <v>46132</v>
      </c>
      <c r="C606" t="s">
        <v>21</v>
      </c>
      <c r="D606" t="s">
        <v>22</v>
      </c>
      <c r="E606" t="s">
        <v>47</v>
      </c>
      <c r="F606" s="107">
        <v>5000000</v>
      </c>
    </row>
    <row r="607" spans="1:6" hidden="1" x14ac:dyDescent="0.25">
      <c r="A607" s="210" t="s">
        <v>1475</v>
      </c>
      <c r="B607" s="100">
        <v>46132</v>
      </c>
      <c r="C607" t="s">
        <v>21</v>
      </c>
      <c r="D607" t="s">
        <v>22</v>
      </c>
      <c r="E607" t="s">
        <v>47</v>
      </c>
      <c r="F607" s="107">
        <v>4320000</v>
      </c>
    </row>
    <row r="608" spans="1:6" hidden="1" x14ac:dyDescent="0.25">
      <c r="A608" s="210" t="s">
        <v>1478</v>
      </c>
      <c r="B608" s="100">
        <v>46132</v>
      </c>
      <c r="C608" t="s">
        <v>21</v>
      </c>
      <c r="D608" t="s">
        <v>22</v>
      </c>
      <c r="E608" t="s">
        <v>2067</v>
      </c>
      <c r="F608" s="107">
        <v>17382000</v>
      </c>
    </row>
    <row r="609" spans="1:6" hidden="1" x14ac:dyDescent="0.25">
      <c r="A609" s="210" t="s">
        <v>1478</v>
      </c>
      <c r="B609" s="100">
        <v>46132</v>
      </c>
      <c r="C609" t="s">
        <v>654</v>
      </c>
      <c r="D609" t="s">
        <v>22</v>
      </c>
      <c r="E609" t="s">
        <v>2067</v>
      </c>
      <c r="F609" s="107">
        <v>-3795000</v>
      </c>
    </row>
    <row r="610" spans="1:6" hidden="1" x14ac:dyDescent="0.25">
      <c r="A610" s="210" t="s">
        <v>1487</v>
      </c>
      <c r="B610" s="100">
        <v>46132</v>
      </c>
      <c r="C610" t="s">
        <v>21</v>
      </c>
      <c r="D610" t="s">
        <v>22</v>
      </c>
      <c r="E610" t="s">
        <v>147</v>
      </c>
      <c r="F610" s="107">
        <v>100000000</v>
      </c>
    </row>
    <row r="611" spans="1:6" hidden="1" x14ac:dyDescent="0.25">
      <c r="A611" s="210" t="s">
        <v>1490</v>
      </c>
      <c r="B611" s="100">
        <v>46132</v>
      </c>
      <c r="C611" t="s">
        <v>21</v>
      </c>
      <c r="D611" t="s">
        <v>22</v>
      </c>
      <c r="E611" t="s">
        <v>47</v>
      </c>
      <c r="F611" s="107">
        <v>138439000</v>
      </c>
    </row>
    <row r="612" spans="1:6" hidden="1" x14ac:dyDescent="0.25">
      <c r="A612" s="210" t="s">
        <v>1502</v>
      </c>
      <c r="B612" s="100">
        <v>46132</v>
      </c>
      <c r="C612" t="s">
        <v>21</v>
      </c>
      <c r="D612" t="s">
        <v>22</v>
      </c>
      <c r="E612" t="s">
        <v>147</v>
      </c>
      <c r="F612" s="107">
        <v>259368934</v>
      </c>
    </row>
    <row r="613" spans="1:6" hidden="1" x14ac:dyDescent="0.25">
      <c r="A613" s="210" t="s">
        <v>1504</v>
      </c>
      <c r="B613" s="100">
        <v>46132</v>
      </c>
      <c r="C613" t="s">
        <v>21</v>
      </c>
      <c r="D613" t="s">
        <v>22</v>
      </c>
      <c r="E613" t="s">
        <v>147</v>
      </c>
      <c r="F613" s="107">
        <v>442412155</v>
      </c>
    </row>
    <row r="614" spans="1:6" x14ac:dyDescent="0.25">
      <c r="A614" s="210" t="s">
        <v>1530</v>
      </c>
      <c r="B614" s="100">
        <v>46132</v>
      </c>
      <c r="C614" t="s">
        <v>654</v>
      </c>
      <c r="D614" t="s">
        <v>22</v>
      </c>
      <c r="E614" t="s">
        <v>83</v>
      </c>
      <c r="F614" s="107">
        <v>-380000000</v>
      </c>
    </row>
    <row r="615" spans="1:6" hidden="1" x14ac:dyDescent="0.25">
      <c r="A615" s="210" t="s">
        <v>1530</v>
      </c>
      <c r="B615" s="100">
        <v>46132</v>
      </c>
      <c r="C615" t="s">
        <v>21</v>
      </c>
      <c r="D615" t="s">
        <v>22</v>
      </c>
      <c r="E615" t="s">
        <v>261</v>
      </c>
      <c r="F615" s="107">
        <v>386380051</v>
      </c>
    </row>
    <row r="616" spans="1:6" hidden="1" x14ac:dyDescent="0.25">
      <c r="A616" s="210" t="s">
        <v>1562</v>
      </c>
      <c r="B616" s="100">
        <v>46132</v>
      </c>
      <c r="C616" t="s">
        <v>21</v>
      </c>
      <c r="D616" t="s">
        <v>22</v>
      </c>
      <c r="E616" t="s">
        <v>147</v>
      </c>
      <c r="F616" s="107">
        <v>100000000</v>
      </c>
    </row>
    <row r="617" spans="1:6" hidden="1" x14ac:dyDescent="0.25">
      <c r="A617" s="210" t="s">
        <v>1593</v>
      </c>
      <c r="B617" s="100">
        <v>46132</v>
      </c>
      <c r="C617" t="s">
        <v>21</v>
      </c>
      <c r="D617" t="s">
        <v>22</v>
      </c>
      <c r="E617" t="s">
        <v>261</v>
      </c>
      <c r="F617" s="107">
        <v>81744000</v>
      </c>
    </row>
    <row r="618" spans="1:6" hidden="1" x14ac:dyDescent="0.25">
      <c r="A618" s="210" t="s">
        <v>1609</v>
      </c>
      <c r="B618" s="100">
        <v>46132</v>
      </c>
      <c r="C618" t="s">
        <v>21</v>
      </c>
      <c r="D618" t="s">
        <v>22</v>
      </c>
      <c r="E618" t="s">
        <v>261</v>
      </c>
      <c r="F618" s="107">
        <v>93009840</v>
      </c>
    </row>
    <row r="619" spans="1:6" hidden="1" x14ac:dyDescent="0.25">
      <c r="A619" s="210" t="s">
        <v>1609</v>
      </c>
      <c r="B619" s="100">
        <v>46132</v>
      </c>
      <c r="C619" t="s">
        <v>21</v>
      </c>
      <c r="D619" t="s">
        <v>22</v>
      </c>
      <c r="E619" t="s">
        <v>2067</v>
      </c>
      <c r="F619" s="107">
        <v>18880000</v>
      </c>
    </row>
    <row r="620" spans="1:6" hidden="1" x14ac:dyDescent="0.25">
      <c r="A620" s="210" t="s">
        <v>1609</v>
      </c>
      <c r="B620" s="100">
        <v>46132</v>
      </c>
      <c r="C620" t="s">
        <v>21</v>
      </c>
      <c r="D620" t="s">
        <v>22</v>
      </c>
      <c r="E620" t="s">
        <v>2067</v>
      </c>
      <c r="F620" s="107">
        <v>6785000</v>
      </c>
    </row>
    <row r="621" spans="1:6" hidden="1" x14ac:dyDescent="0.25">
      <c r="A621" s="210" t="s">
        <v>1635</v>
      </c>
      <c r="B621" s="100">
        <v>46132</v>
      </c>
      <c r="C621" t="s">
        <v>21</v>
      </c>
      <c r="D621" t="s">
        <v>22</v>
      </c>
      <c r="E621" t="s">
        <v>727</v>
      </c>
      <c r="F621" s="107">
        <v>41634000</v>
      </c>
    </row>
    <row r="622" spans="1:6" hidden="1" x14ac:dyDescent="0.25">
      <c r="A622" s="210" t="s">
        <v>1660</v>
      </c>
      <c r="B622" s="100">
        <v>46132</v>
      </c>
      <c r="C622" t="s">
        <v>21</v>
      </c>
      <c r="D622" t="s">
        <v>22</v>
      </c>
      <c r="E622" t="s">
        <v>147</v>
      </c>
      <c r="F622" s="107">
        <v>30001094</v>
      </c>
    </row>
    <row r="623" spans="1:6" hidden="1" x14ac:dyDescent="0.25">
      <c r="A623" s="210" t="s">
        <v>1664</v>
      </c>
      <c r="B623" s="100">
        <v>46132</v>
      </c>
      <c r="C623" t="s">
        <v>21</v>
      </c>
      <c r="D623" t="s">
        <v>22</v>
      </c>
      <c r="E623" t="s">
        <v>147</v>
      </c>
      <c r="F623" s="107">
        <v>57235081</v>
      </c>
    </row>
    <row r="624" spans="1:6" hidden="1" x14ac:dyDescent="0.25">
      <c r="A624" s="210" t="s">
        <v>1692</v>
      </c>
      <c r="B624" s="100">
        <v>46132</v>
      </c>
      <c r="C624" t="s">
        <v>21</v>
      </c>
      <c r="D624" t="s">
        <v>260</v>
      </c>
      <c r="E624" t="s">
        <v>261</v>
      </c>
      <c r="F624" s="107">
        <v>100000000</v>
      </c>
    </row>
    <row r="625" spans="1:6" hidden="1" x14ac:dyDescent="0.25">
      <c r="A625" s="210" t="s">
        <v>1475</v>
      </c>
      <c r="B625" s="100">
        <v>46131</v>
      </c>
      <c r="C625" t="s">
        <v>21</v>
      </c>
      <c r="D625" t="s">
        <v>22</v>
      </c>
      <c r="E625" t="s">
        <v>47</v>
      </c>
      <c r="F625" s="107">
        <v>6847000</v>
      </c>
    </row>
    <row r="626" spans="1:6" hidden="1" x14ac:dyDescent="0.25">
      <c r="A626" s="210" t="s">
        <v>1506</v>
      </c>
      <c r="B626" s="100">
        <v>46131</v>
      </c>
      <c r="C626" t="s">
        <v>21</v>
      </c>
      <c r="D626" t="s">
        <v>22</v>
      </c>
      <c r="E626" t="s">
        <v>261</v>
      </c>
      <c r="F626" s="107">
        <v>300000000</v>
      </c>
    </row>
    <row r="627" spans="1:6" hidden="1" x14ac:dyDescent="0.25">
      <c r="A627" s="210" t="s">
        <v>1515</v>
      </c>
      <c r="B627" s="100">
        <v>46130</v>
      </c>
      <c r="C627" t="s">
        <v>21</v>
      </c>
      <c r="D627" t="s">
        <v>22</v>
      </c>
      <c r="E627" t="s">
        <v>147</v>
      </c>
      <c r="F627" s="107">
        <v>70000000</v>
      </c>
    </row>
    <row r="628" spans="1:6" hidden="1" x14ac:dyDescent="0.25">
      <c r="A628" s="210" t="s">
        <v>1541</v>
      </c>
      <c r="B628" s="100">
        <v>46130</v>
      </c>
      <c r="C628" t="s">
        <v>21</v>
      </c>
      <c r="D628" t="s">
        <v>24</v>
      </c>
      <c r="F628" s="107">
        <v>100000000</v>
      </c>
    </row>
    <row r="629" spans="1:6" hidden="1" x14ac:dyDescent="0.25">
      <c r="A629" s="210" t="s">
        <v>1567</v>
      </c>
      <c r="B629" s="100">
        <v>46130</v>
      </c>
      <c r="C629" t="s">
        <v>21</v>
      </c>
      <c r="D629" t="s">
        <v>22</v>
      </c>
      <c r="E629" t="s">
        <v>726</v>
      </c>
      <c r="F629" s="107">
        <v>43840000</v>
      </c>
    </row>
    <row r="630" spans="1:6" hidden="1" x14ac:dyDescent="0.25">
      <c r="A630" s="210" t="s">
        <v>1567</v>
      </c>
      <c r="B630" s="100">
        <v>46130</v>
      </c>
      <c r="C630" t="s">
        <v>21</v>
      </c>
      <c r="D630" t="s">
        <v>24</v>
      </c>
      <c r="F630" s="107">
        <v>20000000</v>
      </c>
    </row>
    <row r="631" spans="1:6" hidden="1" x14ac:dyDescent="0.25">
      <c r="A631" s="210" t="s">
        <v>1568</v>
      </c>
      <c r="B631" s="100">
        <v>46130</v>
      </c>
      <c r="C631" t="s">
        <v>21</v>
      </c>
      <c r="D631" t="s">
        <v>22</v>
      </c>
      <c r="E631" t="s">
        <v>726</v>
      </c>
      <c r="F631" s="107">
        <v>70000000</v>
      </c>
    </row>
    <row r="632" spans="1:6" hidden="1" x14ac:dyDescent="0.25">
      <c r="A632" s="210" t="s">
        <v>1568</v>
      </c>
      <c r="B632" s="100">
        <v>46130</v>
      </c>
      <c r="C632" t="s">
        <v>21</v>
      </c>
      <c r="D632" t="s">
        <v>24</v>
      </c>
      <c r="F632" s="107">
        <v>30000000</v>
      </c>
    </row>
    <row r="633" spans="1:6" hidden="1" x14ac:dyDescent="0.25">
      <c r="A633" s="210" t="s">
        <v>1577</v>
      </c>
      <c r="B633" s="100">
        <v>46130</v>
      </c>
      <c r="C633" t="s">
        <v>21</v>
      </c>
      <c r="D633" t="s">
        <v>22</v>
      </c>
      <c r="E633" t="s">
        <v>147</v>
      </c>
      <c r="F633" s="107">
        <v>200000000</v>
      </c>
    </row>
    <row r="634" spans="1:6" x14ac:dyDescent="0.25">
      <c r="A634" s="210" t="s">
        <v>1582</v>
      </c>
      <c r="B634" s="100">
        <v>46130</v>
      </c>
      <c r="C634" t="s">
        <v>21</v>
      </c>
      <c r="D634" t="s">
        <v>22</v>
      </c>
      <c r="E634" t="s">
        <v>83</v>
      </c>
      <c r="F634" s="107">
        <v>70000000</v>
      </c>
    </row>
    <row r="635" spans="1:6" hidden="1" x14ac:dyDescent="0.25">
      <c r="A635" s="210" t="s">
        <v>1610</v>
      </c>
      <c r="B635" s="100">
        <v>46130</v>
      </c>
      <c r="C635" t="s">
        <v>21</v>
      </c>
      <c r="D635" t="s">
        <v>24</v>
      </c>
      <c r="F635" s="107">
        <v>111111000</v>
      </c>
    </row>
    <row r="636" spans="1:6" hidden="1" x14ac:dyDescent="0.25">
      <c r="A636" s="210" t="s">
        <v>1691</v>
      </c>
      <c r="B636" s="100">
        <v>46130</v>
      </c>
      <c r="C636" t="s">
        <v>21</v>
      </c>
      <c r="D636" t="s">
        <v>22</v>
      </c>
      <c r="E636" t="s">
        <v>261</v>
      </c>
      <c r="F636" s="107">
        <v>22956860</v>
      </c>
    </row>
    <row r="637" spans="1:6" hidden="1" x14ac:dyDescent="0.25">
      <c r="A637" s="210" t="s">
        <v>1707</v>
      </c>
      <c r="B637" s="100">
        <v>46130</v>
      </c>
      <c r="C637" t="s">
        <v>21</v>
      </c>
      <c r="D637" t="s">
        <v>22</v>
      </c>
      <c r="E637" t="s">
        <v>147</v>
      </c>
      <c r="F637" s="107">
        <v>195580000</v>
      </c>
    </row>
    <row r="638" spans="1:6" hidden="1" x14ac:dyDescent="0.25">
      <c r="A638" s="210" t="s">
        <v>1817</v>
      </c>
      <c r="B638" s="100">
        <v>46130</v>
      </c>
      <c r="C638" t="s">
        <v>21</v>
      </c>
      <c r="D638" t="s">
        <v>22</v>
      </c>
      <c r="E638" t="s">
        <v>261</v>
      </c>
      <c r="F638" s="107">
        <v>213830000</v>
      </c>
    </row>
    <row r="639" spans="1:6" hidden="1" x14ac:dyDescent="0.25">
      <c r="A639" s="210" t="s">
        <v>1475</v>
      </c>
      <c r="B639" s="100">
        <v>46129</v>
      </c>
      <c r="C639" t="s">
        <v>21</v>
      </c>
      <c r="D639" t="s">
        <v>22</v>
      </c>
      <c r="E639" t="s">
        <v>47</v>
      </c>
      <c r="F639" s="107">
        <v>8835000</v>
      </c>
    </row>
    <row r="640" spans="1:6" hidden="1" x14ac:dyDescent="0.25">
      <c r="A640" s="210" t="s">
        <v>1479</v>
      </c>
      <c r="B640" s="100">
        <v>46129</v>
      </c>
      <c r="C640" t="s">
        <v>21</v>
      </c>
      <c r="D640" t="s">
        <v>22</v>
      </c>
      <c r="E640" t="s">
        <v>147</v>
      </c>
      <c r="F640" s="107">
        <v>70000000</v>
      </c>
    </row>
    <row r="641" spans="1:6" hidden="1" x14ac:dyDescent="0.25">
      <c r="A641" s="210" t="s">
        <v>1479</v>
      </c>
      <c r="B641" s="100">
        <v>46129</v>
      </c>
      <c r="C641" t="s">
        <v>21</v>
      </c>
      <c r="D641" t="s">
        <v>22</v>
      </c>
      <c r="E641" t="s">
        <v>147</v>
      </c>
      <c r="F641" s="107">
        <v>230000000</v>
      </c>
    </row>
    <row r="642" spans="1:6" hidden="1" x14ac:dyDescent="0.25">
      <c r="A642" s="210" t="s">
        <v>1499</v>
      </c>
      <c r="B642" s="100">
        <v>46129</v>
      </c>
      <c r="C642" t="s">
        <v>21</v>
      </c>
      <c r="D642" t="s">
        <v>22</v>
      </c>
      <c r="E642" t="s">
        <v>147</v>
      </c>
      <c r="F642" s="107">
        <v>100000000</v>
      </c>
    </row>
    <row r="643" spans="1:6" hidden="1" x14ac:dyDescent="0.25">
      <c r="A643" s="210" t="s">
        <v>1524</v>
      </c>
      <c r="B643" s="100">
        <v>46129</v>
      </c>
      <c r="C643" t="s">
        <v>654</v>
      </c>
      <c r="D643" t="s">
        <v>24</v>
      </c>
      <c r="F643" s="107">
        <v>-109550000</v>
      </c>
    </row>
    <row r="644" spans="1:6" hidden="1" x14ac:dyDescent="0.25">
      <c r="A644" s="210" t="s">
        <v>1525</v>
      </c>
      <c r="B644" s="100">
        <v>46129</v>
      </c>
      <c r="C644" t="s">
        <v>21</v>
      </c>
      <c r="D644" t="s">
        <v>24</v>
      </c>
      <c r="F644" s="107">
        <v>200000000</v>
      </c>
    </row>
    <row r="645" spans="1:6" hidden="1" x14ac:dyDescent="0.25">
      <c r="A645" s="210" t="s">
        <v>1527</v>
      </c>
      <c r="B645" s="100">
        <v>46129</v>
      </c>
      <c r="C645" t="s">
        <v>21</v>
      </c>
      <c r="D645" t="s">
        <v>22</v>
      </c>
      <c r="E645" t="s">
        <v>147</v>
      </c>
      <c r="F645" s="107">
        <v>100000000</v>
      </c>
    </row>
    <row r="646" spans="1:6" x14ac:dyDescent="0.25">
      <c r="A646" s="210" t="s">
        <v>1538</v>
      </c>
      <c r="B646" s="100">
        <v>46129</v>
      </c>
      <c r="C646" t="s">
        <v>21</v>
      </c>
      <c r="D646" t="s">
        <v>22</v>
      </c>
      <c r="E646" t="s">
        <v>83</v>
      </c>
      <c r="F646" s="107">
        <v>90420000</v>
      </c>
    </row>
    <row r="647" spans="1:6" x14ac:dyDescent="0.25">
      <c r="A647" s="210" t="s">
        <v>1539</v>
      </c>
      <c r="B647" s="100">
        <v>46129</v>
      </c>
      <c r="C647" t="s">
        <v>21</v>
      </c>
      <c r="D647" t="s">
        <v>22</v>
      </c>
      <c r="E647" t="s">
        <v>83</v>
      </c>
      <c r="F647" s="107">
        <v>40000000</v>
      </c>
    </row>
    <row r="648" spans="1:6" hidden="1" x14ac:dyDescent="0.25">
      <c r="A648" s="210" t="s">
        <v>1545</v>
      </c>
      <c r="B648" s="100">
        <v>46129</v>
      </c>
      <c r="C648" t="s">
        <v>21</v>
      </c>
      <c r="D648" t="s">
        <v>22</v>
      </c>
      <c r="E648" t="s">
        <v>147</v>
      </c>
      <c r="F648" s="107">
        <v>100000000</v>
      </c>
    </row>
    <row r="649" spans="1:6" hidden="1" x14ac:dyDescent="0.25">
      <c r="A649" s="210" t="s">
        <v>1554</v>
      </c>
      <c r="B649" s="100">
        <v>46129</v>
      </c>
      <c r="C649" t="s">
        <v>21</v>
      </c>
      <c r="D649" t="s">
        <v>22</v>
      </c>
      <c r="E649" t="s">
        <v>2067</v>
      </c>
      <c r="F649" s="107">
        <v>50000000</v>
      </c>
    </row>
    <row r="650" spans="1:6" hidden="1" x14ac:dyDescent="0.25">
      <c r="A650" s="210" t="s">
        <v>1558</v>
      </c>
      <c r="B650" s="100">
        <v>46129</v>
      </c>
      <c r="C650" t="s">
        <v>21</v>
      </c>
      <c r="D650" t="s">
        <v>22</v>
      </c>
      <c r="E650" t="s">
        <v>147</v>
      </c>
      <c r="F650" s="107">
        <v>40205000</v>
      </c>
    </row>
    <row r="651" spans="1:6" hidden="1" x14ac:dyDescent="0.25">
      <c r="A651" s="210" t="s">
        <v>1558</v>
      </c>
      <c r="B651" s="100">
        <v>46129</v>
      </c>
      <c r="C651" t="s">
        <v>21</v>
      </c>
      <c r="D651" t="s">
        <v>24</v>
      </c>
      <c r="F651" s="107">
        <v>160000000</v>
      </c>
    </row>
    <row r="652" spans="1:6" hidden="1" x14ac:dyDescent="0.25">
      <c r="A652" s="210" t="s">
        <v>1575</v>
      </c>
      <c r="B652" s="100">
        <v>46129</v>
      </c>
      <c r="C652" t="s">
        <v>21</v>
      </c>
      <c r="D652" t="s">
        <v>22</v>
      </c>
      <c r="E652" t="s">
        <v>261</v>
      </c>
      <c r="F652" s="107">
        <v>100000000</v>
      </c>
    </row>
    <row r="653" spans="1:6" x14ac:dyDescent="0.25">
      <c r="A653" s="210" t="s">
        <v>1579</v>
      </c>
      <c r="B653" s="100">
        <v>46129</v>
      </c>
      <c r="C653" t="s">
        <v>21</v>
      </c>
      <c r="D653" t="s">
        <v>22</v>
      </c>
      <c r="E653" t="s">
        <v>83</v>
      </c>
      <c r="F653" s="107">
        <v>200000000</v>
      </c>
    </row>
    <row r="654" spans="1:6" hidden="1" x14ac:dyDescent="0.25">
      <c r="A654" s="210" t="s">
        <v>1643</v>
      </c>
      <c r="B654" s="100">
        <v>46129</v>
      </c>
      <c r="C654" t="s">
        <v>21</v>
      </c>
      <c r="D654" t="s">
        <v>22</v>
      </c>
      <c r="E654" t="s">
        <v>261</v>
      </c>
      <c r="F654" s="107">
        <v>100000000</v>
      </c>
    </row>
    <row r="655" spans="1:6" hidden="1" x14ac:dyDescent="0.25">
      <c r="A655" s="210" t="s">
        <v>1593</v>
      </c>
      <c r="B655" s="100">
        <v>46129</v>
      </c>
      <c r="C655" t="s">
        <v>21</v>
      </c>
      <c r="D655" t="s">
        <v>22</v>
      </c>
      <c r="E655" t="s">
        <v>261</v>
      </c>
      <c r="F655" s="107">
        <v>47539500</v>
      </c>
    </row>
    <row r="656" spans="1:6" hidden="1" x14ac:dyDescent="0.25">
      <c r="A656" s="210" t="s">
        <v>1600</v>
      </c>
      <c r="B656" s="100">
        <v>46129</v>
      </c>
      <c r="C656" t="s">
        <v>21</v>
      </c>
      <c r="D656" t="s">
        <v>22</v>
      </c>
      <c r="E656" t="s">
        <v>147</v>
      </c>
      <c r="F656" s="107">
        <v>60000000</v>
      </c>
    </row>
    <row r="657" spans="1:6" hidden="1" x14ac:dyDescent="0.25">
      <c r="A657" s="210" t="s">
        <v>2547</v>
      </c>
      <c r="B657" s="100">
        <v>46129</v>
      </c>
      <c r="C657" t="s">
        <v>21</v>
      </c>
      <c r="D657" t="s">
        <v>22</v>
      </c>
      <c r="E657" t="s">
        <v>147</v>
      </c>
      <c r="F657" s="107">
        <v>100000000</v>
      </c>
    </row>
    <row r="658" spans="1:6" hidden="1" x14ac:dyDescent="0.25">
      <c r="A658" s="210" t="s">
        <v>1615</v>
      </c>
      <c r="B658" s="100">
        <v>46129</v>
      </c>
      <c r="C658" t="s">
        <v>21</v>
      </c>
      <c r="D658" t="s">
        <v>260</v>
      </c>
      <c r="E658" t="s">
        <v>261</v>
      </c>
      <c r="F658" s="107">
        <v>44461716</v>
      </c>
    </row>
    <row r="659" spans="1:6" hidden="1" x14ac:dyDescent="0.25">
      <c r="A659" s="210" t="s">
        <v>2016</v>
      </c>
      <c r="B659" s="100">
        <v>46129</v>
      </c>
      <c r="C659" t="s">
        <v>2214</v>
      </c>
      <c r="D659" t="s">
        <v>22</v>
      </c>
      <c r="E659" t="s">
        <v>261</v>
      </c>
      <c r="F659" s="107">
        <v>-100000000</v>
      </c>
    </row>
    <row r="660" spans="1:6" hidden="1" x14ac:dyDescent="0.25">
      <c r="A660" s="210" t="s">
        <v>1734</v>
      </c>
      <c r="B660" s="100">
        <v>46129</v>
      </c>
      <c r="C660" t="s">
        <v>21</v>
      </c>
      <c r="D660" t="s">
        <v>22</v>
      </c>
      <c r="E660" t="s">
        <v>261</v>
      </c>
      <c r="F660" s="107">
        <v>207232000</v>
      </c>
    </row>
    <row r="661" spans="1:6" hidden="1" x14ac:dyDescent="0.25">
      <c r="A661" s="210" t="s">
        <v>1689</v>
      </c>
      <c r="B661" s="100">
        <v>46129</v>
      </c>
      <c r="C661" t="s">
        <v>21</v>
      </c>
      <c r="D661" t="s">
        <v>22</v>
      </c>
      <c r="E661" t="s">
        <v>261</v>
      </c>
      <c r="F661" s="107">
        <v>50000000</v>
      </c>
    </row>
    <row r="662" spans="1:6" hidden="1" x14ac:dyDescent="0.25">
      <c r="A662" s="210" t="s">
        <v>1721</v>
      </c>
      <c r="B662" s="100">
        <v>46129</v>
      </c>
      <c r="C662" t="s">
        <v>21</v>
      </c>
      <c r="D662" t="s">
        <v>22</v>
      </c>
      <c r="E662" t="s">
        <v>1907</v>
      </c>
      <c r="F662" s="107">
        <v>40000000</v>
      </c>
    </row>
    <row r="663" spans="1:6" hidden="1" x14ac:dyDescent="0.25">
      <c r="A663" s="210" t="s">
        <v>1475</v>
      </c>
      <c r="B663" s="100">
        <v>46128</v>
      </c>
      <c r="C663" t="s">
        <v>21</v>
      </c>
      <c r="D663" t="s">
        <v>22</v>
      </c>
      <c r="E663" t="s">
        <v>47</v>
      </c>
      <c r="F663" s="107">
        <v>45000000</v>
      </c>
    </row>
    <row r="664" spans="1:6" hidden="1" x14ac:dyDescent="0.25">
      <c r="A664" s="210" t="s">
        <v>1475</v>
      </c>
      <c r="B664" s="100">
        <v>46128</v>
      </c>
      <c r="C664" t="s">
        <v>21</v>
      </c>
      <c r="D664" t="s">
        <v>24</v>
      </c>
      <c r="F664" s="107">
        <v>30000000</v>
      </c>
    </row>
    <row r="665" spans="1:6" hidden="1" x14ac:dyDescent="0.25">
      <c r="A665" s="210" t="s">
        <v>1476</v>
      </c>
      <c r="B665" s="100">
        <v>46128</v>
      </c>
      <c r="C665" t="s">
        <v>654</v>
      </c>
      <c r="F665" s="107">
        <v>-21260000</v>
      </c>
    </row>
    <row r="666" spans="1:6" hidden="1" x14ac:dyDescent="0.25">
      <c r="A666" s="210" t="s">
        <v>1478</v>
      </c>
      <c r="B666" s="100">
        <v>46128</v>
      </c>
      <c r="C666" t="s">
        <v>21</v>
      </c>
      <c r="D666" t="s">
        <v>22</v>
      </c>
      <c r="E666" t="s">
        <v>2067</v>
      </c>
      <c r="F666" s="107">
        <v>116738000</v>
      </c>
    </row>
    <row r="667" spans="1:6" hidden="1" x14ac:dyDescent="0.25">
      <c r="A667" s="210" t="s">
        <v>1485</v>
      </c>
      <c r="B667" s="100">
        <v>46128</v>
      </c>
      <c r="C667" t="s">
        <v>21</v>
      </c>
      <c r="D667" t="s">
        <v>22</v>
      </c>
      <c r="E667" t="s">
        <v>147</v>
      </c>
      <c r="F667" s="107">
        <v>150000000</v>
      </c>
    </row>
    <row r="668" spans="1:6" hidden="1" x14ac:dyDescent="0.25">
      <c r="A668" s="210" t="s">
        <v>1493</v>
      </c>
      <c r="B668" s="100">
        <v>46128</v>
      </c>
      <c r="C668" t="s">
        <v>21</v>
      </c>
      <c r="D668" t="s">
        <v>22</v>
      </c>
      <c r="E668" t="s">
        <v>261</v>
      </c>
      <c r="F668" s="107">
        <v>130000000</v>
      </c>
    </row>
    <row r="669" spans="1:6" hidden="1" x14ac:dyDescent="0.25">
      <c r="A669" s="210" t="s">
        <v>1496</v>
      </c>
      <c r="B669" s="100">
        <v>46128</v>
      </c>
      <c r="C669" t="s">
        <v>21</v>
      </c>
      <c r="D669" t="s">
        <v>22</v>
      </c>
      <c r="E669" t="s">
        <v>147</v>
      </c>
      <c r="F669" s="107">
        <v>80000000</v>
      </c>
    </row>
    <row r="670" spans="1:6" x14ac:dyDescent="0.25">
      <c r="A670" s="210" t="s">
        <v>1505</v>
      </c>
      <c r="B670" s="100">
        <v>46128</v>
      </c>
      <c r="C670" t="s">
        <v>21</v>
      </c>
      <c r="D670" t="s">
        <v>22</v>
      </c>
      <c r="E670" t="s">
        <v>83</v>
      </c>
      <c r="F670" s="107">
        <v>61969545</v>
      </c>
    </row>
    <row r="671" spans="1:6" hidden="1" x14ac:dyDescent="0.25">
      <c r="A671" s="210" t="s">
        <v>1507</v>
      </c>
      <c r="B671" s="100">
        <v>46128</v>
      </c>
      <c r="C671" t="s">
        <v>21</v>
      </c>
      <c r="D671" t="s">
        <v>22</v>
      </c>
      <c r="E671" t="s">
        <v>147</v>
      </c>
      <c r="F671" s="107">
        <v>50000000</v>
      </c>
    </row>
    <row r="672" spans="1:6" x14ac:dyDescent="0.25">
      <c r="A672" s="210" t="s">
        <v>1512</v>
      </c>
      <c r="B672" s="100">
        <v>46128</v>
      </c>
      <c r="C672" t="s">
        <v>21</v>
      </c>
      <c r="D672" t="s">
        <v>22</v>
      </c>
      <c r="E672" t="s">
        <v>83</v>
      </c>
      <c r="F672" s="107">
        <v>100000000</v>
      </c>
    </row>
    <row r="673" spans="1:6" hidden="1" x14ac:dyDescent="0.25">
      <c r="A673" s="210" t="s">
        <v>1531</v>
      </c>
      <c r="B673" s="100">
        <v>46128</v>
      </c>
      <c r="C673" t="s">
        <v>21</v>
      </c>
      <c r="D673" t="s">
        <v>24</v>
      </c>
      <c r="F673" s="107">
        <v>500000000</v>
      </c>
    </row>
    <row r="674" spans="1:6" hidden="1" x14ac:dyDescent="0.25">
      <c r="A674" s="210" t="s">
        <v>1574</v>
      </c>
      <c r="B674" s="100">
        <v>46128</v>
      </c>
      <c r="C674" t="s">
        <v>21</v>
      </c>
      <c r="D674" t="s">
        <v>22</v>
      </c>
      <c r="E674" t="s">
        <v>726</v>
      </c>
      <c r="F674" s="107">
        <v>10800000</v>
      </c>
    </row>
    <row r="675" spans="1:6" x14ac:dyDescent="0.25">
      <c r="A675" s="210" t="s">
        <v>1547</v>
      </c>
      <c r="B675" s="100">
        <v>46128</v>
      </c>
      <c r="C675" t="s">
        <v>21</v>
      </c>
      <c r="D675" t="s">
        <v>22</v>
      </c>
      <c r="E675" t="s">
        <v>83</v>
      </c>
      <c r="F675" s="107">
        <v>80000000</v>
      </c>
    </row>
    <row r="676" spans="1:6" hidden="1" x14ac:dyDescent="0.25">
      <c r="A676" s="210" t="s">
        <v>1548</v>
      </c>
      <c r="B676" s="100">
        <v>46128</v>
      </c>
      <c r="C676" t="s">
        <v>21</v>
      </c>
      <c r="D676" t="s">
        <v>22</v>
      </c>
      <c r="E676" t="s">
        <v>147</v>
      </c>
      <c r="F676" s="107">
        <v>70000000</v>
      </c>
    </row>
    <row r="677" spans="1:6" hidden="1" x14ac:dyDescent="0.25">
      <c r="A677" s="210" t="s">
        <v>1554</v>
      </c>
      <c r="B677" s="100">
        <v>46128</v>
      </c>
      <c r="C677" t="s">
        <v>21</v>
      </c>
      <c r="D677" t="s">
        <v>22</v>
      </c>
      <c r="E677" t="s">
        <v>2067</v>
      </c>
      <c r="F677" s="107">
        <v>150000000</v>
      </c>
    </row>
    <row r="678" spans="1:6" hidden="1" x14ac:dyDescent="0.25">
      <c r="A678" s="210" t="s">
        <v>1564</v>
      </c>
      <c r="B678" s="100">
        <v>46128</v>
      </c>
      <c r="C678" t="s">
        <v>21</v>
      </c>
      <c r="D678" t="s">
        <v>22</v>
      </c>
      <c r="E678" t="s">
        <v>147</v>
      </c>
      <c r="F678" s="107">
        <v>40000000</v>
      </c>
    </row>
    <row r="679" spans="1:6" hidden="1" x14ac:dyDescent="0.25">
      <c r="A679" s="210" t="s">
        <v>1568</v>
      </c>
      <c r="B679" s="100">
        <v>46128</v>
      </c>
      <c r="C679" t="s">
        <v>21</v>
      </c>
      <c r="D679" t="s">
        <v>22</v>
      </c>
      <c r="E679" t="s">
        <v>1907</v>
      </c>
      <c r="F679" s="107">
        <v>55000000</v>
      </c>
    </row>
    <row r="680" spans="1:6" hidden="1" x14ac:dyDescent="0.25">
      <c r="A680" s="210" t="s">
        <v>1568</v>
      </c>
      <c r="B680" s="100">
        <v>46128</v>
      </c>
      <c r="C680" t="s">
        <v>21</v>
      </c>
      <c r="D680" t="s">
        <v>24</v>
      </c>
      <c r="F680" s="107">
        <v>75000000</v>
      </c>
    </row>
    <row r="681" spans="1:6" hidden="1" x14ac:dyDescent="0.25">
      <c r="A681" s="210" t="s">
        <v>1580</v>
      </c>
      <c r="B681" s="100">
        <v>46128</v>
      </c>
      <c r="C681" t="s">
        <v>21</v>
      </c>
      <c r="D681" t="s">
        <v>24</v>
      </c>
      <c r="F681" s="107">
        <v>284490000</v>
      </c>
    </row>
    <row r="682" spans="1:6" x14ac:dyDescent="0.25">
      <c r="A682" s="210" t="s">
        <v>1590</v>
      </c>
      <c r="B682" s="100">
        <v>46128</v>
      </c>
      <c r="C682" t="s">
        <v>21</v>
      </c>
      <c r="D682" t="s">
        <v>22</v>
      </c>
      <c r="E682" t="s">
        <v>83</v>
      </c>
      <c r="F682" s="107">
        <v>233513196</v>
      </c>
    </row>
    <row r="683" spans="1:6" hidden="1" x14ac:dyDescent="0.25">
      <c r="A683" s="210" t="s">
        <v>1595</v>
      </c>
      <c r="B683" s="100">
        <v>46128</v>
      </c>
      <c r="C683" t="s">
        <v>21</v>
      </c>
      <c r="D683" t="s">
        <v>22</v>
      </c>
      <c r="E683" t="s">
        <v>726</v>
      </c>
      <c r="F683" s="107">
        <v>8000000</v>
      </c>
    </row>
    <row r="684" spans="1:6" hidden="1" x14ac:dyDescent="0.25">
      <c r="A684" s="210" t="s">
        <v>1606</v>
      </c>
      <c r="B684" s="100">
        <v>46128</v>
      </c>
      <c r="C684" t="s">
        <v>21</v>
      </c>
      <c r="D684" t="s">
        <v>22</v>
      </c>
      <c r="E684" t="s">
        <v>147</v>
      </c>
      <c r="F684" s="107">
        <v>50000000</v>
      </c>
    </row>
    <row r="685" spans="1:6" hidden="1" x14ac:dyDescent="0.25">
      <c r="A685" s="210" t="s">
        <v>1610</v>
      </c>
      <c r="B685" s="100">
        <v>46128</v>
      </c>
      <c r="C685" t="s">
        <v>21</v>
      </c>
      <c r="D685" t="s">
        <v>24</v>
      </c>
      <c r="F685" s="107">
        <v>34710000</v>
      </c>
    </row>
    <row r="686" spans="1:6" x14ac:dyDescent="0.25">
      <c r="A686" s="210" t="s">
        <v>1622</v>
      </c>
      <c r="B686" s="100">
        <v>46128</v>
      </c>
      <c r="C686" t="s">
        <v>21</v>
      </c>
      <c r="D686" t="s">
        <v>22</v>
      </c>
      <c r="E686" t="s">
        <v>83</v>
      </c>
      <c r="F686" s="107">
        <v>53802256</v>
      </c>
    </row>
    <row r="687" spans="1:6" hidden="1" x14ac:dyDescent="0.25">
      <c r="A687" s="210" t="s">
        <v>1635</v>
      </c>
      <c r="B687" s="100">
        <v>46128</v>
      </c>
      <c r="C687" t="s">
        <v>21</v>
      </c>
      <c r="D687" t="s">
        <v>24</v>
      </c>
      <c r="F687" s="107">
        <v>200000000</v>
      </c>
    </row>
    <row r="688" spans="1:6" x14ac:dyDescent="0.25">
      <c r="A688" s="210" t="s">
        <v>1638</v>
      </c>
      <c r="B688" s="100">
        <v>46128</v>
      </c>
      <c r="C688" t="s">
        <v>21</v>
      </c>
      <c r="D688" t="s">
        <v>22</v>
      </c>
      <c r="E688" t="s">
        <v>83</v>
      </c>
      <c r="F688" s="107">
        <v>500000000</v>
      </c>
    </row>
    <row r="689" spans="1:6" x14ac:dyDescent="0.25">
      <c r="A689" s="210" t="s">
        <v>1675</v>
      </c>
      <c r="B689" s="100">
        <v>46128</v>
      </c>
      <c r="C689" t="s">
        <v>21</v>
      </c>
      <c r="D689" t="s">
        <v>22</v>
      </c>
      <c r="E689" t="s">
        <v>83</v>
      </c>
      <c r="F689" s="107">
        <v>60372774</v>
      </c>
    </row>
    <row r="690" spans="1:6" x14ac:dyDescent="0.25">
      <c r="A690" s="210" t="s">
        <v>1676</v>
      </c>
      <c r="B690" s="100">
        <v>46128</v>
      </c>
      <c r="C690" t="s">
        <v>21</v>
      </c>
      <c r="D690" t="s">
        <v>22</v>
      </c>
      <c r="E690" t="s">
        <v>83</v>
      </c>
      <c r="F690" s="107">
        <v>100000000</v>
      </c>
    </row>
    <row r="691" spans="1:6" x14ac:dyDescent="0.25">
      <c r="A691" s="210" t="s">
        <v>1683</v>
      </c>
      <c r="B691" s="100">
        <v>46128</v>
      </c>
      <c r="C691" t="s">
        <v>21</v>
      </c>
      <c r="D691" t="s">
        <v>22</v>
      </c>
      <c r="E691" t="s">
        <v>83</v>
      </c>
      <c r="F691" s="107">
        <v>78868350</v>
      </c>
    </row>
    <row r="692" spans="1:6" x14ac:dyDescent="0.25">
      <c r="A692" s="210" t="s">
        <v>1686</v>
      </c>
      <c r="B692" s="100">
        <v>46128</v>
      </c>
      <c r="C692" t="s">
        <v>21</v>
      </c>
      <c r="D692" t="s">
        <v>22</v>
      </c>
      <c r="E692" t="s">
        <v>83</v>
      </c>
      <c r="F692" s="107">
        <v>202275539</v>
      </c>
    </row>
    <row r="693" spans="1:6" hidden="1" x14ac:dyDescent="0.25">
      <c r="A693" s="210" t="s">
        <v>1719</v>
      </c>
      <c r="B693" s="100">
        <v>46128</v>
      </c>
      <c r="C693" t="s">
        <v>21</v>
      </c>
      <c r="D693" t="s">
        <v>22</v>
      </c>
      <c r="E693" t="s">
        <v>726</v>
      </c>
      <c r="F693" s="107">
        <v>7688000</v>
      </c>
    </row>
    <row r="694" spans="1:6" hidden="1" x14ac:dyDescent="0.25">
      <c r="A694" s="210" t="s">
        <v>1478</v>
      </c>
      <c r="B694" s="100">
        <v>46127</v>
      </c>
      <c r="C694" t="s">
        <v>21</v>
      </c>
      <c r="D694" t="s">
        <v>22</v>
      </c>
      <c r="E694" t="s">
        <v>2067</v>
      </c>
      <c r="F694" s="107">
        <v>19530000</v>
      </c>
    </row>
    <row r="695" spans="1:6" x14ac:dyDescent="0.25">
      <c r="A695" s="210" t="s">
        <v>1490</v>
      </c>
      <c r="B695" s="100">
        <v>46127</v>
      </c>
      <c r="C695" t="s">
        <v>21</v>
      </c>
      <c r="D695" t="s">
        <v>22</v>
      </c>
      <c r="E695" t="s">
        <v>83</v>
      </c>
      <c r="F695" s="107">
        <v>14352166</v>
      </c>
    </row>
    <row r="696" spans="1:6" hidden="1" x14ac:dyDescent="0.25">
      <c r="A696" s="210" t="s">
        <v>1509</v>
      </c>
      <c r="B696" s="100">
        <v>46127</v>
      </c>
      <c r="C696" t="s">
        <v>21</v>
      </c>
      <c r="D696" t="s">
        <v>22</v>
      </c>
      <c r="E696" t="s">
        <v>261</v>
      </c>
      <c r="F696" s="107">
        <v>58050155</v>
      </c>
    </row>
    <row r="697" spans="1:6" hidden="1" x14ac:dyDescent="0.25">
      <c r="A697" s="210" t="s">
        <v>1593</v>
      </c>
      <c r="B697" s="100">
        <v>46127</v>
      </c>
      <c r="C697" t="s">
        <v>21</v>
      </c>
      <c r="D697" t="s">
        <v>22</v>
      </c>
      <c r="E697" t="s">
        <v>261</v>
      </c>
      <c r="F697" s="107">
        <v>94000000</v>
      </c>
    </row>
    <row r="698" spans="1:6" hidden="1" x14ac:dyDescent="0.25">
      <c r="A698" s="210" t="s">
        <v>1615</v>
      </c>
      <c r="B698" s="100">
        <v>46127</v>
      </c>
      <c r="C698" t="s">
        <v>21</v>
      </c>
      <c r="D698" t="s">
        <v>22</v>
      </c>
      <c r="E698" t="s">
        <v>147</v>
      </c>
      <c r="F698" s="107">
        <v>103554449</v>
      </c>
    </row>
    <row r="699" spans="1:6" hidden="1" x14ac:dyDescent="0.25">
      <c r="A699" s="210" t="s">
        <v>1627</v>
      </c>
      <c r="B699" s="100">
        <v>46127</v>
      </c>
      <c r="C699" t="s">
        <v>21</v>
      </c>
      <c r="D699" t="s">
        <v>22</v>
      </c>
      <c r="E699" t="s">
        <v>147</v>
      </c>
      <c r="F699" s="107">
        <v>43000000</v>
      </c>
    </row>
    <row r="700" spans="1:6" hidden="1" x14ac:dyDescent="0.25">
      <c r="A700" s="210" t="s">
        <v>1641</v>
      </c>
      <c r="B700" s="100">
        <v>46127</v>
      </c>
      <c r="C700" t="s">
        <v>21</v>
      </c>
      <c r="D700" t="s">
        <v>22</v>
      </c>
      <c r="E700" t="s">
        <v>147</v>
      </c>
      <c r="F700" s="107">
        <v>200000000</v>
      </c>
    </row>
    <row r="701" spans="1:6" hidden="1" x14ac:dyDescent="0.25">
      <c r="A701" s="210" t="s">
        <v>1650</v>
      </c>
      <c r="B701" s="100">
        <v>46127</v>
      </c>
      <c r="C701" t="s">
        <v>21</v>
      </c>
      <c r="D701" t="s">
        <v>22</v>
      </c>
      <c r="E701" t="s">
        <v>261</v>
      </c>
      <c r="F701" s="107">
        <v>50000000</v>
      </c>
    </row>
    <row r="702" spans="1:6" hidden="1" x14ac:dyDescent="0.25">
      <c r="A702" s="210" t="s">
        <v>1696</v>
      </c>
      <c r="B702" s="100">
        <v>46127</v>
      </c>
      <c r="C702" t="s">
        <v>21</v>
      </c>
      <c r="D702" t="s">
        <v>22</v>
      </c>
      <c r="E702" t="s">
        <v>261</v>
      </c>
      <c r="F702" s="107">
        <v>16121908</v>
      </c>
    </row>
    <row r="703" spans="1:6" x14ac:dyDescent="0.25">
      <c r="A703" s="210" t="s">
        <v>1709</v>
      </c>
      <c r="B703" s="100">
        <v>46127</v>
      </c>
      <c r="C703" t="s">
        <v>21</v>
      </c>
      <c r="D703" t="s">
        <v>22</v>
      </c>
      <c r="E703" t="s">
        <v>83</v>
      </c>
      <c r="F703" s="107">
        <v>53040671</v>
      </c>
    </row>
    <row r="704" spans="1:6" x14ac:dyDescent="0.25">
      <c r="A704" s="210" t="s">
        <v>1724</v>
      </c>
      <c r="B704" s="100">
        <v>46127</v>
      </c>
      <c r="C704" t="s">
        <v>2214</v>
      </c>
      <c r="D704" t="s">
        <v>22</v>
      </c>
      <c r="E704" t="s">
        <v>83</v>
      </c>
      <c r="F704" s="107">
        <v>-193986392</v>
      </c>
    </row>
    <row r="705" spans="1:6" hidden="1" x14ac:dyDescent="0.25">
      <c r="A705" s="210" t="s">
        <v>1478</v>
      </c>
      <c r="B705" s="100">
        <v>46126</v>
      </c>
      <c r="C705" t="s">
        <v>21</v>
      </c>
      <c r="D705" t="s">
        <v>22</v>
      </c>
      <c r="E705" t="s">
        <v>2067</v>
      </c>
      <c r="F705" s="107">
        <v>30350000</v>
      </c>
    </row>
    <row r="706" spans="1:6" hidden="1" x14ac:dyDescent="0.25">
      <c r="A706" s="210" t="s">
        <v>1478</v>
      </c>
      <c r="B706" s="100">
        <v>46126</v>
      </c>
      <c r="C706" t="s">
        <v>21</v>
      </c>
      <c r="D706" t="s">
        <v>22</v>
      </c>
      <c r="E706" t="s">
        <v>2067</v>
      </c>
      <c r="F706" s="107">
        <v>3332000</v>
      </c>
    </row>
    <row r="707" spans="1:6" hidden="1" x14ac:dyDescent="0.25">
      <c r="A707" s="210" t="s">
        <v>1485</v>
      </c>
      <c r="B707" s="100">
        <v>46126</v>
      </c>
      <c r="C707" t="s">
        <v>21</v>
      </c>
      <c r="D707" t="s">
        <v>22</v>
      </c>
      <c r="E707" t="s">
        <v>147</v>
      </c>
      <c r="F707" s="107">
        <v>200000000</v>
      </c>
    </row>
    <row r="708" spans="1:6" x14ac:dyDescent="0.25">
      <c r="A708" s="210" t="s">
        <v>1518</v>
      </c>
      <c r="B708" s="100">
        <v>46126</v>
      </c>
      <c r="C708" t="s">
        <v>21</v>
      </c>
      <c r="D708" t="s">
        <v>22</v>
      </c>
      <c r="E708" t="s">
        <v>83</v>
      </c>
      <c r="F708" s="107">
        <v>50000000</v>
      </c>
    </row>
    <row r="709" spans="1:6" hidden="1" x14ac:dyDescent="0.25">
      <c r="A709" s="210" t="s">
        <v>1541</v>
      </c>
      <c r="B709" s="100">
        <v>46126</v>
      </c>
      <c r="C709" t="s">
        <v>21</v>
      </c>
      <c r="D709" t="s">
        <v>24</v>
      </c>
      <c r="F709" s="107">
        <v>150000000</v>
      </c>
    </row>
    <row r="710" spans="1:6" hidden="1" x14ac:dyDescent="0.25">
      <c r="A710" s="210" t="s">
        <v>1545</v>
      </c>
      <c r="B710" s="100">
        <v>46126</v>
      </c>
      <c r="C710" t="s">
        <v>21</v>
      </c>
      <c r="D710" t="s">
        <v>22</v>
      </c>
      <c r="E710" t="s">
        <v>147</v>
      </c>
      <c r="F710" s="107">
        <v>100000000</v>
      </c>
    </row>
    <row r="711" spans="1:6" x14ac:dyDescent="0.25">
      <c r="A711" s="210" t="s">
        <v>1572</v>
      </c>
      <c r="B711" s="100">
        <v>46126</v>
      </c>
      <c r="C711" t="s">
        <v>21</v>
      </c>
      <c r="D711" t="s">
        <v>22</v>
      </c>
      <c r="E711" t="s">
        <v>83</v>
      </c>
      <c r="F711" s="107">
        <v>360703570</v>
      </c>
    </row>
    <row r="712" spans="1:6" x14ac:dyDescent="0.25">
      <c r="A712" s="210" t="s">
        <v>1583</v>
      </c>
      <c r="B712" s="100">
        <v>46126</v>
      </c>
      <c r="C712" t="s">
        <v>21</v>
      </c>
      <c r="D712" t="s">
        <v>22</v>
      </c>
      <c r="E712" t="s">
        <v>83</v>
      </c>
      <c r="F712" s="107">
        <v>148007585</v>
      </c>
    </row>
    <row r="713" spans="1:6" x14ac:dyDescent="0.25">
      <c r="A713" s="210" t="s">
        <v>1608</v>
      </c>
      <c r="B713" s="100">
        <v>46126</v>
      </c>
      <c r="C713" t="s">
        <v>21</v>
      </c>
      <c r="D713" t="s">
        <v>22</v>
      </c>
      <c r="E713" t="s">
        <v>83</v>
      </c>
      <c r="F713" s="107">
        <v>100000000</v>
      </c>
    </row>
    <row r="714" spans="1:6" hidden="1" x14ac:dyDescent="0.25">
      <c r="A714" s="210" t="s">
        <v>1609</v>
      </c>
      <c r="B714" s="100">
        <v>46126</v>
      </c>
      <c r="C714" t="s">
        <v>21</v>
      </c>
      <c r="D714" t="s">
        <v>22</v>
      </c>
      <c r="E714" t="s">
        <v>2067</v>
      </c>
      <c r="F714" s="107">
        <v>17760000</v>
      </c>
    </row>
    <row r="715" spans="1:6" hidden="1" x14ac:dyDescent="0.25">
      <c r="A715" s="210" t="s">
        <v>1613</v>
      </c>
      <c r="B715" s="100">
        <v>46126</v>
      </c>
      <c r="C715" t="s">
        <v>21</v>
      </c>
      <c r="D715" t="s">
        <v>22</v>
      </c>
      <c r="E715" t="s">
        <v>261</v>
      </c>
      <c r="F715" s="107">
        <v>216206696</v>
      </c>
    </row>
    <row r="716" spans="1:6" hidden="1" x14ac:dyDescent="0.25">
      <c r="A716" s="210" t="s">
        <v>1628</v>
      </c>
      <c r="B716" s="100">
        <v>46126</v>
      </c>
      <c r="C716" t="s">
        <v>21</v>
      </c>
      <c r="D716" t="s">
        <v>22</v>
      </c>
      <c r="E716" t="s">
        <v>147</v>
      </c>
      <c r="F716" s="107">
        <v>517568828</v>
      </c>
    </row>
    <row r="717" spans="1:6" hidden="1" x14ac:dyDescent="0.25">
      <c r="A717" s="210" t="s">
        <v>1633</v>
      </c>
      <c r="B717" s="100">
        <v>46126</v>
      </c>
      <c r="C717" t="s">
        <v>21</v>
      </c>
      <c r="D717" t="s">
        <v>22</v>
      </c>
      <c r="E717" t="s">
        <v>147</v>
      </c>
      <c r="F717" s="107">
        <v>390000000</v>
      </c>
    </row>
    <row r="718" spans="1:6" hidden="1" x14ac:dyDescent="0.25">
      <c r="A718" s="210" t="s">
        <v>1639</v>
      </c>
      <c r="B718" s="100">
        <v>46126</v>
      </c>
      <c r="C718" t="s">
        <v>21</v>
      </c>
      <c r="D718" t="s">
        <v>22</v>
      </c>
      <c r="E718" t="s">
        <v>147</v>
      </c>
      <c r="F718" s="107">
        <v>195815461</v>
      </c>
    </row>
    <row r="719" spans="1:6" hidden="1" x14ac:dyDescent="0.25">
      <c r="A719" s="210" t="s">
        <v>1475</v>
      </c>
      <c r="B719" s="100">
        <v>46125</v>
      </c>
      <c r="C719" t="s">
        <v>21</v>
      </c>
      <c r="D719" t="s">
        <v>22</v>
      </c>
      <c r="E719" t="s">
        <v>47</v>
      </c>
      <c r="F719" s="107">
        <v>10913000</v>
      </c>
    </row>
    <row r="720" spans="1:6" hidden="1" x14ac:dyDescent="0.25">
      <c r="A720" s="210" t="s">
        <v>1475</v>
      </c>
      <c r="B720" s="100">
        <v>46125</v>
      </c>
      <c r="C720" t="s">
        <v>21</v>
      </c>
      <c r="D720" t="s">
        <v>22</v>
      </c>
      <c r="E720" t="s">
        <v>47</v>
      </c>
      <c r="F720" s="107">
        <v>54701000</v>
      </c>
    </row>
    <row r="721" spans="1:6" hidden="1" x14ac:dyDescent="0.25">
      <c r="A721" s="210" t="s">
        <v>1478</v>
      </c>
      <c r="B721" s="100">
        <v>46125</v>
      </c>
      <c r="C721" t="s">
        <v>21</v>
      </c>
      <c r="D721" t="s">
        <v>22</v>
      </c>
      <c r="E721" t="s">
        <v>2067</v>
      </c>
      <c r="F721" s="107">
        <v>82000000</v>
      </c>
    </row>
    <row r="722" spans="1:6" hidden="1" x14ac:dyDescent="0.25">
      <c r="A722" s="210" t="s">
        <v>1487</v>
      </c>
      <c r="B722" s="100">
        <v>46125</v>
      </c>
      <c r="C722" t="s">
        <v>21</v>
      </c>
      <c r="D722" t="s">
        <v>22</v>
      </c>
      <c r="E722" t="s">
        <v>147</v>
      </c>
      <c r="F722" s="107">
        <v>100000000</v>
      </c>
    </row>
    <row r="723" spans="1:6" hidden="1" x14ac:dyDescent="0.25">
      <c r="A723" s="210" t="s">
        <v>1515</v>
      </c>
      <c r="B723" s="100">
        <v>46125</v>
      </c>
      <c r="C723" t="s">
        <v>21</v>
      </c>
      <c r="D723" t="s">
        <v>22</v>
      </c>
      <c r="E723" t="s">
        <v>261</v>
      </c>
      <c r="F723" s="107">
        <v>70000000</v>
      </c>
    </row>
    <row r="724" spans="1:6" hidden="1" x14ac:dyDescent="0.25">
      <c r="A724" s="210" t="s">
        <v>1568</v>
      </c>
      <c r="B724" s="100">
        <v>46125</v>
      </c>
      <c r="C724" t="s">
        <v>21</v>
      </c>
      <c r="D724" t="s">
        <v>24</v>
      </c>
      <c r="F724" s="107">
        <v>81448000</v>
      </c>
    </row>
    <row r="725" spans="1:6" x14ac:dyDescent="0.25">
      <c r="A725" s="210" t="s">
        <v>1582</v>
      </c>
      <c r="B725" s="100">
        <v>46125</v>
      </c>
      <c r="C725" t="s">
        <v>21</v>
      </c>
      <c r="D725" t="s">
        <v>22</v>
      </c>
      <c r="E725" t="s">
        <v>83</v>
      </c>
      <c r="F725" s="107">
        <v>52831967</v>
      </c>
    </row>
    <row r="726" spans="1:6" x14ac:dyDescent="0.25">
      <c r="A726" s="210" t="s">
        <v>1582</v>
      </c>
      <c r="B726" s="100">
        <v>46125</v>
      </c>
      <c r="C726" t="s">
        <v>21</v>
      </c>
      <c r="D726" t="s">
        <v>22</v>
      </c>
      <c r="E726" t="s">
        <v>83</v>
      </c>
      <c r="F726" s="107">
        <v>250000000</v>
      </c>
    </row>
    <row r="727" spans="1:6" hidden="1" x14ac:dyDescent="0.25">
      <c r="A727" s="210" t="s">
        <v>1593</v>
      </c>
      <c r="B727" s="100">
        <v>46125</v>
      </c>
      <c r="C727" t="s">
        <v>21</v>
      </c>
      <c r="D727" t="s">
        <v>22</v>
      </c>
      <c r="E727" t="s">
        <v>261</v>
      </c>
      <c r="F727" s="107">
        <v>127851000</v>
      </c>
    </row>
    <row r="728" spans="1:6" hidden="1" x14ac:dyDescent="0.25">
      <c r="A728" s="210" t="s">
        <v>1595</v>
      </c>
      <c r="B728" s="100">
        <v>46125</v>
      </c>
      <c r="C728" t="s">
        <v>21</v>
      </c>
      <c r="D728" t="s">
        <v>22</v>
      </c>
      <c r="E728" t="s">
        <v>726</v>
      </c>
      <c r="F728" s="107">
        <v>20000000</v>
      </c>
    </row>
    <row r="729" spans="1:6" hidden="1" x14ac:dyDescent="0.25">
      <c r="A729" s="210" t="s">
        <v>1595</v>
      </c>
      <c r="B729" s="100">
        <v>46125</v>
      </c>
      <c r="C729" t="s">
        <v>21</v>
      </c>
      <c r="D729" t="s">
        <v>22</v>
      </c>
      <c r="E729" t="s">
        <v>726</v>
      </c>
      <c r="F729" s="107">
        <v>25000000</v>
      </c>
    </row>
    <row r="730" spans="1:6" hidden="1" x14ac:dyDescent="0.25">
      <c r="A730" s="210" t="s">
        <v>1595</v>
      </c>
      <c r="B730" s="100">
        <v>46125</v>
      </c>
      <c r="C730" t="s">
        <v>21</v>
      </c>
      <c r="D730" t="s">
        <v>22</v>
      </c>
      <c r="E730" t="s">
        <v>726</v>
      </c>
      <c r="F730" s="107">
        <v>60000000</v>
      </c>
    </row>
    <row r="731" spans="1:6" hidden="1" x14ac:dyDescent="0.25">
      <c r="A731" s="210" t="s">
        <v>1595</v>
      </c>
      <c r="B731" s="100">
        <v>46125</v>
      </c>
      <c r="C731" t="s">
        <v>21</v>
      </c>
      <c r="D731" t="s">
        <v>22</v>
      </c>
      <c r="E731" t="s">
        <v>2067</v>
      </c>
      <c r="F731" s="107">
        <v>5000000</v>
      </c>
    </row>
    <row r="732" spans="1:6" hidden="1" x14ac:dyDescent="0.25">
      <c r="A732" s="210" t="s">
        <v>1595</v>
      </c>
      <c r="B732" s="100">
        <v>46125</v>
      </c>
      <c r="C732" t="s">
        <v>21</v>
      </c>
      <c r="D732" t="s">
        <v>22</v>
      </c>
      <c r="E732" t="s">
        <v>2259</v>
      </c>
      <c r="F732" s="107">
        <v>7300000</v>
      </c>
    </row>
    <row r="733" spans="1:6" hidden="1" x14ac:dyDescent="0.25">
      <c r="A733" s="210" t="s">
        <v>1623</v>
      </c>
      <c r="B733" s="100">
        <v>46125</v>
      </c>
      <c r="C733" t="s">
        <v>21</v>
      </c>
      <c r="D733" t="s">
        <v>22</v>
      </c>
      <c r="E733" t="s">
        <v>147</v>
      </c>
      <c r="F733" s="107">
        <v>100000000</v>
      </c>
    </row>
    <row r="734" spans="1:6" hidden="1" x14ac:dyDescent="0.25">
      <c r="A734" s="210" t="s">
        <v>1566</v>
      </c>
      <c r="B734" s="100">
        <v>46125</v>
      </c>
      <c r="C734" t="s">
        <v>21</v>
      </c>
      <c r="D734" t="s">
        <v>22</v>
      </c>
      <c r="E734" t="s">
        <v>261</v>
      </c>
      <c r="F734" s="107">
        <v>38084905</v>
      </c>
    </row>
    <row r="735" spans="1:6" x14ac:dyDescent="0.25">
      <c r="A735" s="210" t="s">
        <v>1638</v>
      </c>
      <c r="B735" s="100">
        <v>46125</v>
      </c>
      <c r="C735" t="s">
        <v>21</v>
      </c>
      <c r="D735" t="s">
        <v>22</v>
      </c>
      <c r="E735" t="s">
        <v>83</v>
      </c>
      <c r="F735" s="107">
        <v>15540000</v>
      </c>
    </row>
    <row r="736" spans="1:6" hidden="1" x14ac:dyDescent="0.25">
      <c r="A736" s="210" t="s">
        <v>1638</v>
      </c>
      <c r="B736" s="100">
        <v>46125</v>
      </c>
      <c r="C736" t="s">
        <v>21</v>
      </c>
      <c r="D736" t="s">
        <v>22</v>
      </c>
      <c r="E736" t="s">
        <v>261</v>
      </c>
      <c r="F736" s="107">
        <v>400000000</v>
      </c>
    </row>
    <row r="737" spans="1:6" x14ac:dyDescent="0.25">
      <c r="A737" s="210" t="s">
        <v>1676</v>
      </c>
      <c r="B737" s="100">
        <v>46125</v>
      </c>
      <c r="C737" t="s">
        <v>21</v>
      </c>
      <c r="D737" t="s">
        <v>22</v>
      </c>
      <c r="E737" t="s">
        <v>83</v>
      </c>
      <c r="F737" s="107">
        <v>100000000</v>
      </c>
    </row>
    <row r="738" spans="1:6" hidden="1" x14ac:dyDescent="0.25">
      <c r="A738" s="210" t="s">
        <v>1692</v>
      </c>
      <c r="B738" s="100">
        <v>46125</v>
      </c>
      <c r="C738" t="s">
        <v>21</v>
      </c>
      <c r="D738" t="s">
        <v>260</v>
      </c>
      <c r="E738" t="s">
        <v>261</v>
      </c>
      <c r="F738" s="107">
        <v>100000000</v>
      </c>
    </row>
    <row r="739" spans="1:6" hidden="1" x14ac:dyDescent="0.25">
      <c r="A739" s="210" t="s">
        <v>1850</v>
      </c>
      <c r="B739" s="100">
        <v>46125</v>
      </c>
      <c r="C739" t="s">
        <v>21</v>
      </c>
      <c r="D739" t="s">
        <v>24</v>
      </c>
      <c r="F739" s="107">
        <v>33270000</v>
      </c>
    </row>
    <row r="740" spans="1:6" hidden="1" x14ac:dyDescent="0.25">
      <c r="A740" s="210" t="s">
        <v>1475</v>
      </c>
      <c r="B740" s="100">
        <v>46124</v>
      </c>
      <c r="C740" t="s">
        <v>21</v>
      </c>
      <c r="D740" t="s">
        <v>22</v>
      </c>
      <c r="E740" t="s">
        <v>47</v>
      </c>
      <c r="F740" s="107">
        <v>53805000</v>
      </c>
    </row>
    <row r="741" spans="1:6" hidden="1" x14ac:dyDescent="0.25">
      <c r="A741" s="210" t="s">
        <v>1478</v>
      </c>
      <c r="B741" s="100">
        <v>46124</v>
      </c>
      <c r="C741" t="s">
        <v>21</v>
      </c>
      <c r="D741" t="s">
        <v>22</v>
      </c>
      <c r="E741" t="s">
        <v>2067</v>
      </c>
      <c r="F741" s="107">
        <v>13840000</v>
      </c>
    </row>
    <row r="742" spans="1:6" hidden="1" x14ac:dyDescent="0.25">
      <c r="A742" s="210" t="s">
        <v>1478</v>
      </c>
      <c r="B742" s="100">
        <v>46124</v>
      </c>
      <c r="C742" t="s">
        <v>21</v>
      </c>
      <c r="D742" t="s">
        <v>22</v>
      </c>
      <c r="E742" t="s">
        <v>2067</v>
      </c>
      <c r="F742" s="107">
        <v>21410000</v>
      </c>
    </row>
    <row r="743" spans="1:6" hidden="1" x14ac:dyDescent="0.25">
      <c r="A743" s="210" t="s">
        <v>1478</v>
      </c>
      <c r="B743" s="100">
        <v>46123</v>
      </c>
      <c r="C743" t="s">
        <v>21</v>
      </c>
      <c r="D743" t="s">
        <v>22</v>
      </c>
      <c r="E743" t="s">
        <v>2067</v>
      </c>
      <c r="F743" s="107">
        <v>17640000</v>
      </c>
    </row>
    <row r="744" spans="1:6" hidden="1" x14ac:dyDescent="0.25">
      <c r="A744" s="210" t="s">
        <v>1487</v>
      </c>
      <c r="B744" s="100">
        <v>46123</v>
      </c>
      <c r="C744" t="s">
        <v>21</v>
      </c>
      <c r="D744" t="s">
        <v>22</v>
      </c>
      <c r="E744" t="s">
        <v>147</v>
      </c>
      <c r="F744" s="107">
        <v>80000000</v>
      </c>
    </row>
    <row r="745" spans="1:6" hidden="1" x14ac:dyDescent="0.25">
      <c r="A745" s="210" t="s">
        <v>1490</v>
      </c>
      <c r="B745" s="100">
        <v>46123</v>
      </c>
      <c r="C745" t="s">
        <v>21</v>
      </c>
      <c r="D745" t="s">
        <v>22</v>
      </c>
      <c r="E745" t="s">
        <v>47</v>
      </c>
      <c r="F745" s="107">
        <v>140000000</v>
      </c>
    </row>
    <row r="746" spans="1:6" hidden="1" x14ac:dyDescent="0.25">
      <c r="A746" s="210" t="s">
        <v>1491</v>
      </c>
      <c r="B746" s="100">
        <v>46123</v>
      </c>
      <c r="C746" t="s">
        <v>21</v>
      </c>
      <c r="D746" t="s">
        <v>22</v>
      </c>
      <c r="E746" t="s">
        <v>147</v>
      </c>
      <c r="F746" s="107">
        <v>200000000</v>
      </c>
    </row>
    <row r="747" spans="1:6" hidden="1" x14ac:dyDescent="0.25">
      <c r="A747" s="210" t="s">
        <v>1536</v>
      </c>
      <c r="B747" s="100">
        <v>46123</v>
      </c>
      <c r="C747" t="s">
        <v>21</v>
      </c>
      <c r="D747" t="s">
        <v>22</v>
      </c>
      <c r="E747" t="s">
        <v>147</v>
      </c>
      <c r="F747" s="107">
        <v>255476470</v>
      </c>
    </row>
    <row r="748" spans="1:6" hidden="1" x14ac:dyDescent="0.25">
      <c r="A748" s="210" t="s">
        <v>1555</v>
      </c>
      <c r="B748" s="100">
        <v>46123</v>
      </c>
      <c r="C748" t="s">
        <v>21</v>
      </c>
      <c r="D748" t="s">
        <v>22</v>
      </c>
      <c r="E748" t="s">
        <v>1907</v>
      </c>
      <c r="F748" s="107">
        <v>3952000</v>
      </c>
    </row>
    <row r="749" spans="1:6" hidden="1" x14ac:dyDescent="0.25">
      <c r="A749" s="210" t="s">
        <v>1558</v>
      </c>
      <c r="B749" s="100">
        <v>46123</v>
      </c>
      <c r="C749" t="s">
        <v>21</v>
      </c>
      <c r="D749" t="s">
        <v>24</v>
      </c>
      <c r="F749" s="107">
        <v>120000000</v>
      </c>
    </row>
    <row r="750" spans="1:6" hidden="1" x14ac:dyDescent="0.25">
      <c r="A750" s="210" t="s">
        <v>1609</v>
      </c>
      <c r="B750" s="100">
        <v>46123</v>
      </c>
      <c r="C750" t="s">
        <v>21</v>
      </c>
      <c r="D750" t="s">
        <v>22</v>
      </c>
      <c r="E750" t="s">
        <v>2067</v>
      </c>
      <c r="F750" s="107">
        <v>10730000</v>
      </c>
    </row>
    <row r="751" spans="1:6" hidden="1" x14ac:dyDescent="0.25">
      <c r="A751" s="210" t="s">
        <v>1701</v>
      </c>
      <c r="B751" s="100">
        <v>46123</v>
      </c>
      <c r="C751" t="s">
        <v>21</v>
      </c>
      <c r="D751" t="s">
        <v>22</v>
      </c>
      <c r="E751" t="s">
        <v>726</v>
      </c>
      <c r="F751" s="107">
        <v>70000000</v>
      </c>
    </row>
    <row r="752" spans="1:6" x14ac:dyDescent="0.25">
      <c r="A752" s="210" t="s">
        <v>1702</v>
      </c>
      <c r="B752" s="100">
        <v>46123</v>
      </c>
      <c r="C752" t="s">
        <v>2214</v>
      </c>
      <c r="D752" t="s">
        <v>22</v>
      </c>
      <c r="E752" t="s">
        <v>83</v>
      </c>
      <c r="F752" s="107">
        <v>-104002873</v>
      </c>
    </row>
    <row r="753" spans="1:6" hidden="1" x14ac:dyDescent="0.25">
      <c r="A753" s="210" t="s">
        <v>1479</v>
      </c>
      <c r="B753" s="100">
        <v>46122</v>
      </c>
      <c r="C753" t="s">
        <v>21</v>
      </c>
      <c r="D753" t="s">
        <v>22</v>
      </c>
      <c r="E753" t="s">
        <v>147</v>
      </c>
      <c r="F753" s="107">
        <v>300000000</v>
      </c>
    </row>
    <row r="754" spans="1:6" hidden="1" x14ac:dyDescent="0.25">
      <c r="A754" s="210" t="s">
        <v>1493</v>
      </c>
      <c r="B754" s="100">
        <v>46122</v>
      </c>
      <c r="C754" t="s">
        <v>21</v>
      </c>
      <c r="D754" t="s">
        <v>22</v>
      </c>
      <c r="E754" t="s">
        <v>261</v>
      </c>
      <c r="F754" s="107">
        <v>130000000</v>
      </c>
    </row>
    <row r="755" spans="1:6" hidden="1" x14ac:dyDescent="0.25">
      <c r="A755" s="210" t="s">
        <v>1494</v>
      </c>
      <c r="B755" s="100">
        <v>46122</v>
      </c>
      <c r="C755" t="s">
        <v>21</v>
      </c>
      <c r="D755" t="s">
        <v>22</v>
      </c>
      <c r="E755" t="s">
        <v>261</v>
      </c>
      <c r="F755" s="107">
        <v>50000000</v>
      </c>
    </row>
    <row r="756" spans="1:6" x14ac:dyDescent="0.25">
      <c r="A756" s="210" t="s">
        <v>1505</v>
      </c>
      <c r="B756" s="100">
        <v>46122</v>
      </c>
      <c r="C756" t="s">
        <v>21</v>
      </c>
      <c r="D756" t="s">
        <v>22</v>
      </c>
      <c r="E756" t="s">
        <v>83</v>
      </c>
      <c r="F756" s="107">
        <v>100000000</v>
      </c>
    </row>
    <row r="757" spans="1:6" x14ac:dyDescent="0.25">
      <c r="A757" s="210" t="s">
        <v>1512</v>
      </c>
      <c r="B757" s="100">
        <v>46122</v>
      </c>
      <c r="C757" t="s">
        <v>21</v>
      </c>
      <c r="D757" t="s">
        <v>22</v>
      </c>
      <c r="E757" t="s">
        <v>83</v>
      </c>
      <c r="F757" s="107">
        <v>100000000</v>
      </c>
    </row>
    <row r="758" spans="1:6" hidden="1" x14ac:dyDescent="0.25">
      <c r="A758" s="210" t="s">
        <v>1531</v>
      </c>
      <c r="B758" s="100">
        <v>46122</v>
      </c>
      <c r="C758" t="s">
        <v>21</v>
      </c>
      <c r="D758" t="s">
        <v>22</v>
      </c>
      <c r="E758" t="s">
        <v>726</v>
      </c>
      <c r="F758" s="107">
        <v>25949000</v>
      </c>
    </row>
    <row r="759" spans="1:6" hidden="1" x14ac:dyDescent="0.25">
      <c r="A759" s="210" t="s">
        <v>1531</v>
      </c>
      <c r="B759" s="100">
        <v>46122</v>
      </c>
      <c r="C759" t="s">
        <v>21</v>
      </c>
      <c r="D759" t="s">
        <v>22</v>
      </c>
      <c r="E759" t="s">
        <v>261</v>
      </c>
      <c r="F759" s="107">
        <v>28799760</v>
      </c>
    </row>
    <row r="760" spans="1:6" hidden="1" x14ac:dyDescent="0.25">
      <c r="A760" s="210" t="s">
        <v>1531</v>
      </c>
      <c r="B760" s="100">
        <v>46122</v>
      </c>
      <c r="C760" t="s">
        <v>21</v>
      </c>
      <c r="D760" t="s">
        <v>24</v>
      </c>
      <c r="F760" s="107">
        <v>27000000</v>
      </c>
    </row>
    <row r="761" spans="1:6" hidden="1" x14ac:dyDescent="0.25">
      <c r="A761" s="210" t="s">
        <v>1536</v>
      </c>
      <c r="B761" s="100">
        <v>46122</v>
      </c>
      <c r="C761" t="s">
        <v>21</v>
      </c>
      <c r="D761" t="s">
        <v>22</v>
      </c>
      <c r="E761" t="s">
        <v>261</v>
      </c>
      <c r="F761" s="107">
        <v>100000000</v>
      </c>
    </row>
    <row r="762" spans="1:6" hidden="1" x14ac:dyDescent="0.25">
      <c r="A762" s="210" t="s">
        <v>1536</v>
      </c>
      <c r="B762" s="100">
        <v>46122</v>
      </c>
      <c r="C762" t="s">
        <v>21</v>
      </c>
      <c r="D762" t="s">
        <v>260</v>
      </c>
      <c r="E762" t="s">
        <v>261</v>
      </c>
      <c r="F762" s="107">
        <v>51495000</v>
      </c>
    </row>
    <row r="763" spans="1:6" x14ac:dyDescent="0.25">
      <c r="A763" s="210" t="s">
        <v>1539</v>
      </c>
      <c r="B763" s="100">
        <v>46122</v>
      </c>
      <c r="C763" t="s">
        <v>21</v>
      </c>
      <c r="D763" t="s">
        <v>22</v>
      </c>
      <c r="E763" t="s">
        <v>83</v>
      </c>
      <c r="F763" s="107">
        <v>30000000</v>
      </c>
    </row>
    <row r="764" spans="1:6" hidden="1" x14ac:dyDescent="0.25">
      <c r="A764" s="210" t="s">
        <v>1574</v>
      </c>
      <c r="B764" s="100">
        <v>46122</v>
      </c>
      <c r="C764" t="s">
        <v>21</v>
      </c>
      <c r="D764" t="s">
        <v>22</v>
      </c>
      <c r="E764" t="s">
        <v>726</v>
      </c>
      <c r="F764" s="107">
        <v>17000000</v>
      </c>
    </row>
    <row r="765" spans="1:6" hidden="1" x14ac:dyDescent="0.25">
      <c r="A765" s="210" t="s">
        <v>1545</v>
      </c>
      <c r="B765" s="100">
        <v>46122</v>
      </c>
      <c r="C765" t="s">
        <v>21</v>
      </c>
      <c r="D765" t="s">
        <v>22</v>
      </c>
      <c r="E765" t="s">
        <v>147</v>
      </c>
      <c r="F765" s="107">
        <v>120595182</v>
      </c>
    </row>
    <row r="766" spans="1:6" x14ac:dyDescent="0.25">
      <c r="A766" s="210" t="s">
        <v>1547</v>
      </c>
      <c r="B766" s="100">
        <v>46122</v>
      </c>
      <c r="C766" t="s">
        <v>21</v>
      </c>
      <c r="D766" t="s">
        <v>22</v>
      </c>
      <c r="E766" t="s">
        <v>83</v>
      </c>
      <c r="F766" s="107">
        <v>50000000</v>
      </c>
    </row>
    <row r="767" spans="1:6" hidden="1" x14ac:dyDescent="0.25">
      <c r="A767" s="210" t="s">
        <v>1548</v>
      </c>
      <c r="B767" s="100">
        <v>46122</v>
      </c>
      <c r="C767" t="s">
        <v>21</v>
      </c>
      <c r="D767" t="s">
        <v>22</v>
      </c>
      <c r="E767" t="s">
        <v>147</v>
      </c>
      <c r="F767" s="107">
        <v>50000000</v>
      </c>
    </row>
    <row r="768" spans="1:6" hidden="1" x14ac:dyDescent="0.25">
      <c r="A768" s="210" t="s">
        <v>1554</v>
      </c>
      <c r="B768" s="100">
        <v>46122</v>
      </c>
      <c r="C768" t="s">
        <v>21</v>
      </c>
      <c r="D768" t="s">
        <v>22</v>
      </c>
      <c r="E768" t="s">
        <v>2067</v>
      </c>
      <c r="F768" s="107">
        <v>20000000</v>
      </c>
    </row>
    <row r="769" spans="1:6" hidden="1" x14ac:dyDescent="0.25">
      <c r="A769" s="210" t="s">
        <v>1562</v>
      </c>
      <c r="B769" s="100">
        <v>46122</v>
      </c>
      <c r="C769" t="s">
        <v>21</v>
      </c>
      <c r="D769" t="s">
        <v>22</v>
      </c>
      <c r="E769" t="s">
        <v>147</v>
      </c>
      <c r="F769" s="107">
        <v>100000000</v>
      </c>
    </row>
    <row r="770" spans="1:6" hidden="1" x14ac:dyDescent="0.25">
      <c r="A770" s="210" t="s">
        <v>1564</v>
      </c>
      <c r="B770" s="100">
        <v>46122</v>
      </c>
      <c r="C770" t="s">
        <v>21</v>
      </c>
      <c r="D770" t="s">
        <v>22</v>
      </c>
      <c r="E770" t="s">
        <v>147</v>
      </c>
      <c r="F770" s="107">
        <v>40000000</v>
      </c>
    </row>
    <row r="771" spans="1:6" hidden="1" x14ac:dyDescent="0.25">
      <c r="A771" s="210" t="s">
        <v>1575</v>
      </c>
      <c r="B771" s="100">
        <v>46122</v>
      </c>
      <c r="C771" t="s">
        <v>21</v>
      </c>
      <c r="D771" t="s">
        <v>22</v>
      </c>
      <c r="E771" t="s">
        <v>261</v>
      </c>
      <c r="F771" s="107">
        <v>100000000</v>
      </c>
    </row>
    <row r="772" spans="1:6" x14ac:dyDescent="0.25">
      <c r="A772" s="210" t="s">
        <v>1582</v>
      </c>
      <c r="B772" s="100">
        <v>46122</v>
      </c>
      <c r="C772" t="s">
        <v>21</v>
      </c>
      <c r="D772" t="s">
        <v>22</v>
      </c>
      <c r="E772" t="s">
        <v>83</v>
      </c>
      <c r="F772" s="107">
        <v>100000000</v>
      </c>
    </row>
    <row r="773" spans="1:6" hidden="1" x14ac:dyDescent="0.25">
      <c r="A773" s="210" t="s">
        <v>1643</v>
      </c>
      <c r="B773" s="100">
        <v>46122</v>
      </c>
      <c r="C773" t="s">
        <v>21</v>
      </c>
      <c r="D773" t="s">
        <v>22</v>
      </c>
      <c r="E773" t="s">
        <v>261</v>
      </c>
      <c r="F773" s="107">
        <v>100000000</v>
      </c>
    </row>
    <row r="774" spans="1:6" x14ac:dyDescent="0.25">
      <c r="A774" s="210" t="s">
        <v>1600</v>
      </c>
      <c r="B774" s="100">
        <v>46122</v>
      </c>
      <c r="C774" t="s">
        <v>21</v>
      </c>
      <c r="D774" t="s">
        <v>22</v>
      </c>
      <c r="E774" t="s">
        <v>83</v>
      </c>
      <c r="F774" s="107">
        <v>42659474</v>
      </c>
    </row>
    <row r="775" spans="1:6" hidden="1" x14ac:dyDescent="0.25">
      <c r="A775" s="210" t="s">
        <v>1606</v>
      </c>
      <c r="B775" s="100">
        <v>46122</v>
      </c>
      <c r="C775" t="s">
        <v>21</v>
      </c>
      <c r="D775" t="s">
        <v>22</v>
      </c>
      <c r="E775" t="s">
        <v>147</v>
      </c>
      <c r="F775" s="107">
        <v>60000000</v>
      </c>
    </row>
    <row r="776" spans="1:6" x14ac:dyDescent="0.25">
      <c r="A776" s="210" t="s">
        <v>1620</v>
      </c>
      <c r="B776" s="100">
        <v>46122</v>
      </c>
      <c r="C776" t="s">
        <v>21</v>
      </c>
      <c r="D776" t="s">
        <v>22</v>
      </c>
      <c r="E776" t="s">
        <v>83</v>
      </c>
      <c r="F776" s="107">
        <v>207000000</v>
      </c>
    </row>
    <row r="777" spans="1:6" x14ac:dyDescent="0.25">
      <c r="A777" s="210" t="s">
        <v>1632</v>
      </c>
      <c r="B777" s="100">
        <v>46122</v>
      </c>
      <c r="C777" t="s">
        <v>21</v>
      </c>
      <c r="D777" t="s">
        <v>22</v>
      </c>
      <c r="E777" t="s">
        <v>83</v>
      </c>
      <c r="F777" s="107">
        <v>251566400</v>
      </c>
    </row>
    <row r="778" spans="1:6" hidden="1" x14ac:dyDescent="0.25">
      <c r="A778" s="210" t="s">
        <v>1703</v>
      </c>
      <c r="B778" s="100">
        <v>46122</v>
      </c>
      <c r="C778" t="s">
        <v>21</v>
      </c>
      <c r="D778" t="s">
        <v>22</v>
      </c>
      <c r="E778" t="s">
        <v>47</v>
      </c>
      <c r="F778" s="107">
        <v>90000000</v>
      </c>
    </row>
    <row r="779" spans="1:6" hidden="1" x14ac:dyDescent="0.25">
      <c r="A779" s="210" t="s">
        <v>1646</v>
      </c>
      <c r="B779" s="100">
        <v>46122</v>
      </c>
      <c r="C779" t="s">
        <v>21</v>
      </c>
      <c r="D779" t="s">
        <v>22</v>
      </c>
      <c r="E779" t="s">
        <v>147</v>
      </c>
      <c r="F779" s="107">
        <v>30000000</v>
      </c>
    </row>
    <row r="780" spans="1:6" hidden="1" x14ac:dyDescent="0.25">
      <c r="A780" s="210" t="s">
        <v>1653</v>
      </c>
      <c r="B780" s="100">
        <v>46122</v>
      </c>
      <c r="C780" t="s">
        <v>21</v>
      </c>
      <c r="D780" t="s">
        <v>22</v>
      </c>
      <c r="E780" t="s">
        <v>147</v>
      </c>
      <c r="F780" s="107">
        <v>92458402</v>
      </c>
    </row>
    <row r="781" spans="1:6" hidden="1" x14ac:dyDescent="0.25">
      <c r="A781" s="210" t="s">
        <v>2016</v>
      </c>
      <c r="B781" s="100">
        <v>46122</v>
      </c>
      <c r="C781" t="s">
        <v>654</v>
      </c>
      <c r="D781" t="s">
        <v>22</v>
      </c>
      <c r="E781" t="s">
        <v>147</v>
      </c>
      <c r="F781" s="107">
        <v>-100000000</v>
      </c>
    </row>
    <row r="782" spans="1:6" hidden="1" x14ac:dyDescent="0.25">
      <c r="A782" s="210" t="s">
        <v>1698</v>
      </c>
      <c r="B782" s="100">
        <v>46122</v>
      </c>
      <c r="C782" t="s">
        <v>21</v>
      </c>
      <c r="D782" t="s">
        <v>22</v>
      </c>
      <c r="E782" t="s">
        <v>726</v>
      </c>
      <c r="F782" s="107">
        <v>109900000</v>
      </c>
    </row>
    <row r="783" spans="1:6" hidden="1" x14ac:dyDescent="0.25">
      <c r="A783" s="210" t="s">
        <v>1909</v>
      </c>
      <c r="B783" s="100">
        <v>46122</v>
      </c>
      <c r="C783" t="s">
        <v>21</v>
      </c>
      <c r="D783" t="s">
        <v>22</v>
      </c>
      <c r="E783" t="s">
        <v>1907</v>
      </c>
      <c r="F783" s="107">
        <v>14280000</v>
      </c>
    </row>
    <row r="784" spans="1:6" hidden="1" x14ac:dyDescent="0.25">
      <c r="A784" s="210" t="s">
        <v>1475</v>
      </c>
      <c r="B784" s="100">
        <v>46121</v>
      </c>
      <c r="C784" t="s">
        <v>21</v>
      </c>
      <c r="D784" t="s">
        <v>22</v>
      </c>
      <c r="E784" t="s">
        <v>47</v>
      </c>
      <c r="F784" s="107">
        <v>8650000</v>
      </c>
    </row>
    <row r="785" spans="1:6" hidden="1" x14ac:dyDescent="0.25">
      <c r="A785" s="210" t="s">
        <v>1475</v>
      </c>
      <c r="B785" s="100">
        <v>46121</v>
      </c>
      <c r="C785" t="s">
        <v>21</v>
      </c>
      <c r="D785" t="s">
        <v>22</v>
      </c>
      <c r="E785" t="s">
        <v>47</v>
      </c>
      <c r="F785" s="107">
        <v>16600000</v>
      </c>
    </row>
    <row r="786" spans="1:6" hidden="1" x14ac:dyDescent="0.25">
      <c r="A786" s="210" t="s">
        <v>1478</v>
      </c>
      <c r="B786" s="100">
        <v>46121</v>
      </c>
      <c r="C786" t="s">
        <v>21</v>
      </c>
      <c r="D786" t="s">
        <v>22</v>
      </c>
      <c r="E786" t="s">
        <v>2067</v>
      </c>
      <c r="F786" s="107">
        <v>33000000</v>
      </c>
    </row>
    <row r="787" spans="1:6" hidden="1" x14ac:dyDescent="0.25">
      <c r="A787" s="210" t="s">
        <v>1512</v>
      </c>
      <c r="B787" s="100">
        <v>46121</v>
      </c>
      <c r="C787" t="s">
        <v>654</v>
      </c>
      <c r="D787" t="s">
        <v>22</v>
      </c>
      <c r="E787" t="s">
        <v>2067</v>
      </c>
      <c r="F787" s="107">
        <v>-1551000</v>
      </c>
    </row>
    <row r="788" spans="1:6" hidden="1" x14ac:dyDescent="0.25">
      <c r="A788" s="210" t="s">
        <v>1525</v>
      </c>
      <c r="B788" s="100">
        <v>46121</v>
      </c>
      <c r="C788" t="s">
        <v>21</v>
      </c>
      <c r="D788" t="s">
        <v>24</v>
      </c>
      <c r="F788" s="107">
        <v>200000000</v>
      </c>
    </row>
    <row r="789" spans="1:6" hidden="1" x14ac:dyDescent="0.25">
      <c r="A789" s="210" t="s">
        <v>1531</v>
      </c>
      <c r="B789" s="100">
        <v>46121</v>
      </c>
      <c r="C789" t="s">
        <v>21</v>
      </c>
      <c r="D789" t="s">
        <v>22</v>
      </c>
      <c r="E789" t="s">
        <v>726</v>
      </c>
      <c r="F789" s="107">
        <v>9576000</v>
      </c>
    </row>
    <row r="790" spans="1:6" hidden="1" x14ac:dyDescent="0.25">
      <c r="A790" s="210" t="s">
        <v>1541</v>
      </c>
      <c r="B790" s="100">
        <v>46121</v>
      </c>
      <c r="C790" t="s">
        <v>21</v>
      </c>
      <c r="D790" t="s">
        <v>22</v>
      </c>
      <c r="E790" t="s">
        <v>147</v>
      </c>
      <c r="F790" s="107">
        <v>347708202</v>
      </c>
    </row>
    <row r="791" spans="1:6" hidden="1" x14ac:dyDescent="0.25">
      <c r="A791" s="210" t="s">
        <v>1577</v>
      </c>
      <c r="B791" s="100">
        <v>46121</v>
      </c>
      <c r="C791" t="s">
        <v>21</v>
      </c>
      <c r="D791" t="s">
        <v>22</v>
      </c>
      <c r="E791" t="s">
        <v>147</v>
      </c>
      <c r="F791" s="107">
        <v>200000000</v>
      </c>
    </row>
    <row r="792" spans="1:6" hidden="1" x14ac:dyDescent="0.25">
      <c r="A792" s="210" t="s">
        <v>1593</v>
      </c>
      <c r="B792" s="100">
        <v>46121</v>
      </c>
      <c r="C792" t="s">
        <v>21</v>
      </c>
      <c r="D792" t="s">
        <v>22</v>
      </c>
      <c r="E792" t="s">
        <v>261</v>
      </c>
      <c r="F792" s="107">
        <v>60452000</v>
      </c>
    </row>
    <row r="793" spans="1:6" hidden="1" x14ac:dyDescent="0.25">
      <c r="A793" s="210" t="s">
        <v>1641</v>
      </c>
      <c r="B793" s="100">
        <v>46121</v>
      </c>
      <c r="C793" t="s">
        <v>21</v>
      </c>
      <c r="D793" t="s">
        <v>22</v>
      </c>
      <c r="E793" t="s">
        <v>147</v>
      </c>
      <c r="F793" s="107">
        <v>200000000</v>
      </c>
    </row>
    <row r="794" spans="1:6" hidden="1" x14ac:dyDescent="0.25">
      <c r="A794" s="210" t="s">
        <v>1658</v>
      </c>
      <c r="B794" s="100">
        <v>46121</v>
      </c>
      <c r="C794" t="s">
        <v>21</v>
      </c>
      <c r="D794" t="s">
        <v>22</v>
      </c>
      <c r="E794" t="s">
        <v>261</v>
      </c>
      <c r="F794" s="107">
        <v>35000000</v>
      </c>
    </row>
    <row r="795" spans="1:6" hidden="1" x14ac:dyDescent="0.25">
      <c r="A795" s="210" t="s">
        <v>1716</v>
      </c>
      <c r="B795" s="100">
        <v>46121</v>
      </c>
      <c r="C795" t="s">
        <v>21</v>
      </c>
      <c r="D795" t="s">
        <v>24</v>
      </c>
      <c r="F795" s="107">
        <v>43970000</v>
      </c>
    </row>
    <row r="796" spans="1:6" hidden="1" x14ac:dyDescent="0.25">
      <c r="A796" s="210" t="s">
        <v>1478</v>
      </c>
      <c r="B796" s="100">
        <v>46120</v>
      </c>
      <c r="C796" t="s">
        <v>21</v>
      </c>
      <c r="D796" t="s">
        <v>22</v>
      </c>
      <c r="E796" t="s">
        <v>2067</v>
      </c>
      <c r="F796" s="107">
        <v>17384000</v>
      </c>
    </row>
    <row r="797" spans="1:6" x14ac:dyDescent="0.25">
      <c r="A797" s="210" t="s">
        <v>1526</v>
      </c>
      <c r="B797" s="100">
        <v>46120</v>
      </c>
      <c r="C797" t="s">
        <v>21</v>
      </c>
      <c r="D797" t="s">
        <v>22</v>
      </c>
      <c r="E797" t="s">
        <v>83</v>
      </c>
      <c r="F797" s="107">
        <v>150000000</v>
      </c>
    </row>
    <row r="798" spans="1:6" x14ac:dyDescent="0.25">
      <c r="A798" s="210" t="s">
        <v>1518</v>
      </c>
      <c r="B798" s="100">
        <v>46120</v>
      </c>
      <c r="C798" t="s">
        <v>21</v>
      </c>
      <c r="D798" t="s">
        <v>22</v>
      </c>
      <c r="E798" t="s">
        <v>83</v>
      </c>
      <c r="F798" s="107">
        <v>50000000</v>
      </c>
    </row>
    <row r="799" spans="1:6" hidden="1" x14ac:dyDescent="0.25">
      <c r="A799" s="210" t="s">
        <v>1527</v>
      </c>
      <c r="B799" s="100">
        <v>46120</v>
      </c>
      <c r="C799" t="s">
        <v>21</v>
      </c>
      <c r="D799" t="s">
        <v>22</v>
      </c>
      <c r="E799" t="s">
        <v>147</v>
      </c>
      <c r="F799" s="107">
        <v>100000000</v>
      </c>
    </row>
    <row r="800" spans="1:6" hidden="1" x14ac:dyDescent="0.25">
      <c r="A800" s="210" t="s">
        <v>1595</v>
      </c>
      <c r="B800" s="100">
        <v>46120</v>
      </c>
      <c r="C800" t="s">
        <v>21</v>
      </c>
      <c r="D800" t="s">
        <v>22</v>
      </c>
      <c r="E800" t="s">
        <v>2067</v>
      </c>
      <c r="F800" s="107">
        <v>30000000</v>
      </c>
    </row>
    <row r="801" spans="1:6" hidden="1" x14ac:dyDescent="0.25">
      <c r="A801" s="210" t="s">
        <v>1596</v>
      </c>
      <c r="B801" s="100">
        <v>46120</v>
      </c>
      <c r="C801" t="s">
        <v>2214</v>
      </c>
      <c r="D801" t="s">
        <v>22</v>
      </c>
      <c r="E801" t="s">
        <v>2067</v>
      </c>
      <c r="F801" s="107">
        <v>-8926000</v>
      </c>
    </row>
    <row r="802" spans="1:6" x14ac:dyDescent="0.25">
      <c r="A802" s="210" t="s">
        <v>1600</v>
      </c>
      <c r="B802" s="100">
        <v>46120</v>
      </c>
      <c r="C802" t="s">
        <v>21</v>
      </c>
      <c r="D802" t="s">
        <v>22</v>
      </c>
      <c r="E802" t="s">
        <v>83</v>
      </c>
      <c r="F802" s="107">
        <v>310161720</v>
      </c>
    </row>
    <row r="803" spans="1:6" hidden="1" x14ac:dyDescent="0.25">
      <c r="A803" s="210" t="s">
        <v>2547</v>
      </c>
      <c r="B803" s="100">
        <v>46120</v>
      </c>
      <c r="C803" t="s">
        <v>21</v>
      </c>
      <c r="D803" t="s">
        <v>22</v>
      </c>
      <c r="E803" t="s">
        <v>147</v>
      </c>
      <c r="F803" s="107">
        <v>60000000</v>
      </c>
    </row>
    <row r="804" spans="1:6" hidden="1" x14ac:dyDescent="0.25">
      <c r="A804" s="210" t="s">
        <v>1615</v>
      </c>
      <c r="B804" s="100">
        <v>46120</v>
      </c>
      <c r="C804" t="s">
        <v>21</v>
      </c>
      <c r="D804" t="s">
        <v>22</v>
      </c>
      <c r="E804" t="s">
        <v>147</v>
      </c>
      <c r="F804" s="107">
        <v>134239841</v>
      </c>
    </row>
    <row r="805" spans="1:6" hidden="1" x14ac:dyDescent="0.25">
      <c r="A805" s="210" t="s">
        <v>1478</v>
      </c>
      <c r="B805" s="100">
        <v>46119</v>
      </c>
      <c r="C805" t="s">
        <v>21</v>
      </c>
      <c r="D805" t="s">
        <v>22</v>
      </c>
      <c r="E805" t="s">
        <v>2067</v>
      </c>
      <c r="F805" s="107">
        <v>9170000</v>
      </c>
    </row>
    <row r="806" spans="1:6" hidden="1" x14ac:dyDescent="0.25">
      <c r="A806" s="210" t="s">
        <v>1488</v>
      </c>
      <c r="B806" s="100">
        <v>46119</v>
      </c>
      <c r="C806" t="s">
        <v>21</v>
      </c>
      <c r="D806" t="s">
        <v>22</v>
      </c>
      <c r="E806" t="s">
        <v>147</v>
      </c>
      <c r="F806" s="107">
        <v>150000000</v>
      </c>
    </row>
    <row r="807" spans="1:6" hidden="1" x14ac:dyDescent="0.25">
      <c r="A807" s="210" t="s">
        <v>1536</v>
      </c>
      <c r="B807" s="100">
        <v>46119</v>
      </c>
      <c r="C807" t="s">
        <v>21</v>
      </c>
      <c r="D807" t="s">
        <v>22</v>
      </c>
      <c r="E807" t="s">
        <v>147</v>
      </c>
      <c r="F807" s="107">
        <v>38610990</v>
      </c>
    </row>
    <row r="808" spans="1:6" hidden="1" x14ac:dyDescent="0.25">
      <c r="A808" s="210" t="s">
        <v>1587</v>
      </c>
      <c r="B808" s="100">
        <v>46119</v>
      </c>
      <c r="C808" t="s">
        <v>21</v>
      </c>
      <c r="D808" t="s">
        <v>22</v>
      </c>
      <c r="E808" t="s">
        <v>147</v>
      </c>
      <c r="F808" s="107">
        <v>200000000</v>
      </c>
    </row>
    <row r="809" spans="1:6" hidden="1" x14ac:dyDescent="0.25">
      <c r="A809" s="210" t="s">
        <v>1595</v>
      </c>
      <c r="B809" s="100">
        <v>46119</v>
      </c>
      <c r="C809" t="s">
        <v>21</v>
      </c>
      <c r="D809" t="s">
        <v>22</v>
      </c>
      <c r="E809" t="s">
        <v>2067</v>
      </c>
      <c r="F809" s="107">
        <v>37700000</v>
      </c>
    </row>
    <row r="810" spans="1:6" x14ac:dyDescent="0.25">
      <c r="A810" s="210" t="s">
        <v>1676</v>
      </c>
      <c r="B810" s="100">
        <v>46119</v>
      </c>
      <c r="C810" t="s">
        <v>21</v>
      </c>
      <c r="D810" t="s">
        <v>22</v>
      </c>
      <c r="E810" t="s">
        <v>83</v>
      </c>
      <c r="F810" s="107">
        <v>70000000</v>
      </c>
    </row>
    <row r="811" spans="1:6" x14ac:dyDescent="0.25">
      <c r="A811" s="210" t="s">
        <v>1683</v>
      </c>
      <c r="B811" s="100">
        <v>46119</v>
      </c>
      <c r="C811" t="s">
        <v>21</v>
      </c>
      <c r="D811" t="s">
        <v>22</v>
      </c>
      <c r="E811" t="s">
        <v>83</v>
      </c>
      <c r="F811" s="107">
        <v>61713022</v>
      </c>
    </row>
    <row r="812" spans="1:6" hidden="1" x14ac:dyDescent="0.25">
      <c r="A812" s="210" t="s">
        <v>1685</v>
      </c>
      <c r="B812" s="100">
        <v>46119</v>
      </c>
      <c r="C812" t="s">
        <v>21</v>
      </c>
      <c r="D812" t="s">
        <v>22</v>
      </c>
      <c r="E812" t="s">
        <v>261</v>
      </c>
      <c r="F812" s="107">
        <v>47736000</v>
      </c>
    </row>
    <row r="813" spans="1:6" hidden="1" x14ac:dyDescent="0.25">
      <c r="A813" s="210" t="s">
        <v>1478</v>
      </c>
      <c r="B813" s="100">
        <v>46118</v>
      </c>
      <c r="C813" t="s">
        <v>21</v>
      </c>
      <c r="D813" t="s">
        <v>22</v>
      </c>
      <c r="E813" t="s">
        <v>2067</v>
      </c>
      <c r="F813" s="107">
        <v>33848000</v>
      </c>
    </row>
    <row r="814" spans="1:6" hidden="1" x14ac:dyDescent="0.25">
      <c r="A814" s="210" t="s">
        <v>1489</v>
      </c>
      <c r="B814" s="100">
        <v>46118</v>
      </c>
      <c r="C814" t="s">
        <v>21</v>
      </c>
      <c r="D814" t="s">
        <v>22</v>
      </c>
      <c r="E814" t="s">
        <v>2067</v>
      </c>
      <c r="F814" s="107">
        <v>60000000</v>
      </c>
    </row>
    <row r="815" spans="1:6" hidden="1" x14ac:dyDescent="0.25">
      <c r="A815" s="210" t="s">
        <v>1509</v>
      </c>
      <c r="B815" s="100">
        <v>46118</v>
      </c>
      <c r="C815" t="s">
        <v>21</v>
      </c>
      <c r="D815" t="s">
        <v>22</v>
      </c>
      <c r="E815" t="s">
        <v>261</v>
      </c>
      <c r="F815" s="107">
        <v>23186843</v>
      </c>
    </row>
    <row r="816" spans="1:6" hidden="1" x14ac:dyDescent="0.25">
      <c r="A816" s="210" t="s">
        <v>1520</v>
      </c>
      <c r="B816" s="100">
        <v>46118</v>
      </c>
      <c r="C816" t="s">
        <v>21</v>
      </c>
      <c r="D816" t="s">
        <v>22</v>
      </c>
      <c r="E816" t="s">
        <v>261</v>
      </c>
      <c r="F816" s="107">
        <v>117234657</v>
      </c>
    </row>
    <row r="817" spans="1:6" hidden="1" x14ac:dyDescent="0.25">
      <c r="A817" s="210" t="s">
        <v>1531</v>
      </c>
      <c r="B817" s="100">
        <v>46118</v>
      </c>
      <c r="C817" t="s">
        <v>21</v>
      </c>
      <c r="D817" t="s">
        <v>24</v>
      </c>
      <c r="F817" s="107">
        <v>100000000</v>
      </c>
    </row>
    <row r="818" spans="1:6" hidden="1" x14ac:dyDescent="0.25">
      <c r="A818" s="210" t="s">
        <v>1535</v>
      </c>
      <c r="B818" s="100">
        <v>46118</v>
      </c>
      <c r="C818" t="s">
        <v>21</v>
      </c>
      <c r="D818" t="s">
        <v>22</v>
      </c>
      <c r="E818" t="s">
        <v>261</v>
      </c>
      <c r="F818" s="107">
        <v>100000000</v>
      </c>
    </row>
    <row r="819" spans="1:6" hidden="1" x14ac:dyDescent="0.25">
      <c r="A819" s="210" t="s">
        <v>1541</v>
      </c>
      <c r="B819" s="100">
        <v>46118</v>
      </c>
      <c r="C819" t="s">
        <v>21</v>
      </c>
      <c r="D819" t="s">
        <v>22</v>
      </c>
      <c r="E819" t="s">
        <v>147</v>
      </c>
      <c r="F819" s="107">
        <v>100000000</v>
      </c>
    </row>
    <row r="820" spans="1:6" x14ac:dyDescent="0.25">
      <c r="A820" s="210" t="s">
        <v>1552</v>
      </c>
      <c r="B820" s="100">
        <v>46118</v>
      </c>
      <c r="C820" t="s">
        <v>21</v>
      </c>
      <c r="D820" t="s">
        <v>22</v>
      </c>
      <c r="E820" t="s">
        <v>83</v>
      </c>
      <c r="F820" s="107">
        <v>439397061</v>
      </c>
    </row>
    <row r="821" spans="1:6" hidden="1" x14ac:dyDescent="0.25">
      <c r="A821" s="210" t="s">
        <v>1597</v>
      </c>
      <c r="B821" s="100">
        <v>46118</v>
      </c>
      <c r="C821" t="s">
        <v>21</v>
      </c>
      <c r="D821" t="s">
        <v>22</v>
      </c>
      <c r="E821" t="s">
        <v>147</v>
      </c>
      <c r="F821" s="107">
        <v>145286680</v>
      </c>
    </row>
    <row r="822" spans="1:6" hidden="1" x14ac:dyDescent="0.25">
      <c r="A822" s="210" t="s">
        <v>1610</v>
      </c>
      <c r="B822" s="100">
        <v>46118</v>
      </c>
      <c r="C822" t="s">
        <v>21</v>
      </c>
      <c r="D822" t="s">
        <v>24</v>
      </c>
      <c r="F822" s="107">
        <v>66890000</v>
      </c>
    </row>
    <row r="823" spans="1:6" hidden="1" x14ac:dyDescent="0.25">
      <c r="A823" s="210" t="s">
        <v>1635</v>
      </c>
      <c r="B823" s="100">
        <v>46118</v>
      </c>
      <c r="C823" t="s">
        <v>21</v>
      </c>
      <c r="D823" t="s">
        <v>24</v>
      </c>
      <c r="F823" s="107">
        <v>120000000</v>
      </c>
    </row>
    <row r="824" spans="1:6" hidden="1" x14ac:dyDescent="0.25">
      <c r="A824" s="210" t="s">
        <v>1673</v>
      </c>
      <c r="B824" s="100">
        <v>46118</v>
      </c>
      <c r="C824" t="s">
        <v>21</v>
      </c>
      <c r="D824" t="s">
        <v>24</v>
      </c>
      <c r="F824" s="107">
        <v>150000000</v>
      </c>
    </row>
    <row r="825" spans="1:6" hidden="1" x14ac:dyDescent="0.25">
      <c r="A825" s="210" t="s">
        <v>1692</v>
      </c>
      <c r="B825" s="100">
        <v>46118</v>
      </c>
      <c r="C825" t="s">
        <v>21</v>
      </c>
      <c r="D825" t="s">
        <v>260</v>
      </c>
      <c r="E825" t="s">
        <v>261</v>
      </c>
      <c r="F825" s="107">
        <v>100000000</v>
      </c>
    </row>
    <row r="826" spans="1:6" hidden="1" x14ac:dyDescent="0.25">
      <c r="A826" s="210" t="s">
        <v>1713</v>
      </c>
      <c r="B826" s="100">
        <v>46118</v>
      </c>
      <c r="C826" t="s">
        <v>21</v>
      </c>
      <c r="D826" t="s">
        <v>22</v>
      </c>
      <c r="E826" t="s">
        <v>261</v>
      </c>
      <c r="F826" s="107">
        <v>49160000</v>
      </c>
    </row>
    <row r="827" spans="1:6" hidden="1" x14ac:dyDescent="0.25">
      <c r="A827" s="210" t="s">
        <v>1609</v>
      </c>
      <c r="B827" s="100">
        <v>46117</v>
      </c>
      <c r="C827" t="s">
        <v>21</v>
      </c>
      <c r="D827" t="s">
        <v>22</v>
      </c>
      <c r="E827" t="s">
        <v>2067</v>
      </c>
      <c r="F827" s="107">
        <v>8100000</v>
      </c>
    </row>
    <row r="828" spans="1:6" hidden="1" x14ac:dyDescent="0.25">
      <c r="A828" s="210" t="s">
        <v>1502</v>
      </c>
      <c r="B828" s="100">
        <v>46116</v>
      </c>
      <c r="C828" t="s">
        <v>21</v>
      </c>
      <c r="D828" t="s">
        <v>22</v>
      </c>
      <c r="E828" t="s">
        <v>147</v>
      </c>
      <c r="F828" s="107">
        <v>185417628</v>
      </c>
    </row>
    <row r="829" spans="1:6" hidden="1" x14ac:dyDescent="0.25">
      <c r="A829" s="210" t="s">
        <v>1554</v>
      </c>
      <c r="B829" s="100">
        <v>46116</v>
      </c>
      <c r="C829" t="s">
        <v>21</v>
      </c>
      <c r="D829" t="s">
        <v>22</v>
      </c>
      <c r="E829" t="s">
        <v>2067</v>
      </c>
      <c r="F829" s="107">
        <v>25000000</v>
      </c>
    </row>
    <row r="830" spans="1:6" hidden="1" x14ac:dyDescent="0.25">
      <c r="A830" s="210" t="s">
        <v>1554</v>
      </c>
      <c r="B830" s="100">
        <v>46116</v>
      </c>
      <c r="C830" t="s">
        <v>21</v>
      </c>
      <c r="D830" t="s">
        <v>22</v>
      </c>
      <c r="E830" t="s">
        <v>2067</v>
      </c>
      <c r="F830" s="107">
        <v>40000000</v>
      </c>
    </row>
    <row r="831" spans="1:6" x14ac:dyDescent="0.25">
      <c r="A831" s="210" t="s">
        <v>1579</v>
      </c>
      <c r="B831" s="100">
        <v>46116</v>
      </c>
      <c r="C831" t="s">
        <v>21</v>
      </c>
      <c r="D831" t="s">
        <v>22</v>
      </c>
      <c r="E831" t="s">
        <v>83</v>
      </c>
      <c r="F831" s="107">
        <v>224140000</v>
      </c>
    </row>
    <row r="832" spans="1:6" x14ac:dyDescent="0.25">
      <c r="A832" s="210" t="s">
        <v>1608</v>
      </c>
      <c r="B832" s="100">
        <v>46116</v>
      </c>
      <c r="C832" t="s">
        <v>21</v>
      </c>
      <c r="D832" t="s">
        <v>22</v>
      </c>
      <c r="E832" t="s">
        <v>83</v>
      </c>
      <c r="F832" s="107">
        <v>230000000</v>
      </c>
    </row>
    <row r="833" spans="1:6" x14ac:dyDescent="0.25">
      <c r="A833" s="210" t="s">
        <v>1638</v>
      </c>
      <c r="B833" s="100">
        <v>46116</v>
      </c>
      <c r="C833" t="s">
        <v>21</v>
      </c>
      <c r="D833" t="s">
        <v>22</v>
      </c>
      <c r="E833" t="s">
        <v>83</v>
      </c>
      <c r="F833" s="107">
        <v>30288029</v>
      </c>
    </row>
    <row r="834" spans="1:6" hidden="1" x14ac:dyDescent="0.25">
      <c r="A834" s="210" t="s">
        <v>1715</v>
      </c>
      <c r="B834" s="100">
        <v>46116</v>
      </c>
      <c r="C834" t="s">
        <v>21</v>
      </c>
      <c r="D834" t="s">
        <v>22</v>
      </c>
      <c r="E834" t="s">
        <v>261</v>
      </c>
      <c r="F834" s="107">
        <v>19035000</v>
      </c>
    </row>
    <row r="835" spans="1:6" hidden="1" x14ac:dyDescent="0.25">
      <c r="A835" s="210" t="s">
        <v>1478</v>
      </c>
      <c r="B835" s="100">
        <v>46115</v>
      </c>
      <c r="C835" t="s">
        <v>21</v>
      </c>
      <c r="D835" t="s">
        <v>22</v>
      </c>
      <c r="E835" t="s">
        <v>2067</v>
      </c>
      <c r="F835" s="107">
        <v>50000000</v>
      </c>
    </row>
    <row r="836" spans="1:6" hidden="1" x14ac:dyDescent="0.25">
      <c r="A836" s="210" t="s">
        <v>1479</v>
      </c>
      <c r="B836" s="100">
        <v>46115</v>
      </c>
      <c r="C836" t="s">
        <v>21</v>
      </c>
      <c r="D836" t="s">
        <v>22</v>
      </c>
      <c r="E836" t="s">
        <v>147</v>
      </c>
      <c r="F836" s="107">
        <v>300000000</v>
      </c>
    </row>
    <row r="837" spans="1:6" hidden="1" x14ac:dyDescent="0.25">
      <c r="A837" s="210" t="s">
        <v>1487</v>
      </c>
      <c r="B837" s="100">
        <v>46115</v>
      </c>
      <c r="C837" t="s">
        <v>21</v>
      </c>
      <c r="D837" t="s">
        <v>22</v>
      </c>
      <c r="E837" t="s">
        <v>147</v>
      </c>
      <c r="F837" s="107">
        <v>100000000</v>
      </c>
    </row>
    <row r="838" spans="1:6" hidden="1" x14ac:dyDescent="0.25">
      <c r="A838" s="210" t="s">
        <v>1496</v>
      </c>
      <c r="B838" s="100">
        <v>46115</v>
      </c>
      <c r="C838" t="s">
        <v>21</v>
      </c>
      <c r="D838" t="s">
        <v>22</v>
      </c>
      <c r="E838" t="s">
        <v>147</v>
      </c>
      <c r="F838" s="107">
        <v>80000000</v>
      </c>
    </row>
    <row r="839" spans="1:6" hidden="1" x14ac:dyDescent="0.25">
      <c r="A839" s="210" t="s">
        <v>1499</v>
      </c>
      <c r="B839" s="100">
        <v>46115</v>
      </c>
      <c r="C839" t="s">
        <v>21</v>
      </c>
      <c r="D839" t="s">
        <v>22</v>
      </c>
      <c r="E839" t="s">
        <v>147</v>
      </c>
      <c r="F839" s="107">
        <v>100000000</v>
      </c>
    </row>
    <row r="840" spans="1:6" hidden="1" x14ac:dyDescent="0.25">
      <c r="A840" s="210" t="s">
        <v>1507</v>
      </c>
      <c r="B840" s="100">
        <v>46115</v>
      </c>
      <c r="C840" t="s">
        <v>21</v>
      </c>
      <c r="D840" t="s">
        <v>22</v>
      </c>
      <c r="E840" t="s">
        <v>147</v>
      </c>
      <c r="F840" s="107">
        <v>32572000</v>
      </c>
    </row>
    <row r="841" spans="1:6" x14ac:dyDescent="0.25">
      <c r="A841" s="210" t="s">
        <v>1512</v>
      </c>
      <c r="B841" s="100">
        <v>46115</v>
      </c>
      <c r="C841" t="s">
        <v>21</v>
      </c>
      <c r="D841" t="s">
        <v>22</v>
      </c>
      <c r="E841" t="s">
        <v>83</v>
      </c>
      <c r="F841" s="107">
        <v>50000000</v>
      </c>
    </row>
    <row r="842" spans="1:6" hidden="1" x14ac:dyDescent="0.25">
      <c r="A842" s="210" t="s">
        <v>1531</v>
      </c>
      <c r="B842" s="100">
        <v>46115</v>
      </c>
      <c r="C842" t="s">
        <v>21</v>
      </c>
      <c r="D842" t="s">
        <v>22</v>
      </c>
      <c r="E842" t="s">
        <v>2067</v>
      </c>
      <c r="F842" s="107">
        <v>45960000</v>
      </c>
    </row>
    <row r="843" spans="1:6" x14ac:dyDescent="0.25">
      <c r="A843" s="210" t="s">
        <v>1547</v>
      </c>
      <c r="B843" s="100">
        <v>46115</v>
      </c>
      <c r="C843" t="s">
        <v>21</v>
      </c>
      <c r="D843" t="s">
        <v>22</v>
      </c>
      <c r="E843" t="s">
        <v>83</v>
      </c>
      <c r="F843" s="107">
        <v>50000000</v>
      </c>
    </row>
    <row r="844" spans="1:6" hidden="1" x14ac:dyDescent="0.25">
      <c r="A844" s="210" t="s">
        <v>1548</v>
      </c>
      <c r="B844" s="100">
        <v>46115</v>
      </c>
      <c r="C844" t="s">
        <v>21</v>
      </c>
      <c r="D844" t="s">
        <v>22</v>
      </c>
      <c r="E844" t="s">
        <v>147</v>
      </c>
      <c r="F844" s="107">
        <v>50000000</v>
      </c>
    </row>
    <row r="845" spans="1:6" hidden="1" x14ac:dyDescent="0.25">
      <c r="A845" s="210" t="s">
        <v>1554</v>
      </c>
      <c r="B845" s="100">
        <v>46115</v>
      </c>
      <c r="C845" t="s">
        <v>21</v>
      </c>
      <c r="D845" t="s">
        <v>22</v>
      </c>
      <c r="E845" t="s">
        <v>2067</v>
      </c>
      <c r="F845" s="107">
        <v>25000000</v>
      </c>
    </row>
    <row r="846" spans="1:6" hidden="1" x14ac:dyDescent="0.25">
      <c r="A846" s="210" t="s">
        <v>1556</v>
      </c>
      <c r="B846" s="100">
        <v>46115</v>
      </c>
      <c r="C846" t="s">
        <v>21</v>
      </c>
      <c r="D846" t="s">
        <v>22</v>
      </c>
      <c r="E846" t="s">
        <v>147</v>
      </c>
      <c r="F846" s="107">
        <v>66496934</v>
      </c>
    </row>
    <row r="847" spans="1:6" hidden="1" x14ac:dyDescent="0.25">
      <c r="A847" s="210" t="s">
        <v>1558</v>
      </c>
      <c r="B847" s="100">
        <v>46115</v>
      </c>
      <c r="C847" t="s">
        <v>21</v>
      </c>
      <c r="D847" t="s">
        <v>24</v>
      </c>
      <c r="F847" s="107">
        <v>100000000</v>
      </c>
    </row>
    <row r="848" spans="1:6" hidden="1" x14ac:dyDescent="0.25">
      <c r="A848" s="210" t="s">
        <v>1564</v>
      </c>
      <c r="B848" s="100">
        <v>46115</v>
      </c>
      <c r="C848" t="s">
        <v>21</v>
      </c>
      <c r="D848" t="s">
        <v>22</v>
      </c>
      <c r="E848" t="s">
        <v>147</v>
      </c>
      <c r="F848" s="107">
        <v>40000000</v>
      </c>
    </row>
    <row r="849" spans="1:6" hidden="1" x14ac:dyDescent="0.25">
      <c r="A849" s="210" t="s">
        <v>1575</v>
      </c>
      <c r="B849" s="100">
        <v>46115</v>
      </c>
      <c r="C849" t="s">
        <v>21</v>
      </c>
      <c r="D849" t="s">
        <v>22</v>
      </c>
      <c r="E849" t="s">
        <v>261</v>
      </c>
      <c r="F849" s="107">
        <v>100000000</v>
      </c>
    </row>
    <row r="850" spans="1:6" hidden="1" x14ac:dyDescent="0.25">
      <c r="A850" s="210" t="s">
        <v>1577</v>
      </c>
      <c r="B850" s="100">
        <v>46115</v>
      </c>
      <c r="C850" t="s">
        <v>21</v>
      </c>
      <c r="D850" t="s">
        <v>22</v>
      </c>
      <c r="E850" t="s">
        <v>147</v>
      </c>
      <c r="F850" s="107">
        <v>200000000</v>
      </c>
    </row>
    <row r="851" spans="1:6" x14ac:dyDescent="0.25">
      <c r="A851" s="210" t="s">
        <v>1579</v>
      </c>
      <c r="B851" s="100">
        <v>46115</v>
      </c>
      <c r="C851" t="s">
        <v>21</v>
      </c>
      <c r="D851" t="s">
        <v>22</v>
      </c>
      <c r="E851" t="s">
        <v>83</v>
      </c>
      <c r="F851" s="107">
        <v>100000000</v>
      </c>
    </row>
    <row r="852" spans="1:6" hidden="1" x14ac:dyDescent="0.25">
      <c r="A852" s="210" t="s">
        <v>1592</v>
      </c>
      <c r="B852" s="100">
        <v>46115</v>
      </c>
      <c r="C852" t="s">
        <v>21</v>
      </c>
      <c r="D852" t="s">
        <v>22</v>
      </c>
      <c r="E852" t="s">
        <v>261</v>
      </c>
      <c r="F852" s="107">
        <v>201047578</v>
      </c>
    </row>
    <row r="853" spans="1:6" hidden="1" x14ac:dyDescent="0.25">
      <c r="A853" s="210" t="s">
        <v>1600</v>
      </c>
      <c r="B853" s="100">
        <v>46115</v>
      </c>
      <c r="C853" t="s">
        <v>21</v>
      </c>
      <c r="D853" t="s">
        <v>22</v>
      </c>
      <c r="E853" t="s">
        <v>147</v>
      </c>
      <c r="F853" s="107">
        <v>100000000</v>
      </c>
    </row>
    <row r="854" spans="1:6" hidden="1" x14ac:dyDescent="0.25">
      <c r="A854" s="210" t="s">
        <v>2547</v>
      </c>
      <c r="B854" s="100">
        <v>46115</v>
      </c>
      <c r="C854" t="s">
        <v>21</v>
      </c>
      <c r="D854" t="s">
        <v>22</v>
      </c>
      <c r="E854" t="s">
        <v>147</v>
      </c>
      <c r="F854" s="107">
        <v>100000000</v>
      </c>
    </row>
    <row r="855" spans="1:6" hidden="1" x14ac:dyDescent="0.25">
      <c r="A855" s="210" t="s">
        <v>1623</v>
      </c>
      <c r="B855" s="100">
        <v>46115</v>
      </c>
      <c r="C855" t="s">
        <v>21</v>
      </c>
      <c r="D855" t="s">
        <v>22</v>
      </c>
      <c r="E855" t="s">
        <v>147</v>
      </c>
      <c r="F855" s="107">
        <v>100000000</v>
      </c>
    </row>
    <row r="856" spans="1:6" hidden="1" x14ac:dyDescent="0.25">
      <c r="A856" s="210" t="s">
        <v>1566</v>
      </c>
      <c r="B856" s="100">
        <v>46115</v>
      </c>
      <c r="C856" t="s">
        <v>21</v>
      </c>
      <c r="D856" t="s">
        <v>22</v>
      </c>
      <c r="E856" t="s">
        <v>261</v>
      </c>
      <c r="F856" s="107">
        <v>20687971</v>
      </c>
    </row>
    <row r="857" spans="1:6" x14ac:dyDescent="0.25">
      <c r="A857" s="210" t="s">
        <v>1630</v>
      </c>
      <c r="B857" s="100">
        <v>46115</v>
      </c>
      <c r="C857" t="s">
        <v>21</v>
      </c>
      <c r="D857" t="s">
        <v>22</v>
      </c>
      <c r="E857" t="s">
        <v>83</v>
      </c>
      <c r="F857" s="107">
        <v>24799950</v>
      </c>
    </row>
    <row r="858" spans="1:6" hidden="1" x14ac:dyDescent="0.25">
      <c r="A858" s="210" t="s">
        <v>2016</v>
      </c>
      <c r="B858" s="100">
        <v>46115</v>
      </c>
      <c r="C858" t="s">
        <v>654</v>
      </c>
      <c r="D858" t="s">
        <v>22</v>
      </c>
      <c r="E858" t="s">
        <v>147</v>
      </c>
      <c r="F858" s="107">
        <v>-100000000</v>
      </c>
    </row>
    <row r="859" spans="1:6" x14ac:dyDescent="0.25">
      <c r="A859" s="210" t="s">
        <v>1686</v>
      </c>
      <c r="B859" s="100">
        <v>46115</v>
      </c>
      <c r="C859" t="s">
        <v>21</v>
      </c>
      <c r="D859" t="s">
        <v>22</v>
      </c>
      <c r="E859" t="s">
        <v>83</v>
      </c>
      <c r="F859" s="107">
        <v>56314678</v>
      </c>
    </row>
    <row r="860" spans="1:6" hidden="1" x14ac:dyDescent="0.25">
      <c r="A860" s="210" t="s">
        <v>1689</v>
      </c>
      <c r="B860" s="100">
        <v>46115</v>
      </c>
      <c r="C860" t="s">
        <v>21</v>
      </c>
      <c r="D860" t="s">
        <v>22</v>
      </c>
      <c r="E860" t="s">
        <v>261</v>
      </c>
      <c r="F860" s="107">
        <v>100000000</v>
      </c>
    </row>
    <row r="861" spans="1:6" hidden="1" x14ac:dyDescent="0.25">
      <c r="A861" s="210" t="s">
        <v>1691</v>
      </c>
      <c r="B861" s="100">
        <v>46115</v>
      </c>
      <c r="C861" t="s">
        <v>21</v>
      </c>
      <c r="D861" t="s">
        <v>22</v>
      </c>
      <c r="E861" t="s">
        <v>2067</v>
      </c>
      <c r="F861" s="107">
        <v>10000000</v>
      </c>
    </row>
    <row r="862" spans="1:6" hidden="1" x14ac:dyDescent="0.25">
      <c r="A862" s="210" t="s">
        <v>1704</v>
      </c>
      <c r="B862" s="100">
        <v>46115</v>
      </c>
      <c r="C862" t="s">
        <v>2214</v>
      </c>
      <c r="D862" t="s">
        <v>22</v>
      </c>
      <c r="E862" t="s">
        <v>147</v>
      </c>
      <c r="F862" s="107">
        <v>-137500000</v>
      </c>
    </row>
    <row r="863" spans="1:6" hidden="1" x14ac:dyDescent="0.25">
      <c r="A863" s="210" t="s">
        <v>1712</v>
      </c>
      <c r="B863" s="100">
        <v>46115</v>
      </c>
      <c r="C863" t="s">
        <v>21</v>
      </c>
      <c r="D863" t="s">
        <v>24</v>
      </c>
      <c r="F863" s="107">
        <v>108000000</v>
      </c>
    </row>
    <row r="864" spans="1:6" hidden="1" x14ac:dyDescent="0.25">
      <c r="A864" s="210" t="s">
        <v>1713</v>
      </c>
      <c r="B864" s="100">
        <v>46115</v>
      </c>
      <c r="C864" t="s">
        <v>21</v>
      </c>
      <c r="D864" t="s">
        <v>22</v>
      </c>
      <c r="E864" t="s">
        <v>261</v>
      </c>
      <c r="F864" s="107">
        <v>10000000</v>
      </c>
    </row>
    <row r="865" spans="1:6" hidden="1" x14ac:dyDescent="0.25">
      <c r="A865" s="210" t="s">
        <v>1475</v>
      </c>
      <c r="B865" s="100">
        <v>46114</v>
      </c>
      <c r="C865" t="s">
        <v>21</v>
      </c>
      <c r="D865" t="s">
        <v>22</v>
      </c>
      <c r="E865" t="s">
        <v>47</v>
      </c>
      <c r="F865" s="107">
        <v>9207000</v>
      </c>
    </row>
    <row r="866" spans="1:6" hidden="1" x14ac:dyDescent="0.25">
      <c r="A866" s="210" t="s">
        <v>1475</v>
      </c>
      <c r="B866" s="100">
        <v>46114</v>
      </c>
      <c r="C866" t="s">
        <v>21</v>
      </c>
      <c r="D866" t="s">
        <v>24</v>
      </c>
      <c r="F866" s="107">
        <v>110000000</v>
      </c>
    </row>
    <row r="867" spans="1:6" hidden="1" x14ac:dyDescent="0.25">
      <c r="A867" s="210" t="s">
        <v>1493</v>
      </c>
      <c r="B867" s="100">
        <v>46114</v>
      </c>
      <c r="C867" t="s">
        <v>21</v>
      </c>
      <c r="D867" t="s">
        <v>22</v>
      </c>
      <c r="E867" t="s">
        <v>261</v>
      </c>
      <c r="F867" s="107">
        <v>130000000</v>
      </c>
    </row>
    <row r="868" spans="1:6" hidden="1" x14ac:dyDescent="0.25">
      <c r="A868" s="210" t="s">
        <v>1506</v>
      </c>
      <c r="B868" s="100">
        <v>46114</v>
      </c>
      <c r="C868" t="s">
        <v>21</v>
      </c>
      <c r="D868" t="s">
        <v>22</v>
      </c>
      <c r="E868" t="s">
        <v>261</v>
      </c>
      <c r="F868" s="107">
        <v>236994749</v>
      </c>
    </row>
    <row r="869" spans="1:6" hidden="1" x14ac:dyDescent="0.25">
      <c r="A869" s="210" t="s">
        <v>1536</v>
      </c>
      <c r="B869" s="100">
        <v>46114</v>
      </c>
      <c r="C869" t="s">
        <v>21</v>
      </c>
      <c r="D869" t="s">
        <v>22</v>
      </c>
      <c r="E869" t="s">
        <v>147</v>
      </c>
      <c r="F869" s="107">
        <v>8760000</v>
      </c>
    </row>
    <row r="870" spans="1:6" hidden="1" x14ac:dyDescent="0.25">
      <c r="A870" s="210" t="s">
        <v>1536</v>
      </c>
      <c r="B870" s="100">
        <v>46114</v>
      </c>
      <c r="C870" t="s">
        <v>21</v>
      </c>
      <c r="D870" t="s">
        <v>22</v>
      </c>
      <c r="E870" t="s">
        <v>261</v>
      </c>
      <c r="F870" s="107">
        <v>52311000</v>
      </c>
    </row>
    <row r="871" spans="1:6" x14ac:dyDescent="0.25">
      <c r="A871" s="210" t="s">
        <v>1539</v>
      </c>
      <c r="B871" s="100">
        <v>46114</v>
      </c>
      <c r="C871" t="s">
        <v>21</v>
      </c>
      <c r="D871" t="s">
        <v>22</v>
      </c>
      <c r="E871" t="s">
        <v>83</v>
      </c>
      <c r="F871" s="107">
        <v>50000000</v>
      </c>
    </row>
    <row r="872" spans="1:6" hidden="1" x14ac:dyDescent="0.25">
      <c r="A872" s="210" t="s">
        <v>1567</v>
      </c>
      <c r="B872" s="100">
        <v>46114</v>
      </c>
      <c r="C872" t="s">
        <v>21</v>
      </c>
      <c r="D872" t="s">
        <v>22</v>
      </c>
      <c r="E872" t="s">
        <v>726</v>
      </c>
      <c r="F872" s="107">
        <v>109490000</v>
      </c>
    </row>
    <row r="873" spans="1:6" hidden="1" x14ac:dyDescent="0.25">
      <c r="A873" s="210" t="s">
        <v>1580</v>
      </c>
      <c r="B873" s="100">
        <v>46114</v>
      </c>
      <c r="C873" t="s">
        <v>21</v>
      </c>
      <c r="D873" t="s">
        <v>24</v>
      </c>
      <c r="F873" s="107">
        <v>200000000</v>
      </c>
    </row>
    <row r="874" spans="1:6" x14ac:dyDescent="0.25">
      <c r="A874" s="210" t="s">
        <v>1622</v>
      </c>
      <c r="B874" s="100">
        <v>46114</v>
      </c>
      <c r="C874" t="s">
        <v>21</v>
      </c>
      <c r="D874" t="s">
        <v>22</v>
      </c>
      <c r="E874" t="s">
        <v>83</v>
      </c>
      <c r="F874" s="107">
        <v>123587174</v>
      </c>
    </row>
    <row r="875" spans="1:6" hidden="1" x14ac:dyDescent="0.25">
      <c r="A875" s="210" t="s">
        <v>1491</v>
      </c>
      <c r="B875" s="100">
        <v>46113</v>
      </c>
      <c r="C875" t="s">
        <v>21</v>
      </c>
      <c r="D875" t="s">
        <v>22</v>
      </c>
      <c r="E875" t="s">
        <v>147</v>
      </c>
      <c r="F875" s="107">
        <v>499999999</v>
      </c>
    </row>
    <row r="876" spans="1:6" hidden="1" x14ac:dyDescent="0.25">
      <c r="A876" s="210" t="s">
        <v>1491</v>
      </c>
      <c r="B876" s="100">
        <v>46113</v>
      </c>
      <c r="C876" t="s">
        <v>21</v>
      </c>
      <c r="D876" t="s">
        <v>22</v>
      </c>
      <c r="E876" t="s">
        <v>147</v>
      </c>
      <c r="F876" s="107">
        <v>499999999</v>
      </c>
    </row>
    <row r="877" spans="1:6" x14ac:dyDescent="0.25">
      <c r="A877" s="210" t="s">
        <v>1494</v>
      </c>
      <c r="B877" s="100">
        <v>46113</v>
      </c>
      <c r="C877" t="s">
        <v>21</v>
      </c>
      <c r="D877" t="s">
        <v>22</v>
      </c>
      <c r="E877" t="s">
        <v>83</v>
      </c>
      <c r="F877" s="107">
        <v>195286000</v>
      </c>
    </row>
    <row r="878" spans="1:6" hidden="1" x14ac:dyDescent="0.25">
      <c r="A878" s="210" t="s">
        <v>1525</v>
      </c>
      <c r="B878" s="100">
        <v>46113</v>
      </c>
      <c r="C878" t="s">
        <v>21</v>
      </c>
      <c r="D878" t="s">
        <v>24</v>
      </c>
      <c r="F878" s="107">
        <v>250000000</v>
      </c>
    </row>
    <row r="879" spans="1:6" x14ac:dyDescent="0.25">
      <c r="A879" s="210" t="s">
        <v>1538</v>
      </c>
      <c r="B879" s="100">
        <v>46113</v>
      </c>
      <c r="C879" t="s">
        <v>21</v>
      </c>
      <c r="D879" t="s">
        <v>22</v>
      </c>
      <c r="E879" t="s">
        <v>83</v>
      </c>
      <c r="F879" s="107">
        <v>136568433</v>
      </c>
    </row>
    <row r="880" spans="1:6" hidden="1" x14ac:dyDescent="0.25">
      <c r="A880" s="210" t="s">
        <v>1545</v>
      </c>
      <c r="B880" s="100">
        <v>46113</v>
      </c>
      <c r="C880" t="s">
        <v>21</v>
      </c>
      <c r="D880" t="s">
        <v>22</v>
      </c>
      <c r="E880" t="s">
        <v>147</v>
      </c>
      <c r="F880" s="107">
        <v>203703675</v>
      </c>
    </row>
    <row r="881" spans="1:6" hidden="1" x14ac:dyDescent="0.25">
      <c r="A881" s="210" t="s">
        <v>1567</v>
      </c>
      <c r="B881" s="100">
        <v>46113</v>
      </c>
      <c r="C881" t="s">
        <v>21</v>
      </c>
      <c r="D881" t="s">
        <v>24</v>
      </c>
      <c r="F881" s="107">
        <v>80000000</v>
      </c>
    </row>
    <row r="882" spans="1:6" x14ac:dyDescent="0.25">
      <c r="A882" s="210" t="s">
        <v>1637</v>
      </c>
      <c r="B882" s="100">
        <v>46113</v>
      </c>
      <c r="C882" t="s">
        <v>21</v>
      </c>
      <c r="D882" t="s">
        <v>22</v>
      </c>
      <c r="E882" t="s">
        <v>83</v>
      </c>
      <c r="F882" s="107">
        <v>43560743</v>
      </c>
    </row>
    <row r="883" spans="1:6" hidden="1" x14ac:dyDescent="0.25">
      <c r="A883" s="210" t="s">
        <v>1593</v>
      </c>
      <c r="B883" s="100">
        <v>46113</v>
      </c>
      <c r="C883" t="s">
        <v>21</v>
      </c>
      <c r="D883" t="s">
        <v>22</v>
      </c>
      <c r="E883" t="s">
        <v>261</v>
      </c>
      <c r="F883" s="107">
        <v>86779000</v>
      </c>
    </row>
    <row r="884" spans="1:6" hidden="1" x14ac:dyDescent="0.25">
      <c r="A884" s="210" t="s">
        <v>1595</v>
      </c>
      <c r="B884" s="100">
        <v>46113</v>
      </c>
      <c r="C884" t="s">
        <v>21</v>
      </c>
      <c r="D884" t="s">
        <v>24</v>
      </c>
      <c r="F884" s="107">
        <v>56100000</v>
      </c>
    </row>
    <row r="885" spans="1:6" hidden="1" x14ac:dyDescent="0.25">
      <c r="A885" s="210" t="s">
        <v>1609</v>
      </c>
      <c r="B885" s="100">
        <v>46113</v>
      </c>
      <c r="C885" t="s">
        <v>21</v>
      </c>
      <c r="D885" t="s">
        <v>22</v>
      </c>
      <c r="E885" t="s">
        <v>2067</v>
      </c>
      <c r="F885" s="107">
        <v>23800000</v>
      </c>
    </row>
    <row r="886" spans="1:6" hidden="1" x14ac:dyDescent="0.25">
      <c r="A886" s="210" t="s">
        <v>1641</v>
      </c>
      <c r="B886" s="100">
        <v>46113</v>
      </c>
      <c r="C886" t="s">
        <v>21</v>
      </c>
      <c r="D886" t="s">
        <v>22</v>
      </c>
      <c r="E886" t="s">
        <v>147</v>
      </c>
      <c r="F886" s="107">
        <v>200000000</v>
      </c>
    </row>
    <row r="887" spans="1:6" x14ac:dyDescent="0.25">
      <c r="A887" s="210" t="s">
        <v>1518</v>
      </c>
      <c r="B887" s="100">
        <v>46112</v>
      </c>
      <c r="C887" t="s">
        <v>21</v>
      </c>
      <c r="D887" t="s">
        <v>22</v>
      </c>
      <c r="E887" t="s">
        <v>83</v>
      </c>
      <c r="F887" s="107">
        <v>50000000</v>
      </c>
    </row>
    <row r="888" spans="1:6" hidden="1" x14ac:dyDescent="0.25">
      <c r="A888" s="210" t="s">
        <v>1518</v>
      </c>
      <c r="B888" s="100">
        <v>46112</v>
      </c>
      <c r="C888" t="s">
        <v>21</v>
      </c>
      <c r="D888" t="s">
        <v>22</v>
      </c>
      <c r="E888" t="s">
        <v>23</v>
      </c>
      <c r="F888" s="107">
        <v>3000000</v>
      </c>
    </row>
    <row r="889" spans="1:6" hidden="1" x14ac:dyDescent="0.25">
      <c r="A889" s="210" t="s">
        <v>1534</v>
      </c>
      <c r="B889" s="100">
        <v>46112</v>
      </c>
      <c r="C889" t="s">
        <v>21</v>
      </c>
      <c r="D889" t="s">
        <v>22</v>
      </c>
      <c r="E889" t="s">
        <v>147</v>
      </c>
      <c r="F889" s="107">
        <v>150000000</v>
      </c>
    </row>
    <row r="890" spans="1:6" hidden="1" x14ac:dyDescent="0.25">
      <c r="A890" s="210" t="s">
        <v>1568</v>
      </c>
      <c r="B890" s="100">
        <v>46112</v>
      </c>
      <c r="C890" t="s">
        <v>21</v>
      </c>
      <c r="D890" t="s">
        <v>24</v>
      </c>
      <c r="F890" s="107">
        <v>50000000</v>
      </c>
    </row>
    <row r="891" spans="1:6" hidden="1" x14ac:dyDescent="0.25">
      <c r="A891" s="210" t="s">
        <v>1593</v>
      </c>
      <c r="B891" s="100">
        <v>46112</v>
      </c>
      <c r="C891" t="s">
        <v>21</v>
      </c>
      <c r="D891" t="s">
        <v>22</v>
      </c>
      <c r="E891" t="s">
        <v>261</v>
      </c>
      <c r="F891" s="107">
        <v>44814000</v>
      </c>
    </row>
    <row r="892" spans="1:6" hidden="1" x14ac:dyDescent="0.25">
      <c r="A892" s="210" t="s">
        <v>1595</v>
      </c>
      <c r="B892" s="100">
        <v>46112</v>
      </c>
      <c r="C892" t="s">
        <v>21</v>
      </c>
      <c r="D892" t="s">
        <v>22</v>
      </c>
      <c r="E892" t="s">
        <v>23</v>
      </c>
      <c r="F892" s="107">
        <v>6090000</v>
      </c>
    </row>
    <row r="893" spans="1:6" hidden="1" x14ac:dyDescent="0.25">
      <c r="A893" s="210" t="s">
        <v>1609</v>
      </c>
      <c r="B893" s="100">
        <v>46112</v>
      </c>
      <c r="C893" t="s">
        <v>21</v>
      </c>
      <c r="D893" t="s">
        <v>22</v>
      </c>
      <c r="E893" t="s">
        <v>2067</v>
      </c>
      <c r="F893" s="107">
        <v>4940000</v>
      </c>
    </row>
    <row r="894" spans="1:6" hidden="1" x14ac:dyDescent="0.25">
      <c r="A894" s="210" t="s">
        <v>1627</v>
      </c>
      <c r="B894" s="100">
        <v>46112</v>
      </c>
      <c r="C894" t="s">
        <v>21</v>
      </c>
      <c r="D894" t="s">
        <v>260</v>
      </c>
      <c r="E894" t="s">
        <v>261</v>
      </c>
      <c r="F894" s="107">
        <v>50000000</v>
      </c>
    </row>
    <row r="895" spans="1:6" x14ac:dyDescent="0.25">
      <c r="A895" s="210" t="s">
        <v>1632</v>
      </c>
      <c r="B895" s="100">
        <v>46112</v>
      </c>
      <c r="C895" t="s">
        <v>21</v>
      </c>
      <c r="D895" t="s">
        <v>22</v>
      </c>
      <c r="E895" t="s">
        <v>83</v>
      </c>
      <c r="F895" s="107">
        <v>300000000</v>
      </c>
    </row>
    <row r="896" spans="1:6" hidden="1" x14ac:dyDescent="0.25">
      <c r="A896" s="210" t="s">
        <v>1660</v>
      </c>
      <c r="B896" s="100">
        <v>46112</v>
      </c>
      <c r="C896" t="s">
        <v>21</v>
      </c>
      <c r="D896" t="s">
        <v>1277</v>
      </c>
      <c r="E896" t="s">
        <v>147</v>
      </c>
      <c r="F896" s="107">
        <v>47802488</v>
      </c>
    </row>
    <row r="897" spans="1:6" hidden="1" x14ac:dyDescent="0.25">
      <c r="A897" s="210" t="s">
        <v>1726</v>
      </c>
      <c r="B897" s="100">
        <v>46112</v>
      </c>
      <c r="C897" t="s">
        <v>21</v>
      </c>
      <c r="D897" t="s">
        <v>22</v>
      </c>
      <c r="E897" t="s">
        <v>261</v>
      </c>
      <c r="F897" s="107">
        <v>31883500</v>
      </c>
    </row>
    <row r="898" spans="1:6" hidden="1" x14ac:dyDescent="0.25">
      <c r="A898" s="210" t="s">
        <v>1696</v>
      </c>
      <c r="B898" s="100">
        <v>46112</v>
      </c>
      <c r="C898" t="s">
        <v>21</v>
      </c>
      <c r="D898" t="s">
        <v>22</v>
      </c>
      <c r="E898" t="s">
        <v>261</v>
      </c>
      <c r="F898" s="107">
        <v>5219979</v>
      </c>
    </row>
    <row r="899" spans="1:6" hidden="1" x14ac:dyDescent="0.25">
      <c r="A899" s="210" t="s">
        <v>1478</v>
      </c>
      <c r="B899" s="100">
        <v>46111</v>
      </c>
      <c r="C899" t="s">
        <v>21</v>
      </c>
      <c r="D899" t="s">
        <v>22</v>
      </c>
      <c r="E899" t="s">
        <v>147</v>
      </c>
      <c r="F899" s="107">
        <v>60000000</v>
      </c>
    </row>
    <row r="900" spans="1:6" hidden="1" x14ac:dyDescent="0.25">
      <c r="A900" s="210" t="s">
        <v>1490</v>
      </c>
      <c r="B900" s="100">
        <v>46111</v>
      </c>
      <c r="C900" t="s">
        <v>21</v>
      </c>
      <c r="D900" t="s">
        <v>24</v>
      </c>
      <c r="F900" s="107">
        <v>150000000</v>
      </c>
    </row>
    <row r="901" spans="1:6" hidden="1" x14ac:dyDescent="0.25">
      <c r="A901" s="210" t="s">
        <v>1531</v>
      </c>
      <c r="B901" s="100">
        <v>46111</v>
      </c>
      <c r="C901" t="s">
        <v>21</v>
      </c>
      <c r="D901" t="s">
        <v>22</v>
      </c>
      <c r="E901" t="s">
        <v>718</v>
      </c>
      <c r="F901" s="107">
        <v>53374000</v>
      </c>
    </row>
    <row r="902" spans="1:6" hidden="1" x14ac:dyDescent="0.25">
      <c r="A902" s="210" t="s">
        <v>1558</v>
      </c>
      <c r="B902" s="100">
        <v>46111</v>
      </c>
      <c r="C902" t="s">
        <v>21</v>
      </c>
      <c r="D902" t="s">
        <v>24</v>
      </c>
      <c r="F902" s="107">
        <v>150000000</v>
      </c>
    </row>
    <row r="903" spans="1:6" hidden="1" x14ac:dyDescent="0.25">
      <c r="A903" s="210" t="s">
        <v>1562</v>
      </c>
      <c r="B903" s="100">
        <v>46111</v>
      </c>
      <c r="C903" t="s">
        <v>21</v>
      </c>
      <c r="D903" t="s">
        <v>22</v>
      </c>
      <c r="E903" t="s">
        <v>147</v>
      </c>
      <c r="F903" s="107">
        <v>100000000</v>
      </c>
    </row>
    <row r="904" spans="1:6" hidden="1" x14ac:dyDescent="0.25">
      <c r="A904" s="210" t="s">
        <v>1595</v>
      </c>
      <c r="B904" s="100">
        <v>46111</v>
      </c>
      <c r="C904" t="s">
        <v>21</v>
      </c>
      <c r="D904" t="s">
        <v>22</v>
      </c>
      <c r="E904" t="s">
        <v>23</v>
      </c>
      <c r="F904" s="107">
        <v>42800000</v>
      </c>
    </row>
    <row r="905" spans="1:6" hidden="1" x14ac:dyDescent="0.25">
      <c r="A905" s="210" t="s">
        <v>1692</v>
      </c>
      <c r="B905" s="100">
        <v>46111</v>
      </c>
      <c r="C905" t="s">
        <v>21</v>
      </c>
      <c r="D905" t="s">
        <v>260</v>
      </c>
      <c r="E905" t="s">
        <v>261</v>
      </c>
      <c r="F905" s="107">
        <v>100000000</v>
      </c>
    </row>
    <row r="906" spans="1:6" hidden="1" x14ac:dyDescent="0.25">
      <c r="A906" s="210" t="s">
        <v>1698</v>
      </c>
      <c r="B906" s="100">
        <v>46111</v>
      </c>
      <c r="C906" t="s">
        <v>21</v>
      </c>
      <c r="D906" t="s">
        <v>22</v>
      </c>
      <c r="E906" t="s">
        <v>727</v>
      </c>
      <c r="F906" s="107">
        <v>348800000</v>
      </c>
    </row>
    <row r="907" spans="1:6" hidden="1" x14ac:dyDescent="0.25">
      <c r="A907" s="210" t="s">
        <v>1554</v>
      </c>
      <c r="B907" s="100">
        <v>46110</v>
      </c>
      <c r="C907" t="s">
        <v>21</v>
      </c>
      <c r="D907" t="s">
        <v>22</v>
      </c>
      <c r="E907" t="s">
        <v>2067</v>
      </c>
      <c r="F907" s="107">
        <v>39025000</v>
      </c>
    </row>
    <row r="908" spans="1:6" hidden="1" x14ac:dyDescent="0.25">
      <c r="A908" s="210" t="s">
        <v>1609</v>
      </c>
      <c r="B908" s="100">
        <v>46110</v>
      </c>
      <c r="C908" t="s">
        <v>21</v>
      </c>
      <c r="D908" t="s">
        <v>22</v>
      </c>
      <c r="E908" t="s">
        <v>2067</v>
      </c>
      <c r="F908" s="107">
        <v>1960000</v>
      </c>
    </row>
    <row r="909" spans="1:6" hidden="1" x14ac:dyDescent="0.25">
      <c r="A909" s="210" t="s">
        <v>1609</v>
      </c>
      <c r="B909" s="100">
        <v>46110</v>
      </c>
      <c r="C909" t="s">
        <v>21</v>
      </c>
      <c r="D909" t="s">
        <v>22</v>
      </c>
      <c r="E909" t="s">
        <v>2067</v>
      </c>
      <c r="F909" s="107">
        <v>6200000</v>
      </c>
    </row>
    <row r="910" spans="1:6" hidden="1" x14ac:dyDescent="0.25">
      <c r="A910" s="210" t="s">
        <v>1475</v>
      </c>
      <c r="B910" s="100">
        <v>46109</v>
      </c>
      <c r="C910" t="s">
        <v>21</v>
      </c>
      <c r="D910" t="s">
        <v>22</v>
      </c>
      <c r="F910" s="107">
        <v>15000000</v>
      </c>
    </row>
    <row r="911" spans="1:6" hidden="1" x14ac:dyDescent="0.25">
      <c r="A911" s="210" t="s">
        <v>1478</v>
      </c>
      <c r="B911" s="100">
        <v>46109</v>
      </c>
      <c r="C911" t="s">
        <v>21</v>
      </c>
      <c r="D911" t="s">
        <v>22</v>
      </c>
      <c r="E911" t="s">
        <v>147</v>
      </c>
      <c r="F911" s="107">
        <v>102596000</v>
      </c>
    </row>
    <row r="912" spans="1:6" hidden="1" x14ac:dyDescent="0.25">
      <c r="A912" s="210" t="s">
        <v>1487</v>
      </c>
      <c r="B912" s="100">
        <v>46109</v>
      </c>
      <c r="C912" t="s">
        <v>21</v>
      </c>
      <c r="D912" t="s">
        <v>22</v>
      </c>
      <c r="E912" t="s">
        <v>147</v>
      </c>
      <c r="F912" s="107">
        <v>100000000</v>
      </c>
    </row>
    <row r="913" spans="1:6" hidden="1" x14ac:dyDescent="0.25">
      <c r="A913" s="210" t="s">
        <v>1515</v>
      </c>
      <c r="B913" s="100">
        <v>46109</v>
      </c>
      <c r="C913" t="s">
        <v>21</v>
      </c>
      <c r="D913" t="s">
        <v>22</v>
      </c>
      <c r="E913" t="s">
        <v>147</v>
      </c>
      <c r="F913" s="107">
        <v>55739536</v>
      </c>
    </row>
    <row r="914" spans="1:6" hidden="1" x14ac:dyDescent="0.25">
      <c r="A914" s="210" t="s">
        <v>1527</v>
      </c>
      <c r="B914" s="100">
        <v>46109</v>
      </c>
      <c r="C914" t="s">
        <v>21</v>
      </c>
      <c r="D914" t="s">
        <v>22</v>
      </c>
      <c r="E914" t="s">
        <v>147</v>
      </c>
      <c r="F914" s="107">
        <v>202742668</v>
      </c>
    </row>
    <row r="915" spans="1:6" hidden="1" x14ac:dyDescent="0.25">
      <c r="A915" s="210" t="s">
        <v>1536</v>
      </c>
      <c r="B915" s="100">
        <v>46109</v>
      </c>
      <c r="C915" t="s">
        <v>21</v>
      </c>
      <c r="D915" t="s">
        <v>22</v>
      </c>
      <c r="E915" t="s">
        <v>147</v>
      </c>
      <c r="F915" s="107">
        <v>20352136</v>
      </c>
    </row>
    <row r="916" spans="1:6" hidden="1" x14ac:dyDescent="0.25">
      <c r="A916" s="210" t="s">
        <v>1541</v>
      </c>
      <c r="B916" s="100">
        <v>46109</v>
      </c>
      <c r="C916" t="s">
        <v>21</v>
      </c>
      <c r="D916" t="s">
        <v>22</v>
      </c>
      <c r="E916" t="s">
        <v>147</v>
      </c>
      <c r="F916" s="107">
        <v>100000000</v>
      </c>
    </row>
    <row r="917" spans="1:6" hidden="1" x14ac:dyDescent="0.25">
      <c r="A917" s="210" t="s">
        <v>1554</v>
      </c>
      <c r="B917" s="100">
        <v>46109</v>
      </c>
      <c r="C917" t="s">
        <v>21</v>
      </c>
      <c r="D917" t="s">
        <v>22</v>
      </c>
      <c r="E917" t="s">
        <v>2067</v>
      </c>
      <c r="F917" s="107">
        <v>20000000</v>
      </c>
    </row>
    <row r="918" spans="1:6" hidden="1" x14ac:dyDescent="0.25">
      <c r="A918" s="210" t="s">
        <v>1554</v>
      </c>
      <c r="B918" s="100">
        <v>46109</v>
      </c>
      <c r="C918" t="s">
        <v>21</v>
      </c>
      <c r="D918" t="s">
        <v>22</v>
      </c>
      <c r="E918" t="s">
        <v>2067</v>
      </c>
      <c r="F918" s="107">
        <v>30000000</v>
      </c>
    </row>
    <row r="919" spans="1:6" hidden="1" x14ac:dyDescent="0.25">
      <c r="A919" s="210" t="s">
        <v>1554</v>
      </c>
      <c r="B919" s="100">
        <v>46109</v>
      </c>
      <c r="C919" t="s">
        <v>21</v>
      </c>
      <c r="D919" t="s">
        <v>22</v>
      </c>
      <c r="E919" t="s">
        <v>2067</v>
      </c>
      <c r="F919" s="107">
        <v>24000000</v>
      </c>
    </row>
    <row r="920" spans="1:6" hidden="1" x14ac:dyDescent="0.25">
      <c r="A920" s="210" t="s">
        <v>1610</v>
      </c>
      <c r="B920" s="100">
        <v>46109</v>
      </c>
      <c r="C920" t="s">
        <v>21</v>
      </c>
      <c r="D920" t="s">
        <v>24</v>
      </c>
      <c r="F920" s="107">
        <v>52292000</v>
      </c>
    </row>
    <row r="921" spans="1:6" hidden="1" x14ac:dyDescent="0.25">
      <c r="A921" s="210" t="s">
        <v>1635</v>
      </c>
      <c r="B921" s="100">
        <v>46109</v>
      </c>
      <c r="C921" t="s">
        <v>21</v>
      </c>
      <c r="D921" t="s">
        <v>22</v>
      </c>
      <c r="E921" t="s">
        <v>2580</v>
      </c>
      <c r="F921" s="107">
        <v>100000000</v>
      </c>
    </row>
    <row r="922" spans="1:6" hidden="1" x14ac:dyDescent="0.25">
      <c r="A922" s="210" t="s">
        <v>1646</v>
      </c>
      <c r="B922" s="100">
        <v>46109</v>
      </c>
      <c r="C922" t="s">
        <v>21</v>
      </c>
      <c r="D922" t="s">
        <v>22</v>
      </c>
      <c r="E922" t="s">
        <v>147</v>
      </c>
      <c r="F922" s="107">
        <v>30000000</v>
      </c>
    </row>
    <row r="923" spans="1:6" hidden="1" x14ac:dyDescent="0.25">
      <c r="A923" s="210" t="s">
        <v>1691</v>
      </c>
      <c r="B923" s="100">
        <v>46109</v>
      </c>
      <c r="C923" t="s">
        <v>21</v>
      </c>
      <c r="D923" t="s">
        <v>260</v>
      </c>
      <c r="E923" t="s">
        <v>261</v>
      </c>
      <c r="F923" s="107">
        <v>30277736</v>
      </c>
    </row>
    <row r="924" spans="1:6" hidden="1" x14ac:dyDescent="0.25">
      <c r="A924" s="210" t="s">
        <v>1704</v>
      </c>
      <c r="B924" s="100">
        <v>46109</v>
      </c>
      <c r="C924" t="s">
        <v>2214</v>
      </c>
      <c r="D924" t="s">
        <v>24</v>
      </c>
      <c r="F924" s="107">
        <v>-6340000</v>
      </c>
    </row>
    <row r="925" spans="1:6" hidden="1" x14ac:dyDescent="0.25">
      <c r="A925" s="210" t="s">
        <v>1475</v>
      </c>
      <c r="B925" s="100">
        <v>46108</v>
      </c>
      <c r="C925" t="s">
        <v>21</v>
      </c>
      <c r="D925" t="s">
        <v>22</v>
      </c>
      <c r="F925" s="107">
        <v>40000000</v>
      </c>
    </row>
    <row r="926" spans="1:6" hidden="1" x14ac:dyDescent="0.25">
      <c r="A926" s="210" t="s">
        <v>1475</v>
      </c>
      <c r="B926" s="100">
        <v>46108</v>
      </c>
      <c r="C926" t="s">
        <v>21</v>
      </c>
      <c r="D926" t="s">
        <v>22</v>
      </c>
      <c r="F926" s="107">
        <v>11914000</v>
      </c>
    </row>
    <row r="927" spans="1:6" hidden="1" x14ac:dyDescent="0.25">
      <c r="A927" s="210" t="s">
        <v>1475</v>
      </c>
      <c r="B927" s="100">
        <v>46108</v>
      </c>
      <c r="C927" t="s">
        <v>21</v>
      </c>
      <c r="D927" t="s">
        <v>22</v>
      </c>
      <c r="F927" s="107">
        <v>10000000</v>
      </c>
    </row>
    <row r="928" spans="1:6" hidden="1" x14ac:dyDescent="0.25">
      <c r="A928" s="210" t="s">
        <v>1477</v>
      </c>
      <c r="B928" s="100">
        <v>46108</v>
      </c>
      <c r="C928" t="s">
        <v>21</v>
      </c>
      <c r="D928" t="s">
        <v>24</v>
      </c>
      <c r="F928" s="107">
        <v>174370000</v>
      </c>
    </row>
    <row r="929" spans="1:6" hidden="1" x14ac:dyDescent="0.25">
      <c r="A929" s="210" t="s">
        <v>1479</v>
      </c>
      <c r="B929" s="100">
        <v>46108</v>
      </c>
      <c r="C929" t="s">
        <v>21</v>
      </c>
      <c r="D929" t="s">
        <v>22</v>
      </c>
      <c r="E929" t="s">
        <v>147</v>
      </c>
      <c r="F929" s="107">
        <v>300000000</v>
      </c>
    </row>
    <row r="930" spans="1:6" hidden="1" x14ac:dyDescent="0.25">
      <c r="A930" s="210" t="s">
        <v>1493</v>
      </c>
      <c r="B930" s="100">
        <v>46108</v>
      </c>
      <c r="C930" t="s">
        <v>21</v>
      </c>
      <c r="D930" t="s">
        <v>22</v>
      </c>
      <c r="E930" t="s">
        <v>261</v>
      </c>
      <c r="F930" s="107">
        <v>120000000</v>
      </c>
    </row>
    <row r="931" spans="1:6" hidden="1" x14ac:dyDescent="0.25">
      <c r="A931" s="210" t="s">
        <v>1509</v>
      </c>
      <c r="B931" s="100">
        <v>46108</v>
      </c>
      <c r="C931" t="s">
        <v>21</v>
      </c>
      <c r="D931" t="s">
        <v>22</v>
      </c>
      <c r="E931" t="s">
        <v>261</v>
      </c>
      <c r="F931" s="107">
        <v>126381346</v>
      </c>
    </row>
    <row r="932" spans="1:6" x14ac:dyDescent="0.25">
      <c r="A932" s="210" t="s">
        <v>1512</v>
      </c>
      <c r="B932" s="100">
        <v>46108</v>
      </c>
      <c r="C932" t="s">
        <v>21</v>
      </c>
      <c r="D932" t="s">
        <v>22</v>
      </c>
      <c r="E932" t="s">
        <v>83</v>
      </c>
      <c r="F932" s="107">
        <v>50000000</v>
      </c>
    </row>
    <row r="933" spans="1:6" x14ac:dyDescent="0.25">
      <c r="A933" s="210" t="s">
        <v>1538</v>
      </c>
      <c r="B933" s="100">
        <v>46108</v>
      </c>
      <c r="C933" t="s">
        <v>21</v>
      </c>
      <c r="D933" t="s">
        <v>22</v>
      </c>
      <c r="E933" t="s">
        <v>83</v>
      </c>
      <c r="F933" s="107">
        <v>44160000</v>
      </c>
    </row>
    <row r="934" spans="1:6" x14ac:dyDescent="0.25">
      <c r="A934" s="210" t="s">
        <v>1539</v>
      </c>
      <c r="B934" s="100">
        <v>46108</v>
      </c>
      <c r="C934" t="s">
        <v>21</v>
      </c>
      <c r="D934" t="s">
        <v>22</v>
      </c>
      <c r="E934" t="s">
        <v>83</v>
      </c>
      <c r="F934" s="107">
        <v>40000000</v>
      </c>
    </row>
    <row r="935" spans="1:6" hidden="1" x14ac:dyDescent="0.25">
      <c r="A935" s="210" t="s">
        <v>1545</v>
      </c>
      <c r="B935" s="100">
        <v>46108</v>
      </c>
      <c r="C935" t="s">
        <v>21</v>
      </c>
      <c r="D935" t="s">
        <v>22</v>
      </c>
      <c r="E935" t="s">
        <v>147</v>
      </c>
      <c r="F935" s="107">
        <v>100000000</v>
      </c>
    </row>
    <row r="936" spans="1:6" hidden="1" x14ac:dyDescent="0.25">
      <c r="A936" s="210" t="s">
        <v>1564</v>
      </c>
      <c r="B936" s="100">
        <v>46108</v>
      </c>
      <c r="C936" t="s">
        <v>21</v>
      </c>
      <c r="D936" t="s">
        <v>22</v>
      </c>
      <c r="E936" t="s">
        <v>147</v>
      </c>
      <c r="F936" s="107">
        <v>30000000</v>
      </c>
    </row>
    <row r="937" spans="1:6" hidden="1" x14ac:dyDescent="0.25">
      <c r="A937" s="210" t="s">
        <v>1568</v>
      </c>
      <c r="B937" s="100">
        <v>46108</v>
      </c>
      <c r="C937" t="s">
        <v>21</v>
      </c>
      <c r="D937" t="s">
        <v>22</v>
      </c>
      <c r="E937" t="s">
        <v>718</v>
      </c>
      <c r="F937" s="107">
        <v>125000000</v>
      </c>
    </row>
    <row r="938" spans="1:6" hidden="1" x14ac:dyDescent="0.25">
      <c r="A938" s="210" t="s">
        <v>1575</v>
      </c>
      <c r="B938" s="100">
        <v>46108</v>
      </c>
      <c r="C938" t="s">
        <v>21</v>
      </c>
      <c r="D938" t="s">
        <v>22</v>
      </c>
      <c r="E938" t="s">
        <v>261</v>
      </c>
      <c r="F938" s="107">
        <v>100000000</v>
      </c>
    </row>
    <row r="939" spans="1:6" hidden="1" x14ac:dyDescent="0.25">
      <c r="A939" s="210" t="s">
        <v>1577</v>
      </c>
      <c r="B939" s="100">
        <v>46108</v>
      </c>
      <c r="C939" t="s">
        <v>21</v>
      </c>
      <c r="D939" t="s">
        <v>22</v>
      </c>
      <c r="E939" t="s">
        <v>147</v>
      </c>
      <c r="F939" s="107">
        <v>100000000</v>
      </c>
    </row>
    <row r="940" spans="1:6" hidden="1" x14ac:dyDescent="0.25">
      <c r="A940" s="210" t="s">
        <v>1580</v>
      </c>
      <c r="B940" s="100">
        <v>46108</v>
      </c>
      <c r="C940" t="s">
        <v>21</v>
      </c>
      <c r="D940" t="s">
        <v>24</v>
      </c>
      <c r="F940" s="107">
        <v>55000000</v>
      </c>
    </row>
    <row r="941" spans="1:6" x14ac:dyDescent="0.25">
      <c r="A941" s="210" t="s">
        <v>1637</v>
      </c>
      <c r="B941" s="100">
        <v>46108</v>
      </c>
      <c r="C941" t="s">
        <v>21</v>
      </c>
      <c r="D941" t="s">
        <v>22</v>
      </c>
      <c r="E941" t="s">
        <v>83</v>
      </c>
      <c r="F941" s="107">
        <v>26371576</v>
      </c>
    </row>
    <row r="942" spans="1:6" x14ac:dyDescent="0.25">
      <c r="A942" s="210" t="s">
        <v>1587</v>
      </c>
      <c r="B942" s="100">
        <v>46108</v>
      </c>
      <c r="C942" t="s">
        <v>21</v>
      </c>
      <c r="D942" t="s">
        <v>22</v>
      </c>
      <c r="E942" t="s">
        <v>83</v>
      </c>
      <c r="F942" s="107">
        <v>300000000</v>
      </c>
    </row>
    <row r="943" spans="1:6" hidden="1" x14ac:dyDescent="0.25">
      <c r="A943" s="210" t="s">
        <v>1600</v>
      </c>
      <c r="B943" s="100">
        <v>46108</v>
      </c>
      <c r="C943" t="s">
        <v>21</v>
      </c>
      <c r="D943" t="s">
        <v>22</v>
      </c>
      <c r="E943" t="s">
        <v>147</v>
      </c>
      <c r="F943" s="107">
        <v>100000000</v>
      </c>
    </row>
    <row r="944" spans="1:6" hidden="1" x14ac:dyDescent="0.25">
      <c r="A944" s="210" t="s">
        <v>2547</v>
      </c>
      <c r="B944" s="100">
        <v>46108</v>
      </c>
      <c r="C944" t="s">
        <v>21</v>
      </c>
      <c r="D944" t="s">
        <v>22</v>
      </c>
      <c r="E944" t="s">
        <v>147</v>
      </c>
      <c r="F944" s="107">
        <v>50000000</v>
      </c>
    </row>
    <row r="945" spans="1:6" hidden="1" x14ac:dyDescent="0.25">
      <c r="A945" s="210" t="s">
        <v>1606</v>
      </c>
      <c r="B945" s="100">
        <v>46108</v>
      </c>
      <c r="C945" t="s">
        <v>21</v>
      </c>
      <c r="D945" t="s">
        <v>22</v>
      </c>
      <c r="E945" t="s">
        <v>147</v>
      </c>
      <c r="F945" s="107">
        <v>50000000</v>
      </c>
    </row>
    <row r="946" spans="1:6" hidden="1" x14ac:dyDescent="0.25">
      <c r="A946" s="210" t="s">
        <v>1609</v>
      </c>
      <c r="B946" s="100">
        <v>46108</v>
      </c>
      <c r="C946" t="s">
        <v>21</v>
      </c>
      <c r="D946" t="s">
        <v>22</v>
      </c>
      <c r="E946" t="s">
        <v>2067</v>
      </c>
      <c r="F946" s="107">
        <v>6280000</v>
      </c>
    </row>
    <row r="947" spans="1:6" hidden="1" x14ac:dyDescent="0.25">
      <c r="A947" s="210" t="s">
        <v>1609</v>
      </c>
      <c r="B947" s="100">
        <v>46108</v>
      </c>
      <c r="C947" t="s">
        <v>21</v>
      </c>
      <c r="D947" t="s">
        <v>22</v>
      </c>
      <c r="E947" t="s">
        <v>2067</v>
      </c>
      <c r="F947" s="107">
        <v>3920000</v>
      </c>
    </row>
    <row r="948" spans="1:6" hidden="1" x14ac:dyDescent="0.25">
      <c r="A948" s="210" t="s">
        <v>1609</v>
      </c>
      <c r="B948" s="100">
        <v>46108</v>
      </c>
      <c r="C948" t="s">
        <v>21</v>
      </c>
      <c r="D948" t="s">
        <v>22</v>
      </c>
      <c r="E948" t="s">
        <v>2067</v>
      </c>
      <c r="F948" s="107">
        <v>5390000</v>
      </c>
    </row>
    <row r="949" spans="1:6" hidden="1" x14ac:dyDescent="0.25">
      <c r="A949" s="210" t="s">
        <v>1609</v>
      </c>
      <c r="B949" s="100">
        <v>46108</v>
      </c>
      <c r="C949" t="s">
        <v>21</v>
      </c>
      <c r="D949" t="s">
        <v>22</v>
      </c>
      <c r="E949" t="s">
        <v>2067</v>
      </c>
      <c r="F949" s="107">
        <v>1715000</v>
      </c>
    </row>
    <row r="950" spans="1:6" hidden="1" x14ac:dyDescent="0.25">
      <c r="A950" s="210" t="s">
        <v>1609</v>
      </c>
      <c r="B950" s="100">
        <v>46108</v>
      </c>
      <c r="C950" t="s">
        <v>21</v>
      </c>
      <c r="D950" t="s">
        <v>22</v>
      </c>
      <c r="E950" t="s">
        <v>2067</v>
      </c>
      <c r="F950" s="107">
        <v>6060000</v>
      </c>
    </row>
    <row r="951" spans="1:6" hidden="1" x14ac:dyDescent="0.25">
      <c r="A951" s="210" t="s">
        <v>1614</v>
      </c>
      <c r="B951" s="100">
        <v>46108</v>
      </c>
      <c r="C951" t="s">
        <v>21</v>
      </c>
      <c r="D951" t="s">
        <v>22</v>
      </c>
      <c r="E951" t="s">
        <v>261</v>
      </c>
      <c r="F951" s="107">
        <v>50000000</v>
      </c>
    </row>
    <row r="952" spans="1:6" hidden="1" x14ac:dyDescent="0.25">
      <c r="A952" s="210" t="s">
        <v>1623</v>
      </c>
      <c r="B952" s="100">
        <v>46108</v>
      </c>
      <c r="C952" t="s">
        <v>21</v>
      </c>
      <c r="D952" t="s">
        <v>22</v>
      </c>
      <c r="E952" t="s">
        <v>147</v>
      </c>
      <c r="F952" s="107">
        <v>100000000</v>
      </c>
    </row>
    <row r="953" spans="1:6" hidden="1" x14ac:dyDescent="0.25">
      <c r="A953" s="210" t="s">
        <v>1641</v>
      </c>
      <c r="B953" s="100">
        <v>46108</v>
      </c>
      <c r="C953" t="s">
        <v>21</v>
      </c>
      <c r="D953" t="s">
        <v>22</v>
      </c>
      <c r="E953" t="s">
        <v>147</v>
      </c>
      <c r="F953" s="107">
        <v>100000000</v>
      </c>
    </row>
    <row r="954" spans="1:6" hidden="1" x14ac:dyDescent="0.25">
      <c r="A954" s="210" t="s">
        <v>1653</v>
      </c>
      <c r="B954" s="100">
        <v>46108</v>
      </c>
      <c r="C954" t="s">
        <v>21</v>
      </c>
      <c r="D954" t="s">
        <v>22</v>
      </c>
      <c r="E954" t="s">
        <v>147</v>
      </c>
      <c r="F954" s="107">
        <v>122186598</v>
      </c>
    </row>
    <row r="955" spans="1:6" x14ac:dyDescent="0.25">
      <c r="A955" s="210" t="s">
        <v>2016</v>
      </c>
      <c r="B955" s="100">
        <v>46108</v>
      </c>
      <c r="C955" t="s">
        <v>2214</v>
      </c>
      <c r="D955" t="s">
        <v>22</v>
      </c>
      <c r="E955" t="s">
        <v>83</v>
      </c>
      <c r="F955" s="107">
        <v>-100000000</v>
      </c>
    </row>
    <row r="956" spans="1:6" hidden="1" x14ac:dyDescent="0.25">
      <c r="A956" s="210" t="s">
        <v>1662</v>
      </c>
      <c r="B956" s="100">
        <v>46108</v>
      </c>
      <c r="C956" t="s">
        <v>21</v>
      </c>
      <c r="D956" t="s">
        <v>22</v>
      </c>
      <c r="E956" t="s">
        <v>147</v>
      </c>
      <c r="F956" s="107">
        <v>105428378</v>
      </c>
    </row>
    <row r="957" spans="1:6" x14ac:dyDescent="0.25">
      <c r="A957" s="210" t="s">
        <v>1666</v>
      </c>
      <c r="B957" s="100">
        <v>46108</v>
      </c>
      <c r="C957" t="s">
        <v>21</v>
      </c>
      <c r="D957" t="s">
        <v>22</v>
      </c>
      <c r="E957" t="s">
        <v>83</v>
      </c>
      <c r="F957" s="107">
        <v>11400114</v>
      </c>
    </row>
    <row r="958" spans="1:6" hidden="1" x14ac:dyDescent="0.25">
      <c r="A958" s="210" t="s">
        <v>1485</v>
      </c>
      <c r="B958" s="100">
        <v>46107</v>
      </c>
      <c r="C958" t="s">
        <v>21</v>
      </c>
      <c r="D958" t="s">
        <v>22</v>
      </c>
      <c r="E958" t="s">
        <v>147</v>
      </c>
      <c r="F958" s="107">
        <v>200000000</v>
      </c>
    </row>
    <row r="959" spans="1:6" hidden="1" x14ac:dyDescent="0.25">
      <c r="A959" s="210" t="s">
        <v>1504</v>
      </c>
      <c r="B959" s="100">
        <v>46107</v>
      </c>
      <c r="C959" t="s">
        <v>21</v>
      </c>
      <c r="D959" t="s">
        <v>22</v>
      </c>
      <c r="E959" t="s">
        <v>147</v>
      </c>
      <c r="F959" s="107">
        <v>247634949</v>
      </c>
    </row>
    <row r="960" spans="1:6" hidden="1" x14ac:dyDescent="0.25">
      <c r="A960" s="210" t="s">
        <v>1518</v>
      </c>
      <c r="B960" s="100">
        <v>46107</v>
      </c>
      <c r="C960" t="s">
        <v>21</v>
      </c>
      <c r="D960" t="s">
        <v>260</v>
      </c>
      <c r="E960" t="s">
        <v>261</v>
      </c>
      <c r="F960" s="107">
        <v>50000000</v>
      </c>
    </row>
    <row r="961" spans="1:6" hidden="1" x14ac:dyDescent="0.25">
      <c r="A961" s="210" t="s">
        <v>1518</v>
      </c>
      <c r="B961" s="100">
        <v>46107</v>
      </c>
      <c r="C961" t="s">
        <v>21</v>
      </c>
      <c r="D961" t="s">
        <v>22</v>
      </c>
      <c r="E961" t="s">
        <v>23</v>
      </c>
      <c r="F961" s="107">
        <v>2665000</v>
      </c>
    </row>
    <row r="962" spans="1:6" hidden="1" x14ac:dyDescent="0.25">
      <c r="A962" s="210" t="s">
        <v>1518</v>
      </c>
      <c r="B962" s="100">
        <v>46107</v>
      </c>
      <c r="C962" t="s">
        <v>21</v>
      </c>
      <c r="D962" t="s">
        <v>22</v>
      </c>
      <c r="E962" t="s">
        <v>23</v>
      </c>
      <c r="F962" s="107">
        <v>5000000</v>
      </c>
    </row>
    <row r="963" spans="1:6" hidden="1" x14ac:dyDescent="0.25">
      <c r="A963" s="210" t="s">
        <v>1531</v>
      </c>
      <c r="B963" s="100">
        <v>46107</v>
      </c>
      <c r="C963" t="s">
        <v>21</v>
      </c>
      <c r="D963" t="s">
        <v>22</v>
      </c>
      <c r="E963" t="s">
        <v>718</v>
      </c>
      <c r="F963" s="107">
        <v>96000000</v>
      </c>
    </row>
    <row r="964" spans="1:6" hidden="1" x14ac:dyDescent="0.25">
      <c r="A964" s="210" t="s">
        <v>1568</v>
      </c>
      <c r="B964" s="100">
        <v>46107</v>
      </c>
      <c r="C964" t="s">
        <v>21</v>
      </c>
      <c r="D964" t="s">
        <v>22</v>
      </c>
      <c r="E964" t="s">
        <v>727</v>
      </c>
      <c r="F964" s="107">
        <v>110226000</v>
      </c>
    </row>
    <row r="965" spans="1:6" hidden="1" x14ac:dyDescent="0.25">
      <c r="A965" s="210" t="s">
        <v>1609</v>
      </c>
      <c r="B965" s="100">
        <v>46107</v>
      </c>
      <c r="C965" t="s">
        <v>21</v>
      </c>
      <c r="D965" t="s">
        <v>22</v>
      </c>
      <c r="E965" t="s">
        <v>2067</v>
      </c>
      <c r="F965" s="107">
        <v>7500000</v>
      </c>
    </row>
    <row r="966" spans="1:6" hidden="1" x14ac:dyDescent="0.25">
      <c r="A966" s="210" t="s">
        <v>1609</v>
      </c>
      <c r="B966" s="100">
        <v>46107</v>
      </c>
      <c r="C966" t="s">
        <v>21</v>
      </c>
      <c r="D966" t="s">
        <v>22</v>
      </c>
      <c r="E966" t="s">
        <v>2067</v>
      </c>
      <c r="F966" s="107">
        <v>6150000</v>
      </c>
    </row>
    <row r="967" spans="1:6" hidden="1" x14ac:dyDescent="0.25">
      <c r="A967" s="210" t="s">
        <v>1609</v>
      </c>
      <c r="B967" s="100">
        <v>46107</v>
      </c>
      <c r="C967" t="s">
        <v>21</v>
      </c>
      <c r="D967" t="s">
        <v>22</v>
      </c>
      <c r="E967" t="s">
        <v>2067</v>
      </c>
      <c r="F967" s="107">
        <v>4960000</v>
      </c>
    </row>
    <row r="968" spans="1:6" hidden="1" x14ac:dyDescent="0.25">
      <c r="A968" s="210" t="s">
        <v>1609</v>
      </c>
      <c r="B968" s="100">
        <v>46107</v>
      </c>
      <c r="C968" t="s">
        <v>21</v>
      </c>
      <c r="D968" t="s">
        <v>22</v>
      </c>
      <c r="E968" t="s">
        <v>2067</v>
      </c>
      <c r="F968" s="107">
        <v>5300000</v>
      </c>
    </row>
    <row r="969" spans="1:6" x14ac:dyDescent="0.25">
      <c r="A969" s="210" t="s">
        <v>1613</v>
      </c>
      <c r="B969" s="100">
        <v>46107</v>
      </c>
      <c r="C969" t="s">
        <v>21</v>
      </c>
      <c r="D969" t="s">
        <v>22</v>
      </c>
      <c r="E969" t="s">
        <v>83</v>
      </c>
      <c r="F969" s="107">
        <v>80420423</v>
      </c>
    </row>
    <row r="970" spans="1:6" hidden="1" x14ac:dyDescent="0.25">
      <c r="A970" s="210" t="s">
        <v>1658</v>
      </c>
      <c r="B970" s="100">
        <v>46107</v>
      </c>
      <c r="C970" t="s">
        <v>21</v>
      </c>
      <c r="D970" t="s">
        <v>22</v>
      </c>
      <c r="E970" t="s">
        <v>261</v>
      </c>
      <c r="F970" s="107">
        <v>45000000</v>
      </c>
    </row>
    <row r="971" spans="1:6" hidden="1" x14ac:dyDescent="0.25">
      <c r="A971" s="210" t="s">
        <v>1518</v>
      </c>
      <c r="B971" s="100">
        <v>46106</v>
      </c>
      <c r="C971" t="s">
        <v>21</v>
      </c>
      <c r="D971" t="s">
        <v>22</v>
      </c>
      <c r="E971" t="s">
        <v>23</v>
      </c>
      <c r="F971" s="107">
        <v>23742000</v>
      </c>
    </row>
    <row r="972" spans="1:6" hidden="1" x14ac:dyDescent="0.25">
      <c r="A972" s="210" t="s">
        <v>1554</v>
      </c>
      <c r="B972" s="100">
        <v>46106</v>
      </c>
      <c r="C972" t="s">
        <v>21</v>
      </c>
      <c r="D972" t="s">
        <v>24</v>
      </c>
      <c r="F972" s="107">
        <v>170000000</v>
      </c>
    </row>
    <row r="973" spans="1:6" hidden="1" x14ac:dyDescent="0.25">
      <c r="A973" s="210" t="s">
        <v>1595</v>
      </c>
      <c r="B973" s="100">
        <v>46106</v>
      </c>
      <c r="C973" t="s">
        <v>21</v>
      </c>
      <c r="D973" t="s">
        <v>22</v>
      </c>
      <c r="E973" t="s">
        <v>23</v>
      </c>
      <c r="F973" s="107">
        <v>70000000</v>
      </c>
    </row>
    <row r="974" spans="1:6" hidden="1" x14ac:dyDescent="0.25">
      <c r="A974" s="210" t="s">
        <v>1609</v>
      </c>
      <c r="B974" s="100">
        <v>46106</v>
      </c>
      <c r="C974" t="s">
        <v>21</v>
      </c>
      <c r="D974" t="s">
        <v>22</v>
      </c>
      <c r="E974" t="s">
        <v>2067</v>
      </c>
      <c r="F974" s="107">
        <v>4200000</v>
      </c>
    </row>
    <row r="975" spans="1:6" hidden="1" x14ac:dyDescent="0.25">
      <c r="A975" s="210" t="s">
        <v>1685</v>
      </c>
      <c r="B975" s="100">
        <v>46106</v>
      </c>
      <c r="C975" t="s">
        <v>21</v>
      </c>
      <c r="D975" t="s">
        <v>22</v>
      </c>
      <c r="E975" t="s">
        <v>261</v>
      </c>
      <c r="F975" s="107">
        <v>33919943</v>
      </c>
    </row>
    <row r="976" spans="1:6" hidden="1" x14ac:dyDescent="0.25">
      <c r="A976" s="210" t="s">
        <v>1960</v>
      </c>
      <c r="B976" s="100">
        <v>46106</v>
      </c>
      <c r="C976" t="s">
        <v>21</v>
      </c>
      <c r="D976" t="s">
        <v>24</v>
      </c>
      <c r="F976" s="107">
        <v>28322000</v>
      </c>
    </row>
    <row r="977" spans="1:6" hidden="1" x14ac:dyDescent="0.25">
      <c r="A977" s="210" t="s">
        <v>1691</v>
      </c>
      <c r="B977" s="100">
        <v>46106</v>
      </c>
      <c r="C977" t="s">
        <v>21</v>
      </c>
      <c r="D977" t="s">
        <v>22</v>
      </c>
      <c r="E977" t="s">
        <v>23</v>
      </c>
      <c r="F977" s="107">
        <v>7238000</v>
      </c>
    </row>
    <row r="978" spans="1:6" x14ac:dyDescent="0.25">
      <c r="A978" s="210" t="s">
        <v>1476</v>
      </c>
      <c r="B978" s="100">
        <v>46105</v>
      </c>
      <c r="C978" t="s">
        <v>21</v>
      </c>
      <c r="D978" t="s">
        <v>22</v>
      </c>
      <c r="E978" t="s">
        <v>83</v>
      </c>
      <c r="F978" s="107">
        <v>23255923</v>
      </c>
    </row>
    <row r="979" spans="1:6" hidden="1" x14ac:dyDescent="0.25">
      <c r="A979" s="210" t="s">
        <v>1490</v>
      </c>
      <c r="B979" s="100">
        <v>46105</v>
      </c>
      <c r="C979" t="s">
        <v>21</v>
      </c>
      <c r="D979" t="s">
        <v>22</v>
      </c>
      <c r="E979" t="s">
        <v>23</v>
      </c>
      <c r="F979" s="107">
        <v>150000000</v>
      </c>
    </row>
    <row r="980" spans="1:6" hidden="1" x14ac:dyDescent="0.25">
      <c r="A980" s="210" t="s">
        <v>1531</v>
      </c>
      <c r="B980" s="100">
        <v>46105</v>
      </c>
      <c r="C980" t="s">
        <v>21</v>
      </c>
      <c r="D980" t="s">
        <v>22</v>
      </c>
      <c r="E980" t="s">
        <v>718</v>
      </c>
      <c r="F980" s="107">
        <v>59787000</v>
      </c>
    </row>
    <row r="981" spans="1:6" hidden="1" x14ac:dyDescent="0.25">
      <c r="A981" s="210" t="s">
        <v>1595</v>
      </c>
      <c r="B981" s="100">
        <v>46105</v>
      </c>
      <c r="C981" t="s">
        <v>21</v>
      </c>
      <c r="D981" t="s">
        <v>22</v>
      </c>
      <c r="E981" t="s">
        <v>23</v>
      </c>
      <c r="F981" s="107">
        <v>70000000</v>
      </c>
    </row>
    <row r="982" spans="1:6" hidden="1" x14ac:dyDescent="0.25">
      <c r="A982" s="210" t="s">
        <v>1609</v>
      </c>
      <c r="B982" s="100">
        <v>46105</v>
      </c>
      <c r="C982" t="s">
        <v>21</v>
      </c>
      <c r="D982" t="s">
        <v>22</v>
      </c>
      <c r="E982" t="s">
        <v>2067</v>
      </c>
      <c r="F982" s="107">
        <v>2880000</v>
      </c>
    </row>
    <row r="983" spans="1:6" x14ac:dyDescent="0.25">
      <c r="A983" s="210" t="s">
        <v>1618</v>
      </c>
      <c r="B983" s="100">
        <v>46105</v>
      </c>
      <c r="C983" t="s">
        <v>21</v>
      </c>
      <c r="D983" t="s">
        <v>22</v>
      </c>
      <c r="E983" t="s">
        <v>83</v>
      </c>
      <c r="F983" s="107">
        <v>408897708</v>
      </c>
    </row>
    <row r="984" spans="1:6" hidden="1" x14ac:dyDescent="0.25">
      <c r="A984" s="210" t="s">
        <v>1621</v>
      </c>
      <c r="B984" s="100">
        <v>46105</v>
      </c>
      <c r="C984" t="s">
        <v>21</v>
      </c>
      <c r="D984" t="s">
        <v>22</v>
      </c>
      <c r="E984" t="s">
        <v>23</v>
      </c>
      <c r="F984" s="107">
        <v>26290000</v>
      </c>
    </row>
    <row r="985" spans="1:6" hidden="1" x14ac:dyDescent="0.25">
      <c r="A985" s="210" t="s">
        <v>1648</v>
      </c>
      <c r="B985" s="100">
        <v>46105</v>
      </c>
      <c r="C985" t="s">
        <v>21</v>
      </c>
      <c r="D985" t="s">
        <v>22</v>
      </c>
      <c r="E985" t="s">
        <v>147</v>
      </c>
      <c r="F985" s="107">
        <v>5401942</v>
      </c>
    </row>
    <row r="986" spans="1:6" x14ac:dyDescent="0.25">
      <c r="A986" s="210" t="s">
        <v>1675</v>
      </c>
      <c r="B986" s="100">
        <v>46105</v>
      </c>
      <c r="C986" t="s">
        <v>21</v>
      </c>
      <c r="D986" t="s">
        <v>22</v>
      </c>
      <c r="E986" t="s">
        <v>83</v>
      </c>
      <c r="F986" s="107">
        <v>1366453560</v>
      </c>
    </row>
    <row r="987" spans="1:6" hidden="1" x14ac:dyDescent="0.25">
      <c r="A987" s="210" t="s">
        <v>1685</v>
      </c>
      <c r="B987" s="100">
        <v>46105</v>
      </c>
      <c r="C987" t="s">
        <v>21</v>
      </c>
      <c r="D987" t="s">
        <v>22</v>
      </c>
      <c r="E987" t="s">
        <v>261</v>
      </c>
      <c r="F987" s="107">
        <v>5000000</v>
      </c>
    </row>
    <row r="988" spans="1:6" hidden="1" x14ac:dyDescent="0.25">
      <c r="A988" s="210" t="s">
        <v>1478</v>
      </c>
      <c r="B988" s="100">
        <v>46104</v>
      </c>
      <c r="C988" t="s">
        <v>21</v>
      </c>
      <c r="D988" t="s">
        <v>22</v>
      </c>
      <c r="E988" t="s">
        <v>23</v>
      </c>
      <c r="F988" s="107">
        <v>-2546000</v>
      </c>
    </row>
    <row r="989" spans="1:6" hidden="1" x14ac:dyDescent="0.25">
      <c r="A989" s="210" t="s">
        <v>1525</v>
      </c>
      <c r="B989" s="100">
        <v>46104</v>
      </c>
      <c r="C989" t="s">
        <v>21</v>
      </c>
      <c r="D989" t="s">
        <v>260</v>
      </c>
      <c r="E989" t="s">
        <v>261</v>
      </c>
      <c r="F989" s="107">
        <v>107269177</v>
      </c>
    </row>
    <row r="990" spans="1:6" hidden="1" x14ac:dyDescent="0.25">
      <c r="A990" s="210" t="s">
        <v>1536</v>
      </c>
      <c r="B990" s="100">
        <v>46104</v>
      </c>
      <c r="C990" t="s">
        <v>21</v>
      </c>
      <c r="F990" s="107">
        <v>107269177</v>
      </c>
    </row>
    <row r="991" spans="1:6" hidden="1" x14ac:dyDescent="0.25">
      <c r="A991" s="210" t="s">
        <v>1568</v>
      </c>
      <c r="B991" s="100">
        <v>46104</v>
      </c>
      <c r="C991" t="s">
        <v>21</v>
      </c>
      <c r="D991" t="s">
        <v>24</v>
      </c>
      <c r="F991" s="107">
        <v>28000000</v>
      </c>
    </row>
    <row r="992" spans="1:6" hidden="1" x14ac:dyDescent="0.25">
      <c r="A992" s="210" t="s">
        <v>1593</v>
      </c>
      <c r="B992" s="100">
        <v>46104</v>
      </c>
      <c r="C992" t="s">
        <v>21</v>
      </c>
      <c r="D992" t="s">
        <v>22</v>
      </c>
      <c r="E992" t="s">
        <v>261</v>
      </c>
      <c r="F992" s="107">
        <v>93440000</v>
      </c>
    </row>
    <row r="993" spans="1:6" hidden="1" x14ac:dyDescent="0.25">
      <c r="A993" s="210" t="s">
        <v>1610</v>
      </c>
      <c r="B993" s="100">
        <v>46104</v>
      </c>
      <c r="C993" t="s">
        <v>21</v>
      </c>
      <c r="D993" t="s">
        <v>24</v>
      </c>
      <c r="F993" s="107">
        <v>64523000</v>
      </c>
    </row>
    <row r="994" spans="1:6" hidden="1" x14ac:dyDescent="0.25">
      <c r="A994" s="210" t="s">
        <v>1734</v>
      </c>
      <c r="B994" s="100">
        <v>46104</v>
      </c>
      <c r="C994" t="s">
        <v>21</v>
      </c>
      <c r="D994" t="s">
        <v>22</v>
      </c>
      <c r="E994" t="s">
        <v>261</v>
      </c>
      <c r="F994" s="107">
        <v>74752000</v>
      </c>
    </row>
    <row r="995" spans="1:6" hidden="1" x14ac:dyDescent="0.25">
      <c r="A995" s="210" t="s">
        <v>1662</v>
      </c>
      <c r="B995" s="100">
        <v>46104</v>
      </c>
      <c r="C995" t="s">
        <v>21</v>
      </c>
      <c r="D995" t="s">
        <v>260</v>
      </c>
      <c r="E995" t="s">
        <v>261</v>
      </c>
      <c r="F995" s="107">
        <v>987459126</v>
      </c>
    </row>
    <row r="996" spans="1:6" hidden="1" x14ac:dyDescent="0.25">
      <c r="A996" s="210" t="s">
        <v>1692</v>
      </c>
      <c r="B996" s="100">
        <v>46104</v>
      </c>
      <c r="C996" t="s">
        <v>21</v>
      </c>
      <c r="D996" t="s">
        <v>260</v>
      </c>
      <c r="E996" t="s">
        <v>261</v>
      </c>
      <c r="F996" s="107">
        <v>100000000</v>
      </c>
    </row>
    <row r="997" spans="1:6" hidden="1" x14ac:dyDescent="0.25">
      <c r="A997" s="210" t="s">
        <v>1475</v>
      </c>
      <c r="B997" s="100">
        <v>46103</v>
      </c>
      <c r="C997" t="s">
        <v>21</v>
      </c>
      <c r="D997" t="s">
        <v>22</v>
      </c>
      <c r="F997" s="107">
        <v>20000000</v>
      </c>
    </row>
    <row r="998" spans="1:6" hidden="1" x14ac:dyDescent="0.25">
      <c r="A998" s="210" t="s">
        <v>1478</v>
      </c>
      <c r="B998" s="100">
        <v>46103</v>
      </c>
      <c r="C998" t="s">
        <v>21</v>
      </c>
      <c r="D998" t="s">
        <v>22</v>
      </c>
      <c r="E998" t="s">
        <v>23</v>
      </c>
      <c r="F998" s="107">
        <v>11040000</v>
      </c>
    </row>
    <row r="999" spans="1:6" hidden="1" x14ac:dyDescent="0.25">
      <c r="A999" s="210" t="s">
        <v>1478</v>
      </c>
      <c r="B999" s="100">
        <v>46103</v>
      </c>
      <c r="C999" t="s">
        <v>21</v>
      </c>
      <c r="D999" t="s">
        <v>22</v>
      </c>
      <c r="E999" t="s">
        <v>23</v>
      </c>
      <c r="F999" s="107">
        <v>50000000</v>
      </c>
    </row>
    <row r="1000" spans="1:6" hidden="1" x14ac:dyDescent="0.25">
      <c r="A1000" s="210" t="s">
        <v>1478</v>
      </c>
      <c r="B1000" s="100">
        <v>46103</v>
      </c>
      <c r="C1000" t="s">
        <v>21</v>
      </c>
      <c r="D1000" t="s">
        <v>22</v>
      </c>
      <c r="E1000" t="s">
        <v>23</v>
      </c>
      <c r="F1000" s="107">
        <v>19320000</v>
      </c>
    </row>
    <row r="1001" spans="1:6" hidden="1" x14ac:dyDescent="0.25">
      <c r="A1001" s="210" t="s">
        <v>1475</v>
      </c>
      <c r="B1001" s="100">
        <v>46102</v>
      </c>
      <c r="C1001" t="s">
        <v>21</v>
      </c>
      <c r="D1001" t="s">
        <v>22</v>
      </c>
      <c r="E1001" t="s">
        <v>2067</v>
      </c>
      <c r="F1001" s="107">
        <v>3831000</v>
      </c>
    </row>
    <row r="1002" spans="1:6" hidden="1" x14ac:dyDescent="0.25">
      <c r="A1002" s="210" t="s">
        <v>1478</v>
      </c>
      <c r="B1002" s="100">
        <v>46102</v>
      </c>
      <c r="C1002" t="s">
        <v>21</v>
      </c>
      <c r="D1002" t="s">
        <v>22</v>
      </c>
      <c r="E1002" t="s">
        <v>23</v>
      </c>
      <c r="F1002" s="107">
        <v>2740000</v>
      </c>
    </row>
    <row r="1003" spans="1:6" hidden="1" x14ac:dyDescent="0.25">
      <c r="A1003" s="210" t="s">
        <v>1478</v>
      </c>
      <c r="B1003" s="100">
        <v>46102</v>
      </c>
      <c r="C1003" t="s">
        <v>21</v>
      </c>
      <c r="D1003" t="s">
        <v>22</v>
      </c>
      <c r="E1003" t="s">
        <v>23</v>
      </c>
      <c r="F1003" s="107">
        <v>15000000</v>
      </c>
    </row>
    <row r="1004" spans="1:6" x14ac:dyDescent="0.25">
      <c r="A1004" s="210" t="s">
        <v>1523</v>
      </c>
      <c r="B1004" s="100">
        <v>46102</v>
      </c>
      <c r="C1004" t="s">
        <v>21</v>
      </c>
      <c r="D1004" t="s">
        <v>22</v>
      </c>
      <c r="E1004" t="s">
        <v>83</v>
      </c>
      <c r="F1004" s="107">
        <v>32144723</v>
      </c>
    </row>
    <row r="1005" spans="1:6" hidden="1" x14ac:dyDescent="0.25">
      <c r="A1005" s="210" t="s">
        <v>1562</v>
      </c>
      <c r="B1005" s="100">
        <v>46102</v>
      </c>
      <c r="C1005" t="s">
        <v>21</v>
      </c>
      <c r="D1005" t="s">
        <v>22</v>
      </c>
      <c r="E1005" t="s">
        <v>147</v>
      </c>
      <c r="F1005" s="107">
        <v>100000000</v>
      </c>
    </row>
    <row r="1006" spans="1:6" hidden="1" x14ac:dyDescent="0.25">
      <c r="A1006" s="210" t="s">
        <v>1568</v>
      </c>
      <c r="B1006" s="100">
        <v>46102</v>
      </c>
      <c r="C1006" t="s">
        <v>21</v>
      </c>
      <c r="D1006" t="s">
        <v>22</v>
      </c>
      <c r="E1006" t="s">
        <v>718</v>
      </c>
      <c r="F1006" s="107">
        <v>101362000</v>
      </c>
    </row>
    <row r="1007" spans="1:6" hidden="1" x14ac:dyDescent="0.25">
      <c r="A1007" s="210" t="s">
        <v>1572</v>
      </c>
      <c r="B1007" s="100">
        <v>46102</v>
      </c>
      <c r="C1007" t="s">
        <v>21</v>
      </c>
      <c r="D1007" t="s">
        <v>22</v>
      </c>
      <c r="E1007" t="s">
        <v>261</v>
      </c>
      <c r="F1007" s="107">
        <v>356075000</v>
      </c>
    </row>
    <row r="1008" spans="1:6" hidden="1" x14ac:dyDescent="0.25">
      <c r="A1008" s="210" t="s">
        <v>1595</v>
      </c>
      <c r="B1008" s="100">
        <v>46102</v>
      </c>
      <c r="C1008" t="s">
        <v>21</v>
      </c>
      <c r="D1008" t="s">
        <v>22</v>
      </c>
      <c r="E1008" t="s">
        <v>23</v>
      </c>
      <c r="F1008" s="107">
        <v>22600000</v>
      </c>
    </row>
    <row r="1009" spans="1:6" hidden="1" x14ac:dyDescent="0.25">
      <c r="A1009" s="210" t="s">
        <v>1609</v>
      </c>
      <c r="B1009" s="100">
        <v>46102</v>
      </c>
      <c r="C1009" t="s">
        <v>21</v>
      </c>
      <c r="D1009" t="s">
        <v>22</v>
      </c>
      <c r="E1009" t="s">
        <v>2067</v>
      </c>
      <c r="F1009" s="107">
        <v>5500000</v>
      </c>
    </row>
    <row r="1010" spans="1:6" hidden="1" x14ac:dyDescent="0.25">
      <c r="A1010" s="210" t="s">
        <v>1609</v>
      </c>
      <c r="B1010" s="100">
        <v>46102</v>
      </c>
      <c r="C1010" t="s">
        <v>21</v>
      </c>
      <c r="D1010" t="s">
        <v>22</v>
      </c>
      <c r="E1010" t="s">
        <v>2067</v>
      </c>
      <c r="F1010" s="107">
        <v>6220000</v>
      </c>
    </row>
    <row r="1011" spans="1:6" hidden="1" x14ac:dyDescent="0.25">
      <c r="A1011" s="210" t="s">
        <v>1627</v>
      </c>
      <c r="B1011" s="100">
        <v>46102</v>
      </c>
      <c r="C1011" t="s">
        <v>21</v>
      </c>
      <c r="D1011" t="s">
        <v>260</v>
      </c>
      <c r="E1011" t="s">
        <v>261</v>
      </c>
      <c r="F1011" s="107">
        <v>50000000</v>
      </c>
    </row>
    <row r="1012" spans="1:6" hidden="1" x14ac:dyDescent="0.25">
      <c r="A1012" s="210" t="s">
        <v>1646</v>
      </c>
      <c r="B1012" s="100">
        <v>46102</v>
      </c>
      <c r="C1012" t="s">
        <v>21</v>
      </c>
      <c r="D1012" t="s">
        <v>22</v>
      </c>
      <c r="E1012" t="s">
        <v>147</v>
      </c>
      <c r="F1012" s="107">
        <v>20000000</v>
      </c>
    </row>
    <row r="1013" spans="1:6" hidden="1" x14ac:dyDescent="0.25">
      <c r="A1013" s="210" t="s">
        <v>1475</v>
      </c>
      <c r="B1013" s="100">
        <v>46101</v>
      </c>
      <c r="C1013" t="s">
        <v>21</v>
      </c>
      <c r="D1013" t="s">
        <v>22</v>
      </c>
      <c r="E1013" t="s">
        <v>2067</v>
      </c>
      <c r="F1013" s="107">
        <v>4000000</v>
      </c>
    </row>
    <row r="1014" spans="1:6" hidden="1" x14ac:dyDescent="0.25">
      <c r="A1014" s="210" t="s">
        <v>1478</v>
      </c>
      <c r="B1014" s="100">
        <v>46101</v>
      </c>
      <c r="C1014" t="s">
        <v>21</v>
      </c>
      <c r="D1014" t="s">
        <v>24</v>
      </c>
      <c r="F1014" s="107">
        <v>100000000</v>
      </c>
    </row>
    <row r="1015" spans="1:6" hidden="1" x14ac:dyDescent="0.25">
      <c r="A1015" s="210" t="s">
        <v>1479</v>
      </c>
      <c r="B1015" s="100">
        <v>46101</v>
      </c>
      <c r="C1015" t="s">
        <v>21</v>
      </c>
      <c r="D1015" t="s">
        <v>22</v>
      </c>
      <c r="E1015" t="s">
        <v>147</v>
      </c>
      <c r="F1015" s="107">
        <v>300000000</v>
      </c>
    </row>
    <row r="1016" spans="1:6" hidden="1" x14ac:dyDescent="0.25">
      <c r="A1016" s="210" t="s">
        <v>1485</v>
      </c>
      <c r="B1016" s="100">
        <v>46101</v>
      </c>
      <c r="C1016" t="s">
        <v>21</v>
      </c>
      <c r="D1016" t="s">
        <v>22</v>
      </c>
      <c r="E1016" t="s">
        <v>147</v>
      </c>
      <c r="F1016" s="107">
        <v>200000000</v>
      </c>
    </row>
    <row r="1017" spans="1:6" hidden="1" x14ac:dyDescent="0.25">
      <c r="A1017" s="210" t="s">
        <v>1494</v>
      </c>
      <c r="B1017" s="100">
        <v>46101</v>
      </c>
      <c r="C1017" t="s">
        <v>21</v>
      </c>
      <c r="D1017" t="s">
        <v>22</v>
      </c>
      <c r="E1017" t="s">
        <v>261</v>
      </c>
      <c r="F1017" s="107">
        <v>50000000</v>
      </c>
    </row>
    <row r="1018" spans="1:6" hidden="1" x14ac:dyDescent="0.25">
      <c r="A1018" s="210" t="s">
        <v>1499</v>
      </c>
      <c r="B1018" s="100">
        <v>46101</v>
      </c>
      <c r="C1018" t="s">
        <v>21</v>
      </c>
      <c r="D1018" t="s">
        <v>22</v>
      </c>
      <c r="E1018" t="s">
        <v>147</v>
      </c>
      <c r="F1018" s="107">
        <v>100000000</v>
      </c>
    </row>
    <row r="1019" spans="1:6" hidden="1" x14ac:dyDescent="0.25">
      <c r="A1019" s="210" t="s">
        <v>1524</v>
      </c>
      <c r="B1019" s="100">
        <v>46101</v>
      </c>
      <c r="C1019" t="s">
        <v>2214</v>
      </c>
      <c r="D1019" t="s">
        <v>24</v>
      </c>
      <c r="F1019" s="107">
        <v>-78310000</v>
      </c>
    </row>
    <row r="1020" spans="1:6" hidden="1" x14ac:dyDescent="0.25">
      <c r="A1020" s="210" t="s">
        <v>1525</v>
      </c>
      <c r="B1020" s="100">
        <v>46101</v>
      </c>
      <c r="C1020" t="s">
        <v>21</v>
      </c>
      <c r="D1020" t="s">
        <v>24</v>
      </c>
      <c r="F1020" s="107">
        <v>250000000</v>
      </c>
    </row>
    <row r="1021" spans="1:6" hidden="1" x14ac:dyDescent="0.25">
      <c r="A1021" s="210" t="s">
        <v>1536</v>
      </c>
      <c r="B1021" s="100">
        <v>46101</v>
      </c>
      <c r="C1021" t="s">
        <v>21</v>
      </c>
      <c r="D1021" t="s">
        <v>22</v>
      </c>
      <c r="E1021" t="s">
        <v>147</v>
      </c>
      <c r="F1021" s="107">
        <v>250000000</v>
      </c>
    </row>
    <row r="1022" spans="1:6" x14ac:dyDescent="0.25">
      <c r="A1022" s="210" t="s">
        <v>1539</v>
      </c>
      <c r="B1022" s="100">
        <v>46101</v>
      </c>
      <c r="C1022" t="s">
        <v>21</v>
      </c>
      <c r="D1022" t="s">
        <v>22</v>
      </c>
      <c r="E1022" t="s">
        <v>83</v>
      </c>
      <c r="F1022" s="107">
        <v>40000000</v>
      </c>
    </row>
    <row r="1023" spans="1:6" x14ac:dyDescent="0.25">
      <c r="A1023" s="210" t="s">
        <v>1547</v>
      </c>
      <c r="B1023" s="100">
        <v>46101</v>
      </c>
      <c r="C1023" t="s">
        <v>21</v>
      </c>
      <c r="D1023" t="s">
        <v>22</v>
      </c>
      <c r="E1023" t="s">
        <v>83</v>
      </c>
      <c r="F1023" s="107">
        <v>26480000</v>
      </c>
    </row>
    <row r="1024" spans="1:6" hidden="1" x14ac:dyDescent="0.25">
      <c r="A1024" s="210" t="s">
        <v>1564</v>
      </c>
      <c r="B1024" s="100">
        <v>46101</v>
      </c>
      <c r="C1024" t="s">
        <v>21</v>
      </c>
      <c r="D1024" t="s">
        <v>22</v>
      </c>
      <c r="E1024" t="s">
        <v>147</v>
      </c>
      <c r="F1024" s="107">
        <v>30000000</v>
      </c>
    </row>
    <row r="1025" spans="1:6" hidden="1" x14ac:dyDescent="0.25">
      <c r="A1025" s="210" t="s">
        <v>1575</v>
      </c>
      <c r="B1025" s="100">
        <v>46101</v>
      </c>
      <c r="C1025" t="s">
        <v>21</v>
      </c>
      <c r="D1025" t="s">
        <v>22</v>
      </c>
      <c r="E1025" t="s">
        <v>261</v>
      </c>
      <c r="F1025" s="107">
        <v>100000000</v>
      </c>
    </row>
    <row r="1026" spans="1:6" hidden="1" x14ac:dyDescent="0.25">
      <c r="A1026" s="210" t="s">
        <v>1577</v>
      </c>
      <c r="B1026" s="100">
        <v>46101</v>
      </c>
      <c r="C1026" t="s">
        <v>21</v>
      </c>
      <c r="D1026" t="s">
        <v>22</v>
      </c>
      <c r="E1026" t="s">
        <v>147</v>
      </c>
      <c r="F1026" s="107">
        <v>100000000</v>
      </c>
    </row>
    <row r="1027" spans="1:6" x14ac:dyDescent="0.25">
      <c r="A1027" s="210" t="s">
        <v>1579</v>
      </c>
      <c r="B1027" s="100">
        <v>46101</v>
      </c>
      <c r="C1027" t="s">
        <v>21</v>
      </c>
      <c r="D1027" t="s">
        <v>22</v>
      </c>
      <c r="E1027" t="s">
        <v>83</v>
      </c>
      <c r="F1027" s="107">
        <v>100000000</v>
      </c>
    </row>
    <row r="1028" spans="1:6" x14ac:dyDescent="0.25">
      <c r="A1028" s="210" t="s">
        <v>1637</v>
      </c>
      <c r="B1028" s="100">
        <v>46101</v>
      </c>
      <c r="C1028" t="s">
        <v>21</v>
      </c>
      <c r="D1028" t="s">
        <v>22</v>
      </c>
      <c r="E1028" t="s">
        <v>83</v>
      </c>
      <c r="F1028" s="107">
        <v>23669250</v>
      </c>
    </row>
    <row r="1029" spans="1:6" hidden="1" x14ac:dyDescent="0.25">
      <c r="A1029" s="210" t="s">
        <v>1595</v>
      </c>
      <c r="B1029" s="100">
        <v>46101</v>
      </c>
      <c r="C1029" t="s">
        <v>21</v>
      </c>
      <c r="D1029" t="s">
        <v>22</v>
      </c>
      <c r="E1029" t="s">
        <v>23</v>
      </c>
      <c r="F1029" s="107">
        <v>25700000</v>
      </c>
    </row>
    <row r="1030" spans="1:6" hidden="1" x14ac:dyDescent="0.25">
      <c r="A1030" s="210" t="s">
        <v>1595</v>
      </c>
      <c r="B1030" s="100">
        <v>46101</v>
      </c>
      <c r="C1030" t="s">
        <v>21</v>
      </c>
      <c r="D1030" t="s">
        <v>22</v>
      </c>
      <c r="E1030" t="s">
        <v>23</v>
      </c>
      <c r="F1030" s="107">
        <v>100000000</v>
      </c>
    </row>
    <row r="1031" spans="1:6" hidden="1" x14ac:dyDescent="0.25">
      <c r="A1031" s="210" t="s">
        <v>1606</v>
      </c>
      <c r="B1031" s="100">
        <v>46101</v>
      </c>
      <c r="C1031" t="s">
        <v>21</v>
      </c>
      <c r="D1031" t="s">
        <v>22</v>
      </c>
      <c r="E1031" t="s">
        <v>147</v>
      </c>
      <c r="F1031" s="107">
        <v>50000000</v>
      </c>
    </row>
    <row r="1032" spans="1:6" hidden="1" x14ac:dyDescent="0.25">
      <c r="A1032" s="210" t="s">
        <v>1623</v>
      </c>
      <c r="B1032" s="100">
        <v>46101</v>
      </c>
      <c r="C1032" t="s">
        <v>21</v>
      </c>
      <c r="D1032" t="s">
        <v>22</v>
      </c>
      <c r="E1032" t="s">
        <v>147</v>
      </c>
      <c r="F1032" s="107">
        <v>120000000</v>
      </c>
    </row>
    <row r="1033" spans="1:6" hidden="1" x14ac:dyDescent="0.25">
      <c r="A1033" s="210" t="s">
        <v>1566</v>
      </c>
      <c r="B1033" s="100">
        <v>46101</v>
      </c>
      <c r="C1033" t="s">
        <v>21</v>
      </c>
      <c r="D1033" t="s">
        <v>22</v>
      </c>
      <c r="E1033" t="s">
        <v>261</v>
      </c>
      <c r="F1033" s="107">
        <v>23315879</v>
      </c>
    </row>
    <row r="1034" spans="1:6" hidden="1" x14ac:dyDescent="0.25">
      <c r="A1034" s="210" t="s">
        <v>1635</v>
      </c>
      <c r="B1034" s="100">
        <v>46101</v>
      </c>
      <c r="C1034" t="s">
        <v>21</v>
      </c>
      <c r="D1034" t="s">
        <v>24</v>
      </c>
      <c r="F1034" s="107">
        <v>180000000</v>
      </c>
    </row>
    <row r="1035" spans="1:6" hidden="1" x14ac:dyDescent="0.25">
      <c r="A1035" s="210" t="s">
        <v>1639</v>
      </c>
      <c r="B1035" s="100">
        <v>46101</v>
      </c>
      <c r="C1035" t="s">
        <v>21</v>
      </c>
      <c r="D1035" t="s">
        <v>24</v>
      </c>
      <c r="F1035" s="107">
        <v>189000000</v>
      </c>
    </row>
    <row r="1036" spans="1:6" hidden="1" x14ac:dyDescent="0.25">
      <c r="A1036" s="210" t="s">
        <v>1645</v>
      </c>
      <c r="B1036" s="100">
        <v>46101</v>
      </c>
      <c r="C1036" t="s">
        <v>21</v>
      </c>
      <c r="D1036" t="s">
        <v>22</v>
      </c>
      <c r="E1036" t="s">
        <v>261</v>
      </c>
      <c r="F1036" s="107">
        <v>68112000</v>
      </c>
    </row>
    <row r="1037" spans="1:6" hidden="1" x14ac:dyDescent="0.25">
      <c r="A1037" s="210" t="s">
        <v>2016</v>
      </c>
      <c r="B1037" s="100">
        <v>46101</v>
      </c>
      <c r="C1037" t="s">
        <v>2214</v>
      </c>
      <c r="D1037" t="s">
        <v>22</v>
      </c>
      <c r="E1037" t="s">
        <v>147</v>
      </c>
      <c r="F1037" s="107">
        <v>-100000000</v>
      </c>
    </row>
    <row r="1038" spans="1:6" x14ac:dyDescent="0.25">
      <c r="A1038" s="210" t="s">
        <v>1672</v>
      </c>
      <c r="B1038" s="100">
        <v>46101</v>
      </c>
      <c r="C1038" t="s">
        <v>2214</v>
      </c>
      <c r="D1038" t="s">
        <v>22</v>
      </c>
      <c r="E1038" t="s">
        <v>83</v>
      </c>
      <c r="F1038" s="107">
        <v>-135235000</v>
      </c>
    </row>
    <row r="1039" spans="1:6" hidden="1" x14ac:dyDescent="0.25">
      <c r="A1039" s="210" t="s">
        <v>1689</v>
      </c>
      <c r="B1039" s="100">
        <v>46101</v>
      </c>
      <c r="C1039" t="s">
        <v>21</v>
      </c>
      <c r="D1039" t="s">
        <v>22</v>
      </c>
      <c r="E1039" t="s">
        <v>261</v>
      </c>
      <c r="F1039" s="107">
        <v>58808000</v>
      </c>
    </row>
    <row r="1040" spans="1:6" hidden="1" x14ac:dyDescent="0.25">
      <c r="A1040" s="210" t="s">
        <v>1475</v>
      </c>
      <c r="B1040" s="100">
        <v>46100</v>
      </c>
      <c r="C1040" t="s">
        <v>21</v>
      </c>
      <c r="D1040" t="s">
        <v>24</v>
      </c>
      <c r="F1040" s="107">
        <v>200000000</v>
      </c>
    </row>
    <row r="1041" spans="1:6" hidden="1" x14ac:dyDescent="0.25">
      <c r="A1041" s="210" t="s">
        <v>1491</v>
      </c>
      <c r="B1041" s="100">
        <v>46100</v>
      </c>
      <c r="C1041" t="s">
        <v>21</v>
      </c>
      <c r="D1041" t="s">
        <v>22</v>
      </c>
      <c r="E1041" t="s">
        <v>147</v>
      </c>
      <c r="F1041" s="107">
        <v>300000000</v>
      </c>
    </row>
    <row r="1042" spans="1:6" hidden="1" x14ac:dyDescent="0.25">
      <c r="A1042" s="210" t="s">
        <v>1491</v>
      </c>
      <c r="B1042" s="100">
        <v>46100</v>
      </c>
      <c r="C1042" t="s">
        <v>21</v>
      </c>
      <c r="D1042" t="s">
        <v>260</v>
      </c>
      <c r="E1042" t="s">
        <v>261</v>
      </c>
      <c r="F1042" s="107">
        <v>104626448</v>
      </c>
    </row>
    <row r="1043" spans="1:6" hidden="1" x14ac:dyDescent="0.25">
      <c r="A1043" s="210" t="s">
        <v>1493</v>
      </c>
      <c r="B1043" s="100">
        <v>46100</v>
      </c>
      <c r="C1043" t="s">
        <v>21</v>
      </c>
      <c r="D1043" t="s">
        <v>22</v>
      </c>
      <c r="E1043" t="s">
        <v>261</v>
      </c>
      <c r="F1043" s="107">
        <v>120000000</v>
      </c>
    </row>
    <row r="1044" spans="1:6" hidden="1" x14ac:dyDescent="0.25">
      <c r="A1044" s="210" t="s">
        <v>1518</v>
      </c>
      <c r="B1044" s="100">
        <v>46100</v>
      </c>
      <c r="C1044" t="s">
        <v>21</v>
      </c>
      <c r="D1044" t="s">
        <v>22</v>
      </c>
      <c r="E1044" t="s">
        <v>23</v>
      </c>
      <c r="F1044" s="107">
        <v>4000000</v>
      </c>
    </row>
    <row r="1045" spans="1:6" hidden="1" x14ac:dyDescent="0.25">
      <c r="A1045" s="210" t="s">
        <v>1545</v>
      </c>
      <c r="B1045" s="100">
        <v>46100</v>
      </c>
      <c r="C1045" t="s">
        <v>21</v>
      </c>
      <c r="D1045" t="s">
        <v>22</v>
      </c>
      <c r="E1045" t="s">
        <v>147</v>
      </c>
      <c r="F1045" s="107">
        <v>100000000</v>
      </c>
    </row>
    <row r="1046" spans="1:6" hidden="1" x14ac:dyDescent="0.25">
      <c r="A1046" s="210" t="s">
        <v>1551</v>
      </c>
      <c r="B1046" s="100">
        <v>46100</v>
      </c>
      <c r="C1046" t="s">
        <v>21</v>
      </c>
      <c r="D1046" t="s">
        <v>22</v>
      </c>
      <c r="E1046" t="s">
        <v>261</v>
      </c>
      <c r="F1046" s="107">
        <v>352412000</v>
      </c>
    </row>
    <row r="1047" spans="1:6" hidden="1" x14ac:dyDescent="0.25">
      <c r="A1047" s="210" t="s">
        <v>1595</v>
      </c>
      <c r="B1047" s="100">
        <v>46100</v>
      </c>
      <c r="C1047" t="s">
        <v>21</v>
      </c>
      <c r="D1047" t="s">
        <v>22</v>
      </c>
      <c r="E1047" t="s">
        <v>23</v>
      </c>
      <c r="F1047" s="107">
        <v>4920000</v>
      </c>
    </row>
    <row r="1048" spans="1:6" hidden="1" x14ac:dyDescent="0.25">
      <c r="A1048" s="210" t="s">
        <v>1609</v>
      </c>
      <c r="B1048" s="100">
        <v>46100</v>
      </c>
      <c r="C1048" t="s">
        <v>21</v>
      </c>
      <c r="D1048" t="s">
        <v>22</v>
      </c>
      <c r="E1048" t="s">
        <v>2067</v>
      </c>
      <c r="F1048" s="107">
        <v>12254000</v>
      </c>
    </row>
    <row r="1049" spans="1:6" hidden="1" x14ac:dyDescent="0.25">
      <c r="A1049" s="210" t="s">
        <v>1609</v>
      </c>
      <c r="B1049" s="100">
        <v>46100</v>
      </c>
      <c r="C1049" t="s">
        <v>21</v>
      </c>
      <c r="D1049" t="s">
        <v>22</v>
      </c>
      <c r="E1049" t="s">
        <v>2067</v>
      </c>
      <c r="F1049" s="107">
        <v>10000000</v>
      </c>
    </row>
    <row r="1050" spans="1:6" hidden="1" x14ac:dyDescent="0.25">
      <c r="A1050" s="210" t="s">
        <v>1641</v>
      </c>
      <c r="B1050" s="100">
        <v>46100</v>
      </c>
      <c r="C1050" t="s">
        <v>21</v>
      </c>
      <c r="D1050" t="s">
        <v>22</v>
      </c>
      <c r="E1050" t="s">
        <v>147</v>
      </c>
      <c r="F1050" s="107">
        <v>100000000</v>
      </c>
    </row>
    <row r="1051" spans="1:6" hidden="1" x14ac:dyDescent="0.25">
      <c r="A1051" s="210" t="s">
        <v>1671</v>
      </c>
      <c r="B1051" s="100">
        <v>46100</v>
      </c>
      <c r="C1051" t="s">
        <v>21</v>
      </c>
      <c r="D1051" t="s">
        <v>22</v>
      </c>
      <c r="E1051" t="s">
        <v>147</v>
      </c>
      <c r="F1051" s="107">
        <v>7062000</v>
      </c>
    </row>
    <row r="1052" spans="1:6" hidden="1" x14ac:dyDescent="0.25">
      <c r="A1052" s="210" t="s">
        <v>1475</v>
      </c>
      <c r="B1052" s="100">
        <v>46099</v>
      </c>
      <c r="C1052" t="s">
        <v>21</v>
      </c>
      <c r="D1052" t="s">
        <v>22</v>
      </c>
      <c r="E1052" t="s">
        <v>2067</v>
      </c>
      <c r="F1052" s="107">
        <v>20000000</v>
      </c>
    </row>
    <row r="1053" spans="1:6" hidden="1" x14ac:dyDescent="0.25">
      <c r="A1053" s="210" t="s">
        <v>1475</v>
      </c>
      <c r="B1053" s="100">
        <v>46099</v>
      </c>
      <c r="C1053" t="s">
        <v>21</v>
      </c>
      <c r="D1053" t="s">
        <v>22</v>
      </c>
      <c r="F1053" s="107">
        <v>20000000</v>
      </c>
    </row>
    <row r="1054" spans="1:6" hidden="1" x14ac:dyDescent="0.25">
      <c r="A1054" s="210" t="s">
        <v>1476</v>
      </c>
      <c r="B1054" s="100">
        <v>46099</v>
      </c>
      <c r="C1054" t="s">
        <v>654</v>
      </c>
      <c r="F1054" s="107">
        <v>-4473000</v>
      </c>
    </row>
    <row r="1055" spans="1:6" hidden="1" x14ac:dyDescent="0.25">
      <c r="A1055" s="210" t="s">
        <v>1478</v>
      </c>
      <c r="B1055" s="100">
        <v>46099</v>
      </c>
      <c r="C1055" t="s">
        <v>21</v>
      </c>
      <c r="D1055" t="s">
        <v>22</v>
      </c>
      <c r="E1055" t="s">
        <v>147</v>
      </c>
      <c r="F1055" s="107">
        <v>60000000</v>
      </c>
    </row>
    <row r="1056" spans="1:6" hidden="1" x14ac:dyDescent="0.25">
      <c r="A1056" s="210" t="s">
        <v>1478</v>
      </c>
      <c r="B1056" s="100">
        <v>46099</v>
      </c>
      <c r="C1056" t="s">
        <v>21</v>
      </c>
      <c r="D1056" t="s">
        <v>22</v>
      </c>
      <c r="E1056" t="s">
        <v>23</v>
      </c>
      <c r="F1056" s="107">
        <v>13590000</v>
      </c>
    </row>
    <row r="1057" spans="1:6" hidden="1" x14ac:dyDescent="0.25">
      <c r="A1057" s="210" t="s">
        <v>1491</v>
      </c>
      <c r="B1057" s="100">
        <v>46099</v>
      </c>
      <c r="C1057" t="s">
        <v>21</v>
      </c>
      <c r="D1057" t="s">
        <v>22</v>
      </c>
      <c r="E1057" t="s">
        <v>147</v>
      </c>
      <c r="F1057" s="107">
        <v>240000000</v>
      </c>
    </row>
    <row r="1058" spans="1:6" x14ac:dyDescent="0.25">
      <c r="A1058" s="210" t="s">
        <v>1512</v>
      </c>
      <c r="B1058" s="100">
        <v>46099</v>
      </c>
      <c r="C1058" t="s">
        <v>21</v>
      </c>
      <c r="D1058" t="s">
        <v>22</v>
      </c>
      <c r="E1058" t="s">
        <v>83</v>
      </c>
      <c r="F1058" s="107">
        <v>50000000</v>
      </c>
    </row>
    <row r="1059" spans="1:6" hidden="1" x14ac:dyDescent="0.25">
      <c r="A1059" s="210" t="s">
        <v>1518</v>
      </c>
      <c r="B1059" s="100">
        <v>46099</v>
      </c>
      <c r="C1059" t="s">
        <v>21</v>
      </c>
      <c r="D1059" t="s">
        <v>22</v>
      </c>
      <c r="E1059" t="s">
        <v>23</v>
      </c>
      <c r="F1059" s="107">
        <v>7000000</v>
      </c>
    </row>
    <row r="1060" spans="1:6" hidden="1" x14ac:dyDescent="0.25">
      <c r="A1060" s="210" t="s">
        <v>1518</v>
      </c>
      <c r="B1060" s="100">
        <v>46099</v>
      </c>
      <c r="C1060" t="s">
        <v>21</v>
      </c>
      <c r="D1060" t="s">
        <v>22</v>
      </c>
      <c r="E1060" t="s">
        <v>23</v>
      </c>
      <c r="F1060" s="107">
        <v>5000000</v>
      </c>
    </row>
    <row r="1061" spans="1:6" hidden="1" x14ac:dyDescent="0.25">
      <c r="A1061" s="210" t="s">
        <v>1554</v>
      </c>
      <c r="B1061" s="100">
        <v>46099</v>
      </c>
      <c r="C1061" t="s">
        <v>21</v>
      </c>
      <c r="D1061" t="s">
        <v>22</v>
      </c>
      <c r="E1061" t="s">
        <v>2067</v>
      </c>
      <c r="F1061" s="107">
        <v>173360000</v>
      </c>
    </row>
    <row r="1062" spans="1:6" hidden="1" x14ac:dyDescent="0.25">
      <c r="A1062" s="210" t="s">
        <v>1609</v>
      </c>
      <c r="B1062" s="100">
        <v>46099</v>
      </c>
      <c r="C1062" t="s">
        <v>21</v>
      </c>
      <c r="D1062" t="s">
        <v>22</v>
      </c>
      <c r="E1062" t="s">
        <v>2067</v>
      </c>
      <c r="F1062" s="107">
        <v>4650000</v>
      </c>
    </row>
    <row r="1063" spans="1:6" hidden="1" x14ac:dyDescent="0.25">
      <c r="A1063" s="210" t="s">
        <v>1618</v>
      </c>
      <c r="B1063" s="100">
        <v>46099</v>
      </c>
      <c r="C1063" t="s">
        <v>21</v>
      </c>
      <c r="D1063" t="s">
        <v>24</v>
      </c>
      <c r="F1063" s="107">
        <v>500000000</v>
      </c>
    </row>
    <row r="1064" spans="1:6" hidden="1" x14ac:dyDescent="0.25">
      <c r="A1064" s="210" t="s">
        <v>1703</v>
      </c>
      <c r="B1064" s="100">
        <v>46099</v>
      </c>
      <c r="C1064" t="s">
        <v>21</v>
      </c>
      <c r="D1064" t="s">
        <v>24</v>
      </c>
      <c r="F1064" s="107">
        <v>80000000</v>
      </c>
    </row>
    <row r="1065" spans="1:6" hidden="1" x14ac:dyDescent="0.25">
      <c r="A1065" s="210" t="s">
        <v>1648</v>
      </c>
      <c r="B1065" s="100">
        <v>46099</v>
      </c>
      <c r="C1065" t="s">
        <v>21</v>
      </c>
      <c r="D1065" t="s">
        <v>22</v>
      </c>
      <c r="E1065" t="s">
        <v>147</v>
      </c>
      <c r="F1065" s="107">
        <v>18203803</v>
      </c>
    </row>
    <row r="1066" spans="1:6" hidden="1" x14ac:dyDescent="0.25">
      <c r="A1066" s="210" t="s">
        <v>1663</v>
      </c>
      <c r="B1066" s="100">
        <v>46099</v>
      </c>
      <c r="C1066" t="s">
        <v>21</v>
      </c>
      <c r="D1066" t="s">
        <v>1305</v>
      </c>
      <c r="E1066" t="s">
        <v>147</v>
      </c>
      <c r="F1066" s="107">
        <v>184436000</v>
      </c>
    </row>
    <row r="1067" spans="1:6" hidden="1" x14ac:dyDescent="0.25">
      <c r="A1067" s="210" t="s">
        <v>1475</v>
      </c>
      <c r="B1067" s="100">
        <v>46098</v>
      </c>
      <c r="C1067" t="s">
        <v>21</v>
      </c>
      <c r="D1067" t="s">
        <v>22</v>
      </c>
      <c r="E1067" t="s">
        <v>2067</v>
      </c>
      <c r="F1067" s="107">
        <v>30000000</v>
      </c>
    </row>
    <row r="1068" spans="1:6" hidden="1" x14ac:dyDescent="0.25">
      <c r="A1068" s="210" t="s">
        <v>1478</v>
      </c>
      <c r="B1068" s="100">
        <v>46098</v>
      </c>
      <c r="C1068" t="s">
        <v>21</v>
      </c>
      <c r="D1068" t="s">
        <v>24</v>
      </c>
      <c r="E1068">
        <v>0</v>
      </c>
      <c r="F1068" s="107">
        <v>144000000</v>
      </c>
    </row>
    <row r="1069" spans="1:6" hidden="1" x14ac:dyDescent="0.25">
      <c r="A1069" s="210" t="s">
        <v>1478</v>
      </c>
      <c r="B1069" s="100">
        <v>46098</v>
      </c>
      <c r="C1069" t="s">
        <v>21</v>
      </c>
      <c r="D1069" t="s">
        <v>22</v>
      </c>
      <c r="E1069" t="s">
        <v>147</v>
      </c>
      <c r="F1069" s="107">
        <v>60265000</v>
      </c>
    </row>
    <row r="1070" spans="1:6" hidden="1" x14ac:dyDescent="0.25">
      <c r="A1070" s="210" t="s">
        <v>1478</v>
      </c>
      <c r="B1070" s="100">
        <v>46098</v>
      </c>
      <c r="C1070" t="s">
        <v>21</v>
      </c>
      <c r="D1070" t="s">
        <v>22</v>
      </c>
      <c r="E1070" t="s">
        <v>23</v>
      </c>
      <c r="F1070" s="107">
        <v>15480000</v>
      </c>
    </row>
    <row r="1071" spans="1:6" hidden="1" x14ac:dyDescent="0.25">
      <c r="A1071" s="210" t="s">
        <v>1518</v>
      </c>
      <c r="B1071" s="100">
        <v>46098</v>
      </c>
      <c r="C1071" t="s">
        <v>21</v>
      </c>
      <c r="D1071" t="s">
        <v>260</v>
      </c>
      <c r="E1071" t="s">
        <v>261</v>
      </c>
      <c r="F1071" s="107">
        <v>50000000</v>
      </c>
    </row>
    <row r="1072" spans="1:6" hidden="1" x14ac:dyDescent="0.25">
      <c r="A1072" s="210" t="s">
        <v>1527</v>
      </c>
      <c r="B1072" s="100">
        <v>46098</v>
      </c>
      <c r="C1072" t="s">
        <v>21</v>
      </c>
      <c r="D1072" t="s">
        <v>22</v>
      </c>
      <c r="E1072" t="s">
        <v>147</v>
      </c>
      <c r="F1072" s="107">
        <v>100000000</v>
      </c>
    </row>
    <row r="1073" spans="1:6" hidden="1" x14ac:dyDescent="0.25">
      <c r="A1073" s="210" t="s">
        <v>1567</v>
      </c>
      <c r="B1073" s="100">
        <v>46098</v>
      </c>
      <c r="C1073" t="s">
        <v>21</v>
      </c>
      <c r="D1073" t="s">
        <v>24</v>
      </c>
      <c r="F1073" s="107">
        <v>72775000</v>
      </c>
    </row>
    <row r="1074" spans="1:6" hidden="1" x14ac:dyDescent="0.25">
      <c r="A1074" s="210" t="s">
        <v>1568</v>
      </c>
      <c r="B1074" s="100">
        <v>46098</v>
      </c>
      <c r="C1074" t="s">
        <v>21</v>
      </c>
      <c r="D1074" t="s">
        <v>22</v>
      </c>
      <c r="E1074" t="s">
        <v>718</v>
      </c>
      <c r="F1074" s="107">
        <v>99166000</v>
      </c>
    </row>
    <row r="1075" spans="1:6" x14ac:dyDescent="0.25">
      <c r="A1075" s="210" t="s">
        <v>1582</v>
      </c>
      <c r="B1075" s="100">
        <v>46098</v>
      </c>
      <c r="C1075" t="s">
        <v>21</v>
      </c>
      <c r="D1075" t="s">
        <v>22</v>
      </c>
      <c r="E1075" t="s">
        <v>83</v>
      </c>
      <c r="F1075" s="107">
        <v>35000000</v>
      </c>
    </row>
    <row r="1076" spans="1:6" hidden="1" x14ac:dyDescent="0.25">
      <c r="A1076" s="210" t="s">
        <v>1593</v>
      </c>
      <c r="B1076" s="100">
        <v>46098</v>
      </c>
      <c r="C1076" t="s">
        <v>21</v>
      </c>
      <c r="D1076" t="s">
        <v>22</v>
      </c>
      <c r="E1076" t="s">
        <v>261</v>
      </c>
      <c r="F1076" s="107">
        <v>99488000</v>
      </c>
    </row>
    <row r="1077" spans="1:6" hidden="1" x14ac:dyDescent="0.25">
      <c r="A1077" s="210" t="s">
        <v>1595</v>
      </c>
      <c r="B1077" s="100">
        <v>46098</v>
      </c>
      <c r="C1077" t="s">
        <v>21</v>
      </c>
      <c r="D1077" t="s">
        <v>22</v>
      </c>
      <c r="E1077" t="s">
        <v>23</v>
      </c>
      <c r="F1077" s="107">
        <v>23400000</v>
      </c>
    </row>
    <row r="1078" spans="1:6" hidden="1" x14ac:dyDescent="0.25">
      <c r="A1078" s="210" t="s">
        <v>1609</v>
      </c>
      <c r="B1078" s="100">
        <v>46098</v>
      </c>
      <c r="C1078" t="s">
        <v>21</v>
      </c>
      <c r="D1078" t="s">
        <v>22</v>
      </c>
      <c r="E1078" t="s">
        <v>2067</v>
      </c>
      <c r="F1078" s="107">
        <v>35100000</v>
      </c>
    </row>
    <row r="1079" spans="1:6" hidden="1" x14ac:dyDescent="0.25">
      <c r="A1079" s="210" t="s">
        <v>1609</v>
      </c>
      <c r="B1079" s="100">
        <v>46098</v>
      </c>
      <c r="C1079" t="s">
        <v>21</v>
      </c>
      <c r="D1079" t="s">
        <v>22</v>
      </c>
      <c r="E1079" t="s">
        <v>2067</v>
      </c>
      <c r="F1079" s="107">
        <v>3810000</v>
      </c>
    </row>
    <row r="1080" spans="1:6" hidden="1" x14ac:dyDescent="0.25">
      <c r="A1080" s="210" t="s">
        <v>1609</v>
      </c>
      <c r="B1080" s="100">
        <v>46098</v>
      </c>
      <c r="C1080" t="s">
        <v>21</v>
      </c>
      <c r="D1080" t="s">
        <v>22</v>
      </c>
      <c r="E1080" t="s">
        <v>2067</v>
      </c>
      <c r="F1080" s="107">
        <v>6000000</v>
      </c>
    </row>
    <row r="1081" spans="1:6" x14ac:dyDescent="0.25">
      <c r="A1081" s="210" t="s">
        <v>1613</v>
      </c>
      <c r="B1081" s="100">
        <v>46098</v>
      </c>
      <c r="C1081" t="s">
        <v>21</v>
      </c>
      <c r="D1081" t="s">
        <v>22</v>
      </c>
      <c r="E1081" t="s">
        <v>83</v>
      </c>
      <c r="F1081" s="107">
        <v>228420423</v>
      </c>
    </row>
    <row r="1082" spans="1:6" hidden="1" x14ac:dyDescent="0.25">
      <c r="A1082" s="210" t="s">
        <v>1656</v>
      </c>
      <c r="B1082" s="100">
        <v>46098</v>
      </c>
      <c r="C1082" t="s">
        <v>21</v>
      </c>
      <c r="D1082" t="s">
        <v>22</v>
      </c>
      <c r="E1082" t="s">
        <v>727</v>
      </c>
      <c r="F1082" s="107">
        <v>159380000</v>
      </c>
    </row>
    <row r="1083" spans="1:6" hidden="1" x14ac:dyDescent="0.25">
      <c r="A1083" s="210" t="s">
        <v>1726</v>
      </c>
      <c r="B1083" s="100">
        <v>46098</v>
      </c>
      <c r="C1083" t="s">
        <v>21</v>
      </c>
      <c r="D1083" t="s">
        <v>22</v>
      </c>
      <c r="E1083" t="s">
        <v>261</v>
      </c>
      <c r="F1083" s="107">
        <v>293471076</v>
      </c>
    </row>
    <row r="1084" spans="1:6" hidden="1" x14ac:dyDescent="0.25">
      <c r="A1084" s="210" t="s">
        <v>1509</v>
      </c>
      <c r="B1084" s="100">
        <v>46097</v>
      </c>
      <c r="C1084" t="s">
        <v>21</v>
      </c>
      <c r="D1084" t="s">
        <v>22</v>
      </c>
      <c r="E1084" t="s">
        <v>261</v>
      </c>
      <c r="F1084" s="107">
        <v>334515213</v>
      </c>
    </row>
    <row r="1085" spans="1:6" hidden="1" x14ac:dyDescent="0.25">
      <c r="A1085" s="210" t="s">
        <v>1518</v>
      </c>
      <c r="B1085" s="100">
        <v>46097</v>
      </c>
      <c r="C1085" t="s">
        <v>21</v>
      </c>
      <c r="D1085" t="s">
        <v>22</v>
      </c>
      <c r="E1085" t="s">
        <v>23</v>
      </c>
      <c r="F1085" s="107">
        <v>1505000</v>
      </c>
    </row>
    <row r="1086" spans="1:6" hidden="1" x14ac:dyDescent="0.25">
      <c r="A1086" s="210" t="s">
        <v>1536</v>
      </c>
      <c r="B1086" s="100">
        <v>46097</v>
      </c>
      <c r="C1086" t="s">
        <v>21</v>
      </c>
      <c r="F1086" s="107">
        <v>16616976</v>
      </c>
    </row>
    <row r="1087" spans="1:6" x14ac:dyDescent="0.25">
      <c r="A1087" s="210" t="s">
        <v>1552</v>
      </c>
      <c r="B1087" s="100">
        <v>46097</v>
      </c>
      <c r="C1087" t="s">
        <v>21</v>
      </c>
      <c r="D1087" t="s">
        <v>22</v>
      </c>
      <c r="E1087" t="s">
        <v>83</v>
      </c>
      <c r="F1087" s="107">
        <v>577079800</v>
      </c>
    </row>
    <row r="1088" spans="1:6" hidden="1" x14ac:dyDescent="0.25">
      <c r="A1088" s="210" t="s">
        <v>1558</v>
      </c>
      <c r="B1088" s="100">
        <v>46097</v>
      </c>
      <c r="C1088" t="s">
        <v>21</v>
      </c>
      <c r="D1088" t="s">
        <v>22</v>
      </c>
      <c r="E1088" t="s">
        <v>2258</v>
      </c>
      <c r="F1088" s="107">
        <v>170000000</v>
      </c>
    </row>
    <row r="1089" spans="1:6" hidden="1" x14ac:dyDescent="0.25">
      <c r="A1089" s="210" t="s">
        <v>1591</v>
      </c>
      <c r="B1089" s="100">
        <v>46097</v>
      </c>
      <c r="C1089" t="s">
        <v>21</v>
      </c>
      <c r="D1089" t="s">
        <v>22</v>
      </c>
      <c r="E1089" t="s">
        <v>147</v>
      </c>
      <c r="F1089" s="107">
        <v>261457691</v>
      </c>
    </row>
    <row r="1090" spans="1:6" hidden="1" x14ac:dyDescent="0.25">
      <c r="A1090" s="210" t="s">
        <v>1593</v>
      </c>
      <c r="B1090" s="100">
        <v>46097</v>
      </c>
      <c r="C1090" t="s">
        <v>21</v>
      </c>
      <c r="D1090" t="s">
        <v>22</v>
      </c>
      <c r="E1090" t="s">
        <v>261</v>
      </c>
      <c r="F1090" s="107">
        <v>61160000</v>
      </c>
    </row>
    <row r="1091" spans="1:6" hidden="1" x14ac:dyDescent="0.25">
      <c r="A1091" s="210" t="s">
        <v>1597</v>
      </c>
      <c r="B1091" s="100">
        <v>46097</v>
      </c>
      <c r="C1091" t="s">
        <v>21</v>
      </c>
      <c r="D1091" t="s">
        <v>22</v>
      </c>
      <c r="E1091" t="s">
        <v>147</v>
      </c>
      <c r="F1091" s="107">
        <v>127558640</v>
      </c>
    </row>
    <row r="1092" spans="1:6" hidden="1" x14ac:dyDescent="0.25">
      <c r="A1092" s="210" t="s">
        <v>2547</v>
      </c>
      <c r="B1092" s="100">
        <v>46097</v>
      </c>
      <c r="C1092" t="s">
        <v>21</v>
      </c>
      <c r="D1092" t="s">
        <v>22</v>
      </c>
      <c r="E1092" t="s">
        <v>147</v>
      </c>
      <c r="F1092" s="107">
        <v>100000000</v>
      </c>
    </row>
    <row r="1093" spans="1:6" hidden="1" x14ac:dyDescent="0.25">
      <c r="A1093" s="210" t="s">
        <v>1609</v>
      </c>
      <c r="B1093" s="100">
        <v>46097</v>
      </c>
      <c r="C1093" t="s">
        <v>21</v>
      </c>
      <c r="D1093" t="s">
        <v>22</v>
      </c>
      <c r="E1093" t="s">
        <v>2067</v>
      </c>
      <c r="F1093" s="107">
        <v>2920000</v>
      </c>
    </row>
    <row r="1094" spans="1:6" hidden="1" x14ac:dyDescent="0.25">
      <c r="A1094" s="210" t="s">
        <v>1609</v>
      </c>
      <c r="B1094" s="100">
        <v>46097</v>
      </c>
      <c r="C1094" t="s">
        <v>21</v>
      </c>
      <c r="D1094" t="s">
        <v>22</v>
      </c>
      <c r="E1094" t="s">
        <v>2067</v>
      </c>
      <c r="F1094" s="107">
        <v>3100000</v>
      </c>
    </row>
    <row r="1095" spans="1:6" hidden="1" x14ac:dyDescent="0.25">
      <c r="A1095" s="210" t="s">
        <v>1638</v>
      </c>
      <c r="B1095" s="100">
        <v>46097</v>
      </c>
      <c r="C1095" t="s">
        <v>21</v>
      </c>
      <c r="D1095" t="s">
        <v>22</v>
      </c>
      <c r="E1095" t="s">
        <v>147</v>
      </c>
      <c r="F1095" s="107">
        <v>100000000</v>
      </c>
    </row>
    <row r="1096" spans="1:6" hidden="1" x14ac:dyDescent="0.25">
      <c r="A1096" s="210" t="s">
        <v>1638</v>
      </c>
      <c r="B1096" s="100">
        <v>46097</v>
      </c>
      <c r="C1096" t="s">
        <v>21</v>
      </c>
      <c r="D1096" t="s">
        <v>22</v>
      </c>
      <c r="E1096" t="s">
        <v>147</v>
      </c>
      <c r="F1096" s="107">
        <v>186956531</v>
      </c>
    </row>
    <row r="1097" spans="1:6" hidden="1" x14ac:dyDescent="0.25">
      <c r="A1097" s="210" t="s">
        <v>1651</v>
      </c>
      <c r="B1097" s="100">
        <v>46097</v>
      </c>
      <c r="C1097" t="s">
        <v>21</v>
      </c>
      <c r="D1097" t="s">
        <v>22</v>
      </c>
      <c r="E1097" t="s">
        <v>261</v>
      </c>
      <c r="F1097" s="107">
        <v>10360000</v>
      </c>
    </row>
    <row r="1098" spans="1:6" hidden="1" x14ac:dyDescent="0.25">
      <c r="A1098" s="210" t="s">
        <v>1663</v>
      </c>
      <c r="B1098" s="100">
        <v>46097</v>
      </c>
      <c r="C1098" t="s">
        <v>21</v>
      </c>
      <c r="D1098" t="s">
        <v>1305</v>
      </c>
      <c r="E1098" t="s">
        <v>147</v>
      </c>
      <c r="F1098" s="107">
        <v>79000000</v>
      </c>
    </row>
    <row r="1099" spans="1:6" hidden="1" x14ac:dyDescent="0.25">
      <c r="A1099" s="210" t="s">
        <v>1692</v>
      </c>
      <c r="B1099" s="100">
        <v>46097</v>
      </c>
      <c r="C1099" t="s">
        <v>21</v>
      </c>
      <c r="D1099" t="s">
        <v>260</v>
      </c>
      <c r="E1099" t="s">
        <v>261</v>
      </c>
      <c r="F1099" s="107">
        <v>100000000</v>
      </c>
    </row>
    <row r="1100" spans="1:6" hidden="1" x14ac:dyDescent="0.25">
      <c r="A1100" s="210" t="s">
        <v>1478</v>
      </c>
      <c r="B1100" s="100">
        <v>46096</v>
      </c>
      <c r="C1100" t="s">
        <v>21</v>
      </c>
      <c r="D1100" t="s">
        <v>22</v>
      </c>
      <c r="E1100" t="s">
        <v>23</v>
      </c>
      <c r="F1100" s="107">
        <v>40000000</v>
      </c>
    </row>
    <row r="1101" spans="1:6" hidden="1" x14ac:dyDescent="0.25">
      <c r="A1101" s="210" t="s">
        <v>1478</v>
      </c>
      <c r="B1101" s="100">
        <v>46096</v>
      </c>
      <c r="C1101" t="s">
        <v>21</v>
      </c>
      <c r="D1101" t="s">
        <v>22</v>
      </c>
      <c r="E1101" t="s">
        <v>23</v>
      </c>
      <c r="F1101" s="107">
        <v>7269000</v>
      </c>
    </row>
    <row r="1102" spans="1:6" hidden="1" x14ac:dyDescent="0.25">
      <c r="A1102" s="210" t="s">
        <v>1478</v>
      </c>
      <c r="B1102" s="100">
        <v>46096</v>
      </c>
      <c r="C1102" t="s">
        <v>21</v>
      </c>
      <c r="D1102" t="s">
        <v>22</v>
      </c>
      <c r="E1102" t="s">
        <v>23</v>
      </c>
      <c r="F1102" s="107">
        <v>1883000</v>
      </c>
    </row>
    <row r="1103" spans="1:6" hidden="1" x14ac:dyDescent="0.25">
      <c r="A1103" s="210" t="s">
        <v>1478</v>
      </c>
      <c r="B1103" s="100">
        <v>46096</v>
      </c>
      <c r="C1103" t="s">
        <v>21</v>
      </c>
      <c r="D1103" t="s">
        <v>22</v>
      </c>
      <c r="E1103" t="s">
        <v>23</v>
      </c>
      <c r="F1103" s="107">
        <v>6270000</v>
      </c>
    </row>
    <row r="1104" spans="1:6" hidden="1" x14ac:dyDescent="0.25">
      <c r="A1104" s="210" t="s">
        <v>1478</v>
      </c>
      <c r="B1104" s="100">
        <v>46096</v>
      </c>
      <c r="C1104" t="s">
        <v>21</v>
      </c>
      <c r="D1104" t="s">
        <v>22</v>
      </c>
      <c r="E1104" t="s">
        <v>23</v>
      </c>
      <c r="F1104" s="107">
        <v>25000000</v>
      </c>
    </row>
    <row r="1105" spans="1:6" hidden="1" x14ac:dyDescent="0.25">
      <c r="A1105" s="210" t="s">
        <v>1609</v>
      </c>
      <c r="B1105" s="100">
        <v>46096</v>
      </c>
      <c r="C1105" t="s">
        <v>21</v>
      </c>
      <c r="D1105" t="s">
        <v>22</v>
      </c>
      <c r="E1105" t="s">
        <v>2067</v>
      </c>
      <c r="F1105" s="107">
        <v>6650000</v>
      </c>
    </row>
    <row r="1106" spans="1:6" hidden="1" x14ac:dyDescent="0.25">
      <c r="A1106" s="210" t="s">
        <v>1478</v>
      </c>
      <c r="B1106" s="100">
        <v>46095</v>
      </c>
      <c r="C1106" t="s">
        <v>21</v>
      </c>
      <c r="D1106" t="s">
        <v>22</v>
      </c>
      <c r="E1106" t="s">
        <v>23</v>
      </c>
      <c r="F1106" s="107">
        <v>3380000</v>
      </c>
    </row>
    <row r="1107" spans="1:6" hidden="1" x14ac:dyDescent="0.25">
      <c r="A1107" s="210" t="s">
        <v>1478</v>
      </c>
      <c r="B1107" s="100">
        <v>46095</v>
      </c>
      <c r="C1107" t="s">
        <v>21</v>
      </c>
      <c r="D1107" t="s">
        <v>22</v>
      </c>
      <c r="E1107" t="s">
        <v>23</v>
      </c>
      <c r="F1107" s="107">
        <v>4715000</v>
      </c>
    </row>
    <row r="1108" spans="1:6" hidden="1" x14ac:dyDescent="0.25">
      <c r="A1108" s="210" t="s">
        <v>1478</v>
      </c>
      <c r="B1108" s="100">
        <v>46095</v>
      </c>
      <c r="C1108" t="s">
        <v>21</v>
      </c>
      <c r="D1108" t="s">
        <v>22</v>
      </c>
      <c r="E1108" t="s">
        <v>23</v>
      </c>
      <c r="F1108" s="107">
        <v>2000000</v>
      </c>
    </row>
    <row r="1109" spans="1:6" hidden="1" x14ac:dyDescent="0.25">
      <c r="A1109" s="210" t="s">
        <v>1506</v>
      </c>
      <c r="B1109" s="100">
        <v>46095</v>
      </c>
      <c r="C1109" t="s">
        <v>21</v>
      </c>
      <c r="D1109" t="s">
        <v>22</v>
      </c>
      <c r="E1109" t="s">
        <v>261</v>
      </c>
      <c r="F1109" s="107">
        <v>200000000</v>
      </c>
    </row>
    <row r="1110" spans="1:6" hidden="1" x14ac:dyDescent="0.25">
      <c r="A1110" s="210" t="s">
        <v>1531</v>
      </c>
      <c r="B1110" s="100">
        <v>46095</v>
      </c>
      <c r="C1110" t="s">
        <v>21</v>
      </c>
      <c r="D1110" t="s">
        <v>22</v>
      </c>
      <c r="E1110" t="s">
        <v>718</v>
      </c>
      <c r="F1110" s="107">
        <v>19132000</v>
      </c>
    </row>
    <row r="1111" spans="1:6" hidden="1" x14ac:dyDescent="0.25">
      <c r="A1111" s="210" t="s">
        <v>1541</v>
      </c>
      <c r="B1111" s="100">
        <v>46095</v>
      </c>
      <c r="C1111" t="s">
        <v>21</v>
      </c>
      <c r="D1111" t="s">
        <v>22</v>
      </c>
      <c r="E1111" t="s">
        <v>147</v>
      </c>
      <c r="F1111" s="107">
        <v>100000000</v>
      </c>
    </row>
    <row r="1112" spans="1:6" hidden="1" x14ac:dyDescent="0.25">
      <c r="A1112" s="210" t="s">
        <v>1568</v>
      </c>
      <c r="B1112" s="100">
        <v>46095</v>
      </c>
      <c r="C1112" t="s">
        <v>21</v>
      </c>
      <c r="D1112" t="s">
        <v>22</v>
      </c>
      <c r="E1112" t="s">
        <v>718</v>
      </c>
      <c r="F1112" s="107">
        <v>31620000</v>
      </c>
    </row>
    <row r="1113" spans="1:6" x14ac:dyDescent="0.25">
      <c r="A1113" s="210" t="s">
        <v>1579</v>
      </c>
      <c r="B1113" s="100">
        <v>46095</v>
      </c>
      <c r="C1113" t="s">
        <v>21</v>
      </c>
      <c r="D1113" t="s">
        <v>22</v>
      </c>
      <c r="E1113" t="s">
        <v>83</v>
      </c>
      <c r="F1113" s="107">
        <v>100000000</v>
      </c>
    </row>
    <row r="1114" spans="1:6" hidden="1" x14ac:dyDescent="0.25">
      <c r="A1114" s="210" t="s">
        <v>1647</v>
      </c>
      <c r="B1114" s="100">
        <v>46095</v>
      </c>
      <c r="C1114" t="s">
        <v>21</v>
      </c>
      <c r="D1114" t="s">
        <v>22</v>
      </c>
      <c r="E1114" t="s">
        <v>2580</v>
      </c>
      <c r="F1114" s="107">
        <v>7182000</v>
      </c>
    </row>
    <row r="1115" spans="1:6" hidden="1" x14ac:dyDescent="0.25">
      <c r="A1115" s="210" t="s">
        <v>1475</v>
      </c>
      <c r="B1115" s="100">
        <v>46094</v>
      </c>
      <c r="C1115" t="s">
        <v>21</v>
      </c>
      <c r="D1115" t="s">
        <v>22</v>
      </c>
      <c r="E1115" t="s">
        <v>2067</v>
      </c>
      <c r="F1115" s="107">
        <v>48953000</v>
      </c>
    </row>
    <row r="1116" spans="1:6" hidden="1" x14ac:dyDescent="0.25">
      <c r="A1116" s="210" t="s">
        <v>1478</v>
      </c>
      <c r="B1116" s="100">
        <v>46094</v>
      </c>
      <c r="C1116" t="s">
        <v>21</v>
      </c>
      <c r="D1116" t="s">
        <v>22</v>
      </c>
      <c r="E1116" t="s">
        <v>23</v>
      </c>
      <c r="F1116" s="107">
        <v>3820000</v>
      </c>
    </row>
    <row r="1117" spans="1:6" hidden="1" x14ac:dyDescent="0.25">
      <c r="A1117" s="210" t="s">
        <v>1478</v>
      </c>
      <c r="B1117" s="100">
        <v>46094</v>
      </c>
      <c r="C1117" t="s">
        <v>21</v>
      </c>
      <c r="D1117" t="s">
        <v>22</v>
      </c>
      <c r="E1117" t="s">
        <v>23</v>
      </c>
      <c r="F1117" s="107">
        <v>60000000</v>
      </c>
    </row>
    <row r="1118" spans="1:6" hidden="1" x14ac:dyDescent="0.25">
      <c r="A1118" s="210" t="s">
        <v>1478</v>
      </c>
      <c r="B1118" s="100">
        <v>46094</v>
      </c>
      <c r="C1118" t="s">
        <v>21</v>
      </c>
      <c r="D1118" t="s">
        <v>22</v>
      </c>
      <c r="E1118" t="s">
        <v>23</v>
      </c>
      <c r="F1118" s="107">
        <v>57808000</v>
      </c>
    </row>
    <row r="1119" spans="1:6" hidden="1" x14ac:dyDescent="0.25">
      <c r="A1119" s="210" t="s">
        <v>1478</v>
      </c>
      <c r="B1119" s="100">
        <v>46094</v>
      </c>
      <c r="C1119" t="s">
        <v>21</v>
      </c>
      <c r="D1119" t="s">
        <v>22</v>
      </c>
      <c r="E1119" t="s">
        <v>23</v>
      </c>
      <c r="F1119" s="107">
        <v>14430000</v>
      </c>
    </row>
    <row r="1120" spans="1:6" hidden="1" x14ac:dyDescent="0.25">
      <c r="A1120" s="210" t="s">
        <v>1478</v>
      </c>
      <c r="B1120" s="100">
        <v>46094</v>
      </c>
      <c r="C1120" t="s">
        <v>21</v>
      </c>
      <c r="D1120" t="s">
        <v>22</v>
      </c>
      <c r="E1120" t="s">
        <v>23</v>
      </c>
      <c r="F1120" s="107">
        <v>30000000</v>
      </c>
    </row>
    <row r="1121" spans="1:6" hidden="1" x14ac:dyDescent="0.25">
      <c r="A1121" s="210" t="s">
        <v>1479</v>
      </c>
      <c r="B1121" s="100">
        <v>46094</v>
      </c>
      <c r="C1121" t="s">
        <v>21</v>
      </c>
      <c r="D1121" t="s">
        <v>22</v>
      </c>
      <c r="E1121" t="s">
        <v>147</v>
      </c>
      <c r="F1121" s="107">
        <v>300000000</v>
      </c>
    </row>
    <row r="1122" spans="1:6" hidden="1" x14ac:dyDescent="0.25">
      <c r="A1122" s="210" t="s">
        <v>1491</v>
      </c>
      <c r="B1122" s="100">
        <v>46094</v>
      </c>
      <c r="C1122" t="s">
        <v>21</v>
      </c>
      <c r="D1122" t="s">
        <v>22</v>
      </c>
      <c r="E1122" t="s">
        <v>147</v>
      </c>
      <c r="F1122" s="107">
        <v>378000000</v>
      </c>
    </row>
    <row r="1123" spans="1:6" hidden="1" x14ac:dyDescent="0.25">
      <c r="A1123" s="210" t="s">
        <v>1494</v>
      </c>
      <c r="B1123" s="100">
        <v>46094</v>
      </c>
      <c r="C1123" t="s">
        <v>21</v>
      </c>
      <c r="D1123" t="s">
        <v>22</v>
      </c>
      <c r="E1123" t="s">
        <v>261</v>
      </c>
      <c r="F1123" s="107">
        <v>50000000</v>
      </c>
    </row>
    <row r="1124" spans="1:6" hidden="1" x14ac:dyDescent="0.25">
      <c r="A1124" s="210" t="s">
        <v>1502</v>
      </c>
      <c r="B1124" s="100">
        <v>46094</v>
      </c>
      <c r="C1124" t="s">
        <v>21</v>
      </c>
      <c r="D1124" t="s">
        <v>22</v>
      </c>
      <c r="E1124" t="s">
        <v>147</v>
      </c>
      <c r="F1124" s="107">
        <v>419077340</v>
      </c>
    </row>
    <row r="1125" spans="1:6" hidden="1" x14ac:dyDescent="0.25">
      <c r="A1125" s="210" t="s">
        <v>1518</v>
      </c>
      <c r="B1125" s="100">
        <v>46094</v>
      </c>
      <c r="C1125" t="s">
        <v>21</v>
      </c>
      <c r="D1125" t="s">
        <v>22</v>
      </c>
      <c r="E1125" t="s">
        <v>23</v>
      </c>
      <c r="F1125" s="107">
        <v>11000000</v>
      </c>
    </row>
    <row r="1126" spans="1:6" hidden="1" x14ac:dyDescent="0.25">
      <c r="A1126" s="210" t="s">
        <v>1531</v>
      </c>
      <c r="B1126" s="100">
        <v>46094</v>
      </c>
      <c r="C1126" t="s">
        <v>21</v>
      </c>
      <c r="D1126" t="s">
        <v>22</v>
      </c>
      <c r="E1126" t="s">
        <v>718</v>
      </c>
      <c r="F1126" s="107">
        <v>4050000</v>
      </c>
    </row>
    <row r="1127" spans="1:6" hidden="1" x14ac:dyDescent="0.25">
      <c r="A1127" s="210" t="s">
        <v>1534</v>
      </c>
      <c r="B1127" s="100">
        <v>46094</v>
      </c>
      <c r="C1127" t="s">
        <v>21</v>
      </c>
      <c r="D1127" t="s">
        <v>22</v>
      </c>
      <c r="E1127" t="s">
        <v>261</v>
      </c>
      <c r="F1127" s="107">
        <v>130501671</v>
      </c>
    </row>
    <row r="1128" spans="1:6" x14ac:dyDescent="0.25">
      <c r="A1128" s="210" t="s">
        <v>1539</v>
      </c>
      <c r="B1128" s="100">
        <v>46094</v>
      </c>
      <c r="C1128" t="s">
        <v>21</v>
      </c>
      <c r="D1128" t="s">
        <v>22</v>
      </c>
      <c r="E1128" t="s">
        <v>83</v>
      </c>
      <c r="F1128" s="107">
        <v>40000000</v>
      </c>
    </row>
    <row r="1129" spans="1:6" hidden="1" x14ac:dyDescent="0.25">
      <c r="A1129" s="210" t="s">
        <v>1545</v>
      </c>
      <c r="B1129" s="100">
        <v>46094</v>
      </c>
      <c r="C1129" t="s">
        <v>21</v>
      </c>
      <c r="D1129" t="s">
        <v>22</v>
      </c>
      <c r="E1129" t="s">
        <v>147</v>
      </c>
      <c r="F1129" s="107">
        <v>100000000</v>
      </c>
    </row>
    <row r="1130" spans="1:6" hidden="1" x14ac:dyDescent="0.25">
      <c r="A1130" s="210" t="s">
        <v>1554</v>
      </c>
      <c r="B1130" s="100">
        <v>46094</v>
      </c>
      <c r="C1130" t="s">
        <v>21</v>
      </c>
      <c r="D1130" t="s">
        <v>22</v>
      </c>
      <c r="E1130" t="s">
        <v>261</v>
      </c>
      <c r="F1130" s="107">
        <v>36568000</v>
      </c>
    </row>
    <row r="1131" spans="1:6" hidden="1" x14ac:dyDescent="0.25">
      <c r="A1131" s="210" t="s">
        <v>1554</v>
      </c>
      <c r="B1131" s="100">
        <v>46094</v>
      </c>
      <c r="C1131" t="s">
        <v>21</v>
      </c>
      <c r="D1131" t="s">
        <v>24</v>
      </c>
      <c r="F1131" s="107">
        <v>100000000</v>
      </c>
    </row>
    <row r="1132" spans="1:6" hidden="1" x14ac:dyDescent="0.25">
      <c r="A1132" s="210" t="s">
        <v>1562</v>
      </c>
      <c r="B1132" s="100">
        <v>46094</v>
      </c>
      <c r="C1132" t="s">
        <v>21</v>
      </c>
      <c r="D1132" t="s">
        <v>22</v>
      </c>
      <c r="E1132" t="s">
        <v>147</v>
      </c>
      <c r="F1132" s="107">
        <v>100000000</v>
      </c>
    </row>
    <row r="1133" spans="1:6" hidden="1" x14ac:dyDescent="0.25">
      <c r="A1133" s="210" t="s">
        <v>1564</v>
      </c>
      <c r="B1133" s="100">
        <v>46094</v>
      </c>
      <c r="C1133" t="s">
        <v>21</v>
      </c>
      <c r="D1133" t="s">
        <v>22</v>
      </c>
      <c r="E1133" t="s">
        <v>147</v>
      </c>
      <c r="F1133" s="107">
        <v>30000000</v>
      </c>
    </row>
    <row r="1134" spans="1:6" hidden="1" x14ac:dyDescent="0.25">
      <c r="A1134" s="210" t="s">
        <v>1575</v>
      </c>
      <c r="B1134" s="100">
        <v>46094</v>
      </c>
      <c r="C1134" t="s">
        <v>21</v>
      </c>
      <c r="D1134" t="s">
        <v>22</v>
      </c>
      <c r="E1134" t="s">
        <v>261</v>
      </c>
      <c r="F1134" s="107">
        <v>100000000</v>
      </c>
    </row>
    <row r="1135" spans="1:6" hidden="1" x14ac:dyDescent="0.25">
      <c r="A1135" s="210" t="s">
        <v>1592</v>
      </c>
      <c r="B1135" s="100">
        <v>46094</v>
      </c>
      <c r="C1135" t="s">
        <v>21</v>
      </c>
      <c r="D1135" t="s">
        <v>22</v>
      </c>
      <c r="E1135" t="s">
        <v>261</v>
      </c>
      <c r="F1135" s="107">
        <v>100000000</v>
      </c>
    </row>
    <row r="1136" spans="1:6" hidden="1" x14ac:dyDescent="0.25">
      <c r="A1136" s="210" t="s">
        <v>1595</v>
      </c>
      <c r="B1136" s="100">
        <v>46094</v>
      </c>
      <c r="C1136" t="s">
        <v>21</v>
      </c>
      <c r="D1136" t="s">
        <v>22</v>
      </c>
      <c r="E1136" t="s">
        <v>23</v>
      </c>
      <c r="F1136" s="107">
        <v>50000000</v>
      </c>
    </row>
    <row r="1137" spans="1:6" hidden="1" x14ac:dyDescent="0.25">
      <c r="A1137" s="210" t="s">
        <v>1609</v>
      </c>
      <c r="B1137" s="100">
        <v>46094</v>
      </c>
      <c r="C1137" t="s">
        <v>21</v>
      </c>
      <c r="D1137" t="s">
        <v>22</v>
      </c>
      <c r="E1137" t="s">
        <v>2067</v>
      </c>
      <c r="F1137" s="107">
        <v>8750000</v>
      </c>
    </row>
    <row r="1138" spans="1:6" hidden="1" x14ac:dyDescent="0.25">
      <c r="A1138" s="210" t="s">
        <v>1623</v>
      </c>
      <c r="B1138" s="100">
        <v>46094</v>
      </c>
      <c r="C1138" t="s">
        <v>21</v>
      </c>
      <c r="D1138" t="s">
        <v>22</v>
      </c>
      <c r="E1138" t="s">
        <v>147</v>
      </c>
      <c r="F1138" s="107">
        <v>120000000</v>
      </c>
    </row>
    <row r="1139" spans="1:6" hidden="1" x14ac:dyDescent="0.25">
      <c r="A1139" s="210" t="s">
        <v>1646</v>
      </c>
      <c r="B1139" s="100">
        <v>46094</v>
      </c>
      <c r="C1139" t="s">
        <v>21</v>
      </c>
      <c r="D1139" t="s">
        <v>22</v>
      </c>
      <c r="E1139" t="s">
        <v>147</v>
      </c>
      <c r="F1139" s="107">
        <v>30000000</v>
      </c>
    </row>
    <row r="1140" spans="1:6" hidden="1" x14ac:dyDescent="0.25">
      <c r="A1140" s="210" t="s">
        <v>1653</v>
      </c>
      <c r="B1140" s="100">
        <v>46094</v>
      </c>
      <c r="C1140" t="s">
        <v>21</v>
      </c>
      <c r="D1140" t="s">
        <v>22</v>
      </c>
      <c r="E1140" t="s">
        <v>147</v>
      </c>
      <c r="F1140" s="107">
        <v>43170600</v>
      </c>
    </row>
    <row r="1141" spans="1:6" x14ac:dyDescent="0.25">
      <c r="A1141" s="210" t="s">
        <v>1658</v>
      </c>
      <c r="B1141" s="100">
        <v>46094</v>
      </c>
      <c r="C1141" t="s">
        <v>21</v>
      </c>
      <c r="D1141" t="s">
        <v>1277</v>
      </c>
      <c r="E1141" t="s">
        <v>83</v>
      </c>
      <c r="F1141" s="107">
        <v>50000000</v>
      </c>
    </row>
    <row r="1142" spans="1:6" x14ac:dyDescent="0.25">
      <c r="A1142" s="210" t="s">
        <v>2016</v>
      </c>
      <c r="B1142" s="100">
        <v>46094</v>
      </c>
      <c r="C1142" t="s">
        <v>2214</v>
      </c>
      <c r="D1142" t="s">
        <v>22</v>
      </c>
      <c r="E1142" t="s">
        <v>83</v>
      </c>
      <c r="F1142" s="107">
        <v>-100000000</v>
      </c>
    </row>
    <row r="1143" spans="1:6" x14ac:dyDescent="0.25">
      <c r="A1143" s="210" t="s">
        <v>1672</v>
      </c>
      <c r="B1143" s="100">
        <v>46094</v>
      </c>
      <c r="C1143" t="s">
        <v>2214</v>
      </c>
      <c r="D1143" t="s">
        <v>22</v>
      </c>
      <c r="E1143" t="s">
        <v>83</v>
      </c>
      <c r="F1143" s="107">
        <v>-70000000</v>
      </c>
    </row>
    <row r="1144" spans="1:6" x14ac:dyDescent="0.25">
      <c r="A1144" s="210" t="s">
        <v>1702</v>
      </c>
      <c r="B1144" s="100">
        <v>46094</v>
      </c>
      <c r="C1144" t="s">
        <v>2214</v>
      </c>
      <c r="D1144" t="s">
        <v>22</v>
      </c>
      <c r="E1144" t="s">
        <v>83</v>
      </c>
      <c r="F1144" s="107">
        <v>-59790598</v>
      </c>
    </row>
    <row r="1145" spans="1:6" hidden="1" x14ac:dyDescent="0.25">
      <c r="A1145" s="210" t="s">
        <v>1475</v>
      </c>
      <c r="B1145" s="100">
        <v>46093</v>
      </c>
      <c r="C1145" t="s">
        <v>21</v>
      </c>
      <c r="D1145" t="s">
        <v>22</v>
      </c>
      <c r="E1145" t="s">
        <v>2067</v>
      </c>
      <c r="F1145" s="107">
        <v>34040000</v>
      </c>
    </row>
    <row r="1146" spans="1:6" hidden="1" x14ac:dyDescent="0.25">
      <c r="A1146" s="210" t="s">
        <v>1475</v>
      </c>
      <c r="B1146" s="100">
        <v>46093</v>
      </c>
      <c r="C1146" t="s">
        <v>21</v>
      </c>
      <c r="D1146" t="s">
        <v>22</v>
      </c>
      <c r="E1146" t="s">
        <v>2067</v>
      </c>
      <c r="F1146" s="107">
        <v>16000000</v>
      </c>
    </row>
    <row r="1147" spans="1:6" hidden="1" x14ac:dyDescent="0.25">
      <c r="A1147" s="210" t="s">
        <v>1478</v>
      </c>
      <c r="B1147" s="100">
        <v>46093</v>
      </c>
      <c r="C1147" t="s">
        <v>21</v>
      </c>
      <c r="D1147" t="s">
        <v>22</v>
      </c>
      <c r="E1147" t="s">
        <v>147</v>
      </c>
      <c r="F1147" s="107">
        <v>5000000</v>
      </c>
    </row>
    <row r="1148" spans="1:6" hidden="1" x14ac:dyDescent="0.25">
      <c r="A1148" s="210" t="s">
        <v>1478</v>
      </c>
      <c r="B1148" s="100">
        <v>46093</v>
      </c>
      <c r="C1148" t="s">
        <v>21</v>
      </c>
      <c r="D1148" t="s">
        <v>22</v>
      </c>
      <c r="E1148" t="s">
        <v>23</v>
      </c>
      <c r="F1148" s="107">
        <v>68000000</v>
      </c>
    </row>
    <row r="1149" spans="1:6" hidden="1" x14ac:dyDescent="0.25">
      <c r="A1149" s="210" t="s">
        <v>1478</v>
      </c>
      <c r="B1149" s="100">
        <v>46093</v>
      </c>
      <c r="C1149" t="s">
        <v>21</v>
      </c>
      <c r="D1149" t="s">
        <v>22</v>
      </c>
      <c r="E1149" t="s">
        <v>23</v>
      </c>
      <c r="F1149" s="107">
        <v>30000000</v>
      </c>
    </row>
    <row r="1150" spans="1:6" hidden="1" x14ac:dyDescent="0.25">
      <c r="A1150" s="210" t="s">
        <v>1478</v>
      </c>
      <c r="B1150" s="100">
        <v>46093</v>
      </c>
      <c r="C1150" t="s">
        <v>21</v>
      </c>
      <c r="D1150" t="s">
        <v>22</v>
      </c>
      <c r="E1150" t="s">
        <v>23</v>
      </c>
      <c r="F1150" s="107">
        <v>30000000</v>
      </c>
    </row>
    <row r="1151" spans="1:6" hidden="1" x14ac:dyDescent="0.25">
      <c r="A1151" s="210" t="s">
        <v>1478</v>
      </c>
      <c r="B1151" s="100">
        <v>46093</v>
      </c>
      <c r="C1151" t="s">
        <v>21</v>
      </c>
      <c r="D1151" t="s">
        <v>22</v>
      </c>
      <c r="E1151" t="s">
        <v>23</v>
      </c>
      <c r="F1151" s="107">
        <v>7470000</v>
      </c>
    </row>
    <row r="1152" spans="1:6" hidden="1" x14ac:dyDescent="0.25">
      <c r="A1152" s="210" t="s">
        <v>1485</v>
      </c>
      <c r="B1152" s="100">
        <v>46093</v>
      </c>
      <c r="C1152" t="s">
        <v>21</v>
      </c>
      <c r="D1152" t="s">
        <v>22</v>
      </c>
      <c r="E1152" t="s">
        <v>147</v>
      </c>
      <c r="F1152" s="107">
        <v>200000000</v>
      </c>
    </row>
    <row r="1153" spans="1:6" hidden="1" x14ac:dyDescent="0.25">
      <c r="A1153" s="210" t="s">
        <v>1493</v>
      </c>
      <c r="B1153" s="100">
        <v>46093</v>
      </c>
      <c r="C1153" t="s">
        <v>21</v>
      </c>
      <c r="D1153" t="s">
        <v>22</v>
      </c>
      <c r="E1153" t="s">
        <v>261</v>
      </c>
      <c r="F1153" s="107">
        <v>120000000</v>
      </c>
    </row>
    <row r="1154" spans="1:6" hidden="1" x14ac:dyDescent="0.25">
      <c r="A1154" s="210" t="s">
        <v>1518</v>
      </c>
      <c r="B1154" s="100">
        <v>46093</v>
      </c>
      <c r="C1154" t="s">
        <v>21</v>
      </c>
      <c r="D1154" t="s">
        <v>22</v>
      </c>
      <c r="E1154" t="s">
        <v>23</v>
      </c>
      <c r="F1154" s="107">
        <v>20000000</v>
      </c>
    </row>
    <row r="1155" spans="1:6" hidden="1" x14ac:dyDescent="0.25">
      <c r="A1155" s="210" t="s">
        <v>1530</v>
      </c>
      <c r="B1155" s="100">
        <v>46093</v>
      </c>
      <c r="C1155" t="s">
        <v>21</v>
      </c>
      <c r="D1155" t="s">
        <v>22</v>
      </c>
      <c r="E1155" t="s">
        <v>261</v>
      </c>
      <c r="F1155" s="107">
        <v>148628200</v>
      </c>
    </row>
    <row r="1156" spans="1:6" hidden="1" x14ac:dyDescent="0.25">
      <c r="A1156" s="210" t="s">
        <v>1531</v>
      </c>
      <c r="B1156" s="100">
        <v>46093</v>
      </c>
      <c r="C1156" t="s">
        <v>21</v>
      </c>
      <c r="D1156" t="s">
        <v>22</v>
      </c>
      <c r="E1156" t="s">
        <v>718</v>
      </c>
      <c r="F1156" s="107">
        <v>30000000</v>
      </c>
    </row>
    <row r="1157" spans="1:6" hidden="1" x14ac:dyDescent="0.25">
      <c r="A1157" s="210" t="s">
        <v>1531</v>
      </c>
      <c r="B1157" s="100">
        <v>46093</v>
      </c>
      <c r="C1157" t="s">
        <v>21</v>
      </c>
      <c r="D1157" t="s">
        <v>22</v>
      </c>
      <c r="E1157" t="s">
        <v>718</v>
      </c>
      <c r="F1157" s="107">
        <v>20000000</v>
      </c>
    </row>
    <row r="1158" spans="1:6" hidden="1" x14ac:dyDescent="0.25">
      <c r="A1158" s="210" t="s">
        <v>1568</v>
      </c>
      <c r="B1158" s="100">
        <v>46093</v>
      </c>
      <c r="C1158" t="s">
        <v>21</v>
      </c>
      <c r="D1158" t="s">
        <v>24</v>
      </c>
      <c r="F1158" s="107">
        <v>120000000</v>
      </c>
    </row>
    <row r="1159" spans="1:6" hidden="1" x14ac:dyDescent="0.25">
      <c r="A1159" s="210" t="s">
        <v>1568</v>
      </c>
      <c r="B1159" s="100">
        <v>46093</v>
      </c>
      <c r="C1159" t="s">
        <v>21</v>
      </c>
      <c r="D1159" t="s">
        <v>22</v>
      </c>
      <c r="E1159" t="s">
        <v>718</v>
      </c>
      <c r="F1159" s="107">
        <v>18411000</v>
      </c>
    </row>
    <row r="1160" spans="1:6" hidden="1" x14ac:dyDescent="0.25">
      <c r="A1160" s="210" t="s">
        <v>1568</v>
      </c>
      <c r="B1160" s="100">
        <v>46093</v>
      </c>
      <c r="C1160" t="s">
        <v>21</v>
      </c>
      <c r="D1160" t="s">
        <v>22</v>
      </c>
      <c r="E1160" t="s">
        <v>718</v>
      </c>
      <c r="F1160" s="107">
        <v>104013000</v>
      </c>
    </row>
    <row r="1161" spans="1:6" x14ac:dyDescent="0.25">
      <c r="A1161" s="210" t="s">
        <v>1582</v>
      </c>
      <c r="B1161" s="100">
        <v>46093</v>
      </c>
      <c r="C1161" t="s">
        <v>21</v>
      </c>
      <c r="D1161" t="s">
        <v>22</v>
      </c>
      <c r="E1161" t="s">
        <v>83</v>
      </c>
      <c r="F1161" s="107">
        <v>74243013</v>
      </c>
    </row>
    <row r="1162" spans="1:6" hidden="1" x14ac:dyDescent="0.25">
      <c r="A1162" s="210" t="s">
        <v>1610</v>
      </c>
      <c r="B1162" s="100">
        <v>46093</v>
      </c>
      <c r="C1162" t="s">
        <v>21</v>
      </c>
      <c r="D1162" t="s">
        <v>24</v>
      </c>
      <c r="F1162" s="107">
        <v>296800000</v>
      </c>
    </row>
    <row r="1163" spans="1:6" hidden="1" x14ac:dyDescent="0.25">
      <c r="A1163" s="210" t="s">
        <v>1475</v>
      </c>
      <c r="B1163" s="100">
        <v>46092</v>
      </c>
      <c r="C1163" t="s">
        <v>21</v>
      </c>
      <c r="D1163" t="s">
        <v>22</v>
      </c>
      <c r="E1163" t="s">
        <v>2067</v>
      </c>
      <c r="F1163" s="107">
        <v>16718000</v>
      </c>
    </row>
    <row r="1164" spans="1:6" hidden="1" x14ac:dyDescent="0.25">
      <c r="A1164" s="210" t="s">
        <v>1475</v>
      </c>
      <c r="B1164" s="100">
        <v>46092</v>
      </c>
      <c r="C1164" t="s">
        <v>21</v>
      </c>
      <c r="D1164" t="s">
        <v>22</v>
      </c>
      <c r="E1164" t="s">
        <v>2067</v>
      </c>
      <c r="F1164" s="107">
        <v>98000000</v>
      </c>
    </row>
    <row r="1165" spans="1:6" hidden="1" x14ac:dyDescent="0.25">
      <c r="A1165" s="210" t="s">
        <v>1478</v>
      </c>
      <c r="B1165" s="100">
        <v>46092</v>
      </c>
      <c r="C1165" t="s">
        <v>21</v>
      </c>
      <c r="D1165" t="s">
        <v>22</v>
      </c>
      <c r="E1165" t="s">
        <v>23</v>
      </c>
      <c r="F1165" s="107">
        <v>17090000</v>
      </c>
    </row>
    <row r="1166" spans="1:6" hidden="1" x14ac:dyDescent="0.25">
      <c r="A1166" s="210" t="s">
        <v>1478</v>
      </c>
      <c r="B1166" s="100">
        <v>46092</v>
      </c>
      <c r="C1166" t="s">
        <v>21</v>
      </c>
      <c r="D1166" t="s">
        <v>22</v>
      </c>
      <c r="E1166" t="s">
        <v>23</v>
      </c>
      <c r="F1166" s="107">
        <v>8140000</v>
      </c>
    </row>
    <row r="1167" spans="1:6" hidden="1" x14ac:dyDescent="0.25">
      <c r="A1167" s="210" t="s">
        <v>1478</v>
      </c>
      <c r="B1167" s="100">
        <v>46092</v>
      </c>
      <c r="C1167" t="s">
        <v>21</v>
      </c>
      <c r="D1167" t="s">
        <v>22</v>
      </c>
      <c r="E1167" t="s">
        <v>23</v>
      </c>
      <c r="F1167" s="107">
        <v>25000000</v>
      </c>
    </row>
    <row r="1168" spans="1:6" hidden="1" x14ac:dyDescent="0.25">
      <c r="A1168" s="210" t="s">
        <v>1478</v>
      </c>
      <c r="B1168" s="100">
        <v>46092</v>
      </c>
      <c r="C1168" t="s">
        <v>21</v>
      </c>
      <c r="D1168" t="s">
        <v>22</v>
      </c>
      <c r="E1168" t="s">
        <v>23</v>
      </c>
      <c r="F1168" s="107">
        <v>3831000</v>
      </c>
    </row>
    <row r="1169" spans="1:6" hidden="1" x14ac:dyDescent="0.25">
      <c r="A1169" s="210" t="s">
        <v>1518</v>
      </c>
      <c r="B1169" s="100">
        <v>46092</v>
      </c>
      <c r="C1169" t="s">
        <v>21</v>
      </c>
      <c r="D1169" t="s">
        <v>22</v>
      </c>
      <c r="E1169" t="s">
        <v>23</v>
      </c>
      <c r="F1169" s="107">
        <v>793000</v>
      </c>
    </row>
    <row r="1170" spans="1:6" hidden="1" x14ac:dyDescent="0.25">
      <c r="A1170" s="210" t="s">
        <v>1525</v>
      </c>
      <c r="B1170" s="100">
        <v>46092</v>
      </c>
      <c r="C1170" t="s">
        <v>21</v>
      </c>
      <c r="D1170" t="s">
        <v>22</v>
      </c>
      <c r="E1170" t="s">
        <v>261</v>
      </c>
      <c r="F1170" s="107">
        <v>250000000</v>
      </c>
    </row>
    <row r="1171" spans="1:6" hidden="1" x14ac:dyDescent="0.25">
      <c r="A1171" s="210" t="s">
        <v>1531</v>
      </c>
      <c r="B1171" s="100">
        <v>46092</v>
      </c>
      <c r="C1171" t="s">
        <v>21</v>
      </c>
      <c r="D1171" t="s">
        <v>24</v>
      </c>
      <c r="F1171" s="107">
        <v>150000000</v>
      </c>
    </row>
    <row r="1172" spans="1:6" hidden="1" x14ac:dyDescent="0.25">
      <c r="A1172" s="210" t="s">
        <v>1574</v>
      </c>
      <c r="B1172" s="100">
        <v>46092</v>
      </c>
      <c r="C1172" t="s">
        <v>21</v>
      </c>
      <c r="D1172" t="s">
        <v>22</v>
      </c>
      <c r="E1172" t="s">
        <v>23</v>
      </c>
      <c r="F1172" s="107">
        <v>14930000</v>
      </c>
    </row>
    <row r="1173" spans="1:6" hidden="1" x14ac:dyDescent="0.25">
      <c r="A1173" s="210" t="s">
        <v>1544</v>
      </c>
      <c r="B1173" s="100">
        <v>46092</v>
      </c>
      <c r="C1173" t="s">
        <v>21</v>
      </c>
      <c r="D1173" t="s">
        <v>22</v>
      </c>
      <c r="E1173" t="s">
        <v>261</v>
      </c>
      <c r="F1173" s="107">
        <v>116476800</v>
      </c>
    </row>
    <row r="1174" spans="1:6" hidden="1" x14ac:dyDescent="0.25">
      <c r="A1174" s="210" t="s">
        <v>1568</v>
      </c>
      <c r="B1174" s="100">
        <v>46092</v>
      </c>
      <c r="C1174" t="s">
        <v>21</v>
      </c>
      <c r="D1174" t="s">
        <v>24</v>
      </c>
      <c r="F1174" s="107">
        <v>15300000</v>
      </c>
    </row>
    <row r="1175" spans="1:6" hidden="1" x14ac:dyDescent="0.25">
      <c r="A1175" s="210" t="s">
        <v>1568</v>
      </c>
      <c r="B1175" s="100">
        <v>46092</v>
      </c>
      <c r="C1175" t="s">
        <v>21</v>
      </c>
      <c r="D1175" t="s">
        <v>22</v>
      </c>
      <c r="E1175" t="s">
        <v>718</v>
      </c>
      <c r="F1175" s="107">
        <v>100000000</v>
      </c>
    </row>
    <row r="1176" spans="1:6" hidden="1" x14ac:dyDescent="0.25">
      <c r="A1176" s="210" t="s">
        <v>1609</v>
      </c>
      <c r="B1176" s="100">
        <v>46092</v>
      </c>
      <c r="C1176" t="s">
        <v>21</v>
      </c>
      <c r="D1176" t="s">
        <v>22</v>
      </c>
      <c r="E1176" t="s">
        <v>2067</v>
      </c>
      <c r="F1176" s="107">
        <v>6900000</v>
      </c>
    </row>
    <row r="1177" spans="1:6" hidden="1" x14ac:dyDescent="0.25">
      <c r="A1177" s="210" t="s">
        <v>2548</v>
      </c>
      <c r="B1177" s="100">
        <v>46092</v>
      </c>
      <c r="C1177" t="s">
        <v>21</v>
      </c>
      <c r="D1177" t="s">
        <v>22</v>
      </c>
      <c r="E1177" t="s">
        <v>147</v>
      </c>
      <c r="F1177" s="107">
        <v>971883691</v>
      </c>
    </row>
    <row r="1178" spans="1:6" x14ac:dyDescent="0.25">
      <c r="A1178" s="210" t="s">
        <v>1622</v>
      </c>
      <c r="B1178" s="100">
        <v>46092</v>
      </c>
      <c r="C1178" t="s">
        <v>21</v>
      </c>
      <c r="D1178" t="s">
        <v>22</v>
      </c>
      <c r="E1178" t="s">
        <v>83</v>
      </c>
      <c r="F1178" s="107">
        <v>92502208</v>
      </c>
    </row>
    <row r="1179" spans="1:6" x14ac:dyDescent="0.25">
      <c r="A1179" s="210" t="s">
        <v>1635</v>
      </c>
      <c r="B1179" s="100">
        <v>46092</v>
      </c>
      <c r="C1179" t="s">
        <v>21</v>
      </c>
      <c r="D1179" t="s">
        <v>22</v>
      </c>
      <c r="E1179" t="s">
        <v>83</v>
      </c>
      <c r="F1179" s="107">
        <v>150000000</v>
      </c>
    </row>
    <row r="1180" spans="1:6" hidden="1" x14ac:dyDescent="0.25">
      <c r="A1180" s="210" t="s">
        <v>1641</v>
      </c>
      <c r="B1180" s="100">
        <v>46092</v>
      </c>
      <c r="C1180" t="s">
        <v>21</v>
      </c>
      <c r="D1180" t="s">
        <v>22</v>
      </c>
      <c r="E1180" t="s">
        <v>147</v>
      </c>
      <c r="F1180" s="107">
        <v>100000000</v>
      </c>
    </row>
    <row r="1181" spans="1:6" hidden="1" x14ac:dyDescent="0.25">
      <c r="A1181" s="210" t="s">
        <v>1475</v>
      </c>
      <c r="B1181" s="100">
        <v>46091</v>
      </c>
      <c r="C1181" t="s">
        <v>21</v>
      </c>
      <c r="D1181" t="s">
        <v>22</v>
      </c>
      <c r="E1181" t="s">
        <v>2067</v>
      </c>
      <c r="F1181" s="107">
        <v>2934000</v>
      </c>
    </row>
    <row r="1182" spans="1:6" hidden="1" x14ac:dyDescent="0.25">
      <c r="A1182" s="210" t="s">
        <v>1478</v>
      </c>
      <c r="B1182" s="100">
        <v>46091</v>
      </c>
      <c r="C1182" t="s">
        <v>21</v>
      </c>
      <c r="D1182" t="s">
        <v>22</v>
      </c>
      <c r="E1182" t="s">
        <v>147</v>
      </c>
      <c r="F1182" s="107">
        <v>49386000</v>
      </c>
    </row>
    <row r="1183" spans="1:6" hidden="1" x14ac:dyDescent="0.25">
      <c r="A1183" s="210" t="s">
        <v>1518</v>
      </c>
      <c r="B1183" s="100">
        <v>46091</v>
      </c>
      <c r="C1183" t="s">
        <v>21</v>
      </c>
      <c r="D1183" t="s">
        <v>260</v>
      </c>
      <c r="E1183" t="s">
        <v>261</v>
      </c>
      <c r="F1183" s="107">
        <v>50000000</v>
      </c>
    </row>
    <row r="1184" spans="1:6" hidden="1" x14ac:dyDescent="0.25">
      <c r="A1184" s="210" t="s">
        <v>1536</v>
      </c>
      <c r="B1184" s="100">
        <v>46091</v>
      </c>
      <c r="C1184" t="s">
        <v>21</v>
      </c>
      <c r="D1184" t="s">
        <v>22</v>
      </c>
      <c r="E1184" t="s">
        <v>147</v>
      </c>
      <c r="F1184" s="107">
        <v>93147820</v>
      </c>
    </row>
    <row r="1185" spans="1:6" x14ac:dyDescent="0.25">
      <c r="A1185" s="210" t="s">
        <v>1582</v>
      </c>
      <c r="B1185" s="100">
        <v>46091</v>
      </c>
      <c r="C1185" t="s">
        <v>21</v>
      </c>
      <c r="D1185" t="s">
        <v>22</v>
      </c>
      <c r="E1185" t="s">
        <v>83</v>
      </c>
      <c r="F1185" s="107">
        <v>150000000</v>
      </c>
    </row>
    <row r="1186" spans="1:6" hidden="1" x14ac:dyDescent="0.25">
      <c r="A1186" s="210" t="s">
        <v>1595</v>
      </c>
      <c r="B1186" s="100">
        <v>46091</v>
      </c>
      <c r="C1186" t="s">
        <v>21</v>
      </c>
      <c r="D1186" t="s">
        <v>22</v>
      </c>
      <c r="E1186" t="s">
        <v>23</v>
      </c>
      <c r="F1186" s="107">
        <v>8420000</v>
      </c>
    </row>
    <row r="1187" spans="1:6" hidden="1" x14ac:dyDescent="0.25">
      <c r="A1187" s="210" t="s">
        <v>1614</v>
      </c>
      <c r="B1187" s="100">
        <v>46091</v>
      </c>
      <c r="C1187" t="s">
        <v>21</v>
      </c>
      <c r="D1187" t="s">
        <v>22</v>
      </c>
      <c r="E1187" t="s">
        <v>261</v>
      </c>
      <c r="F1187" s="107">
        <v>50000000</v>
      </c>
    </row>
    <row r="1188" spans="1:6" hidden="1" x14ac:dyDescent="0.25">
      <c r="A1188" s="210" t="s">
        <v>1615</v>
      </c>
      <c r="B1188" s="100">
        <v>46091</v>
      </c>
      <c r="C1188" t="s">
        <v>21</v>
      </c>
      <c r="D1188" t="s">
        <v>22</v>
      </c>
      <c r="E1188" t="s">
        <v>147</v>
      </c>
      <c r="F1188" s="107">
        <v>33363561</v>
      </c>
    </row>
    <row r="1189" spans="1:6" hidden="1" x14ac:dyDescent="0.25">
      <c r="A1189" s="210" t="s">
        <v>1478</v>
      </c>
      <c r="B1189" s="100">
        <v>46090</v>
      </c>
      <c r="C1189" t="s">
        <v>21</v>
      </c>
      <c r="D1189" t="s">
        <v>22</v>
      </c>
      <c r="E1189" t="s">
        <v>23</v>
      </c>
      <c r="F1189" s="107">
        <v>10000000</v>
      </c>
    </row>
    <row r="1190" spans="1:6" hidden="1" x14ac:dyDescent="0.25">
      <c r="A1190" s="210" t="s">
        <v>1478</v>
      </c>
      <c r="B1190" s="100">
        <v>46090</v>
      </c>
      <c r="C1190" t="s">
        <v>21</v>
      </c>
      <c r="D1190" t="s">
        <v>22</v>
      </c>
      <c r="E1190" t="s">
        <v>23</v>
      </c>
      <c r="F1190" s="107">
        <v>13510000</v>
      </c>
    </row>
    <row r="1191" spans="1:6" hidden="1" x14ac:dyDescent="0.25">
      <c r="A1191" s="210" t="s">
        <v>1520</v>
      </c>
      <c r="B1191" s="100">
        <v>46090</v>
      </c>
      <c r="C1191" t="s">
        <v>21</v>
      </c>
      <c r="D1191" t="s">
        <v>22</v>
      </c>
      <c r="E1191" t="s">
        <v>261</v>
      </c>
      <c r="F1191" s="107">
        <v>59879501</v>
      </c>
    </row>
    <row r="1192" spans="1:6" hidden="1" x14ac:dyDescent="0.25">
      <c r="A1192" s="210" t="s">
        <v>1536</v>
      </c>
      <c r="B1192" s="100">
        <v>46090</v>
      </c>
      <c r="C1192" t="s">
        <v>21</v>
      </c>
      <c r="D1192" t="s">
        <v>22</v>
      </c>
      <c r="E1192" t="s">
        <v>261</v>
      </c>
      <c r="F1192" s="107">
        <v>41536935</v>
      </c>
    </row>
    <row r="1193" spans="1:6" hidden="1" x14ac:dyDescent="0.25">
      <c r="A1193" s="210" t="s">
        <v>1541</v>
      </c>
      <c r="B1193" s="100">
        <v>46090</v>
      </c>
      <c r="C1193" t="s">
        <v>21</v>
      </c>
      <c r="D1193" t="s">
        <v>22</v>
      </c>
      <c r="E1193" t="s">
        <v>147</v>
      </c>
      <c r="F1193" s="107">
        <v>75000000</v>
      </c>
    </row>
    <row r="1194" spans="1:6" hidden="1" x14ac:dyDescent="0.25">
      <c r="A1194" s="210" t="s">
        <v>1574</v>
      </c>
      <c r="B1194" s="100">
        <v>46090</v>
      </c>
      <c r="C1194" t="s">
        <v>21</v>
      </c>
      <c r="D1194" t="s">
        <v>22</v>
      </c>
      <c r="E1194" t="s">
        <v>23</v>
      </c>
      <c r="F1194" s="107">
        <v>14000000</v>
      </c>
    </row>
    <row r="1195" spans="1:6" hidden="1" x14ac:dyDescent="0.25">
      <c r="A1195" s="210" t="s">
        <v>1551</v>
      </c>
      <c r="B1195" s="100">
        <v>46090</v>
      </c>
      <c r="C1195" t="s">
        <v>21</v>
      </c>
      <c r="D1195" t="s">
        <v>22</v>
      </c>
      <c r="E1195" t="s">
        <v>261</v>
      </c>
      <c r="F1195" s="107">
        <v>11340000</v>
      </c>
    </row>
    <row r="1196" spans="1:6" hidden="1" x14ac:dyDescent="0.25">
      <c r="A1196" s="210" t="s">
        <v>1568</v>
      </c>
      <c r="B1196" s="100">
        <v>46090</v>
      </c>
      <c r="C1196" t="s">
        <v>21</v>
      </c>
      <c r="D1196" t="s">
        <v>22</v>
      </c>
      <c r="E1196" t="s">
        <v>718</v>
      </c>
      <c r="F1196" s="107">
        <v>82720000</v>
      </c>
    </row>
    <row r="1197" spans="1:6" x14ac:dyDescent="0.25">
      <c r="A1197" s="210" t="s">
        <v>1637</v>
      </c>
      <c r="B1197" s="100">
        <v>46090</v>
      </c>
      <c r="C1197" t="s">
        <v>21</v>
      </c>
      <c r="D1197" t="s">
        <v>22</v>
      </c>
      <c r="E1197" t="s">
        <v>83</v>
      </c>
      <c r="F1197" s="107">
        <v>24421650</v>
      </c>
    </row>
    <row r="1198" spans="1:6" hidden="1" x14ac:dyDescent="0.25">
      <c r="A1198" s="210" t="s">
        <v>1593</v>
      </c>
      <c r="B1198" s="100">
        <v>46090</v>
      </c>
      <c r="C1198" t="s">
        <v>21</v>
      </c>
      <c r="D1198" t="s">
        <v>22</v>
      </c>
      <c r="E1198" t="s">
        <v>261</v>
      </c>
      <c r="F1198" s="107">
        <v>80619000</v>
      </c>
    </row>
    <row r="1199" spans="1:6" hidden="1" x14ac:dyDescent="0.25">
      <c r="A1199" s="210" t="s">
        <v>1628</v>
      </c>
      <c r="B1199" s="100">
        <v>46090</v>
      </c>
      <c r="C1199" t="s">
        <v>2214</v>
      </c>
      <c r="F1199" s="107">
        <v>-1482857689</v>
      </c>
    </row>
    <row r="1200" spans="1:6" hidden="1" x14ac:dyDescent="0.25">
      <c r="A1200" s="210" t="s">
        <v>1566</v>
      </c>
      <c r="B1200" s="100">
        <v>46090</v>
      </c>
      <c r="C1200" t="s">
        <v>21</v>
      </c>
      <c r="D1200" t="s">
        <v>22</v>
      </c>
      <c r="E1200" t="s">
        <v>261</v>
      </c>
      <c r="F1200" s="107">
        <v>72071506</v>
      </c>
    </row>
    <row r="1201" spans="1:6" hidden="1" x14ac:dyDescent="0.25">
      <c r="A1201" s="210" t="s">
        <v>1677</v>
      </c>
      <c r="B1201" s="100">
        <v>46090</v>
      </c>
      <c r="C1201" t="s">
        <v>21</v>
      </c>
      <c r="D1201" t="s">
        <v>22</v>
      </c>
      <c r="E1201" t="s">
        <v>147</v>
      </c>
      <c r="F1201" s="107">
        <v>30008000</v>
      </c>
    </row>
    <row r="1202" spans="1:6" hidden="1" x14ac:dyDescent="0.25">
      <c r="A1202" s="210" t="s">
        <v>1692</v>
      </c>
      <c r="B1202" s="100">
        <v>46090</v>
      </c>
      <c r="C1202" t="s">
        <v>21</v>
      </c>
      <c r="D1202" t="s">
        <v>260</v>
      </c>
      <c r="E1202" t="s">
        <v>261</v>
      </c>
      <c r="F1202" s="107">
        <v>100000000</v>
      </c>
    </row>
    <row r="1203" spans="1:6" hidden="1" x14ac:dyDescent="0.25">
      <c r="A1203" s="210" t="s">
        <v>1475</v>
      </c>
      <c r="B1203" s="100">
        <v>46089</v>
      </c>
      <c r="C1203" t="s">
        <v>21</v>
      </c>
      <c r="D1203" t="s">
        <v>22</v>
      </c>
      <c r="E1203" t="s">
        <v>2067</v>
      </c>
      <c r="F1203" s="107">
        <v>6910000</v>
      </c>
    </row>
    <row r="1204" spans="1:6" hidden="1" x14ac:dyDescent="0.25">
      <c r="A1204" s="210" t="s">
        <v>1475</v>
      </c>
      <c r="B1204" s="100">
        <v>46089</v>
      </c>
      <c r="C1204" t="s">
        <v>21</v>
      </c>
      <c r="D1204" t="s">
        <v>22</v>
      </c>
      <c r="E1204" t="s">
        <v>2067</v>
      </c>
      <c r="F1204" s="107">
        <v>6750000</v>
      </c>
    </row>
    <row r="1205" spans="1:6" hidden="1" x14ac:dyDescent="0.25">
      <c r="A1205" s="210" t="s">
        <v>1475</v>
      </c>
      <c r="B1205" s="100">
        <v>46088</v>
      </c>
      <c r="C1205" t="s">
        <v>21</v>
      </c>
      <c r="D1205" t="s">
        <v>22</v>
      </c>
      <c r="E1205" t="s">
        <v>2067</v>
      </c>
      <c r="F1205" s="107">
        <v>145000000</v>
      </c>
    </row>
    <row r="1206" spans="1:6" hidden="1" x14ac:dyDescent="0.25">
      <c r="A1206" s="210" t="s">
        <v>1478</v>
      </c>
      <c r="B1206" s="100">
        <v>46088</v>
      </c>
      <c r="C1206" t="s">
        <v>21</v>
      </c>
      <c r="D1206" t="s">
        <v>22</v>
      </c>
      <c r="E1206" t="s">
        <v>147</v>
      </c>
      <c r="F1206" s="107">
        <v>60000000</v>
      </c>
    </row>
    <row r="1207" spans="1:6" hidden="1" x14ac:dyDescent="0.25">
      <c r="A1207" s="210" t="s">
        <v>1478</v>
      </c>
      <c r="B1207" s="100">
        <v>46088</v>
      </c>
      <c r="C1207" t="s">
        <v>21</v>
      </c>
      <c r="D1207" t="s">
        <v>22</v>
      </c>
      <c r="E1207" t="s">
        <v>23</v>
      </c>
      <c r="F1207" s="107">
        <v>60000000</v>
      </c>
    </row>
    <row r="1208" spans="1:6" hidden="1" x14ac:dyDescent="0.25">
      <c r="A1208" s="210" t="s">
        <v>1536</v>
      </c>
      <c r="B1208" s="100">
        <v>46088</v>
      </c>
      <c r="C1208" t="s">
        <v>21</v>
      </c>
      <c r="D1208" t="s">
        <v>22</v>
      </c>
      <c r="E1208" t="s">
        <v>261</v>
      </c>
      <c r="F1208" s="107">
        <v>100000000</v>
      </c>
    </row>
    <row r="1209" spans="1:6" hidden="1" x14ac:dyDescent="0.25">
      <c r="A1209" s="210" t="s">
        <v>1580</v>
      </c>
      <c r="B1209" s="100">
        <v>46088</v>
      </c>
      <c r="C1209" t="s">
        <v>21</v>
      </c>
      <c r="D1209" t="s">
        <v>24</v>
      </c>
      <c r="F1209" s="107">
        <v>74240000</v>
      </c>
    </row>
    <row r="1210" spans="1:6" hidden="1" x14ac:dyDescent="0.25">
      <c r="A1210" s="210" t="s">
        <v>1593</v>
      </c>
      <c r="B1210" s="100">
        <v>46088</v>
      </c>
      <c r="C1210" t="s">
        <v>21</v>
      </c>
      <c r="D1210" t="s">
        <v>22</v>
      </c>
      <c r="E1210" t="s">
        <v>261</v>
      </c>
      <c r="F1210" s="107">
        <v>75399000</v>
      </c>
    </row>
    <row r="1211" spans="1:6" hidden="1" x14ac:dyDescent="0.25">
      <c r="A1211" s="210" t="s">
        <v>1596</v>
      </c>
      <c r="B1211" s="100">
        <v>46088</v>
      </c>
      <c r="C1211" t="s">
        <v>2214</v>
      </c>
      <c r="D1211" t="s">
        <v>24</v>
      </c>
      <c r="F1211" s="107">
        <v>-4598000</v>
      </c>
    </row>
    <row r="1212" spans="1:6" hidden="1" x14ac:dyDescent="0.25">
      <c r="A1212" s="210" t="s">
        <v>1610</v>
      </c>
      <c r="B1212" s="100">
        <v>46088</v>
      </c>
      <c r="C1212" t="s">
        <v>21</v>
      </c>
      <c r="D1212" t="s">
        <v>24</v>
      </c>
      <c r="F1212" s="107">
        <v>66247000</v>
      </c>
    </row>
    <row r="1213" spans="1:6" x14ac:dyDescent="0.25">
      <c r="A1213" s="210" t="s">
        <v>2016</v>
      </c>
      <c r="B1213" s="100">
        <v>46088</v>
      </c>
      <c r="C1213" t="s">
        <v>2214</v>
      </c>
      <c r="D1213" t="s">
        <v>22</v>
      </c>
      <c r="E1213" t="s">
        <v>83</v>
      </c>
      <c r="F1213" s="107">
        <v>-100000000</v>
      </c>
    </row>
    <row r="1214" spans="1:6" x14ac:dyDescent="0.25">
      <c r="A1214" s="210" t="s">
        <v>1672</v>
      </c>
      <c r="B1214" s="100">
        <v>46088</v>
      </c>
      <c r="C1214" t="s">
        <v>2214</v>
      </c>
      <c r="D1214" t="s">
        <v>22</v>
      </c>
      <c r="E1214" t="s">
        <v>83</v>
      </c>
      <c r="F1214" s="107">
        <v>-100000000</v>
      </c>
    </row>
    <row r="1215" spans="1:6" hidden="1" x14ac:dyDescent="0.25">
      <c r="A1215" s="210" t="s">
        <v>1475</v>
      </c>
      <c r="B1215" s="100">
        <v>46087</v>
      </c>
      <c r="C1215" t="s">
        <v>21</v>
      </c>
      <c r="D1215" t="s">
        <v>22</v>
      </c>
      <c r="E1215" t="s">
        <v>2067</v>
      </c>
      <c r="F1215" s="107">
        <v>11000000</v>
      </c>
    </row>
    <row r="1216" spans="1:6" hidden="1" x14ac:dyDescent="0.25">
      <c r="A1216" s="210" t="s">
        <v>1478</v>
      </c>
      <c r="B1216" s="100">
        <v>46087</v>
      </c>
      <c r="C1216" t="s">
        <v>21</v>
      </c>
      <c r="D1216" t="s">
        <v>24</v>
      </c>
      <c r="E1216">
        <v>0</v>
      </c>
      <c r="F1216" s="107">
        <v>90000000</v>
      </c>
    </row>
    <row r="1217" spans="1:6" hidden="1" x14ac:dyDescent="0.25">
      <c r="A1217" s="210" t="s">
        <v>1478</v>
      </c>
      <c r="B1217" s="100">
        <v>46087</v>
      </c>
      <c r="C1217" t="s">
        <v>21</v>
      </c>
      <c r="D1217" t="s">
        <v>22</v>
      </c>
      <c r="E1217" t="s">
        <v>23</v>
      </c>
      <c r="F1217" s="107">
        <v>1000000</v>
      </c>
    </row>
    <row r="1218" spans="1:6" hidden="1" x14ac:dyDescent="0.25">
      <c r="A1218" s="210" t="s">
        <v>1479</v>
      </c>
      <c r="B1218" s="100">
        <v>46087</v>
      </c>
      <c r="C1218" t="s">
        <v>21</v>
      </c>
      <c r="D1218" t="s">
        <v>22</v>
      </c>
      <c r="E1218" t="s">
        <v>147</v>
      </c>
      <c r="F1218" s="107">
        <v>200000000</v>
      </c>
    </row>
    <row r="1219" spans="1:6" hidden="1" x14ac:dyDescent="0.25">
      <c r="A1219" s="210" t="s">
        <v>1499</v>
      </c>
      <c r="B1219" s="100">
        <v>46087</v>
      </c>
      <c r="C1219" t="s">
        <v>21</v>
      </c>
      <c r="D1219" t="s">
        <v>22</v>
      </c>
      <c r="E1219" t="s">
        <v>147</v>
      </c>
      <c r="F1219" s="107">
        <v>60000000</v>
      </c>
    </row>
    <row r="1220" spans="1:6" hidden="1" x14ac:dyDescent="0.25">
      <c r="A1220" s="210" t="s">
        <v>1509</v>
      </c>
      <c r="B1220" s="100">
        <v>46087</v>
      </c>
      <c r="C1220" t="s">
        <v>21</v>
      </c>
      <c r="D1220" t="s">
        <v>22</v>
      </c>
      <c r="E1220" t="s">
        <v>261</v>
      </c>
      <c r="F1220" s="107">
        <v>44239921</v>
      </c>
    </row>
    <row r="1221" spans="1:6" hidden="1" x14ac:dyDescent="0.25">
      <c r="A1221" s="210" t="s">
        <v>1518</v>
      </c>
      <c r="B1221" s="100">
        <v>46087</v>
      </c>
      <c r="C1221" t="s">
        <v>21</v>
      </c>
      <c r="D1221" t="s">
        <v>22</v>
      </c>
      <c r="E1221" t="s">
        <v>23</v>
      </c>
      <c r="F1221" s="107">
        <v>10000000</v>
      </c>
    </row>
    <row r="1222" spans="1:6" hidden="1" x14ac:dyDescent="0.25">
      <c r="A1222" s="210" t="s">
        <v>1518</v>
      </c>
      <c r="B1222" s="100">
        <v>46087</v>
      </c>
      <c r="C1222" t="s">
        <v>21</v>
      </c>
      <c r="D1222" t="s">
        <v>22</v>
      </c>
      <c r="E1222" t="s">
        <v>23</v>
      </c>
      <c r="F1222" s="107">
        <v>4000000</v>
      </c>
    </row>
    <row r="1223" spans="1:6" x14ac:dyDescent="0.25">
      <c r="A1223" s="210" t="s">
        <v>1539</v>
      </c>
      <c r="B1223" s="100">
        <v>46087</v>
      </c>
      <c r="C1223" t="s">
        <v>21</v>
      </c>
      <c r="D1223" t="s">
        <v>22</v>
      </c>
      <c r="E1223" t="s">
        <v>83</v>
      </c>
      <c r="F1223" s="107">
        <v>30000000</v>
      </c>
    </row>
    <row r="1224" spans="1:6" hidden="1" x14ac:dyDescent="0.25">
      <c r="A1224" s="210" t="s">
        <v>1545</v>
      </c>
      <c r="B1224" s="100">
        <v>46087</v>
      </c>
      <c r="C1224" t="s">
        <v>21</v>
      </c>
      <c r="D1224" t="s">
        <v>22</v>
      </c>
      <c r="E1224" t="s">
        <v>147</v>
      </c>
      <c r="F1224" s="107">
        <v>100000000</v>
      </c>
    </row>
    <row r="1225" spans="1:6" hidden="1" x14ac:dyDescent="0.25">
      <c r="A1225" s="210" t="s">
        <v>1564</v>
      </c>
      <c r="B1225" s="100">
        <v>46087</v>
      </c>
      <c r="C1225" t="s">
        <v>21</v>
      </c>
      <c r="D1225" t="s">
        <v>22</v>
      </c>
      <c r="E1225" t="s">
        <v>147</v>
      </c>
      <c r="F1225" s="107">
        <v>30000000</v>
      </c>
    </row>
    <row r="1226" spans="1:6" hidden="1" x14ac:dyDescent="0.25">
      <c r="A1226" s="210" t="s">
        <v>1568</v>
      </c>
      <c r="B1226" s="100">
        <v>46087</v>
      </c>
      <c r="C1226" t="s">
        <v>21</v>
      </c>
      <c r="D1226" t="s">
        <v>24</v>
      </c>
      <c r="F1226" s="107">
        <v>70000000</v>
      </c>
    </row>
    <row r="1227" spans="1:6" hidden="1" x14ac:dyDescent="0.25">
      <c r="A1227" s="210" t="s">
        <v>1568</v>
      </c>
      <c r="B1227" s="100">
        <v>46087</v>
      </c>
      <c r="C1227" t="s">
        <v>21</v>
      </c>
      <c r="D1227" t="s">
        <v>22</v>
      </c>
      <c r="E1227" t="s">
        <v>718</v>
      </c>
      <c r="F1227" s="107">
        <v>28200000</v>
      </c>
    </row>
    <row r="1228" spans="1:6" hidden="1" x14ac:dyDescent="0.25">
      <c r="A1228" s="210" t="s">
        <v>1568</v>
      </c>
      <c r="B1228" s="100">
        <v>46087</v>
      </c>
      <c r="C1228" t="s">
        <v>21</v>
      </c>
      <c r="D1228" t="s">
        <v>22</v>
      </c>
      <c r="E1228" t="s">
        <v>23</v>
      </c>
      <c r="F1228" s="107">
        <v>118858000</v>
      </c>
    </row>
    <row r="1229" spans="1:6" hidden="1" x14ac:dyDescent="0.25">
      <c r="A1229" s="210" t="s">
        <v>1575</v>
      </c>
      <c r="B1229" s="100">
        <v>46087</v>
      </c>
      <c r="C1229" t="s">
        <v>21</v>
      </c>
      <c r="D1229" t="s">
        <v>22</v>
      </c>
      <c r="E1229" t="s">
        <v>261</v>
      </c>
      <c r="F1229" s="107">
        <v>100000000</v>
      </c>
    </row>
    <row r="1230" spans="1:6" hidden="1" x14ac:dyDescent="0.25">
      <c r="A1230" s="210" t="s">
        <v>1577</v>
      </c>
      <c r="B1230" s="100">
        <v>46087</v>
      </c>
      <c r="C1230" t="s">
        <v>21</v>
      </c>
      <c r="D1230" t="s">
        <v>22</v>
      </c>
      <c r="E1230" t="s">
        <v>147</v>
      </c>
      <c r="F1230" s="107">
        <v>115869237</v>
      </c>
    </row>
    <row r="1231" spans="1:6" x14ac:dyDescent="0.25">
      <c r="A1231" s="210" t="s">
        <v>1579</v>
      </c>
      <c r="B1231" s="100">
        <v>46087</v>
      </c>
      <c r="C1231" t="s">
        <v>21</v>
      </c>
      <c r="D1231" t="s">
        <v>22</v>
      </c>
      <c r="E1231" t="s">
        <v>83</v>
      </c>
      <c r="F1231" s="107">
        <v>100000000</v>
      </c>
    </row>
    <row r="1232" spans="1:6" hidden="1" x14ac:dyDescent="0.25">
      <c r="A1232" s="210" t="s">
        <v>1592</v>
      </c>
      <c r="B1232" s="100">
        <v>46087</v>
      </c>
      <c r="C1232" t="s">
        <v>21</v>
      </c>
      <c r="D1232" t="s">
        <v>22</v>
      </c>
      <c r="E1232" t="s">
        <v>261</v>
      </c>
      <c r="F1232" s="107">
        <v>216835929</v>
      </c>
    </row>
    <row r="1233" spans="1:6" hidden="1" x14ac:dyDescent="0.25">
      <c r="A1233" s="210" t="s">
        <v>1593</v>
      </c>
      <c r="B1233" s="100">
        <v>46087</v>
      </c>
      <c r="C1233" t="s">
        <v>21</v>
      </c>
      <c r="D1233" t="s">
        <v>22</v>
      </c>
      <c r="E1233" t="s">
        <v>261</v>
      </c>
      <c r="F1233" s="107">
        <v>47463000</v>
      </c>
    </row>
    <row r="1234" spans="1:6" hidden="1" x14ac:dyDescent="0.25">
      <c r="A1234" s="210" t="s">
        <v>1595</v>
      </c>
      <c r="B1234" s="100">
        <v>46087</v>
      </c>
      <c r="C1234" t="s">
        <v>21</v>
      </c>
      <c r="D1234" t="s">
        <v>24</v>
      </c>
      <c r="F1234" s="107">
        <v>180000000</v>
      </c>
    </row>
    <row r="1235" spans="1:6" hidden="1" x14ac:dyDescent="0.25">
      <c r="A1235" s="210" t="s">
        <v>1595</v>
      </c>
      <c r="B1235" s="100">
        <v>46087</v>
      </c>
      <c r="C1235" t="s">
        <v>21</v>
      </c>
      <c r="D1235" t="s">
        <v>22</v>
      </c>
      <c r="E1235" t="s">
        <v>23</v>
      </c>
      <c r="F1235" s="107">
        <v>13350000</v>
      </c>
    </row>
    <row r="1236" spans="1:6" x14ac:dyDescent="0.25">
      <c r="A1236" s="210" t="s">
        <v>1620</v>
      </c>
      <c r="B1236" s="100">
        <v>46087</v>
      </c>
      <c r="C1236" t="s">
        <v>21</v>
      </c>
      <c r="D1236" t="s">
        <v>22</v>
      </c>
      <c r="E1236" t="s">
        <v>83</v>
      </c>
      <c r="F1236" s="107">
        <v>61690211</v>
      </c>
    </row>
    <row r="1237" spans="1:6" hidden="1" x14ac:dyDescent="0.25">
      <c r="A1237" s="210" t="s">
        <v>1623</v>
      </c>
      <c r="B1237" s="100">
        <v>46087</v>
      </c>
      <c r="C1237" t="s">
        <v>21</v>
      </c>
      <c r="D1237" t="s">
        <v>22</v>
      </c>
      <c r="E1237" t="s">
        <v>147</v>
      </c>
      <c r="F1237" s="107">
        <v>100000000</v>
      </c>
    </row>
    <row r="1238" spans="1:6" hidden="1" x14ac:dyDescent="0.25">
      <c r="A1238" s="210" t="s">
        <v>1624</v>
      </c>
      <c r="B1238" s="100">
        <v>46087</v>
      </c>
      <c r="C1238" t="s">
        <v>21</v>
      </c>
      <c r="D1238" t="s">
        <v>22</v>
      </c>
      <c r="E1238" t="s">
        <v>261</v>
      </c>
      <c r="F1238" s="107">
        <v>77847000</v>
      </c>
    </row>
    <row r="1239" spans="1:6" hidden="1" x14ac:dyDescent="0.25">
      <c r="A1239" s="210" t="s">
        <v>1689</v>
      </c>
      <c r="B1239" s="100">
        <v>46087</v>
      </c>
      <c r="C1239" t="s">
        <v>21</v>
      </c>
      <c r="D1239" t="s">
        <v>22</v>
      </c>
      <c r="E1239" t="s">
        <v>261</v>
      </c>
      <c r="F1239" s="107">
        <v>30000000</v>
      </c>
    </row>
    <row r="1240" spans="1:6" hidden="1" x14ac:dyDescent="0.25">
      <c r="A1240" s="210" t="s">
        <v>1478</v>
      </c>
      <c r="B1240" s="100">
        <v>46086</v>
      </c>
      <c r="C1240" t="s">
        <v>21</v>
      </c>
      <c r="D1240" t="s">
        <v>22</v>
      </c>
      <c r="E1240" t="s">
        <v>23</v>
      </c>
      <c r="F1240" s="107">
        <v>13050000</v>
      </c>
    </row>
    <row r="1241" spans="1:6" hidden="1" x14ac:dyDescent="0.25">
      <c r="A1241" s="210" t="s">
        <v>1478</v>
      </c>
      <c r="B1241" s="100">
        <v>46086</v>
      </c>
      <c r="C1241" t="s">
        <v>21</v>
      </c>
      <c r="D1241" t="s">
        <v>22</v>
      </c>
      <c r="E1241" t="s">
        <v>23</v>
      </c>
      <c r="F1241" s="107">
        <v>85700000</v>
      </c>
    </row>
    <row r="1242" spans="1:6" hidden="1" x14ac:dyDescent="0.25">
      <c r="A1242" s="210" t="s">
        <v>1485</v>
      </c>
      <c r="B1242" s="100">
        <v>46086</v>
      </c>
      <c r="C1242" t="s">
        <v>21</v>
      </c>
      <c r="D1242" t="s">
        <v>22</v>
      </c>
      <c r="E1242" t="s">
        <v>147</v>
      </c>
      <c r="F1242" s="107">
        <v>150000000</v>
      </c>
    </row>
    <row r="1243" spans="1:6" hidden="1" x14ac:dyDescent="0.25">
      <c r="A1243" s="210" t="s">
        <v>1493</v>
      </c>
      <c r="B1243" s="100">
        <v>46086</v>
      </c>
      <c r="C1243" t="s">
        <v>21</v>
      </c>
      <c r="D1243" t="s">
        <v>22</v>
      </c>
      <c r="E1243" t="s">
        <v>261</v>
      </c>
      <c r="F1243" s="107">
        <v>100000000</v>
      </c>
    </row>
    <row r="1244" spans="1:6" hidden="1" x14ac:dyDescent="0.25">
      <c r="A1244" s="210" t="s">
        <v>1530</v>
      </c>
      <c r="B1244" s="100">
        <v>46086</v>
      </c>
      <c r="C1244" t="s">
        <v>21</v>
      </c>
      <c r="D1244" t="s">
        <v>22</v>
      </c>
      <c r="E1244" t="s">
        <v>261</v>
      </c>
      <c r="F1244" s="107">
        <v>1045680407</v>
      </c>
    </row>
    <row r="1245" spans="1:6" hidden="1" x14ac:dyDescent="0.25">
      <c r="A1245" s="210" t="s">
        <v>1558</v>
      </c>
      <c r="B1245" s="100">
        <v>46086</v>
      </c>
      <c r="C1245" t="s">
        <v>21</v>
      </c>
      <c r="D1245" t="s">
        <v>22</v>
      </c>
      <c r="E1245" t="s">
        <v>2258</v>
      </c>
      <c r="F1245" s="107">
        <v>80000000</v>
      </c>
    </row>
    <row r="1246" spans="1:6" hidden="1" x14ac:dyDescent="0.25">
      <c r="A1246" s="210" t="s">
        <v>1567</v>
      </c>
      <c r="B1246" s="100">
        <v>46086</v>
      </c>
      <c r="C1246" t="s">
        <v>21</v>
      </c>
      <c r="D1246" t="s">
        <v>24</v>
      </c>
      <c r="F1246" s="107">
        <v>123900000</v>
      </c>
    </row>
    <row r="1247" spans="1:6" x14ac:dyDescent="0.25">
      <c r="A1247" s="210" t="s">
        <v>1582</v>
      </c>
      <c r="B1247" s="100">
        <v>46086</v>
      </c>
      <c r="C1247" t="s">
        <v>21</v>
      </c>
      <c r="D1247" t="s">
        <v>22</v>
      </c>
      <c r="E1247" t="s">
        <v>83</v>
      </c>
      <c r="F1247" s="107">
        <v>100000000</v>
      </c>
    </row>
    <row r="1248" spans="1:6" x14ac:dyDescent="0.25">
      <c r="A1248" s="210" t="s">
        <v>1635</v>
      </c>
      <c r="B1248" s="100">
        <v>46086</v>
      </c>
      <c r="C1248" t="s">
        <v>21</v>
      </c>
      <c r="D1248" t="s">
        <v>22</v>
      </c>
      <c r="E1248" t="s">
        <v>83</v>
      </c>
      <c r="F1248" s="107">
        <v>100000000</v>
      </c>
    </row>
    <row r="1249" spans="1:6" hidden="1" x14ac:dyDescent="0.25">
      <c r="A1249" s="210" t="s">
        <v>1650</v>
      </c>
      <c r="B1249" s="100">
        <v>46086</v>
      </c>
      <c r="C1249" t="s">
        <v>21</v>
      </c>
      <c r="D1249" t="s">
        <v>22</v>
      </c>
      <c r="E1249" t="s">
        <v>261</v>
      </c>
      <c r="F1249" s="107">
        <v>41304000</v>
      </c>
    </row>
    <row r="1250" spans="1:6" hidden="1" x14ac:dyDescent="0.25">
      <c r="A1250" s="210" t="s">
        <v>1478</v>
      </c>
      <c r="B1250" s="100">
        <v>46085</v>
      </c>
      <c r="C1250" t="s">
        <v>21</v>
      </c>
      <c r="D1250" t="s">
        <v>22</v>
      </c>
      <c r="E1250" t="s">
        <v>23</v>
      </c>
      <c r="F1250" s="107">
        <v>7980000</v>
      </c>
    </row>
    <row r="1251" spans="1:6" hidden="1" x14ac:dyDescent="0.25">
      <c r="A1251" s="210" t="s">
        <v>1518</v>
      </c>
      <c r="B1251" s="100">
        <v>46085</v>
      </c>
      <c r="C1251" t="s">
        <v>21</v>
      </c>
      <c r="D1251" t="s">
        <v>22</v>
      </c>
      <c r="E1251" t="s">
        <v>23</v>
      </c>
      <c r="F1251" s="107">
        <v>11600000</v>
      </c>
    </row>
    <row r="1252" spans="1:6" hidden="1" x14ac:dyDescent="0.25">
      <c r="A1252" s="210" t="s">
        <v>1518</v>
      </c>
      <c r="B1252" s="100">
        <v>46085</v>
      </c>
      <c r="C1252" t="s">
        <v>21</v>
      </c>
      <c r="D1252" t="s">
        <v>22</v>
      </c>
      <c r="E1252" t="s">
        <v>23</v>
      </c>
      <c r="F1252" s="107">
        <v>5100000</v>
      </c>
    </row>
    <row r="1253" spans="1:6" hidden="1" x14ac:dyDescent="0.25">
      <c r="A1253" s="210" t="s">
        <v>1520</v>
      </c>
      <c r="B1253" s="100">
        <v>46085</v>
      </c>
      <c r="C1253" t="s">
        <v>21</v>
      </c>
      <c r="D1253" t="s">
        <v>22</v>
      </c>
      <c r="E1253" t="s">
        <v>261</v>
      </c>
      <c r="F1253" s="107">
        <v>19907834</v>
      </c>
    </row>
    <row r="1254" spans="1:6" hidden="1" x14ac:dyDescent="0.25">
      <c r="A1254" s="210" t="s">
        <v>1531</v>
      </c>
      <c r="B1254" s="100">
        <v>46085</v>
      </c>
      <c r="C1254" t="s">
        <v>21</v>
      </c>
      <c r="D1254" t="s">
        <v>22</v>
      </c>
      <c r="E1254" t="s">
        <v>23</v>
      </c>
      <c r="F1254" s="107">
        <v>100000000</v>
      </c>
    </row>
    <row r="1255" spans="1:6" hidden="1" x14ac:dyDescent="0.25">
      <c r="A1255" s="210" t="s">
        <v>1544</v>
      </c>
      <c r="B1255" s="100">
        <v>46085</v>
      </c>
      <c r="C1255" t="s">
        <v>21</v>
      </c>
      <c r="D1255" t="s">
        <v>22</v>
      </c>
      <c r="E1255" t="s">
        <v>261</v>
      </c>
      <c r="F1255" s="107">
        <v>123234000</v>
      </c>
    </row>
    <row r="1256" spans="1:6" hidden="1" x14ac:dyDescent="0.25">
      <c r="A1256" s="210" t="s">
        <v>1551</v>
      </c>
      <c r="B1256" s="100">
        <v>46085</v>
      </c>
      <c r="C1256" t="s">
        <v>21</v>
      </c>
      <c r="D1256" t="s">
        <v>22</v>
      </c>
      <c r="E1256" t="s">
        <v>261</v>
      </c>
      <c r="F1256" s="107">
        <v>121162000</v>
      </c>
    </row>
    <row r="1257" spans="1:6" hidden="1" x14ac:dyDescent="0.25">
      <c r="A1257" s="210" t="s">
        <v>1555</v>
      </c>
      <c r="B1257" s="100">
        <v>46085</v>
      </c>
      <c r="C1257" t="s">
        <v>21</v>
      </c>
      <c r="D1257" t="s">
        <v>24</v>
      </c>
      <c r="F1257" s="107">
        <v>5280000</v>
      </c>
    </row>
    <row r="1258" spans="1:6" hidden="1" x14ac:dyDescent="0.25">
      <c r="A1258" s="210" t="s">
        <v>1606</v>
      </c>
      <c r="B1258" s="100">
        <v>46085</v>
      </c>
      <c r="C1258" t="s">
        <v>21</v>
      </c>
      <c r="D1258" t="s">
        <v>22</v>
      </c>
      <c r="E1258" t="s">
        <v>147</v>
      </c>
      <c r="F1258" s="107">
        <v>60000000</v>
      </c>
    </row>
    <row r="1259" spans="1:6" hidden="1" x14ac:dyDescent="0.25">
      <c r="A1259" s="210" t="s">
        <v>1626</v>
      </c>
      <c r="B1259" s="100">
        <v>46085</v>
      </c>
      <c r="C1259" t="s">
        <v>21</v>
      </c>
      <c r="D1259" t="s">
        <v>22</v>
      </c>
      <c r="E1259" t="s">
        <v>147</v>
      </c>
      <c r="F1259" s="107">
        <v>122733006</v>
      </c>
    </row>
    <row r="1260" spans="1:6" x14ac:dyDescent="0.25">
      <c r="A1260" s="210" t="s">
        <v>1477</v>
      </c>
      <c r="B1260" s="100">
        <v>46084</v>
      </c>
      <c r="C1260" t="s">
        <v>21</v>
      </c>
      <c r="D1260" t="s">
        <v>22</v>
      </c>
      <c r="E1260" t="s">
        <v>83</v>
      </c>
      <c r="F1260" s="107">
        <v>107250000</v>
      </c>
    </row>
    <row r="1261" spans="1:6" hidden="1" x14ac:dyDescent="0.25">
      <c r="A1261" s="210" t="s">
        <v>1477</v>
      </c>
      <c r="B1261" s="100">
        <v>46084</v>
      </c>
      <c r="C1261" t="s">
        <v>21</v>
      </c>
      <c r="D1261" t="s">
        <v>22</v>
      </c>
      <c r="E1261" t="s">
        <v>23</v>
      </c>
      <c r="F1261" s="107">
        <v>1950000</v>
      </c>
    </row>
    <row r="1262" spans="1:6" hidden="1" x14ac:dyDescent="0.25">
      <c r="A1262" s="210" t="s">
        <v>1478</v>
      </c>
      <c r="B1262" s="100">
        <v>46084</v>
      </c>
      <c r="C1262" t="s">
        <v>21</v>
      </c>
      <c r="D1262" t="s">
        <v>22</v>
      </c>
      <c r="E1262" t="s">
        <v>23</v>
      </c>
      <c r="F1262" s="107">
        <v>13930000</v>
      </c>
    </row>
    <row r="1263" spans="1:6" hidden="1" x14ac:dyDescent="0.25">
      <c r="A1263" s="210" t="s">
        <v>1478</v>
      </c>
      <c r="B1263" s="100">
        <v>46084</v>
      </c>
      <c r="C1263" t="s">
        <v>21</v>
      </c>
      <c r="D1263" t="s">
        <v>24</v>
      </c>
      <c r="F1263" s="107">
        <v>130000000</v>
      </c>
    </row>
    <row r="1264" spans="1:6" hidden="1" x14ac:dyDescent="0.25">
      <c r="A1264" s="210" t="s">
        <v>1491</v>
      </c>
      <c r="B1264" s="100">
        <v>46084</v>
      </c>
      <c r="C1264" t="s">
        <v>21</v>
      </c>
      <c r="D1264" t="s">
        <v>22</v>
      </c>
      <c r="E1264" t="s">
        <v>147</v>
      </c>
      <c r="F1264" s="107">
        <v>200000000</v>
      </c>
    </row>
    <row r="1265" spans="1:6" hidden="1" x14ac:dyDescent="0.25">
      <c r="A1265" s="210" t="s">
        <v>1525</v>
      </c>
      <c r="B1265" s="100">
        <v>46084</v>
      </c>
      <c r="C1265" t="s">
        <v>21</v>
      </c>
      <c r="D1265" t="s">
        <v>22</v>
      </c>
      <c r="E1265" t="s">
        <v>261</v>
      </c>
      <c r="F1265" s="107">
        <v>300000000</v>
      </c>
    </row>
    <row r="1266" spans="1:6" hidden="1" x14ac:dyDescent="0.25">
      <c r="A1266" s="210" t="s">
        <v>1525</v>
      </c>
      <c r="B1266" s="100">
        <v>46084</v>
      </c>
      <c r="C1266" t="s">
        <v>21</v>
      </c>
      <c r="D1266" t="s">
        <v>260</v>
      </c>
      <c r="E1266" t="s">
        <v>261</v>
      </c>
      <c r="F1266" s="107">
        <v>41778000</v>
      </c>
    </row>
    <row r="1267" spans="1:6" hidden="1" x14ac:dyDescent="0.25">
      <c r="A1267" s="210" t="s">
        <v>1531</v>
      </c>
      <c r="B1267" s="100">
        <v>46084</v>
      </c>
      <c r="C1267" t="s">
        <v>21</v>
      </c>
      <c r="D1267" t="s">
        <v>22</v>
      </c>
      <c r="E1267" t="s">
        <v>718</v>
      </c>
      <c r="F1267" s="107">
        <v>46440000</v>
      </c>
    </row>
    <row r="1268" spans="1:6" hidden="1" x14ac:dyDescent="0.25">
      <c r="A1268" s="210" t="s">
        <v>1536</v>
      </c>
      <c r="B1268" s="100">
        <v>46084</v>
      </c>
      <c r="C1268" t="s">
        <v>21</v>
      </c>
      <c r="F1268" s="107">
        <v>41778000</v>
      </c>
    </row>
    <row r="1269" spans="1:6" hidden="1" x14ac:dyDescent="0.25">
      <c r="A1269" s="210" t="s">
        <v>1580</v>
      </c>
      <c r="B1269" s="100">
        <v>46084</v>
      </c>
      <c r="C1269" t="s">
        <v>21</v>
      </c>
      <c r="D1269" t="s">
        <v>24</v>
      </c>
      <c r="F1269" s="107">
        <v>43450000</v>
      </c>
    </row>
    <row r="1270" spans="1:6" hidden="1" x14ac:dyDescent="0.25">
      <c r="A1270" s="210" t="s">
        <v>1595</v>
      </c>
      <c r="B1270" s="100">
        <v>46084</v>
      </c>
      <c r="C1270" t="s">
        <v>21</v>
      </c>
      <c r="D1270" t="s">
        <v>22</v>
      </c>
      <c r="E1270" t="s">
        <v>23</v>
      </c>
      <c r="F1270" s="107">
        <v>4930000</v>
      </c>
    </row>
    <row r="1271" spans="1:6" hidden="1" x14ac:dyDescent="0.25">
      <c r="A1271" s="210" t="s">
        <v>1641</v>
      </c>
      <c r="B1271" s="100">
        <v>46084</v>
      </c>
      <c r="C1271" t="s">
        <v>21</v>
      </c>
      <c r="D1271" t="s">
        <v>22</v>
      </c>
      <c r="E1271" t="s">
        <v>147</v>
      </c>
      <c r="F1271" s="107">
        <v>200000000</v>
      </c>
    </row>
    <row r="1272" spans="1:6" hidden="1" x14ac:dyDescent="0.25">
      <c r="A1272" s="210" t="s">
        <v>1475</v>
      </c>
      <c r="B1272" s="100">
        <v>46083</v>
      </c>
      <c r="C1272" t="s">
        <v>21</v>
      </c>
      <c r="D1272" t="s">
        <v>22</v>
      </c>
      <c r="E1272" t="s">
        <v>2067</v>
      </c>
      <c r="F1272" s="107">
        <v>15000000</v>
      </c>
    </row>
    <row r="1273" spans="1:6" hidden="1" x14ac:dyDescent="0.25">
      <c r="A1273" s="210" t="s">
        <v>1478</v>
      </c>
      <c r="B1273" s="100">
        <v>46083</v>
      </c>
      <c r="C1273" t="s">
        <v>21</v>
      </c>
      <c r="D1273" t="s">
        <v>22</v>
      </c>
      <c r="E1273" t="s">
        <v>23</v>
      </c>
      <c r="F1273" s="107">
        <v>20000000</v>
      </c>
    </row>
    <row r="1274" spans="1:6" hidden="1" x14ac:dyDescent="0.25">
      <c r="A1274" s="210" t="s">
        <v>1479</v>
      </c>
      <c r="B1274" s="100">
        <v>46083</v>
      </c>
      <c r="C1274" t="s">
        <v>21</v>
      </c>
      <c r="D1274" t="s">
        <v>22</v>
      </c>
      <c r="E1274" t="s">
        <v>147</v>
      </c>
      <c r="F1274" s="107">
        <v>200000000</v>
      </c>
    </row>
    <row r="1275" spans="1:6" hidden="1" x14ac:dyDescent="0.25">
      <c r="A1275" s="210" t="s">
        <v>1518</v>
      </c>
      <c r="B1275" s="100">
        <v>46083</v>
      </c>
      <c r="C1275" t="s">
        <v>21</v>
      </c>
      <c r="D1275" t="s">
        <v>22</v>
      </c>
      <c r="E1275" t="s">
        <v>23</v>
      </c>
      <c r="F1275" s="107">
        <v>5600000</v>
      </c>
    </row>
    <row r="1276" spans="1:6" hidden="1" x14ac:dyDescent="0.25">
      <c r="A1276" s="210" t="s">
        <v>1518</v>
      </c>
      <c r="B1276" s="100">
        <v>46083</v>
      </c>
      <c r="C1276" t="s">
        <v>21</v>
      </c>
      <c r="D1276" t="s">
        <v>22</v>
      </c>
      <c r="E1276" t="s">
        <v>23</v>
      </c>
      <c r="F1276" s="107">
        <v>7500000</v>
      </c>
    </row>
    <row r="1277" spans="1:6" hidden="1" x14ac:dyDescent="0.25">
      <c r="A1277" s="210" t="s">
        <v>1536</v>
      </c>
      <c r="B1277" s="100">
        <v>46083</v>
      </c>
      <c r="C1277" t="s">
        <v>21</v>
      </c>
      <c r="D1277" t="s">
        <v>22</v>
      </c>
      <c r="E1277" t="s">
        <v>261</v>
      </c>
      <c r="F1277" s="107">
        <v>100000000</v>
      </c>
    </row>
    <row r="1278" spans="1:6" hidden="1" x14ac:dyDescent="0.25">
      <c r="A1278" s="210" t="s">
        <v>1595</v>
      </c>
      <c r="B1278" s="100">
        <v>46083</v>
      </c>
      <c r="C1278" t="s">
        <v>21</v>
      </c>
      <c r="D1278" t="s">
        <v>22</v>
      </c>
      <c r="E1278" t="s">
        <v>23</v>
      </c>
      <c r="F1278" s="107">
        <v>10411000</v>
      </c>
    </row>
    <row r="1279" spans="1:6" hidden="1" x14ac:dyDescent="0.25">
      <c r="A1279" s="210" t="s">
        <v>2547</v>
      </c>
      <c r="B1279" s="100">
        <v>46083</v>
      </c>
      <c r="C1279" t="s">
        <v>21</v>
      </c>
      <c r="D1279" t="s">
        <v>22</v>
      </c>
      <c r="E1279" t="s">
        <v>147</v>
      </c>
      <c r="F1279" s="107">
        <v>150000000</v>
      </c>
    </row>
    <row r="1280" spans="1:6" x14ac:dyDescent="0.25">
      <c r="A1280" s="210" t="s">
        <v>1683</v>
      </c>
      <c r="B1280" s="100">
        <v>46083</v>
      </c>
      <c r="C1280" t="s">
        <v>21</v>
      </c>
      <c r="D1280" t="s">
        <v>22</v>
      </c>
      <c r="E1280" t="s">
        <v>83</v>
      </c>
      <c r="F1280" s="107">
        <v>125017000</v>
      </c>
    </row>
    <row r="1281" spans="1:6" hidden="1" x14ac:dyDescent="0.25">
      <c r="A1281" s="210" t="s">
        <v>1475</v>
      </c>
      <c r="B1281" s="100">
        <v>46082</v>
      </c>
      <c r="C1281" t="s">
        <v>21</v>
      </c>
      <c r="D1281" t="s">
        <v>22</v>
      </c>
      <c r="E1281" t="s">
        <v>2067</v>
      </c>
      <c r="F1281" s="107">
        <v>7000000</v>
      </c>
    </row>
    <row r="1282" spans="1:6" hidden="1" x14ac:dyDescent="0.25">
      <c r="A1282" s="210" t="s">
        <v>1475</v>
      </c>
      <c r="B1282" s="100">
        <v>46082</v>
      </c>
      <c r="C1282" t="s">
        <v>21</v>
      </c>
      <c r="D1282" t="s">
        <v>22</v>
      </c>
      <c r="E1282" t="s">
        <v>2067</v>
      </c>
      <c r="F1282" s="107">
        <v>30000000</v>
      </c>
    </row>
    <row r="1283" spans="1:6" hidden="1" x14ac:dyDescent="0.25">
      <c r="A1283" s="210" t="s">
        <v>1475</v>
      </c>
      <c r="B1283" s="100">
        <v>46082</v>
      </c>
      <c r="C1283" t="s">
        <v>21</v>
      </c>
      <c r="D1283" t="s">
        <v>24</v>
      </c>
      <c r="F1283" s="107">
        <v>70000000</v>
      </c>
    </row>
  </sheetData>
  <phoneticPr fontId="9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0534E0-D615-486F-9E37-5B03503C12D5}">
  <sheetPr codeName="Sheet178">
    <pageSetUpPr fitToPage="1"/>
  </sheetPr>
  <dimension ref="A1:P139"/>
  <sheetViews>
    <sheetView workbookViewId="0">
      <selection activeCell="B8" sqref="B8:C8"/>
    </sheetView>
  </sheetViews>
  <sheetFormatPr defaultColWidth="9.140625" defaultRowHeight="15.75" x14ac:dyDescent="0.25"/>
  <cols>
    <col min="1" max="1" width="15.5703125" style="81" bestFit="1" customWidth="1"/>
    <col min="2" max="2" width="16.42578125" style="81" bestFit="1" customWidth="1"/>
    <col min="3" max="3" width="42.5703125" style="109" bestFit="1" customWidth="1"/>
    <col min="4" max="4" width="19.7109375" style="81" customWidth="1"/>
    <col min="5" max="5" width="15.5703125" style="81" customWidth="1"/>
    <col min="6" max="6" width="22.5703125" style="81" bestFit="1" customWidth="1"/>
    <col min="7" max="7" width="19.42578125" style="110" bestFit="1" customWidth="1"/>
    <col min="8" max="8" width="22.85546875" style="81" bestFit="1" customWidth="1"/>
    <col min="9" max="9" width="20.7109375" style="109" customWidth="1"/>
    <col min="10" max="10" width="11.42578125" style="136" customWidth="1"/>
    <col min="11" max="11" width="13" style="118" customWidth="1"/>
    <col min="12" max="12" width="15.28515625" style="110" customWidth="1"/>
    <col min="13" max="13" width="12.42578125" style="110" bestFit="1" customWidth="1"/>
    <col min="14" max="14" width="21.28515625" style="81" customWidth="1"/>
    <col min="15" max="16" width="13.140625" style="81" bestFit="1" customWidth="1"/>
    <col min="17" max="17" width="26.28515625" style="81" bestFit="1" customWidth="1"/>
    <col min="18" max="16384" width="9.140625" style="81"/>
  </cols>
  <sheetData>
    <row r="1" spans="1:16" x14ac:dyDescent="0.25">
      <c r="A1" s="81">
        <f>IF(TRIM(E8)="Chi trả", -1, 1)</f>
        <v>1</v>
      </c>
      <c r="B1" s="109"/>
      <c r="C1" s="81"/>
      <c r="G1" s="81"/>
    </row>
    <row r="2" spans="1:16" x14ac:dyDescent="0.25">
      <c r="B2" s="109"/>
      <c r="G2" s="81"/>
    </row>
    <row r="3" spans="1:16" x14ac:dyDescent="0.25">
      <c r="B3" s="109"/>
      <c r="C3" s="81"/>
      <c r="G3" s="81"/>
    </row>
    <row r="4" spans="1:16" x14ac:dyDescent="0.25">
      <c r="B4" s="109"/>
      <c r="C4" s="81"/>
      <c r="E4" s="109"/>
      <c r="G4" s="81"/>
    </row>
    <row r="5" spans="1:16" ht="25.5" x14ac:dyDescent="0.3">
      <c r="B5" s="109"/>
      <c r="C5" s="81"/>
      <c r="D5" s="207" t="s">
        <v>1879</v>
      </c>
      <c r="E5" s="207"/>
      <c r="F5" s="140">
        <v>-183246309</v>
      </c>
      <c r="G5" s="81"/>
      <c r="I5" s="81" t="str" cm="1">
        <f t="array" ref="I5">CHUANHOA(C6)</f>
        <v>Cty_Bui_Gia</v>
      </c>
    </row>
    <row r="6" spans="1:16" ht="26.25" customHeight="1" x14ac:dyDescent="0.25">
      <c r="A6" s="203" t="s">
        <v>1482</v>
      </c>
      <c r="B6" s="203"/>
      <c r="C6" s="204" t="s">
        <v>1607</v>
      </c>
      <c r="D6" s="205"/>
      <c r="E6" s="205"/>
      <c r="F6" s="81" t="s">
        <v>2303</v>
      </c>
      <c r="G6" s="227">
        <v>46084</v>
      </c>
    </row>
    <row r="7" spans="1:16" x14ac:dyDescent="0.25">
      <c r="A7" s="203"/>
      <c r="B7" s="203"/>
      <c r="C7" s="205"/>
      <c r="D7" s="205"/>
      <c r="E7" s="205"/>
      <c r="F7" s="81" t="s">
        <v>2304</v>
      </c>
      <c r="G7" s="109">
        <v>46203</v>
      </c>
      <c r="J7" s="124"/>
      <c r="K7" s="111"/>
    </row>
    <row r="8" spans="1:16" ht="26.25" x14ac:dyDescent="0.4">
      <c r="A8" s="121" t="s">
        <v>1729</v>
      </c>
      <c r="B8" s="209">
        <v>46179</v>
      </c>
      <c r="C8" s="206"/>
      <c r="D8" s="111" t="s">
        <v>1730</v>
      </c>
      <c r="F8" s="120" t="s">
        <v>1731</v>
      </c>
      <c r="G8" s="130" t="s">
        <v>147</v>
      </c>
      <c r="H8" s="110" t="s">
        <v>1732</v>
      </c>
      <c r="I8" s="156" t="s">
        <v>22</v>
      </c>
      <c r="K8" s="111"/>
    </row>
    <row r="9" spans="1:16" ht="18.75" x14ac:dyDescent="0.25">
      <c r="C9" s="12" t="s">
        <v>9</v>
      </c>
      <c r="D9" s="12" t="s">
        <v>11</v>
      </c>
      <c r="G9" s="81"/>
      <c r="H9" s="110"/>
      <c r="I9" s="110"/>
      <c r="J9" s="122"/>
      <c r="K9" s="111"/>
      <c r="L9" s="81"/>
      <c r="M9" s="81"/>
    </row>
    <row r="10" spans="1:16" ht="45.75" x14ac:dyDescent="0.65">
      <c r="C10" s="134"/>
      <c r="D10" s="135"/>
      <c r="H10" s="110"/>
      <c r="I10" s="110"/>
      <c r="J10" s="122"/>
      <c r="K10" s="111"/>
      <c r="L10" s="81"/>
      <c r="M10" s="81"/>
    </row>
    <row r="11" spans="1:16" x14ac:dyDescent="0.25">
      <c r="C11" s="81"/>
      <c r="G11" s="81"/>
      <c r="J11" s="124"/>
      <c r="M11" s="123"/>
      <c r="N11" s="119"/>
      <c r="O11" s="110"/>
      <c r="P11" s="110"/>
    </row>
    <row r="12" spans="1:16" ht="20.25" customHeight="1" x14ac:dyDescent="0.25">
      <c r="C12" s="109" cm="1">
        <f t="array" ref="C12:G13">_xlfn.CHOOSECOLS(_xlfn._xlws.FILTER(Thanh_Toan_KH[#All],(Thanh_Toan_KH[[#All],[Tên]]=$C$6)*(Thanh_Toan_KH[[#All],[Ngày
 tháng]]&gt;=$G$6)*(Thanh_Toan_KH[[#All],[Ngày
 tháng]]&lt;=$G$7),"ko có data"),2,3,4,5,6)</f>
        <v>46158</v>
      </c>
      <c r="D12" s="81" t="str">
        <v>Chi trả</v>
      </c>
      <c r="E12" s="81" t="str">
        <v>Chuyển khoản</v>
      </c>
      <c r="F12" s="81" t="str">
        <v>VietinBank</v>
      </c>
      <c r="G12" s="110">
        <v>-67600533</v>
      </c>
      <c r="J12" s="124"/>
      <c r="M12" s="123"/>
      <c r="N12" s="119"/>
      <c r="O12" s="110"/>
      <c r="P12" s="110"/>
    </row>
    <row r="13" spans="1:16" x14ac:dyDescent="0.25">
      <c r="C13" s="109">
        <v>46154</v>
      </c>
      <c r="D13" s="81" t="str">
        <v>Trả tiền</v>
      </c>
      <c r="E13" s="81" t="str">
        <v>Chuyển khoản</v>
      </c>
      <c r="F13" s="81" t="str">
        <v>MB</v>
      </c>
      <c r="G13" s="110">
        <v>-877026158</v>
      </c>
      <c r="J13" s="124"/>
      <c r="M13" s="123"/>
      <c r="N13" s="119"/>
      <c r="O13" s="110"/>
      <c r="P13" s="110"/>
    </row>
    <row r="14" spans="1:16" x14ac:dyDescent="0.25">
      <c r="J14" s="124"/>
      <c r="M14" s="123"/>
      <c r="N14" s="119"/>
      <c r="O14" s="110"/>
      <c r="P14" s="110"/>
    </row>
    <row r="15" spans="1:16" x14ac:dyDescent="0.25">
      <c r="J15" s="124"/>
      <c r="M15" s="123"/>
      <c r="N15" s="119"/>
      <c r="O15" s="110"/>
      <c r="P15" s="110"/>
    </row>
    <row r="16" spans="1:16" x14ac:dyDescent="0.25">
      <c r="J16" s="124"/>
      <c r="K16" s="111"/>
      <c r="M16" s="123"/>
      <c r="N16" s="119"/>
      <c r="O16" s="110"/>
      <c r="P16" s="110"/>
    </row>
    <row r="17" spans="9:16" x14ac:dyDescent="0.25">
      <c r="J17" s="124"/>
      <c r="K17" s="111"/>
      <c r="M17" s="123"/>
      <c r="N17" s="119"/>
      <c r="O17" s="110"/>
      <c r="P17" s="110"/>
    </row>
    <row r="18" spans="9:16" x14ac:dyDescent="0.25">
      <c r="J18" s="124"/>
      <c r="K18" s="111"/>
      <c r="M18" s="123"/>
      <c r="N18" s="119"/>
      <c r="O18" s="110"/>
      <c r="P18" s="110"/>
    </row>
    <row r="19" spans="9:16" x14ac:dyDescent="0.25">
      <c r="M19" s="123"/>
      <c r="N19" s="119"/>
      <c r="O19" s="110"/>
      <c r="P19" s="110"/>
    </row>
    <row r="20" spans="9:16" x14ac:dyDescent="0.25">
      <c r="M20" s="123"/>
      <c r="N20" s="119"/>
      <c r="O20" s="110"/>
      <c r="P20" s="110"/>
    </row>
    <row r="21" spans="9:16" x14ac:dyDescent="0.25">
      <c r="I21" s="118"/>
      <c r="M21" s="123"/>
      <c r="N21" s="119"/>
      <c r="O21" s="110"/>
      <c r="P21" s="110"/>
    </row>
    <row r="22" spans="9:16" x14ac:dyDescent="0.25">
      <c r="I22" s="118"/>
      <c r="M22" s="123"/>
      <c r="N22" s="119"/>
      <c r="O22" s="110"/>
      <c r="P22" s="110"/>
    </row>
    <row r="23" spans="9:16" x14ac:dyDescent="0.25">
      <c r="I23" s="118"/>
      <c r="M23" s="123"/>
      <c r="N23" s="119"/>
      <c r="O23" s="110"/>
      <c r="P23" s="110"/>
    </row>
    <row r="24" spans="9:16" x14ac:dyDescent="0.25">
      <c r="M24" s="123"/>
      <c r="N24" s="119"/>
      <c r="O24" s="110"/>
      <c r="P24" s="110"/>
    </row>
    <row r="25" spans="9:16" x14ac:dyDescent="0.25">
      <c r="M25" s="123"/>
      <c r="N25" s="119"/>
      <c r="O25" s="110"/>
      <c r="P25" s="110"/>
    </row>
    <row r="26" spans="9:16" x14ac:dyDescent="0.25">
      <c r="M26" s="123"/>
      <c r="N26" s="119"/>
      <c r="O26" s="110"/>
      <c r="P26" s="110"/>
    </row>
    <row r="27" spans="9:16" x14ac:dyDescent="0.25">
      <c r="M27" s="123"/>
      <c r="N27" s="119"/>
      <c r="O27" s="110"/>
      <c r="P27" s="110"/>
    </row>
    <row r="28" spans="9:16" x14ac:dyDescent="0.25">
      <c r="M28" s="123"/>
      <c r="N28" s="119"/>
      <c r="O28" s="110"/>
      <c r="P28" s="110"/>
    </row>
    <row r="29" spans="9:16" x14ac:dyDescent="0.25">
      <c r="M29" s="123"/>
      <c r="N29" s="119"/>
      <c r="O29" s="110"/>
      <c r="P29" s="110"/>
    </row>
    <row r="30" spans="9:16" x14ac:dyDescent="0.25">
      <c r="M30" s="123"/>
      <c r="N30" s="119"/>
      <c r="O30" s="110"/>
      <c r="P30" s="110"/>
    </row>
    <row r="31" spans="9:16" x14ac:dyDescent="0.25">
      <c r="M31" s="123"/>
      <c r="N31" s="119"/>
      <c r="O31" s="110"/>
      <c r="P31" s="110"/>
    </row>
    <row r="32" spans="9:16" x14ac:dyDescent="0.25">
      <c r="M32" s="123"/>
      <c r="N32" s="119"/>
      <c r="O32" s="110"/>
      <c r="P32" s="110"/>
    </row>
    <row r="33" spans="13:16" x14ac:dyDescent="0.25">
      <c r="M33" s="123"/>
      <c r="N33" s="119"/>
      <c r="O33" s="119"/>
      <c r="P33" s="110"/>
    </row>
    <row r="34" spans="13:16" x14ac:dyDescent="0.25">
      <c r="M34" s="123"/>
      <c r="N34" s="119"/>
      <c r="O34" s="119"/>
      <c r="P34" s="110"/>
    </row>
    <row r="35" spans="13:16" x14ac:dyDescent="0.25">
      <c r="M35" s="123"/>
      <c r="N35" s="119"/>
      <c r="O35" s="119"/>
      <c r="P35" s="110"/>
    </row>
    <row r="36" spans="13:16" x14ac:dyDescent="0.25">
      <c r="M36" s="123"/>
      <c r="N36" s="119"/>
      <c r="O36" s="119"/>
      <c r="P36" s="110"/>
    </row>
    <row r="37" spans="13:16" x14ac:dyDescent="0.25">
      <c r="M37" s="123"/>
      <c r="N37" s="110"/>
      <c r="P37" s="110"/>
    </row>
    <row r="38" spans="13:16" x14ac:dyDescent="0.25">
      <c r="M38" s="123"/>
      <c r="N38" s="110"/>
      <c r="P38" s="110"/>
    </row>
    <row r="39" spans="13:16" x14ac:dyDescent="0.25">
      <c r="M39" s="123"/>
      <c r="N39" s="110"/>
      <c r="P39" s="110"/>
    </row>
    <row r="40" spans="13:16" x14ac:dyDescent="0.25">
      <c r="M40" s="123"/>
      <c r="N40" s="110"/>
      <c r="P40" s="110"/>
    </row>
    <row r="41" spans="13:16" x14ac:dyDescent="0.25">
      <c r="M41" s="123"/>
      <c r="N41" s="110"/>
      <c r="P41" s="110"/>
    </row>
    <row r="42" spans="13:16" x14ac:dyDescent="0.25">
      <c r="M42" s="123"/>
      <c r="N42" s="110"/>
      <c r="P42" s="110"/>
    </row>
    <row r="43" spans="13:16" x14ac:dyDescent="0.25">
      <c r="M43" s="123"/>
      <c r="N43" s="110"/>
      <c r="P43" s="110"/>
    </row>
    <row r="44" spans="13:16" x14ac:dyDescent="0.25">
      <c r="M44" s="123"/>
      <c r="N44" s="110"/>
      <c r="P44" s="110"/>
    </row>
    <row r="45" spans="13:16" x14ac:dyDescent="0.25">
      <c r="M45" s="123"/>
      <c r="N45" s="110"/>
      <c r="P45" s="110"/>
    </row>
    <row r="46" spans="13:16" x14ac:dyDescent="0.25">
      <c r="M46" s="123"/>
      <c r="N46" s="110"/>
      <c r="P46" s="110"/>
    </row>
    <row r="47" spans="13:16" x14ac:dyDescent="0.25">
      <c r="M47" s="123"/>
      <c r="N47" s="110"/>
      <c r="P47" s="110"/>
    </row>
    <row r="48" spans="13:16" x14ac:dyDescent="0.25">
      <c r="M48" s="123"/>
      <c r="N48" s="110"/>
      <c r="P48" s="110"/>
    </row>
    <row r="49" spans="13:16" x14ac:dyDescent="0.25">
      <c r="M49" s="123"/>
      <c r="N49" s="110"/>
      <c r="P49" s="110"/>
    </row>
    <row r="50" spans="13:16" x14ac:dyDescent="0.25">
      <c r="M50" s="123"/>
      <c r="N50" s="110"/>
      <c r="P50" s="110"/>
    </row>
    <row r="51" spans="13:16" x14ac:dyDescent="0.25">
      <c r="M51" s="123"/>
      <c r="N51" s="110"/>
      <c r="P51" s="110"/>
    </row>
    <row r="52" spans="13:16" x14ac:dyDescent="0.25">
      <c r="M52" s="123"/>
      <c r="N52" s="110"/>
      <c r="P52" s="110"/>
    </row>
    <row r="53" spans="13:16" x14ac:dyDescent="0.25">
      <c r="M53" s="123"/>
      <c r="N53" s="110"/>
      <c r="P53" s="110"/>
    </row>
    <row r="54" spans="13:16" x14ac:dyDescent="0.25">
      <c r="M54" s="123"/>
      <c r="N54" s="110"/>
      <c r="P54" s="110"/>
    </row>
    <row r="55" spans="13:16" x14ac:dyDescent="0.25">
      <c r="M55" s="123"/>
      <c r="N55" s="110"/>
      <c r="P55" s="110"/>
    </row>
    <row r="56" spans="13:16" x14ac:dyDescent="0.25">
      <c r="M56" s="123"/>
      <c r="N56" s="110"/>
      <c r="P56" s="110"/>
    </row>
    <row r="57" spans="13:16" x14ac:dyDescent="0.25">
      <c r="M57" s="123"/>
      <c r="N57" s="110"/>
      <c r="P57" s="110"/>
    </row>
    <row r="58" spans="13:16" x14ac:dyDescent="0.25">
      <c r="M58" s="123"/>
      <c r="N58" s="110"/>
      <c r="P58" s="110"/>
    </row>
    <row r="59" spans="13:16" x14ac:dyDescent="0.25">
      <c r="M59" s="123"/>
      <c r="N59" s="110"/>
      <c r="P59" s="110"/>
    </row>
    <row r="60" spans="13:16" x14ac:dyDescent="0.25">
      <c r="M60" s="123"/>
      <c r="N60" s="110"/>
      <c r="P60" s="110"/>
    </row>
    <row r="61" spans="13:16" x14ac:dyDescent="0.25">
      <c r="M61" s="123"/>
      <c r="N61" s="110"/>
      <c r="P61" s="110"/>
    </row>
    <row r="62" spans="13:16" x14ac:dyDescent="0.25">
      <c r="M62" s="123"/>
      <c r="N62" s="110"/>
      <c r="P62" s="110"/>
    </row>
    <row r="63" spans="13:16" x14ac:dyDescent="0.25">
      <c r="M63" s="123"/>
      <c r="N63" s="110"/>
      <c r="P63" s="110"/>
    </row>
    <row r="64" spans="13:16" x14ac:dyDescent="0.25">
      <c r="M64" s="123"/>
      <c r="N64" s="110"/>
      <c r="P64" s="110"/>
    </row>
    <row r="65" spans="13:16" x14ac:dyDescent="0.25">
      <c r="M65" s="123"/>
      <c r="N65" s="110"/>
      <c r="P65" s="110"/>
    </row>
    <row r="66" spans="13:16" x14ac:dyDescent="0.25">
      <c r="M66" s="123"/>
      <c r="N66" s="110"/>
      <c r="P66" s="110"/>
    </row>
    <row r="67" spans="13:16" x14ac:dyDescent="0.25">
      <c r="M67" s="123"/>
      <c r="N67" s="110"/>
      <c r="P67" s="110"/>
    </row>
    <row r="68" spans="13:16" x14ac:dyDescent="0.25">
      <c r="M68" s="123"/>
      <c r="N68" s="110"/>
      <c r="P68" s="110"/>
    </row>
    <row r="69" spans="13:16" x14ac:dyDescent="0.25">
      <c r="M69" s="123"/>
      <c r="N69" s="110"/>
      <c r="P69" s="110"/>
    </row>
    <row r="70" spans="13:16" x14ac:dyDescent="0.25">
      <c r="M70" s="123"/>
      <c r="N70" s="110"/>
      <c r="P70" s="110"/>
    </row>
    <row r="71" spans="13:16" x14ac:dyDescent="0.25">
      <c r="M71" s="123"/>
      <c r="N71" s="110"/>
      <c r="P71" s="110"/>
    </row>
    <row r="72" spans="13:16" x14ac:dyDescent="0.25">
      <c r="M72" s="123"/>
      <c r="N72" s="110"/>
      <c r="P72" s="110"/>
    </row>
    <row r="73" spans="13:16" x14ac:dyDescent="0.25">
      <c r="M73" s="123"/>
      <c r="N73" s="110"/>
      <c r="P73" s="110"/>
    </row>
    <row r="74" spans="13:16" x14ac:dyDescent="0.25">
      <c r="M74" s="123"/>
      <c r="N74" s="110"/>
      <c r="P74" s="110"/>
    </row>
    <row r="75" spans="13:16" x14ac:dyDescent="0.25">
      <c r="M75" s="123"/>
      <c r="N75" s="110"/>
      <c r="P75" s="110"/>
    </row>
    <row r="76" spans="13:16" x14ac:dyDescent="0.25">
      <c r="M76" s="123"/>
      <c r="N76" s="110"/>
      <c r="P76" s="110"/>
    </row>
    <row r="77" spans="13:16" x14ac:dyDescent="0.25">
      <c r="M77" s="123"/>
      <c r="N77" s="110"/>
      <c r="P77" s="110"/>
    </row>
    <row r="78" spans="13:16" x14ac:dyDescent="0.25">
      <c r="M78" s="123"/>
      <c r="N78" s="110"/>
      <c r="P78" s="110"/>
    </row>
    <row r="79" spans="13:16" x14ac:dyDescent="0.25">
      <c r="M79" s="123"/>
      <c r="N79" s="110"/>
      <c r="P79" s="110"/>
    </row>
    <row r="80" spans="13:16" x14ac:dyDescent="0.25">
      <c r="M80" s="123"/>
      <c r="N80" s="110"/>
      <c r="P80" s="110"/>
    </row>
    <row r="81" spans="13:16" x14ac:dyDescent="0.25">
      <c r="M81" s="123"/>
      <c r="P81" s="110"/>
    </row>
    <row r="82" spans="13:16" x14ac:dyDescent="0.25">
      <c r="M82" s="123"/>
      <c r="P82" s="110"/>
    </row>
    <row r="83" spans="13:16" x14ac:dyDescent="0.25">
      <c r="M83" s="123"/>
    </row>
    <row r="84" spans="13:16" x14ac:dyDescent="0.25">
      <c r="M84" s="123"/>
    </row>
    <row r="85" spans="13:16" x14ac:dyDescent="0.25">
      <c r="M85" s="123"/>
    </row>
    <row r="86" spans="13:16" x14ac:dyDescent="0.25">
      <c r="M86" s="123"/>
    </row>
    <row r="87" spans="13:16" x14ac:dyDescent="0.25">
      <c r="M87" s="123"/>
    </row>
    <row r="88" spans="13:16" x14ac:dyDescent="0.25">
      <c r="M88" s="123"/>
    </row>
    <row r="89" spans="13:16" x14ac:dyDescent="0.25">
      <c r="M89" s="123"/>
    </row>
    <row r="90" spans="13:16" x14ac:dyDescent="0.25">
      <c r="M90" s="123"/>
    </row>
    <row r="91" spans="13:16" x14ac:dyDescent="0.25">
      <c r="M91" s="123"/>
    </row>
    <row r="92" spans="13:16" x14ac:dyDescent="0.25">
      <c r="M92" s="123"/>
    </row>
    <row r="93" spans="13:16" x14ac:dyDescent="0.25">
      <c r="M93" s="123"/>
    </row>
    <row r="94" spans="13:16" x14ac:dyDescent="0.25">
      <c r="M94" s="123"/>
    </row>
    <row r="95" spans="13:16" x14ac:dyDescent="0.25">
      <c r="M95" s="123"/>
    </row>
    <row r="96" spans="13:16" x14ac:dyDescent="0.25">
      <c r="M96" s="123"/>
    </row>
    <row r="97" spans="13:13" x14ac:dyDescent="0.25">
      <c r="M97" s="123"/>
    </row>
    <row r="98" spans="13:13" x14ac:dyDescent="0.25">
      <c r="M98" s="123"/>
    </row>
    <row r="99" spans="13:13" x14ac:dyDescent="0.25">
      <c r="M99" s="123"/>
    </row>
    <row r="100" spans="13:13" x14ac:dyDescent="0.25">
      <c r="M100" s="123"/>
    </row>
    <row r="101" spans="13:13" x14ac:dyDescent="0.25">
      <c r="M101" s="123"/>
    </row>
    <row r="102" spans="13:13" x14ac:dyDescent="0.25">
      <c r="M102" s="123"/>
    </row>
    <row r="103" spans="13:13" x14ac:dyDescent="0.25">
      <c r="M103" s="123"/>
    </row>
    <row r="104" spans="13:13" x14ac:dyDescent="0.25">
      <c r="M104" s="123"/>
    </row>
    <row r="105" spans="13:13" x14ac:dyDescent="0.25">
      <c r="M105" s="123"/>
    </row>
    <row r="106" spans="13:13" x14ac:dyDescent="0.25">
      <c r="M106" s="123"/>
    </row>
    <row r="107" spans="13:13" x14ac:dyDescent="0.25">
      <c r="M107" s="123"/>
    </row>
    <row r="108" spans="13:13" x14ac:dyDescent="0.25">
      <c r="M108" s="123"/>
    </row>
    <row r="109" spans="13:13" x14ac:dyDescent="0.25">
      <c r="M109" s="123"/>
    </row>
    <row r="110" spans="13:13" x14ac:dyDescent="0.25">
      <c r="M110" s="123"/>
    </row>
    <row r="111" spans="13:13" x14ac:dyDescent="0.25">
      <c r="M111" s="123"/>
    </row>
    <row r="112" spans="13:13" x14ac:dyDescent="0.25">
      <c r="M112" s="123"/>
    </row>
    <row r="113" spans="13:13" x14ac:dyDescent="0.25">
      <c r="M113" s="123"/>
    </row>
    <row r="114" spans="13:13" x14ac:dyDescent="0.25">
      <c r="M114" s="123"/>
    </row>
    <row r="115" spans="13:13" x14ac:dyDescent="0.25">
      <c r="M115" s="123"/>
    </row>
    <row r="116" spans="13:13" x14ac:dyDescent="0.25">
      <c r="M116" s="123"/>
    </row>
    <row r="117" spans="13:13" x14ac:dyDescent="0.25">
      <c r="M117" s="123"/>
    </row>
    <row r="118" spans="13:13" x14ac:dyDescent="0.25">
      <c r="M118" s="123"/>
    </row>
    <row r="119" spans="13:13" x14ac:dyDescent="0.25">
      <c r="M119" s="123"/>
    </row>
    <row r="120" spans="13:13" x14ac:dyDescent="0.25">
      <c r="M120" s="123"/>
    </row>
    <row r="121" spans="13:13" x14ac:dyDescent="0.25">
      <c r="M121" s="123"/>
    </row>
    <row r="122" spans="13:13" x14ac:dyDescent="0.25">
      <c r="M122" s="123"/>
    </row>
    <row r="123" spans="13:13" x14ac:dyDescent="0.25">
      <c r="M123" s="123"/>
    </row>
    <row r="124" spans="13:13" x14ac:dyDescent="0.25">
      <c r="M124" s="123"/>
    </row>
    <row r="125" spans="13:13" x14ac:dyDescent="0.25">
      <c r="M125" s="123"/>
    </row>
    <row r="126" spans="13:13" x14ac:dyDescent="0.25">
      <c r="M126" s="123"/>
    </row>
    <row r="127" spans="13:13" x14ac:dyDescent="0.25">
      <c r="M127" s="123"/>
    </row>
    <row r="128" spans="13:13" x14ac:dyDescent="0.25">
      <c r="M128" s="123"/>
    </row>
    <row r="129" spans="13:13" x14ac:dyDescent="0.25">
      <c r="M129" s="123"/>
    </row>
    <row r="130" spans="13:13" x14ac:dyDescent="0.25">
      <c r="M130" s="123"/>
    </row>
    <row r="131" spans="13:13" x14ac:dyDescent="0.25">
      <c r="M131" s="123"/>
    </row>
    <row r="132" spans="13:13" x14ac:dyDescent="0.25">
      <c r="M132" s="123"/>
    </row>
    <row r="133" spans="13:13" x14ac:dyDescent="0.25">
      <c r="M133" s="123"/>
    </row>
    <row r="134" spans="13:13" x14ac:dyDescent="0.25">
      <c r="M134" s="123"/>
    </row>
    <row r="135" spans="13:13" x14ac:dyDescent="0.25">
      <c r="M135" s="123"/>
    </row>
    <row r="136" spans="13:13" x14ac:dyDescent="0.25">
      <c r="M136" s="123"/>
    </row>
    <row r="137" spans="13:13" x14ac:dyDescent="0.25">
      <c r="M137" s="123"/>
    </row>
    <row r="138" spans="13:13" x14ac:dyDescent="0.25">
      <c r="M138" s="123"/>
    </row>
    <row r="139" spans="13:13" x14ac:dyDescent="0.25">
      <c r="M139" s="123"/>
    </row>
  </sheetData>
  <mergeCells count="4">
    <mergeCell ref="A6:B7"/>
    <mergeCell ref="C6:E7"/>
    <mergeCell ref="B8:C8"/>
    <mergeCell ref="D5:E5"/>
  </mergeCells>
  <pageMargins left="0.7" right="0.7" top="0.75" bottom="0.75" header="0.3" footer="0.3"/>
  <pageSetup paperSize="9" scale="44" fitToHeight="0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69A192A1-9909-4F63-897B-2B0EA34AD9C2}">
          <x14:formula1>
            <xm:f>'Thông tin thanh toán'!$D$10:$D$20</xm:f>
          </x14:formula1>
          <xm:sqref>G8</xm:sqref>
        </x14:dataValidation>
        <x14:dataValidation type="list" allowBlank="1" showInputMessage="1" showErrorMessage="1" xr:uid="{BB73DB7F-6804-401E-B930-AC4DA301A069}">
          <x14:formula1>
            <xm:f>'Thông tin thanh toán'!$E$10:$E$12</xm:f>
          </x14:formula1>
          <xm:sqref>I8</xm:sqref>
        </x14:dataValidation>
        <x14:dataValidation type="list" allowBlank="1" showInputMessage="1" showErrorMessage="1" xr:uid="{6BA95D57-ACE9-4BAF-A0F9-4AB6662F5120}">
          <x14:formula1>
            <xm:f>'Thông tin thanh toán'!$D$24:$D$26</xm:f>
          </x14:formula1>
          <xm:sqref>E8</xm:sqref>
        </x14:dataValidation>
        <x14:dataValidation type="list" allowBlank="1" showInputMessage="1" xr:uid="{338F22A6-A68F-46B3-A7AE-CD10000BD01D}">
          <x14:formula1>
            <xm:f>'Thông tin thanh toán'!$Z$1:$Z$312</xm:f>
          </x14:formula1>
          <xm:sqref>C6:E7</xm:sqref>
        </x14:dataValidation>
      </x14:dataValidations>
    </ext>
  </extLst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08851C-30C6-4D97-AD4B-856F81523754}">
  <sheetPr codeName="Sheet157"/>
  <dimension ref="A1:Z308"/>
  <sheetViews>
    <sheetView workbookViewId="0">
      <selection activeCell="C6" sqref="C6:E7"/>
    </sheetView>
  </sheetViews>
  <sheetFormatPr defaultColWidth="9.140625" defaultRowHeight="15.75" x14ac:dyDescent="0.25"/>
  <cols>
    <col min="1" max="1" width="15.85546875" style="81" customWidth="1"/>
    <col min="2" max="2" width="18.7109375" style="81" bestFit="1" customWidth="1"/>
    <col min="3" max="3" width="20.140625" style="81" customWidth="1"/>
    <col min="4" max="4" width="18.7109375" style="81" bestFit="1" customWidth="1"/>
    <col min="5" max="5" width="22.140625" style="81" customWidth="1"/>
    <col min="6" max="6" width="14.85546875" style="81" customWidth="1"/>
    <col min="7" max="7" width="18.5703125" style="81" bestFit="1" customWidth="1"/>
    <col min="8" max="8" width="22.85546875" style="81" bestFit="1" customWidth="1"/>
    <col min="9" max="9" width="20.7109375" style="81" customWidth="1"/>
    <col min="10" max="10" width="21.28515625" style="109" customWidth="1"/>
    <col min="11" max="11" width="15" style="81" bestFit="1" customWidth="1"/>
    <col min="12" max="12" width="19.7109375" style="81" customWidth="1"/>
    <col min="13" max="13" width="50.28515625" style="81" customWidth="1"/>
    <col min="14" max="14" width="21.28515625" style="81" customWidth="1"/>
    <col min="15" max="16" width="13.140625" style="81" bestFit="1" customWidth="1"/>
    <col min="17" max="17" width="19.7109375" style="81" customWidth="1"/>
    <col min="18" max="16384" width="9.140625" style="81"/>
  </cols>
  <sheetData>
    <row r="1" spans="1:26" x14ac:dyDescent="0.25">
      <c r="B1" s="109"/>
      <c r="Z1" s="81" t="s">
        <v>13</v>
      </c>
    </row>
    <row r="2" spans="1:26" x14ac:dyDescent="0.25">
      <c r="B2" s="109"/>
    </row>
    <row r="3" spans="1:26" x14ac:dyDescent="0.25">
      <c r="B3" s="109"/>
    </row>
    <row r="4" spans="1:26" x14ac:dyDescent="0.25">
      <c r="B4" s="109"/>
    </row>
    <row r="5" spans="1:26" ht="25.5" x14ac:dyDescent="0.25">
      <c r="B5" s="109"/>
      <c r="D5" s="114"/>
      <c r="E5" s="82"/>
      <c r="F5" s="83" t="str" cm="1">
        <f t="array" ref="F5">vnd(G8)</f>
        <v>Một nghìn, không trăm mười bảy đồng.</v>
      </c>
      <c r="I5" s="81" t="str" cm="1">
        <f t="array" ref="I5">CHUANHOA(C6)</f>
        <v/>
      </c>
    </row>
    <row r="6" spans="1:26" ht="26.25" customHeight="1" x14ac:dyDescent="0.25">
      <c r="A6" s="203" t="s">
        <v>1482</v>
      </c>
      <c r="B6" s="203"/>
      <c r="C6" s="208"/>
      <c r="D6" s="208"/>
      <c r="E6" s="208"/>
      <c r="G6" s="109"/>
    </row>
    <row r="7" spans="1:26" x14ac:dyDescent="0.25">
      <c r="A7" s="203"/>
      <c r="B7" s="203"/>
      <c r="C7" s="208"/>
      <c r="D7" s="208"/>
      <c r="E7" s="208"/>
      <c r="F7" s="81">
        <v>9766</v>
      </c>
      <c r="G7" s="109"/>
    </row>
    <row r="8" spans="1:26" ht="26.25" x14ac:dyDescent="0.4">
      <c r="A8" s="121" t="s">
        <v>1729</v>
      </c>
      <c r="B8" s="209">
        <v>46169</v>
      </c>
      <c r="C8" s="206"/>
      <c r="D8" s="111" t="s">
        <v>1730</v>
      </c>
      <c r="F8" s="120" t="s">
        <v>1733</v>
      </c>
      <c r="G8" s="130">
        <v>1017</v>
      </c>
      <c r="H8" s="110"/>
    </row>
    <row r="9" spans="1:26" ht="20.25" x14ac:dyDescent="0.3">
      <c r="A9" s="143" t="s">
        <v>4</v>
      </c>
      <c r="B9" s="144" t="s">
        <v>5</v>
      </c>
      <c r="C9" s="145" t="s">
        <v>2008</v>
      </c>
      <c r="D9" s="145" t="s">
        <v>2009</v>
      </c>
      <c r="E9" s="145" t="s">
        <v>2010</v>
      </c>
      <c r="F9" s="146" t="s">
        <v>11</v>
      </c>
      <c r="K9" s="109"/>
      <c r="M9" s="122"/>
      <c r="N9" s="119"/>
      <c r="O9" s="110"/>
      <c r="P9" s="110"/>
    </row>
    <row r="10" spans="1:26" x14ac:dyDescent="0.25">
      <c r="A10" s="90">
        <f>$E$8</f>
        <v>0</v>
      </c>
      <c r="B10" s="93"/>
      <c r="C10" s="92"/>
      <c r="D10" s="92"/>
      <c r="E10" s="94"/>
      <c r="F10" s="187"/>
      <c r="K10" s="109"/>
      <c r="M10" s="122"/>
      <c r="N10" s="119"/>
      <c r="O10" s="110"/>
      <c r="P10" s="110"/>
    </row>
    <row r="11" spans="1:26" x14ac:dyDescent="0.25">
      <c r="B11" s="109"/>
      <c r="K11" s="109"/>
      <c r="M11" s="122"/>
      <c r="N11" s="119"/>
      <c r="O11" s="110"/>
      <c r="P11" s="110"/>
    </row>
    <row r="12" spans="1:26" x14ac:dyDescent="0.25">
      <c r="B12" s="109"/>
      <c r="K12" s="109"/>
      <c r="M12" s="122"/>
      <c r="N12" s="119"/>
      <c r="O12" s="110"/>
      <c r="P12" s="110"/>
    </row>
    <row r="13" spans="1:26" x14ac:dyDescent="0.25">
      <c r="B13" s="109"/>
      <c r="J13" s="118"/>
      <c r="L13" s="110"/>
      <c r="M13" s="122"/>
      <c r="N13" s="119"/>
      <c r="O13" s="110"/>
      <c r="P13" s="110"/>
    </row>
    <row r="14" spans="1:26" x14ac:dyDescent="0.25">
      <c r="B14" s="109"/>
      <c r="K14" s="110"/>
      <c r="M14" s="124"/>
      <c r="N14" s="123"/>
      <c r="O14" s="119"/>
      <c r="P14" s="110"/>
      <c r="Q14" s="110"/>
    </row>
    <row r="15" spans="1:26" x14ac:dyDescent="0.25">
      <c r="B15" s="109"/>
      <c r="K15" s="109"/>
      <c r="L15" s="110"/>
      <c r="M15" s="122"/>
      <c r="N15" s="123"/>
      <c r="O15" s="119"/>
      <c r="P15" s="110"/>
      <c r="Q15" s="110"/>
    </row>
    <row r="16" spans="1:26" x14ac:dyDescent="0.25">
      <c r="B16" s="109"/>
      <c r="I16" s="111"/>
      <c r="K16" s="109"/>
      <c r="L16" s="110"/>
      <c r="M16" s="122"/>
      <c r="N16" s="123"/>
      <c r="O16" s="119"/>
      <c r="P16" s="110"/>
      <c r="Q16" s="110"/>
    </row>
    <row r="17" spans="2:16" x14ac:dyDescent="0.25">
      <c r="B17" s="109"/>
      <c r="L17" s="110"/>
      <c r="M17" s="122"/>
      <c r="N17" s="119"/>
      <c r="O17" s="110"/>
      <c r="P17" s="110"/>
    </row>
    <row r="18" spans="2:16" ht="18.75" x14ac:dyDescent="0.25">
      <c r="B18" s="109"/>
      <c r="H18" s="141"/>
      <c r="I18" s="141"/>
      <c r="J18" s="142"/>
      <c r="K18" s="141"/>
      <c r="O18" s="110"/>
      <c r="P18" s="110"/>
    </row>
    <row r="19" spans="2:16" x14ac:dyDescent="0.25">
      <c r="B19" s="109"/>
      <c r="H19" s="110"/>
      <c r="I19" s="110"/>
      <c r="J19" s="110"/>
      <c r="O19" s="110"/>
      <c r="P19" s="110"/>
    </row>
    <row r="20" spans="2:16" x14ac:dyDescent="0.25">
      <c r="B20" s="109"/>
      <c r="L20" s="110"/>
      <c r="M20" s="122"/>
      <c r="N20" s="119"/>
      <c r="O20" s="110"/>
      <c r="P20" s="110"/>
    </row>
    <row r="21" spans="2:16" x14ac:dyDescent="0.25">
      <c r="B21" s="109"/>
      <c r="L21" s="110"/>
      <c r="M21" s="122"/>
      <c r="N21" s="119"/>
      <c r="O21" s="110"/>
      <c r="P21" s="110"/>
    </row>
    <row r="22" spans="2:16" x14ac:dyDescent="0.25">
      <c r="B22" s="109"/>
      <c r="L22" s="110"/>
      <c r="M22" s="122"/>
      <c r="N22" s="119"/>
      <c r="O22" s="110"/>
      <c r="P22" s="110"/>
    </row>
    <row r="23" spans="2:16" x14ac:dyDescent="0.25">
      <c r="B23" s="109"/>
      <c r="M23" s="122"/>
      <c r="N23" s="119"/>
      <c r="O23" s="110"/>
      <c r="P23" s="110"/>
    </row>
    <row r="24" spans="2:16" x14ac:dyDescent="0.25">
      <c r="B24" s="109"/>
      <c r="M24" s="122"/>
      <c r="N24" s="119"/>
      <c r="O24" s="110"/>
      <c r="P24" s="110"/>
    </row>
    <row r="25" spans="2:16" x14ac:dyDescent="0.25">
      <c r="B25" s="109"/>
      <c r="M25" s="122"/>
      <c r="N25" s="119"/>
      <c r="O25" s="110"/>
      <c r="P25" s="110"/>
    </row>
    <row r="26" spans="2:16" x14ac:dyDescent="0.25">
      <c r="B26" s="109"/>
      <c r="M26" s="122"/>
      <c r="N26" s="119"/>
      <c r="O26" s="110"/>
      <c r="P26" s="110"/>
    </row>
    <row r="27" spans="2:16" x14ac:dyDescent="0.25">
      <c r="B27" s="109"/>
      <c r="M27" s="122"/>
      <c r="N27" s="119"/>
      <c r="O27" s="110"/>
      <c r="P27" s="110"/>
    </row>
    <row r="28" spans="2:16" x14ac:dyDescent="0.25">
      <c r="B28" s="109"/>
      <c r="M28" s="122"/>
      <c r="N28" s="119"/>
      <c r="O28" s="110"/>
      <c r="P28" s="110"/>
    </row>
    <row r="29" spans="2:16" x14ac:dyDescent="0.25">
      <c r="B29" s="109"/>
      <c r="M29" s="122"/>
      <c r="N29" s="119"/>
      <c r="O29" s="119"/>
      <c r="P29" s="110"/>
    </row>
    <row r="30" spans="2:16" x14ac:dyDescent="0.25">
      <c r="B30" s="109"/>
      <c r="M30" s="122"/>
      <c r="N30" s="119"/>
      <c r="O30" s="119"/>
      <c r="P30" s="110"/>
    </row>
    <row r="31" spans="2:16" x14ac:dyDescent="0.25">
      <c r="B31" s="109"/>
      <c r="M31" s="122"/>
      <c r="N31" s="119"/>
      <c r="O31" s="119"/>
      <c r="P31" s="110"/>
    </row>
    <row r="32" spans="2:16" x14ac:dyDescent="0.25">
      <c r="B32" s="109"/>
      <c r="M32" s="122"/>
      <c r="N32" s="119"/>
      <c r="O32" s="119"/>
      <c r="P32" s="110"/>
    </row>
    <row r="33" spans="2:16" x14ac:dyDescent="0.25">
      <c r="B33" s="109"/>
      <c r="M33" s="122"/>
      <c r="N33" s="110"/>
      <c r="O33" s="119"/>
      <c r="P33" s="110"/>
    </row>
    <row r="34" spans="2:16" x14ac:dyDescent="0.25">
      <c r="B34" s="109"/>
      <c r="M34" s="122"/>
      <c r="N34" s="110"/>
      <c r="P34" s="110"/>
    </row>
    <row r="35" spans="2:16" x14ac:dyDescent="0.25">
      <c r="B35" s="109"/>
      <c r="M35" s="122"/>
      <c r="N35" s="110"/>
      <c r="P35" s="110"/>
    </row>
    <row r="36" spans="2:16" x14ac:dyDescent="0.25">
      <c r="B36" s="109"/>
      <c r="M36" s="122"/>
      <c r="N36" s="110"/>
      <c r="P36" s="110"/>
    </row>
    <row r="37" spans="2:16" x14ac:dyDescent="0.25">
      <c r="B37" s="109"/>
      <c r="M37" s="122"/>
      <c r="N37" s="110"/>
      <c r="P37" s="110"/>
    </row>
    <row r="38" spans="2:16" x14ac:dyDescent="0.25">
      <c r="B38" s="109"/>
      <c r="M38" s="122"/>
      <c r="N38" s="110"/>
      <c r="P38" s="110"/>
    </row>
    <row r="39" spans="2:16" x14ac:dyDescent="0.25">
      <c r="B39" s="109"/>
      <c r="M39" s="122"/>
      <c r="N39" s="110"/>
      <c r="P39" s="110"/>
    </row>
    <row r="40" spans="2:16" x14ac:dyDescent="0.25">
      <c r="B40" s="109"/>
      <c r="M40" s="122"/>
      <c r="N40" s="110"/>
      <c r="P40" s="110"/>
    </row>
    <row r="41" spans="2:16" x14ac:dyDescent="0.25">
      <c r="B41" s="109"/>
      <c r="M41" s="122"/>
      <c r="N41" s="110"/>
      <c r="P41" s="110"/>
    </row>
    <row r="42" spans="2:16" x14ac:dyDescent="0.25">
      <c r="B42" s="109"/>
      <c r="M42" s="122"/>
      <c r="N42" s="110"/>
      <c r="P42" s="110"/>
    </row>
    <row r="43" spans="2:16" x14ac:dyDescent="0.25">
      <c r="B43" s="109"/>
      <c r="M43" s="122"/>
      <c r="N43" s="110"/>
      <c r="P43" s="110"/>
    </row>
    <row r="44" spans="2:16" x14ac:dyDescent="0.25">
      <c r="B44" s="109"/>
      <c r="M44" s="122"/>
      <c r="N44" s="110"/>
      <c r="P44" s="110"/>
    </row>
    <row r="45" spans="2:16" x14ac:dyDescent="0.25">
      <c r="B45" s="109"/>
      <c r="M45" s="122"/>
      <c r="N45" s="110"/>
      <c r="P45" s="110"/>
    </row>
    <row r="46" spans="2:16" x14ac:dyDescent="0.25">
      <c r="B46" s="109"/>
      <c r="M46" s="122"/>
      <c r="N46" s="110"/>
      <c r="P46" s="110"/>
    </row>
    <row r="47" spans="2:16" x14ac:dyDescent="0.25">
      <c r="B47" s="109"/>
      <c r="M47" s="122"/>
      <c r="N47" s="110"/>
      <c r="P47" s="110"/>
    </row>
    <row r="48" spans="2:16" x14ac:dyDescent="0.25">
      <c r="B48" s="109"/>
      <c r="M48" s="122"/>
      <c r="N48" s="110"/>
      <c r="P48" s="110"/>
    </row>
    <row r="49" spans="2:16" x14ac:dyDescent="0.25">
      <c r="B49" s="109"/>
      <c r="M49" s="122"/>
      <c r="N49" s="110"/>
      <c r="P49" s="110"/>
    </row>
    <row r="50" spans="2:16" x14ac:dyDescent="0.25">
      <c r="B50" s="109"/>
      <c r="M50" s="122"/>
      <c r="N50" s="110"/>
      <c r="P50" s="110"/>
    </row>
    <row r="51" spans="2:16" x14ac:dyDescent="0.25">
      <c r="B51" s="109"/>
      <c r="M51" s="122"/>
      <c r="N51" s="110"/>
      <c r="P51" s="110"/>
    </row>
    <row r="52" spans="2:16" x14ac:dyDescent="0.25">
      <c r="B52" s="109"/>
      <c r="M52" s="122"/>
      <c r="N52" s="110"/>
      <c r="P52" s="110"/>
    </row>
    <row r="53" spans="2:16" x14ac:dyDescent="0.25">
      <c r="B53" s="109"/>
      <c r="M53" s="122"/>
      <c r="N53" s="110"/>
      <c r="P53" s="110"/>
    </row>
    <row r="54" spans="2:16" x14ac:dyDescent="0.25">
      <c r="B54" s="109"/>
      <c r="M54" s="122"/>
      <c r="N54" s="110"/>
      <c r="P54" s="110"/>
    </row>
    <row r="55" spans="2:16" x14ac:dyDescent="0.25">
      <c r="B55" s="109"/>
      <c r="M55" s="122"/>
      <c r="N55" s="110"/>
      <c r="P55" s="110"/>
    </row>
    <row r="56" spans="2:16" x14ac:dyDescent="0.25">
      <c r="B56" s="109"/>
      <c r="M56" s="122"/>
      <c r="N56" s="110"/>
      <c r="P56" s="110"/>
    </row>
    <row r="57" spans="2:16" x14ac:dyDescent="0.25">
      <c r="B57" s="109"/>
      <c r="M57" s="122"/>
      <c r="N57" s="110"/>
      <c r="P57" s="110"/>
    </row>
    <row r="58" spans="2:16" x14ac:dyDescent="0.25">
      <c r="B58" s="109"/>
      <c r="M58" s="122"/>
      <c r="N58" s="110"/>
      <c r="P58" s="110"/>
    </row>
    <row r="59" spans="2:16" x14ac:dyDescent="0.25">
      <c r="B59" s="109"/>
      <c r="M59" s="122"/>
      <c r="N59" s="110"/>
      <c r="P59" s="110"/>
    </row>
    <row r="60" spans="2:16" x14ac:dyDescent="0.25">
      <c r="B60" s="109"/>
      <c r="M60" s="122"/>
      <c r="N60" s="110"/>
      <c r="P60" s="110"/>
    </row>
    <row r="61" spans="2:16" x14ac:dyDescent="0.25">
      <c r="B61" s="109"/>
      <c r="M61" s="122"/>
      <c r="N61" s="110"/>
      <c r="P61" s="110"/>
    </row>
    <row r="62" spans="2:16" x14ac:dyDescent="0.25">
      <c r="B62" s="109"/>
      <c r="M62" s="122"/>
      <c r="N62" s="110"/>
      <c r="P62" s="110"/>
    </row>
    <row r="63" spans="2:16" x14ac:dyDescent="0.25">
      <c r="B63" s="109"/>
      <c r="M63" s="122"/>
      <c r="N63" s="110"/>
      <c r="P63" s="110"/>
    </row>
    <row r="64" spans="2:16" x14ac:dyDescent="0.25">
      <c r="B64" s="109"/>
      <c r="M64" s="122"/>
      <c r="N64" s="110"/>
      <c r="P64" s="110"/>
    </row>
    <row r="65" spans="2:16" x14ac:dyDescent="0.25">
      <c r="B65" s="109"/>
      <c r="M65" s="122"/>
      <c r="N65" s="110"/>
      <c r="P65" s="110"/>
    </row>
    <row r="66" spans="2:16" x14ac:dyDescent="0.25">
      <c r="B66" s="109"/>
      <c r="M66" s="122"/>
      <c r="N66" s="110"/>
      <c r="P66" s="110"/>
    </row>
    <row r="67" spans="2:16" x14ac:dyDescent="0.25">
      <c r="B67" s="109"/>
      <c r="M67" s="122"/>
      <c r="N67" s="110"/>
      <c r="P67" s="110"/>
    </row>
    <row r="68" spans="2:16" x14ac:dyDescent="0.25">
      <c r="B68" s="109"/>
      <c r="M68" s="122"/>
      <c r="N68" s="110"/>
      <c r="P68" s="110"/>
    </row>
    <row r="69" spans="2:16" x14ac:dyDescent="0.25">
      <c r="B69" s="109"/>
      <c r="M69" s="122"/>
      <c r="N69" s="110"/>
      <c r="P69" s="110"/>
    </row>
    <row r="70" spans="2:16" x14ac:dyDescent="0.25">
      <c r="B70" s="109"/>
      <c r="M70" s="122"/>
      <c r="N70" s="110"/>
      <c r="P70" s="110"/>
    </row>
    <row r="71" spans="2:16" x14ac:dyDescent="0.25">
      <c r="B71" s="109"/>
      <c r="M71" s="122"/>
      <c r="N71" s="110"/>
      <c r="P71" s="110"/>
    </row>
    <row r="72" spans="2:16" x14ac:dyDescent="0.25">
      <c r="B72" s="109"/>
      <c r="M72" s="122"/>
      <c r="P72" s="110"/>
    </row>
    <row r="73" spans="2:16" x14ac:dyDescent="0.25">
      <c r="B73" s="109"/>
      <c r="M73" s="122"/>
      <c r="P73" s="110"/>
    </row>
    <row r="74" spans="2:16" x14ac:dyDescent="0.25">
      <c r="B74" s="109"/>
      <c r="M74" s="122"/>
      <c r="P74" s="110"/>
    </row>
    <row r="75" spans="2:16" x14ac:dyDescent="0.25">
      <c r="B75" s="109"/>
      <c r="M75" s="122"/>
    </row>
    <row r="76" spans="2:16" x14ac:dyDescent="0.25">
      <c r="B76" s="109"/>
      <c r="M76" s="122"/>
    </row>
    <row r="77" spans="2:16" x14ac:dyDescent="0.25">
      <c r="B77" s="109"/>
      <c r="M77" s="122"/>
    </row>
    <row r="78" spans="2:16" x14ac:dyDescent="0.25">
      <c r="B78" s="109"/>
      <c r="M78" s="122"/>
    </row>
    <row r="79" spans="2:16" x14ac:dyDescent="0.25">
      <c r="B79" s="109"/>
      <c r="M79" s="122"/>
    </row>
    <row r="80" spans="2:16" x14ac:dyDescent="0.25">
      <c r="B80" s="109"/>
      <c r="M80" s="122"/>
    </row>
    <row r="81" spans="2:13" x14ac:dyDescent="0.25">
      <c r="B81" s="109"/>
      <c r="M81" s="122"/>
    </row>
    <row r="82" spans="2:13" x14ac:dyDescent="0.25">
      <c r="B82" s="109"/>
      <c r="M82" s="122"/>
    </row>
    <row r="83" spans="2:13" x14ac:dyDescent="0.25">
      <c r="B83" s="109"/>
      <c r="M83" s="122"/>
    </row>
    <row r="84" spans="2:13" x14ac:dyDescent="0.25">
      <c r="B84" s="109"/>
      <c r="M84" s="122"/>
    </row>
    <row r="85" spans="2:13" x14ac:dyDescent="0.25">
      <c r="B85" s="109"/>
      <c r="M85" s="122"/>
    </row>
    <row r="86" spans="2:13" x14ac:dyDescent="0.25">
      <c r="B86" s="109"/>
      <c r="M86" s="122"/>
    </row>
    <row r="87" spans="2:13" x14ac:dyDescent="0.25">
      <c r="B87" s="109"/>
      <c r="M87" s="122"/>
    </row>
    <row r="88" spans="2:13" x14ac:dyDescent="0.25">
      <c r="B88" s="109"/>
      <c r="M88" s="122"/>
    </row>
    <row r="89" spans="2:13" x14ac:dyDescent="0.25">
      <c r="B89" s="109"/>
      <c r="M89" s="122"/>
    </row>
    <row r="90" spans="2:13" x14ac:dyDescent="0.25">
      <c r="B90" s="109"/>
      <c r="M90" s="122"/>
    </row>
    <row r="91" spans="2:13" x14ac:dyDescent="0.25">
      <c r="B91" s="109"/>
      <c r="M91" s="122"/>
    </row>
    <row r="92" spans="2:13" x14ac:dyDescent="0.25">
      <c r="B92" s="109"/>
      <c r="M92" s="122"/>
    </row>
    <row r="93" spans="2:13" x14ac:dyDescent="0.25">
      <c r="B93" s="109"/>
      <c r="M93" s="122"/>
    </row>
    <row r="94" spans="2:13" x14ac:dyDescent="0.25">
      <c r="B94" s="109"/>
      <c r="M94" s="122"/>
    </row>
    <row r="95" spans="2:13" x14ac:dyDescent="0.25">
      <c r="B95" s="109"/>
      <c r="M95" s="122"/>
    </row>
    <row r="96" spans="2:13" x14ac:dyDescent="0.25">
      <c r="B96" s="109"/>
      <c r="M96" s="122"/>
    </row>
    <row r="97" spans="2:13" x14ac:dyDescent="0.25">
      <c r="B97" s="109"/>
      <c r="M97" s="122"/>
    </row>
    <row r="98" spans="2:13" x14ac:dyDescent="0.25">
      <c r="B98" s="109"/>
      <c r="M98" s="122"/>
    </row>
    <row r="99" spans="2:13" x14ac:dyDescent="0.25">
      <c r="B99" s="109"/>
      <c r="M99" s="122"/>
    </row>
    <row r="100" spans="2:13" x14ac:dyDescent="0.25">
      <c r="B100" s="109"/>
      <c r="M100" s="122"/>
    </row>
    <row r="101" spans="2:13" x14ac:dyDescent="0.25">
      <c r="B101" s="109"/>
      <c r="M101" s="122"/>
    </row>
    <row r="102" spans="2:13" x14ac:dyDescent="0.25">
      <c r="B102" s="109"/>
      <c r="M102" s="122"/>
    </row>
    <row r="103" spans="2:13" x14ac:dyDescent="0.25">
      <c r="B103" s="109"/>
      <c r="M103" s="122"/>
    </row>
    <row r="104" spans="2:13" x14ac:dyDescent="0.25">
      <c r="B104" s="109"/>
      <c r="M104" s="122"/>
    </row>
    <row r="105" spans="2:13" x14ac:dyDescent="0.25">
      <c r="B105" s="109"/>
      <c r="M105" s="122"/>
    </row>
    <row r="106" spans="2:13" x14ac:dyDescent="0.25">
      <c r="B106" s="109"/>
      <c r="M106" s="122"/>
    </row>
    <row r="107" spans="2:13" x14ac:dyDescent="0.25">
      <c r="B107" s="109"/>
      <c r="M107" s="122"/>
    </row>
    <row r="108" spans="2:13" x14ac:dyDescent="0.25">
      <c r="B108" s="109"/>
      <c r="M108" s="122"/>
    </row>
    <row r="109" spans="2:13" x14ac:dyDescent="0.25">
      <c r="B109" s="109"/>
      <c r="M109" s="122"/>
    </row>
    <row r="110" spans="2:13" x14ac:dyDescent="0.25">
      <c r="B110" s="109"/>
      <c r="M110" s="122"/>
    </row>
    <row r="111" spans="2:13" x14ac:dyDescent="0.25">
      <c r="B111" s="109"/>
      <c r="M111" s="122"/>
    </row>
    <row r="112" spans="2:13" x14ac:dyDescent="0.25">
      <c r="B112" s="109"/>
      <c r="M112" s="122"/>
    </row>
    <row r="113" spans="2:13" x14ac:dyDescent="0.25">
      <c r="B113" s="109"/>
      <c r="M113" s="122"/>
    </row>
    <row r="114" spans="2:13" x14ac:dyDescent="0.25">
      <c r="B114" s="109"/>
      <c r="M114" s="122"/>
    </row>
    <row r="115" spans="2:13" x14ac:dyDescent="0.25">
      <c r="B115" s="109"/>
      <c r="M115" s="122"/>
    </row>
    <row r="116" spans="2:13" x14ac:dyDescent="0.25">
      <c r="B116" s="109"/>
      <c r="M116" s="122"/>
    </row>
    <row r="117" spans="2:13" x14ac:dyDescent="0.25">
      <c r="B117" s="109"/>
      <c r="M117" s="122"/>
    </row>
    <row r="118" spans="2:13" x14ac:dyDescent="0.25">
      <c r="B118" s="109"/>
      <c r="M118" s="122"/>
    </row>
    <row r="119" spans="2:13" x14ac:dyDescent="0.25">
      <c r="B119" s="109"/>
      <c r="M119" s="122"/>
    </row>
    <row r="120" spans="2:13" x14ac:dyDescent="0.25">
      <c r="B120" s="109"/>
      <c r="M120" s="122"/>
    </row>
    <row r="121" spans="2:13" x14ac:dyDescent="0.25">
      <c r="B121" s="109"/>
      <c r="M121" s="122"/>
    </row>
    <row r="122" spans="2:13" x14ac:dyDescent="0.25">
      <c r="B122" s="109"/>
      <c r="M122" s="122"/>
    </row>
    <row r="123" spans="2:13" x14ac:dyDescent="0.25">
      <c r="B123" s="109"/>
      <c r="M123" s="122"/>
    </row>
    <row r="124" spans="2:13" x14ac:dyDescent="0.25">
      <c r="B124" s="109"/>
      <c r="M124" s="122"/>
    </row>
    <row r="125" spans="2:13" x14ac:dyDescent="0.25">
      <c r="B125" s="109"/>
      <c r="M125" s="122"/>
    </row>
    <row r="126" spans="2:13" x14ac:dyDescent="0.25">
      <c r="B126" s="109"/>
    </row>
    <row r="127" spans="2:13" x14ac:dyDescent="0.25">
      <c r="B127" s="109"/>
    </row>
    <row r="128" spans="2:13" x14ac:dyDescent="0.25">
      <c r="B128" s="109"/>
    </row>
    <row r="129" spans="2:2" x14ac:dyDescent="0.25">
      <c r="B129" s="109"/>
    </row>
    <row r="130" spans="2:2" x14ac:dyDescent="0.25">
      <c r="B130" s="109"/>
    </row>
    <row r="131" spans="2:2" x14ac:dyDescent="0.25">
      <c r="B131" s="109"/>
    </row>
    <row r="132" spans="2:2" x14ac:dyDescent="0.25">
      <c r="B132" s="109"/>
    </row>
    <row r="133" spans="2:2" x14ac:dyDescent="0.25">
      <c r="B133" s="109"/>
    </row>
    <row r="134" spans="2:2" x14ac:dyDescent="0.25">
      <c r="B134" s="109"/>
    </row>
    <row r="135" spans="2:2" x14ac:dyDescent="0.25">
      <c r="B135" s="109"/>
    </row>
    <row r="136" spans="2:2" x14ac:dyDescent="0.25">
      <c r="B136" s="109"/>
    </row>
    <row r="137" spans="2:2" x14ac:dyDescent="0.25">
      <c r="B137" s="109"/>
    </row>
    <row r="138" spans="2:2" x14ac:dyDescent="0.25">
      <c r="B138" s="109"/>
    </row>
    <row r="139" spans="2:2" x14ac:dyDescent="0.25">
      <c r="B139" s="109"/>
    </row>
    <row r="140" spans="2:2" x14ac:dyDescent="0.25">
      <c r="B140" s="109"/>
    </row>
    <row r="141" spans="2:2" x14ac:dyDescent="0.25">
      <c r="B141" s="109"/>
    </row>
    <row r="142" spans="2:2" x14ac:dyDescent="0.25">
      <c r="B142" s="109"/>
    </row>
    <row r="143" spans="2:2" x14ac:dyDescent="0.25">
      <c r="B143" s="109"/>
    </row>
    <row r="144" spans="2:2" x14ac:dyDescent="0.25">
      <c r="B144" s="109"/>
    </row>
    <row r="145" spans="2:2" x14ac:dyDescent="0.25">
      <c r="B145" s="109"/>
    </row>
    <row r="146" spans="2:2" x14ac:dyDescent="0.25">
      <c r="B146" s="109"/>
    </row>
    <row r="147" spans="2:2" x14ac:dyDescent="0.25">
      <c r="B147" s="109"/>
    </row>
    <row r="148" spans="2:2" x14ac:dyDescent="0.25">
      <c r="B148" s="109"/>
    </row>
    <row r="149" spans="2:2" x14ac:dyDescent="0.25">
      <c r="B149" s="109"/>
    </row>
    <row r="150" spans="2:2" x14ac:dyDescent="0.25">
      <c r="B150" s="109"/>
    </row>
    <row r="151" spans="2:2" x14ac:dyDescent="0.25">
      <c r="B151" s="109"/>
    </row>
    <row r="152" spans="2:2" x14ac:dyDescent="0.25">
      <c r="B152" s="109"/>
    </row>
    <row r="153" spans="2:2" x14ac:dyDescent="0.25">
      <c r="B153" s="109"/>
    </row>
    <row r="154" spans="2:2" x14ac:dyDescent="0.25">
      <c r="B154" s="109"/>
    </row>
    <row r="155" spans="2:2" x14ac:dyDescent="0.25">
      <c r="B155" s="109"/>
    </row>
    <row r="156" spans="2:2" x14ac:dyDescent="0.25">
      <c r="B156" s="109"/>
    </row>
    <row r="157" spans="2:2" x14ac:dyDescent="0.25">
      <c r="B157" s="109"/>
    </row>
    <row r="158" spans="2:2" x14ac:dyDescent="0.25">
      <c r="B158" s="109"/>
    </row>
    <row r="159" spans="2:2" x14ac:dyDescent="0.25">
      <c r="B159" s="109"/>
    </row>
    <row r="160" spans="2:2" x14ac:dyDescent="0.25">
      <c r="B160" s="109"/>
    </row>
    <row r="161" spans="2:2" x14ac:dyDescent="0.25">
      <c r="B161" s="109"/>
    </row>
    <row r="162" spans="2:2" x14ac:dyDescent="0.25">
      <c r="B162" s="109"/>
    </row>
    <row r="163" spans="2:2" x14ac:dyDescent="0.25">
      <c r="B163" s="109"/>
    </row>
    <row r="164" spans="2:2" x14ac:dyDescent="0.25">
      <c r="B164" s="109"/>
    </row>
    <row r="165" spans="2:2" x14ac:dyDescent="0.25">
      <c r="B165" s="109"/>
    </row>
    <row r="166" spans="2:2" x14ac:dyDescent="0.25">
      <c r="B166" s="109"/>
    </row>
    <row r="167" spans="2:2" x14ac:dyDescent="0.25">
      <c r="B167" s="109"/>
    </row>
    <row r="168" spans="2:2" x14ac:dyDescent="0.25">
      <c r="B168" s="109"/>
    </row>
    <row r="169" spans="2:2" x14ac:dyDescent="0.25">
      <c r="B169" s="109"/>
    </row>
    <row r="170" spans="2:2" x14ac:dyDescent="0.25">
      <c r="B170" s="109"/>
    </row>
    <row r="171" spans="2:2" x14ac:dyDescent="0.25">
      <c r="B171" s="109"/>
    </row>
    <row r="172" spans="2:2" x14ac:dyDescent="0.25">
      <c r="B172" s="109"/>
    </row>
    <row r="173" spans="2:2" x14ac:dyDescent="0.25">
      <c r="B173" s="109"/>
    </row>
    <row r="174" spans="2:2" x14ac:dyDescent="0.25">
      <c r="B174" s="109"/>
    </row>
    <row r="175" spans="2:2" x14ac:dyDescent="0.25">
      <c r="B175" s="109"/>
    </row>
    <row r="176" spans="2:2" x14ac:dyDescent="0.25">
      <c r="B176" s="109"/>
    </row>
    <row r="177" spans="2:2" x14ac:dyDescent="0.25">
      <c r="B177" s="109"/>
    </row>
    <row r="178" spans="2:2" x14ac:dyDescent="0.25">
      <c r="B178" s="109"/>
    </row>
    <row r="179" spans="2:2" x14ac:dyDescent="0.25">
      <c r="B179" s="109"/>
    </row>
    <row r="180" spans="2:2" x14ac:dyDescent="0.25">
      <c r="B180" s="109"/>
    </row>
    <row r="181" spans="2:2" x14ac:dyDescent="0.25">
      <c r="B181" s="109"/>
    </row>
    <row r="182" spans="2:2" x14ac:dyDescent="0.25">
      <c r="B182" s="109"/>
    </row>
    <row r="183" spans="2:2" x14ac:dyDescent="0.25">
      <c r="B183" s="109"/>
    </row>
    <row r="184" spans="2:2" x14ac:dyDescent="0.25">
      <c r="B184" s="109"/>
    </row>
    <row r="185" spans="2:2" x14ac:dyDescent="0.25">
      <c r="B185" s="109"/>
    </row>
    <row r="186" spans="2:2" x14ac:dyDescent="0.25">
      <c r="B186" s="109"/>
    </row>
    <row r="187" spans="2:2" x14ac:dyDescent="0.25">
      <c r="B187" s="109"/>
    </row>
    <row r="188" spans="2:2" x14ac:dyDescent="0.25">
      <c r="B188" s="109"/>
    </row>
    <row r="189" spans="2:2" x14ac:dyDescent="0.25">
      <c r="B189" s="109"/>
    </row>
    <row r="190" spans="2:2" x14ac:dyDescent="0.25">
      <c r="B190" s="109"/>
    </row>
    <row r="191" spans="2:2" x14ac:dyDescent="0.25">
      <c r="B191" s="109"/>
    </row>
    <row r="192" spans="2:2" x14ac:dyDescent="0.25">
      <c r="B192" s="109"/>
    </row>
    <row r="193" spans="2:2" x14ac:dyDescent="0.25">
      <c r="B193" s="109"/>
    </row>
    <row r="194" spans="2:2" x14ac:dyDescent="0.25">
      <c r="B194" s="109"/>
    </row>
    <row r="195" spans="2:2" x14ac:dyDescent="0.25">
      <c r="B195" s="109"/>
    </row>
    <row r="196" spans="2:2" x14ac:dyDescent="0.25">
      <c r="B196" s="109"/>
    </row>
    <row r="197" spans="2:2" x14ac:dyDescent="0.25">
      <c r="B197" s="109"/>
    </row>
    <row r="198" spans="2:2" x14ac:dyDescent="0.25">
      <c r="B198" s="109"/>
    </row>
    <row r="199" spans="2:2" x14ac:dyDescent="0.25">
      <c r="B199" s="109"/>
    </row>
    <row r="200" spans="2:2" x14ac:dyDescent="0.25">
      <c r="B200" s="109"/>
    </row>
    <row r="201" spans="2:2" x14ac:dyDescent="0.25">
      <c r="B201" s="109"/>
    </row>
    <row r="202" spans="2:2" x14ac:dyDescent="0.25">
      <c r="B202" s="109"/>
    </row>
    <row r="203" spans="2:2" x14ac:dyDescent="0.25">
      <c r="B203" s="109"/>
    </row>
    <row r="204" spans="2:2" x14ac:dyDescent="0.25">
      <c r="B204" s="109"/>
    </row>
    <row r="205" spans="2:2" x14ac:dyDescent="0.25">
      <c r="B205" s="109"/>
    </row>
    <row r="206" spans="2:2" x14ac:dyDescent="0.25">
      <c r="B206" s="109"/>
    </row>
    <row r="207" spans="2:2" x14ac:dyDescent="0.25">
      <c r="B207" s="109"/>
    </row>
    <row r="208" spans="2:2" x14ac:dyDescent="0.25">
      <c r="B208" s="109"/>
    </row>
    <row r="209" spans="2:2" x14ac:dyDescent="0.25">
      <c r="B209" s="109"/>
    </row>
    <row r="210" spans="2:2" x14ac:dyDescent="0.25">
      <c r="B210" s="109"/>
    </row>
    <row r="211" spans="2:2" x14ac:dyDescent="0.25">
      <c r="B211" s="109"/>
    </row>
    <row r="212" spans="2:2" x14ac:dyDescent="0.25">
      <c r="B212" s="109"/>
    </row>
    <row r="213" spans="2:2" x14ac:dyDescent="0.25">
      <c r="B213" s="109"/>
    </row>
    <row r="214" spans="2:2" x14ac:dyDescent="0.25">
      <c r="B214" s="109"/>
    </row>
    <row r="215" spans="2:2" x14ac:dyDescent="0.25">
      <c r="B215" s="109"/>
    </row>
    <row r="216" spans="2:2" x14ac:dyDescent="0.25">
      <c r="B216" s="109"/>
    </row>
    <row r="217" spans="2:2" x14ac:dyDescent="0.25">
      <c r="B217" s="109"/>
    </row>
    <row r="218" spans="2:2" x14ac:dyDescent="0.25">
      <c r="B218" s="109"/>
    </row>
    <row r="219" spans="2:2" x14ac:dyDescent="0.25">
      <c r="B219" s="109"/>
    </row>
    <row r="220" spans="2:2" x14ac:dyDescent="0.25">
      <c r="B220" s="109"/>
    </row>
    <row r="221" spans="2:2" x14ac:dyDescent="0.25">
      <c r="B221" s="109"/>
    </row>
    <row r="222" spans="2:2" x14ac:dyDescent="0.25">
      <c r="B222" s="109"/>
    </row>
    <row r="223" spans="2:2" x14ac:dyDescent="0.25">
      <c r="B223" s="109"/>
    </row>
    <row r="224" spans="2:2" x14ac:dyDescent="0.25">
      <c r="B224" s="109"/>
    </row>
    <row r="225" spans="2:2" x14ac:dyDescent="0.25">
      <c r="B225" s="109"/>
    </row>
    <row r="226" spans="2:2" x14ac:dyDescent="0.25">
      <c r="B226" s="109"/>
    </row>
    <row r="227" spans="2:2" x14ac:dyDescent="0.25">
      <c r="B227" s="109"/>
    </row>
    <row r="228" spans="2:2" x14ac:dyDescent="0.25">
      <c r="B228" s="109"/>
    </row>
    <row r="229" spans="2:2" x14ac:dyDescent="0.25">
      <c r="B229" s="109"/>
    </row>
    <row r="230" spans="2:2" x14ac:dyDescent="0.25">
      <c r="B230" s="109"/>
    </row>
    <row r="231" spans="2:2" x14ac:dyDescent="0.25">
      <c r="B231" s="109"/>
    </row>
    <row r="232" spans="2:2" x14ac:dyDescent="0.25">
      <c r="B232" s="109"/>
    </row>
    <row r="233" spans="2:2" x14ac:dyDescent="0.25">
      <c r="B233" s="109"/>
    </row>
    <row r="234" spans="2:2" x14ac:dyDescent="0.25">
      <c r="B234" s="109"/>
    </row>
    <row r="235" spans="2:2" x14ac:dyDescent="0.25">
      <c r="B235" s="109"/>
    </row>
    <row r="236" spans="2:2" x14ac:dyDescent="0.25">
      <c r="B236" s="109"/>
    </row>
    <row r="237" spans="2:2" x14ac:dyDescent="0.25">
      <c r="B237" s="109"/>
    </row>
    <row r="238" spans="2:2" x14ac:dyDescent="0.25">
      <c r="B238" s="109"/>
    </row>
    <row r="239" spans="2:2" x14ac:dyDescent="0.25">
      <c r="B239" s="109"/>
    </row>
    <row r="240" spans="2:2" x14ac:dyDescent="0.25">
      <c r="B240" s="109"/>
    </row>
    <row r="241" spans="2:2" x14ac:dyDescent="0.25">
      <c r="B241" s="109"/>
    </row>
    <row r="242" spans="2:2" x14ac:dyDescent="0.25">
      <c r="B242" s="109"/>
    </row>
    <row r="243" spans="2:2" x14ac:dyDescent="0.25">
      <c r="B243" s="109"/>
    </row>
    <row r="244" spans="2:2" x14ac:dyDescent="0.25">
      <c r="B244" s="109"/>
    </row>
    <row r="245" spans="2:2" x14ac:dyDescent="0.25">
      <c r="B245" s="109"/>
    </row>
    <row r="246" spans="2:2" x14ac:dyDescent="0.25">
      <c r="B246" s="109"/>
    </row>
    <row r="247" spans="2:2" x14ac:dyDescent="0.25">
      <c r="B247" s="109"/>
    </row>
    <row r="248" spans="2:2" x14ac:dyDescent="0.25">
      <c r="B248" s="109"/>
    </row>
    <row r="249" spans="2:2" x14ac:dyDescent="0.25">
      <c r="B249" s="109"/>
    </row>
    <row r="250" spans="2:2" x14ac:dyDescent="0.25">
      <c r="B250" s="109"/>
    </row>
    <row r="251" spans="2:2" x14ac:dyDescent="0.25">
      <c r="B251" s="109"/>
    </row>
    <row r="252" spans="2:2" x14ac:dyDescent="0.25">
      <c r="B252" s="109"/>
    </row>
    <row r="253" spans="2:2" x14ac:dyDescent="0.25">
      <c r="B253" s="109"/>
    </row>
    <row r="254" spans="2:2" x14ac:dyDescent="0.25">
      <c r="B254" s="109"/>
    </row>
    <row r="255" spans="2:2" x14ac:dyDescent="0.25">
      <c r="B255" s="109"/>
    </row>
    <row r="256" spans="2:2" x14ac:dyDescent="0.25">
      <c r="B256" s="109"/>
    </row>
    <row r="257" spans="2:2" x14ac:dyDescent="0.25">
      <c r="B257" s="109"/>
    </row>
    <row r="258" spans="2:2" x14ac:dyDescent="0.25">
      <c r="B258" s="109"/>
    </row>
    <row r="259" spans="2:2" x14ac:dyDescent="0.25">
      <c r="B259" s="109"/>
    </row>
    <row r="260" spans="2:2" x14ac:dyDescent="0.25">
      <c r="B260" s="109"/>
    </row>
    <row r="261" spans="2:2" x14ac:dyDescent="0.25">
      <c r="B261" s="109"/>
    </row>
    <row r="262" spans="2:2" x14ac:dyDescent="0.25">
      <c r="B262" s="109"/>
    </row>
    <row r="263" spans="2:2" x14ac:dyDescent="0.25">
      <c r="B263" s="109"/>
    </row>
    <row r="264" spans="2:2" x14ac:dyDescent="0.25">
      <c r="B264" s="109"/>
    </row>
    <row r="265" spans="2:2" x14ac:dyDescent="0.25">
      <c r="B265" s="109"/>
    </row>
    <row r="266" spans="2:2" x14ac:dyDescent="0.25">
      <c r="B266" s="109"/>
    </row>
    <row r="267" spans="2:2" x14ac:dyDescent="0.25">
      <c r="B267" s="109"/>
    </row>
    <row r="268" spans="2:2" x14ac:dyDescent="0.25">
      <c r="B268" s="109"/>
    </row>
    <row r="269" spans="2:2" x14ac:dyDescent="0.25">
      <c r="B269" s="109"/>
    </row>
    <row r="270" spans="2:2" x14ac:dyDescent="0.25">
      <c r="B270" s="109"/>
    </row>
    <row r="271" spans="2:2" x14ac:dyDescent="0.25">
      <c r="B271" s="109"/>
    </row>
    <row r="272" spans="2:2" x14ac:dyDescent="0.25">
      <c r="B272" s="109"/>
    </row>
    <row r="273" spans="2:2" x14ac:dyDescent="0.25">
      <c r="B273" s="109"/>
    </row>
    <row r="274" spans="2:2" x14ac:dyDescent="0.25">
      <c r="B274" s="109"/>
    </row>
    <row r="275" spans="2:2" x14ac:dyDescent="0.25">
      <c r="B275" s="109"/>
    </row>
    <row r="276" spans="2:2" x14ac:dyDescent="0.25">
      <c r="B276" s="109"/>
    </row>
    <row r="277" spans="2:2" x14ac:dyDescent="0.25">
      <c r="B277" s="109"/>
    </row>
    <row r="278" spans="2:2" x14ac:dyDescent="0.25">
      <c r="B278" s="109"/>
    </row>
    <row r="279" spans="2:2" x14ac:dyDescent="0.25">
      <c r="B279" s="109"/>
    </row>
    <row r="280" spans="2:2" x14ac:dyDescent="0.25">
      <c r="B280" s="109"/>
    </row>
    <row r="281" spans="2:2" x14ac:dyDescent="0.25">
      <c r="B281" s="109"/>
    </row>
    <row r="282" spans="2:2" x14ac:dyDescent="0.25">
      <c r="B282" s="109"/>
    </row>
    <row r="283" spans="2:2" x14ac:dyDescent="0.25">
      <c r="B283" s="109"/>
    </row>
    <row r="284" spans="2:2" x14ac:dyDescent="0.25">
      <c r="B284" s="109"/>
    </row>
    <row r="285" spans="2:2" x14ac:dyDescent="0.25">
      <c r="B285" s="109"/>
    </row>
    <row r="286" spans="2:2" x14ac:dyDescent="0.25">
      <c r="B286" s="109"/>
    </row>
    <row r="287" spans="2:2" x14ac:dyDescent="0.25">
      <c r="B287" s="109"/>
    </row>
    <row r="288" spans="2:2" x14ac:dyDescent="0.25">
      <c r="B288" s="109"/>
    </row>
    <row r="289" spans="2:2" x14ac:dyDescent="0.25">
      <c r="B289" s="109"/>
    </row>
    <row r="290" spans="2:2" x14ac:dyDescent="0.25">
      <c r="B290" s="109"/>
    </row>
    <row r="291" spans="2:2" x14ac:dyDescent="0.25">
      <c r="B291" s="109"/>
    </row>
    <row r="292" spans="2:2" x14ac:dyDescent="0.25">
      <c r="B292" s="109"/>
    </row>
    <row r="293" spans="2:2" x14ac:dyDescent="0.25">
      <c r="B293" s="109"/>
    </row>
    <row r="294" spans="2:2" x14ac:dyDescent="0.25">
      <c r="B294" s="109"/>
    </row>
    <row r="295" spans="2:2" x14ac:dyDescent="0.25">
      <c r="B295" s="109"/>
    </row>
    <row r="296" spans="2:2" x14ac:dyDescent="0.25">
      <c r="B296" s="109"/>
    </row>
    <row r="297" spans="2:2" x14ac:dyDescent="0.25">
      <c r="B297" s="109"/>
    </row>
    <row r="298" spans="2:2" x14ac:dyDescent="0.25">
      <c r="B298" s="109"/>
    </row>
    <row r="299" spans="2:2" x14ac:dyDescent="0.25">
      <c r="B299" s="109"/>
    </row>
    <row r="300" spans="2:2" x14ac:dyDescent="0.25">
      <c r="B300" s="109"/>
    </row>
    <row r="301" spans="2:2" x14ac:dyDescent="0.25">
      <c r="B301" s="109"/>
    </row>
    <row r="302" spans="2:2" x14ac:dyDescent="0.25">
      <c r="B302" s="109"/>
    </row>
    <row r="303" spans="2:2" x14ac:dyDescent="0.25">
      <c r="B303" s="109"/>
    </row>
    <row r="304" spans="2:2" x14ac:dyDescent="0.25">
      <c r="B304" s="109"/>
    </row>
    <row r="305" spans="2:2" x14ac:dyDescent="0.25">
      <c r="B305" s="109"/>
    </row>
    <row r="306" spans="2:2" x14ac:dyDescent="0.25">
      <c r="B306" s="109"/>
    </row>
    <row r="307" spans="2:2" x14ac:dyDescent="0.25">
      <c r="B307" s="109"/>
    </row>
    <row r="308" spans="2:2" x14ac:dyDescent="0.25">
      <c r="B308" s="109"/>
    </row>
  </sheetData>
  <mergeCells count="3">
    <mergeCell ref="B8:C8"/>
    <mergeCell ref="A6:B7"/>
    <mergeCell ref="C6:E7"/>
  </mergeCells>
  <phoneticPr fontId="9" type="noConversion"/>
  <pageMargins left="0.7" right="0.7" top="0.75" bottom="0.75" header="0.3" footer="0.3"/>
  <pageSetup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28FA966-157D-4A84-9ADB-C7DAD618D7CA}">
          <x14:formula1>
            <xm:f>'Thông tin thanh toán'!$B$10:$B$26</xm:f>
          </x14:formula1>
          <xm:sqref>E8</xm:sqref>
        </x14:dataValidation>
        <x14:dataValidation type="list" allowBlank="1" showInputMessage="1" xr:uid="{4A1D16B4-398E-4F5C-B121-B2A47C5A4F2E}">
          <x14:formula1>
            <xm:f>'Thông tin thanh toán'!$Z$1:$Z$312</xm:f>
          </x14:formula1>
          <xm:sqref>C6:E7</xm:sqref>
        </x14:dataValidation>
      </x14:dataValidations>
    </ext>
  </extLst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93EFB2-3B3C-4E88-B006-554BE897BA25}">
  <sheetPr codeName="Sheet164"/>
  <dimension ref="A1:P91"/>
  <sheetViews>
    <sheetView workbookViewId="0">
      <selection activeCell="F17" sqref="F17"/>
    </sheetView>
  </sheetViews>
  <sheetFormatPr defaultColWidth="9.140625" defaultRowHeight="15.75" x14ac:dyDescent="0.25"/>
  <cols>
    <col min="1" max="1" width="15.85546875" style="81" bestFit="1" customWidth="1"/>
    <col min="2" max="2" width="13.140625" style="81" bestFit="1" customWidth="1"/>
    <col min="3" max="3" width="16.42578125" style="81" customWidth="1"/>
    <col min="4" max="4" width="18.7109375" style="81" bestFit="1" customWidth="1"/>
    <col min="5" max="5" width="18.7109375" style="81" customWidth="1"/>
    <col min="6" max="6" width="20.5703125" style="81" bestFit="1" customWidth="1"/>
    <col min="7" max="7" width="18.5703125" style="81" bestFit="1" customWidth="1"/>
    <col min="8" max="8" width="23.28515625" style="81" bestFit="1" customWidth="1"/>
    <col min="9" max="9" width="24.42578125" style="81" bestFit="1" customWidth="1"/>
    <col min="10" max="10" width="19.140625" style="81" bestFit="1" customWidth="1"/>
    <col min="11" max="11" width="15" style="81" bestFit="1" customWidth="1"/>
    <col min="12" max="12" width="14.28515625" style="81" bestFit="1" customWidth="1"/>
    <col min="13" max="13" width="13.5703125" style="81" bestFit="1" customWidth="1"/>
    <col min="14" max="14" width="21.28515625" style="81" customWidth="1"/>
    <col min="15" max="15" width="12.42578125" style="81" bestFit="1" customWidth="1"/>
    <col min="16" max="16384" width="9.140625" style="81"/>
  </cols>
  <sheetData>
    <row r="1" spans="1:16" x14ac:dyDescent="0.25">
      <c r="B1" s="109"/>
    </row>
    <row r="2" spans="1:16" x14ac:dyDescent="0.25">
      <c r="B2" s="109"/>
    </row>
    <row r="3" spans="1:16" x14ac:dyDescent="0.25">
      <c r="B3" s="109"/>
    </row>
    <row r="4" spans="1:16" x14ac:dyDescent="0.25">
      <c r="B4" s="109"/>
    </row>
    <row r="5" spans="1:16" ht="25.5" x14ac:dyDescent="0.25">
      <c r="B5" s="109"/>
      <c r="D5" s="114"/>
      <c r="E5" s="82"/>
      <c r="F5" s="83"/>
    </row>
    <row r="6" spans="1:16" x14ac:dyDescent="0.25">
      <c r="B6" s="109"/>
      <c r="D6" s="111"/>
      <c r="F6" s="110"/>
      <c r="G6" s="110"/>
      <c r="H6" s="110"/>
    </row>
    <row r="10" spans="1:16" ht="37.5" x14ac:dyDescent="0.25">
      <c r="A10" s="85" t="s">
        <v>2</v>
      </c>
      <c r="B10" s="113" t="s">
        <v>3</v>
      </c>
      <c r="C10" s="87" t="s">
        <v>4</v>
      </c>
      <c r="D10" s="87" t="s">
        <v>5</v>
      </c>
      <c r="E10" s="87" t="s">
        <v>6</v>
      </c>
      <c r="F10" s="112" t="s">
        <v>7</v>
      </c>
      <c r="G10" s="112" t="s">
        <v>2011</v>
      </c>
      <c r="H10" s="112" t="s">
        <v>8</v>
      </c>
      <c r="I10" s="112" t="s">
        <v>2300</v>
      </c>
      <c r="J10" s="112" t="s">
        <v>2297</v>
      </c>
      <c r="K10" s="87" t="s">
        <v>2298</v>
      </c>
      <c r="L10" s="81" t="s">
        <v>2299</v>
      </c>
      <c r="M10" s="109"/>
      <c r="P10" s="110"/>
    </row>
    <row r="11" spans="1:16" x14ac:dyDescent="0.25">
      <c r="A11" s="125">
        <v>9379</v>
      </c>
      <c r="B11" s="126">
        <v>46156</v>
      </c>
      <c r="C11" s="127" t="s">
        <v>1735</v>
      </c>
      <c r="D11" s="128"/>
      <c r="E11" s="127"/>
      <c r="F11" s="129"/>
      <c r="G11" s="129"/>
      <c r="H11" s="129">
        <f>Giay_Nhap[[#This Row],[ĐƠN GIÁ]]*Giay_Nhap[[#This Row],[SỐ LƯỢNG]]</f>
        <v>0</v>
      </c>
      <c r="I11" s="129"/>
      <c r="J11" s="129"/>
      <c r="K11" s="184"/>
      <c r="M11" s="109"/>
      <c r="P11" s="110"/>
    </row>
    <row r="12" spans="1:16" x14ac:dyDescent="0.25">
      <c r="A12" s="125">
        <v>9410</v>
      </c>
      <c r="B12" s="126">
        <v>46157</v>
      </c>
      <c r="C12" s="127" t="s">
        <v>1735</v>
      </c>
      <c r="D12" s="128"/>
      <c r="E12" s="127"/>
      <c r="F12" s="129"/>
      <c r="G12" s="129"/>
      <c r="H12" s="129">
        <f>Giay_Nhap[[#This Row],[ĐƠN GIÁ]]*Giay_Nhap[[#This Row],[SỐ LƯỢNG]]</f>
        <v>0</v>
      </c>
      <c r="I12" s="129"/>
      <c r="J12" s="129"/>
      <c r="K12" s="184"/>
      <c r="M12" s="109"/>
      <c r="P12" s="110"/>
    </row>
    <row r="13" spans="1:16" x14ac:dyDescent="0.25">
      <c r="A13" s="101">
        <v>9618</v>
      </c>
      <c r="B13" s="160"/>
      <c r="C13" s="103"/>
      <c r="D13" s="104"/>
      <c r="E13" s="103"/>
      <c r="F13" s="105"/>
      <c r="G13" s="105"/>
      <c r="H13" s="105">
        <f>Giay_Nhap[[#This Row],[ĐƠN GIÁ]]*Giay_Nhap[[#This Row],[SỐ LƯỢNG]]</f>
        <v>0</v>
      </c>
      <c r="I13" s="161"/>
      <c r="J13" s="161"/>
      <c r="K13" s="186"/>
      <c r="M13" s="109"/>
      <c r="P13" s="110"/>
    </row>
    <row r="14" spans="1:16" x14ac:dyDescent="0.25">
      <c r="A14" s="101">
        <v>9716</v>
      </c>
      <c r="B14" s="160"/>
      <c r="C14" s="103"/>
      <c r="D14" s="104"/>
      <c r="E14" s="103"/>
      <c r="F14" s="105"/>
      <c r="G14" s="105"/>
      <c r="H14" s="105">
        <f>Giay_Nhap[[#This Row],[ĐƠN GIÁ]]*Giay_Nhap[[#This Row],[SỐ LƯỢNG]]</f>
        <v>0</v>
      </c>
      <c r="I14" s="161"/>
      <c r="J14" s="161"/>
      <c r="K14" s="186"/>
      <c r="M14" s="109"/>
      <c r="P14" s="110"/>
    </row>
    <row r="15" spans="1:16" x14ac:dyDescent="0.25">
      <c r="A15" s="101">
        <v>9757</v>
      </c>
      <c r="B15" s="160"/>
      <c r="C15" s="103"/>
      <c r="D15" s="104"/>
      <c r="E15" s="103"/>
      <c r="F15" s="105"/>
      <c r="G15" s="105"/>
      <c r="H15" s="105">
        <f>Giay_Nhap[[#This Row],[ĐƠN GIÁ]]*Giay_Nhap[[#This Row],[SỐ LƯỢNG]]</f>
        <v>0</v>
      </c>
      <c r="I15" s="161"/>
      <c r="J15" s="161"/>
      <c r="K15" s="186"/>
      <c r="M15" s="109"/>
      <c r="P15" s="110"/>
    </row>
    <row r="16" spans="1:16" x14ac:dyDescent="0.25">
      <c r="A16" s="101">
        <v>9761</v>
      </c>
      <c r="B16" s="160"/>
      <c r="C16" s="103"/>
      <c r="D16" s="104"/>
      <c r="E16" s="103"/>
      <c r="F16" s="105"/>
      <c r="G16" s="105"/>
      <c r="H16" s="105">
        <f>Giay_Nhap[[#This Row],[ĐƠN GIÁ]]*Giay_Nhap[[#This Row],[SỐ LƯỢNG]]</f>
        <v>0</v>
      </c>
      <c r="I16" s="161"/>
      <c r="J16" s="161"/>
      <c r="K16" s="186"/>
      <c r="M16" s="109"/>
      <c r="P16" s="110"/>
    </row>
    <row r="17" spans="1:16" x14ac:dyDescent="0.25">
      <c r="A17" s="101">
        <v>9762</v>
      </c>
      <c r="B17" s="160"/>
      <c r="C17" s="103"/>
      <c r="D17" s="104"/>
      <c r="E17" s="103"/>
      <c r="F17" s="105"/>
      <c r="G17" s="105"/>
      <c r="H17" s="105">
        <f>Giay_Nhap[[#This Row],[ĐƠN GIÁ]]*Giay_Nhap[[#This Row],[SỐ LƯỢNG]]</f>
        <v>0</v>
      </c>
      <c r="I17" s="161"/>
      <c r="J17" s="161"/>
      <c r="K17" s="186"/>
      <c r="L17" s="110">
        <f>SUM(H13:H35)</f>
        <v>0</v>
      </c>
      <c r="M17" s="109"/>
      <c r="P17" s="110"/>
    </row>
    <row r="18" spans="1:16" x14ac:dyDescent="0.25">
      <c r="A18" s="90">
        <v>7776</v>
      </c>
      <c r="B18" s="199">
        <v>46081</v>
      </c>
      <c r="C18" s="92" t="s">
        <v>2579</v>
      </c>
      <c r="D18" s="93"/>
      <c r="E18" s="92"/>
      <c r="F18" s="94"/>
      <c r="G18" s="94"/>
      <c r="H18" s="94"/>
      <c r="I18" s="200"/>
      <c r="J18" s="200"/>
      <c r="K18" s="184"/>
      <c r="M18" s="109"/>
      <c r="P18" s="110"/>
    </row>
    <row r="19" spans="1:16" x14ac:dyDescent="0.25">
      <c r="B19" s="109"/>
      <c r="D19" s="111"/>
      <c r="F19" s="110"/>
      <c r="G19" s="110"/>
      <c r="H19" s="110"/>
      <c r="M19" s="109"/>
      <c r="N19" s="110"/>
      <c r="P19" s="110"/>
    </row>
    <row r="20" spans="1:16" x14ac:dyDescent="0.25">
      <c r="B20" s="109"/>
      <c r="D20" s="111"/>
      <c r="F20" s="110"/>
      <c r="G20" s="110"/>
      <c r="H20" s="110"/>
      <c r="L20" s="110">
        <f>SUM(N10:N58)</f>
        <v>0</v>
      </c>
      <c r="M20" s="109"/>
      <c r="N20" s="110"/>
      <c r="P20" s="110"/>
    </row>
    <row r="21" spans="1:16" x14ac:dyDescent="0.25">
      <c r="B21" s="109"/>
      <c r="D21" s="111"/>
      <c r="F21" s="110"/>
      <c r="G21" s="110"/>
      <c r="H21" s="110"/>
      <c r="L21" s="110"/>
      <c r="N21" s="110"/>
    </row>
    <row r="22" spans="1:16" x14ac:dyDescent="0.25">
      <c r="B22" s="109"/>
      <c r="D22" s="111"/>
      <c r="F22" s="110"/>
      <c r="G22" s="110"/>
      <c r="H22" s="110"/>
      <c r="L22" s="110"/>
      <c r="N22" s="110"/>
    </row>
    <row r="23" spans="1:16" x14ac:dyDescent="0.25">
      <c r="B23" s="109"/>
      <c r="D23" s="111"/>
      <c r="F23" s="110"/>
      <c r="G23" s="110"/>
      <c r="H23" s="110"/>
      <c r="L23" s="110"/>
      <c r="N23" s="110"/>
    </row>
    <row r="24" spans="1:16" x14ac:dyDescent="0.25">
      <c r="B24" s="109"/>
      <c r="D24" s="111"/>
      <c r="F24" s="110"/>
      <c r="G24" s="110"/>
      <c r="H24" s="110"/>
      <c r="L24" s="110"/>
      <c r="N24" s="110"/>
    </row>
    <row r="25" spans="1:16" x14ac:dyDescent="0.25">
      <c r="B25" s="109"/>
      <c r="D25" s="111"/>
      <c r="F25" s="110"/>
      <c r="G25" s="110"/>
      <c r="H25" s="110"/>
      <c r="L25" s="110"/>
      <c r="N25" s="110"/>
    </row>
    <row r="26" spans="1:16" x14ac:dyDescent="0.25">
      <c r="B26" s="109"/>
      <c r="D26" s="111"/>
      <c r="F26" s="110"/>
      <c r="G26" s="110"/>
      <c r="H26" s="110"/>
      <c r="L26" s="110"/>
      <c r="N26" s="110"/>
    </row>
    <row r="27" spans="1:16" x14ac:dyDescent="0.25">
      <c r="B27" s="109"/>
      <c r="D27" s="111"/>
      <c r="F27" s="110"/>
      <c r="G27" s="110"/>
      <c r="H27" s="110"/>
      <c r="L27" s="110"/>
      <c r="N27" s="110"/>
    </row>
    <row r="28" spans="1:16" x14ac:dyDescent="0.25">
      <c r="B28" s="109"/>
      <c r="D28" s="111"/>
      <c r="F28" s="110"/>
      <c r="G28" s="110"/>
      <c r="H28" s="110"/>
      <c r="L28" s="110"/>
      <c r="N28" s="110"/>
    </row>
    <row r="29" spans="1:16" x14ac:dyDescent="0.25">
      <c r="B29" s="109"/>
      <c r="F29" s="110"/>
      <c r="G29" s="110"/>
      <c r="H29" s="110"/>
      <c r="L29" s="110"/>
      <c r="N29" s="110"/>
    </row>
    <row r="30" spans="1:16" x14ac:dyDescent="0.25">
      <c r="B30" s="109"/>
      <c r="F30" s="110"/>
      <c r="G30" s="110"/>
      <c r="H30" s="110"/>
      <c r="L30" s="110"/>
      <c r="N30" s="110"/>
    </row>
    <row r="31" spans="1:16" x14ac:dyDescent="0.25">
      <c r="B31" s="109"/>
      <c r="F31" s="110"/>
      <c r="G31" s="110"/>
      <c r="H31" s="110"/>
      <c r="L31" s="110"/>
      <c r="N31" s="110"/>
    </row>
    <row r="32" spans="1:16" x14ac:dyDescent="0.25">
      <c r="B32" s="109"/>
      <c r="F32" s="110"/>
      <c r="G32" s="110"/>
      <c r="H32" s="110"/>
      <c r="L32" s="110"/>
      <c r="N32" s="110"/>
    </row>
    <row r="33" spans="2:14" x14ac:dyDescent="0.25">
      <c r="B33" s="109"/>
      <c r="F33" s="110"/>
      <c r="G33" s="110"/>
      <c r="H33" s="110"/>
      <c r="L33" s="110"/>
      <c r="N33" s="110"/>
    </row>
    <row r="34" spans="2:14" x14ac:dyDescent="0.25">
      <c r="B34" s="109"/>
      <c r="F34" s="110"/>
      <c r="G34" s="110"/>
      <c r="H34" s="110"/>
      <c r="L34" s="110"/>
      <c r="N34" s="110"/>
    </row>
    <row r="35" spans="2:14" x14ac:dyDescent="0.25">
      <c r="F35" s="110"/>
      <c r="G35" s="110"/>
      <c r="H35" s="110"/>
      <c r="L35" s="110"/>
      <c r="N35" s="110"/>
    </row>
    <row r="36" spans="2:14" x14ac:dyDescent="0.25">
      <c r="L36" s="110"/>
      <c r="N36" s="110"/>
    </row>
    <row r="37" spans="2:14" x14ac:dyDescent="0.25">
      <c r="N37" s="110"/>
    </row>
    <row r="38" spans="2:14" x14ac:dyDescent="0.25">
      <c r="N38" s="110"/>
    </row>
    <row r="39" spans="2:14" x14ac:dyDescent="0.25">
      <c r="N39" s="110"/>
    </row>
    <row r="40" spans="2:14" x14ac:dyDescent="0.25">
      <c r="N40" s="110"/>
    </row>
    <row r="41" spans="2:14" x14ac:dyDescent="0.25">
      <c r="N41" s="110"/>
    </row>
    <row r="42" spans="2:14" x14ac:dyDescent="0.25">
      <c r="N42" s="110"/>
    </row>
    <row r="43" spans="2:14" x14ac:dyDescent="0.25">
      <c r="N43" s="110"/>
    </row>
    <row r="44" spans="2:14" x14ac:dyDescent="0.25">
      <c r="N44" s="110"/>
    </row>
    <row r="45" spans="2:14" x14ac:dyDescent="0.25">
      <c r="N45" s="110"/>
    </row>
    <row r="46" spans="2:14" x14ac:dyDescent="0.25">
      <c r="N46" s="110"/>
    </row>
    <row r="47" spans="2:14" x14ac:dyDescent="0.25">
      <c r="N47" s="110"/>
    </row>
    <row r="48" spans="2:14" x14ac:dyDescent="0.25">
      <c r="N48" s="110"/>
    </row>
    <row r="49" spans="14:14" x14ac:dyDescent="0.25">
      <c r="N49" s="110"/>
    </row>
    <row r="50" spans="14:14" x14ac:dyDescent="0.25">
      <c r="N50" s="110"/>
    </row>
    <row r="51" spans="14:14" x14ac:dyDescent="0.25">
      <c r="N51" s="110"/>
    </row>
    <row r="52" spans="14:14" x14ac:dyDescent="0.25">
      <c r="N52" s="110"/>
    </row>
    <row r="53" spans="14:14" x14ac:dyDescent="0.25">
      <c r="N53" s="110"/>
    </row>
    <row r="54" spans="14:14" x14ac:dyDescent="0.25">
      <c r="N54" s="110"/>
    </row>
    <row r="55" spans="14:14" x14ac:dyDescent="0.25">
      <c r="N55" s="110"/>
    </row>
    <row r="56" spans="14:14" x14ac:dyDescent="0.25">
      <c r="N56" s="110"/>
    </row>
    <row r="57" spans="14:14" x14ac:dyDescent="0.25">
      <c r="N57" s="110"/>
    </row>
    <row r="58" spans="14:14" x14ac:dyDescent="0.25">
      <c r="N58" s="110"/>
    </row>
    <row r="59" spans="14:14" x14ac:dyDescent="0.25">
      <c r="N59" s="110"/>
    </row>
    <row r="60" spans="14:14" x14ac:dyDescent="0.25">
      <c r="N60" s="110"/>
    </row>
    <row r="61" spans="14:14" x14ac:dyDescent="0.25">
      <c r="N61" s="110"/>
    </row>
    <row r="62" spans="14:14" x14ac:dyDescent="0.25">
      <c r="N62" s="110"/>
    </row>
    <row r="63" spans="14:14" x14ac:dyDescent="0.25">
      <c r="N63" s="110"/>
    </row>
    <row r="64" spans="14:14" x14ac:dyDescent="0.25">
      <c r="N64" s="110"/>
    </row>
    <row r="65" spans="14:14" x14ac:dyDescent="0.25">
      <c r="N65" s="110"/>
    </row>
    <row r="66" spans="14:14" x14ac:dyDescent="0.25">
      <c r="N66" s="110"/>
    </row>
    <row r="67" spans="14:14" x14ac:dyDescent="0.25">
      <c r="N67" s="110"/>
    </row>
    <row r="68" spans="14:14" x14ac:dyDescent="0.25">
      <c r="N68" s="110"/>
    </row>
    <row r="69" spans="14:14" x14ac:dyDescent="0.25">
      <c r="N69" s="110"/>
    </row>
    <row r="70" spans="14:14" x14ac:dyDescent="0.25">
      <c r="N70" s="110"/>
    </row>
    <row r="71" spans="14:14" x14ac:dyDescent="0.25">
      <c r="N71" s="110"/>
    </row>
    <row r="72" spans="14:14" x14ac:dyDescent="0.25">
      <c r="N72" s="110"/>
    </row>
    <row r="73" spans="14:14" x14ac:dyDescent="0.25">
      <c r="N73" s="110"/>
    </row>
    <row r="74" spans="14:14" x14ac:dyDescent="0.25">
      <c r="N74" s="110"/>
    </row>
    <row r="75" spans="14:14" x14ac:dyDescent="0.25">
      <c r="N75" s="110"/>
    </row>
    <row r="76" spans="14:14" x14ac:dyDescent="0.25">
      <c r="N76" s="110"/>
    </row>
    <row r="77" spans="14:14" x14ac:dyDescent="0.25">
      <c r="N77" s="110"/>
    </row>
    <row r="78" spans="14:14" x14ac:dyDescent="0.25">
      <c r="N78" s="110"/>
    </row>
    <row r="79" spans="14:14" x14ac:dyDescent="0.25">
      <c r="N79" s="110"/>
    </row>
    <row r="80" spans="14:14" x14ac:dyDescent="0.25">
      <c r="N80" s="110"/>
    </row>
    <row r="81" spans="14:14" x14ac:dyDescent="0.25">
      <c r="N81" s="110"/>
    </row>
    <row r="82" spans="14:14" x14ac:dyDescent="0.25">
      <c r="N82" s="110"/>
    </row>
    <row r="83" spans="14:14" x14ac:dyDescent="0.25">
      <c r="N83" s="110"/>
    </row>
    <row r="84" spans="14:14" x14ac:dyDescent="0.25">
      <c r="N84" s="110"/>
    </row>
    <row r="85" spans="14:14" x14ac:dyDescent="0.25">
      <c r="N85" s="110"/>
    </row>
    <row r="86" spans="14:14" x14ac:dyDescent="0.25">
      <c r="N86" s="110"/>
    </row>
    <row r="87" spans="14:14" x14ac:dyDescent="0.25">
      <c r="N87" s="110"/>
    </row>
    <row r="88" spans="14:14" x14ac:dyDescent="0.25">
      <c r="N88" s="110"/>
    </row>
    <row r="89" spans="14:14" x14ac:dyDescent="0.25">
      <c r="N89" s="110"/>
    </row>
    <row r="90" spans="14:14" x14ac:dyDescent="0.25">
      <c r="N90" s="110"/>
    </row>
    <row r="91" spans="14:14" x14ac:dyDescent="0.25">
      <c r="N91" s="110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DE3BDC-4E34-4010-B0E3-165D99B51790}">
  <sheetPr codeName="Sheet202"/>
  <dimension ref="A1:B210"/>
  <sheetViews>
    <sheetView topLeftCell="A193" workbookViewId="0">
      <selection activeCell="L207" sqref="L207"/>
    </sheetView>
  </sheetViews>
  <sheetFormatPr defaultRowHeight="15" x14ac:dyDescent="0.25"/>
  <cols>
    <col min="1" max="1" width="27.7109375" bestFit="1" customWidth="1"/>
    <col min="2" max="2" width="29.140625" bestFit="1" customWidth="1"/>
    <col min="16" max="16" width="8.85546875" customWidth="1"/>
  </cols>
  <sheetData>
    <row r="1" spans="1:2" x14ac:dyDescent="0.25">
      <c r="A1" s="77" t="s">
        <v>2165</v>
      </c>
      <c r="B1" s="76" t="s">
        <v>2166</v>
      </c>
    </row>
    <row r="2" spans="1:2" x14ac:dyDescent="0.25">
      <c r="A2" s="150" t="s">
        <v>1475</v>
      </c>
      <c r="B2" s="157" t="str" cm="1">
        <f t="array" ref="B2">CHUANHOA(Bangdich[[#This Row],[Tên]])</f>
        <v>E_Minh_TH</v>
      </c>
    </row>
    <row r="3" spans="1:2" x14ac:dyDescent="0.25">
      <c r="A3" s="150" t="s">
        <v>1476</v>
      </c>
      <c r="B3" s="157" t="str" cm="1">
        <f t="array" ref="B3">CHUANHOA(Bangdich[[#This Row],[Tên]])</f>
        <v>Cty_Phu_Minh</v>
      </c>
    </row>
    <row r="4" spans="1:2" x14ac:dyDescent="0.25">
      <c r="A4" s="150" t="s">
        <v>1477</v>
      </c>
      <c r="B4" s="157" t="str" cm="1">
        <f t="array" ref="B4">CHUANHOA(Bangdich[[#This Row],[Tên]])</f>
        <v>Cty_Y_Thuy</v>
      </c>
    </row>
    <row r="5" spans="1:2" x14ac:dyDescent="0.25">
      <c r="A5" s="150" t="s">
        <v>1478</v>
      </c>
      <c r="B5" s="157" t="str" cm="1">
        <f t="array" ref="B5">CHUANHOA(Bangdich[[#This Row],[Tên]])</f>
        <v>Cty_Vinh_Oanh_Phu_Ly</v>
      </c>
    </row>
    <row r="6" spans="1:2" x14ac:dyDescent="0.25">
      <c r="A6" s="150" t="s">
        <v>1479</v>
      </c>
      <c r="B6" s="157" t="str" cm="1">
        <f t="array" ref="B6">CHUANHOA(Bangdich[[#This Row],[Tên]])</f>
        <v>A_Hai_HP</v>
      </c>
    </row>
    <row r="7" spans="1:2" x14ac:dyDescent="0.25">
      <c r="A7" s="150" t="s">
        <v>1485</v>
      </c>
      <c r="B7" s="157" t="str" cm="1">
        <f t="array" ref="B7">CHUANHOA(Bangdich[[#This Row],[Tên]])</f>
        <v>C_Xep_HP</v>
      </c>
    </row>
    <row r="8" spans="1:2" x14ac:dyDescent="0.25">
      <c r="A8" s="150" t="s">
        <v>1487</v>
      </c>
      <c r="B8" s="157" t="str" cm="1">
        <f t="array" ref="B8">CHUANHOA(Bangdich[[#This Row],[Tên]])</f>
        <v>Cty_Kim_Thanh</v>
      </c>
    </row>
    <row r="9" spans="1:2" x14ac:dyDescent="0.25">
      <c r="A9" s="150" t="s">
        <v>1488</v>
      </c>
      <c r="B9" s="157" t="str" cm="1">
        <f t="array" ref="B9">CHUANHOA(Bangdich[[#This Row],[Tên]])</f>
        <v>A_Dong_Tan_Hong_Phat</v>
      </c>
    </row>
    <row r="10" spans="1:2" x14ac:dyDescent="0.25">
      <c r="A10" s="150" t="s">
        <v>1489</v>
      </c>
      <c r="B10" s="157" t="str" cm="1">
        <f t="array" ref="B10">CHUANHOA(Bangdich[[#This Row],[Tên]])</f>
        <v>E_Thai_CMy</v>
      </c>
    </row>
    <row r="11" spans="1:2" x14ac:dyDescent="0.25">
      <c r="A11" s="150" t="s">
        <v>1490</v>
      </c>
      <c r="B11" s="157" t="str" cm="1">
        <f t="array" ref="B11">CHUANHOA(Bangdich[[#This Row],[Tên]])</f>
        <v>E_Giao_Cty_Bach_Kim</v>
      </c>
    </row>
    <row r="12" spans="1:2" x14ac:dyDescent="0.25">
      <c r="A12" s="150" t="s">
        <v>1491</v>
      </c>
      <c r="B12" s="157" t="str" cm="1">
        <f t="array" ref="B12">CHUANHOA(Bangdich[[#This Row],[Tên]])</f>
        <v>C_Thuy_HP</v>
      </c>
    </row>
    <row r="13" spans="1:2" x14ac:dyDescent="0.25">
      <c r="A13" s="150" t="s">
        <v>1493</v>
      </c>
      <c r="B13" s="157" t="str" cm="1">
        <f t="array" ref="B13">CHUANHOA(Bangdich[[#This Row],[Tên]])</f>
        <v>Cty_An_Phat_HP</v>
      </c>
    </row>
    <row r="14" spans="1:2" x14ac:dyDescent="0.25">
      <c r="A14" s="150" t="s">
        <v>1494</v>
      </c>
      <c r="B14" s="157" t="str" cm="1">
        <f t="array" ref="B14">CHUANHOA(Bangdich[[#This Row],[Tên]])</f>
        <v>E_Duy_Cty_Hai_Au</v>
      </c>
    </row>
    <row r="15" spans="1:2" x14ac:dyDescent="0.25">
      <c r="A15" s="150" t="s">
        <v>1496</v>
      </c>
      <c r="B15" s="157" t="str" cm="1">
        <f t="array" ref="B15">CHUANHOA(Bangdich[[#This Row],[Tên]])</f>
        <v>Cty_An_Phu</v>
      </c>
    </row>
    <row r="16" spans="1:2" x14ac:dyDescent="0.25">
      <c r="A16" s="150" t="s">
        <v>1499</v>
      </c>
      <c r="B16" s="157" t="str" cm="1">
        <f t="array" ref="B16">CHUANHOA(Bangdich[[#This Row],[Tên]])</f>
        <v>Cty_Cuong_Thinh</v>
      </c>
    </row>
    <row r="17" spans="1:2" x14ac:dyDescent="0.25">
      <c r="A17" s="150" t="s">
        <v>1502</v>
      </c>
      <c r="B17" s="157" t="str" cm="1">
        <f t="array" ref="B17">CHUANHOA(Bangdich[[#This Row],[Tên]])</f>
        <v>E_Duyen_Rua</v>
      </c>
    </row>
    <row r="18" spans="1:2" x14ac:dyDescent="0.25">
      <c r="A18" s="150" t="s">
        <v>1504</v>
      </c>
      <c r="B18" s="157" t="str" cm="1">
        <f t="array" ref="B18">CHUANHOA(Bangdich[[#This Row],[Tên]])</f>
        <v>Cty_Hyundai_DN</v>
      </c>
    </row>
    <row r="19" spans="1:2" x14ac:dyDescent="0.25">
      <c r="A19" s="150" t="s">
        <v>1505</v>
      </c>
      <c r="B19" s="157" t="str" cm="1">
        <f t="array" ref="B19">CHUANHOA(Bangdich[[#This Row],[Tên]])</f>
        <v>E_Phuc_Cty_Duc_Phuc</v>
      </c>
    </row>
    <row r="20" spans="1:2" x14ac:dyDescent="0.25">
      <c r="A20" s="150" t="s">
        <v>1506</v>
      </c>
      <c r="B20" s="157" t="str" cm="1">
        <f t="array" ref="B20">CHUANHOA(Bangdich[[#This Row],[Tên]])</f>
        <v>Cty_Ly_Duong_Hung_DN</v>
      </c>
    </row>
    <row r="21" spans="1:2" x14ac:dyDescent="0.25">
      <c r="A21" s="150" t="s">
        <v>1507</v>
      </c>
      <c r="B21" s="157" t="str" cm="1">
        <f t="array" ref="B21">CHUANHOA(Bangdich[[#This Row],[Tên]])</f>
        <v>A_Tuan_Cty_Hung_Phat</v>
      </c>
    </row>
    <row r="22" spans="1:2" x14ac:dyDescent="0.25">
      <c r="A22" s="150" t="s">
        <v>1509</v>
      </c>
      <c r="B22" s="157" t="str" cm="1">
        <f t="array" ref="B22">CHUANHOA(Bangdich[[#This Row],[Tên]])</f>
        <v>C_Nam_Dao_Cau_Duong</v>
      </c>
    </row>
    <row r="23" spans="1:2" x14ac:dyDescent="0.25">
      <c r="A23" s="150" t="s">
        <v>1511</v>
      </c>
      <c r="B23" s="157" t="str" cm="1">
        <f t="array" ref="B23">CHUANHOA(Bangdich[[#This Row],[Tên]])</f>
        <v>Khach_le</v>
      </c>
    </row>
    <row r="24" spans="1:2" x14ac:dyDescent="0.25">
      <c r="A24" s="150" t="s">
        <v>1512</v>
      </c>
      <c r="B24" s="157" t="str" cm="1">
        <f t="array" ref="B24">CHUANHOA(Bangdich[[#This Row],[Tên]])</f>
        <v>Cty_Nam_Khanh</v>
      </c>
    </row>
    <row r="25" spans="1:2" x14ac:dyDescent="0.25">
      <c r="A25" s="150" t="s">
        <v>1515</v>
      </c>
      <c r="B25" s="157" t="str" cm="1">
        <f t="array" ref="B25">CHUANHOA(Bangdich[[#This Row],[Tên]])</f>
        <v>Cty_Tan_Phat</v>
      </c>
    </row>
    <row r="26" spans="1:2" x14ac:dyDescent="0.25">
      <c r="A26" s="150" t="s">
        <v>1526</v>
      </c>
      <c r="B26" s="157" t="str" cm="1">
        <f t="array" ref="B26">CHUANHOA(Bangdich[[#This Row],[Tên]])</f>
        <v>A_Tung_HD</v>
      </c>
    </row>
    <row r="27" spans="1:2" x14ac:dyDescent="0.25">
      <c r="A27" s="150" t="s">
        <v>1518</v>
      </c>
      <c r="B27" s="157" t="str" cm="1">
        <f t="array" ref="B27">CHUANHOA(Bangdich[[#This Row],[Tên]])</f>
        <v>E_Kien_HD</v>
      </c>
    </row>
    <row r="28" spans="1:2" x14ac:dyDescent="0.25">
      <c r="A28" s="150" t="s">
        <v>1520</v>
      </c>
      <c r="B28" s="157" t="str" cm="1">
        <f t="array" ref="B28">CHUANHOA(Bangdich[[#This Row],[Tên]])</f>
        <v>C_Ha_HY</v>
      </c>
    </row>
    <row r="29" spans="1:2" x14ac:dyDescent="0.25">
      <c r="A29" s="150" t="s">
        <v>1523</v>
      </c>
      <c r="B29" s="157" t="str" cm="1">
        <f t="array" ref="B29">CHUANHOA(Bangdich[[#This Row],[Tên]])</f>
        <v>Cty_Phu_Thanh</v>
      </c>
    </row>
    <row r="30" spans="1:2" x14ac:dyDescent="0.25">
      <c r="A30" s="150" t="s">
        <v>1524</v>
      </c>
      <c r="B30" s="157" t="str" cm="1">
        <f t="array" ref="B30">CHUANHOA(Bangdich[[#This Row],[Tên]])</f>
        <v>Cty_Viet_Anh</v>
      </c>
    </row>
    <row r="31" spans="1:2" x14ac:dyDescent="0.25">
      <c r="A31" s="150" t="s">
        <v>1525</v>
      </c>
      <c r="B31" s="157" t="str" cm="1">
        <f t="array" ref="B31">CHUANHOA(Bangdich[[#This Row],[Tên]])</f>
        <v>Cty_Thep_Ha_Noi</v>
      </c>
    </row>
    <row r="32" spans="1:2" x14ac:dyDescent="0.25">
      <c r="A32" s="150" t="s">
        <v>1527</v>
      </c>
      <c r="B32" s="157" t="str" cm="1">
        <f t="array" ref="B32">CHUANHOA(Bangdich[[#This Row],[Tên]])</f>
        <v>C_Thuy_TH</v>
      </c>
    </row>
    <row r="33" spans="1:2" x14ac:dyDescent="0.25">
      <c r="A33" s="150" t="s">
        <v>1530</v>
      </c>
      <c r="B33" s="157" t="str" cm="1">
        <f t="array" ref="B33">CHUANHOA(Bangdich[[#This Row],[Tên]])</f>
        <v>Cty_Van_Xuan</v>
      </c>
    </row>
    <row r="34" spans="1:2" x14ac:dyDescent="0.25">
      <c r="A34" s="150" t="s">
        <v>1531</v>
      </c>
      <c r="B34" s="157" t="str" cm="1">
        <f t="array" ref="B34">CHUANHOA(Bangdich[[#This Row],[Tên]])</f>
        <v>E_Dac_ND</v>
      </c>
    </row>
    <row r="35" spans="1:2" x14ac:dyDescent="0.25">
      <c r="A35" s="150" t="s">
        <v>1532</v>
      </c>
      <c r="B35" s="157" t="str" cm="1">
        <f t="array" ref="B35">CHUANHOA(Bangdich[[#This Row],[Tên]])</f>
        <v>Cty_Dai_Thuy</v>
      </c>
    </row>
    <row r="36" spans="1:2" x14ac:dyDescent="0.25">
      <c r="A36" s="150" t="s">
        <v>1534</v>
      </c>
      <c r="B36" s="157" t="str" cm="1">
        <f t="array" ref="B36">CHUANHOA(Bangdich[[#This Row],[Tên]])</f>
        <v>Cty_Thien_Hoa_An</v>
      </c>
    </row>
    <row r="37" spans="1:2" x14ac:dyDescent="0.25">
      <c r="A37" s="150" t="s">
        <v>1535</v>
      </c>
      <c r="B37" s="157" t="str" cm="1">
        <f t="array" ref="B37">CHUANHOA(Bangdich[[#This Row],[Tên]])</f>
        <v>E_Quan_CMy</v>
      </c>
    </row>
    <row r="38" spans="1:2" x14ac:dyDescent="0.25">
      <c r="A38" s="150" t="s">
        <v>1536</v>
      </c>
      <c r="B38" s="157" t="str" cm="1">
        <f t="array" ref="B38">CHUANHOA(Bangdich[[#This Row],[Tên]])</f>
        <v>A_Trung</v>
      </c>
    </row>
    <row r="39" spans="1:2" x14ac:dyDescent="0.25">
      <c r="A39" s="150" t="s">
        <v>1538</v>
      </c>
      <c r="B39" s="157" t="str" cm="1">
        <f t="array" ref="B39">CHUANHOA(Bangdich[[#This Row],[Tên]])</f>
        <v>Cty_Tan_Dat</v>
      </c>
    </row>
    <row r="40" spans="1:2" x14ac:dyDescent="0.25">
      <c r="A40" s="150" t="s">
        <v>1539</v>
      </c>
      <c r="B40" s="157" t="str" cm="1">
        <f t="array" ref="B40">CHUANHOA(Bangdich[[#This Row],[Tên]])</f>
        <v>Cty_Anh_Duong</v>
      </c>
    </row>
    <row r="41" spans="1:2" x14ac:dyDescent="0.25">
      <c r="A41" s="150" t="s">
        <v>1541</v>
      </c>
      <c r="B41" s="157" t="str" cm="1">
        <f t="array" ref="B41">CHUANHOA(Bangdich[[#This Row],[Tên]])</f>
        <v>E_Hoai_ND</v>
      </c>
    </row>
    <row r="42" spans="1:2" x14ac:dyDescent="0.25">
      <c r="A42" s="150" t="s">
        <v>1574</v>
      </c>
      <c r="B42" s="157" t="str" cm="1">
        <f t="array" ref="B42">CHUANHOA(Bangdich[[#This Row],[Tên]])</f>
        <v>E_Mao_NB</v>
      </c>
    </row>
    <row r="43" spans="1:2" x14ac:dyDescent="0.25">
      <c r="A43" s="150" t="s">
        <v>1544</v>
      </c>
      <c r="B43" s="157" t="str" cm="1">
        <f t="array" ref="B43">CHUANHOA(Bangdich[[#This Row],[Tên]])</f>
        <v>Cty_Minh_Tien</v>
      </c>
    </row>
    <row r="44" spans="1:2" x14ac:dyDescent="0.25">
      <c r="A44" s="150" t="s">
        <v>1545</v>
      </c>
      <c r="B44" s="157" t="str" cm="1">
        <f t="array" ref="B44">CHUANHOA(Bangdich[[#This Row],[Tên]])</f>
        <v>C_Hung_HP</v>
      </c>
    </row>
    <row r="45" spans="1:2" x14ac:dyDescent="0.25">
      <c r="A45" s="150" t="s">
        <v>1547</v>
      </c>
      <c r="B45" s="157" t="str" cm="1">
        <f t="array" ref="B45">CHUANHOA(Bangdich[[#This Row],[Tên]])</f>
        <v>C_Thuyen_Cty_Gia_Hung</v>
      </c>
    </row>
    <row r="46" spans="1:2" x14ac:dyDescent="0.25">
      <c r="A46" s="150" t="s">
        <v>1548</v>
      </c>
      <c r="B46" s="157" t="str" cm="1">
        <f t="array" ref="B46">CHUANHOA(Bangdich[[#This Row],[Tên]])</f>
        <v>Cty_Dai_Dong</v>
      </c>
    </row>
    <row r="47" spans="1:2" x14ac:dyDescent="0.25">
      <c r="A47" s="150" t="s">
        <v>1551</v>
      </c>
      <c r="B47" s="157" t="str" cm="1">
        <f t="array" ref="B47">CHUANHOA(Bangdich[[#This Row],[Tên]])</f>
        <v>Cty_Tan_Tien</v>
      </c>
    </row>
    <row r="48" spans="1:2" x14ac:dyDescent="0.25">
      <c r="A48" s="150" t="s">
        <v>1552</v>
      </c>
      <c r="B48" s="157" t="str" cm="1">
        <f t="array" ref="B48">CHUANHOA(Bangdich[[#This Row],[Tên]])</f>
        <v>Cty_Thien_An</v>
      </c>
    </row>
    <row r="49" spans="1:2" x14ac:dyDescent="0.25">
      <c r="A49" s="150" t="s">
        <v>1554</v>
      </c>
      <c r="B49" s="157" t="str" cm="1">
        <f t="array" ref="B49">CHUANHOA(Bangdich[[#This Row],[Tên]])</f>
        <v>Cty_Ha_Cuong</v>
      </c>
    </row>
    <row r="50" spans="1:2" x14ac:dyDescent="0.25">
      <c r="A50" s="150" t="s">
        <v>1555</v>
      </c>
      <c r="B50" s="157" t="str" cm="1">
        <f t="array" ref="B50">CHUANHOA(Bangdich[[#This Row],[Tên]])</f>
        <v>Cty_Anh_Thu_Hong_Van</v>
      </c>
    </row>
    <row r="51" spans="1:2" x14ac:dyDescent="0.25">
      <c r="A51" s="150" t="s">
        <v>1556</v>
      </c>
      <c r="B51" s="157" t="str" cm="1">
        <f t="array" ref="B51">CHUANHOA(Bangdich[[#This Row],[Tên]])</f>
        <v>E_Thuan_Ngoc_Diep</v>
      </c>
    </row>
    <row r="52" spans="1:2" x14ac:dyDescent="0.25">
      <c r="A52" s="150" t="s">
        <v>1558</v>
      </c>
      <c r="B52" s="157" t="str" cm="1">
        <f t="array" ref="B52">CHUANHOA(Bangdich[[#This Row],[Tên]])</f>
        <v>Cty_Minh_Vu</v>
      </c>
    </row>
    <row r="53" spans="1:2" x14ac:dyDescent="0.25">
      <c r="A53" s="150" t="s">
        <v>1562</v>
      </c>
      <c r="B53" s="157" t="str" cm="1">
        <f t="array" ref="B53">CHUANHOA(Bangdich[[#This Row],[Tên]])</f>
        <v>Cty_CP_An_Phat_TT</v>
      </c>
    </row>
    <row r="54" spans="1:2" x14ac:dyDescent="0.25">
      <c r="A54" s="150" t="s">
        <v>1564</v>
      </c>
      <c r="B54" s="157" t="str" cm="1">
        <f t="array" ref="B54">CHUANHOA(Bangdich[[#This Row],[Tên]])</f>
        <v>A_Tung_Cty_Xuan_Thanh</v>
      </c>
    </row>
    <row r="55" spans="1:2" x14ac:dyDescent="0.25">
      <c r="A55" s="150" t="s">
        <v>1567</v>
      </c>
      <c r="B55" s="157" t="str" cm="1">
        <f t="array" ref="B55">CHUANHOA(Bangdich[[#This Row],[Tên]])</f>
        <v>A_Bay_ND</v>
      </c>
    </row>
    <row r="56" spans="1:2" x14ac:dyDescent="0.25">
      <c r="A56" s="150" t="s">
        <v>1568</v>
      </c>
      <c r="B56" s="157" t="str" cm="1">
        <f t="array" ref="B56">CHUANHOA(Bangdich[[#This Row],[Tên]])</f>
        <v>A_Dong_ND</v>
      </c>
    </row>
    <row r="57" spans="1:2" x14ac:dyDescent="0.25">
      <c r="A57" s="150" t="s">
        <v>1572</v>
      </c>
      <c r="B57" s="157" t="str" cm="1">
        <f t="array" ref="B57">CHUANHOA(Bangdich[[#This Row],[Tên]])</f>
        <v>Cty_Quang_Nga_Phu_Ly</v>
      </c>
    </row>
    <row r="58" spans="1:2" x14ac:dyDescent="0.25">
      <c r="A58" s="150" t="s">
        <v>1573</v>
      </c>
      <c r="B58" s="157" t="str" cm="1">
        <f t="array" ref="B58">CHUANHOA(Bangdich[[#This Row],[Tên]])</f>
        <v>A_Nguyen_Cty_Gia_Anh</v>
      </c>
    </row>
    <row r="59" spans="1:2" x14ac:dyDescent="0.25">
      <c r="A59" s="150" t="s">
        <v>1575</v>
      </c>
      <c r="B59" s="157" t="str" cm="1">
        <f t="array" ref="B59">CHUANHOA(Bangdich[[#This Row],[Tên]])</f>
        <v>Cty_Hien_Thinh_HP</v>
      </c>
    </row>
    <row r="60" spans="1:2" x14ac:dyDescent="0.25">
      <c r="A60" s="150" t="s">
        <v>1577</v>
      </c>
      <c r="B60" s="157" t="str" cm="1">
        <f t="array" ref="B60">CHUANHOA(Bangdich[[#This Row],[Tên]])</f>
        <v>A_Hung_HP</v>
      </c>
    </row>
    <row r="61" spans="1:2" x14ac:dyDescent="0.25">
      <c r="A61" s="150" t="s">
        <v>1579</v>
      </c>
      <c r="B61" s="157" t="str" cm="1">
        <f t="array" ref="B61">CHUANHOA(Bangdich[[#This Row],[Tên]])</f>
        <v>Cty_Hoa_Hung</v>
      </c>
    </row>
    <row r="62" spans="1:2" x14ac:dyDescent="0.25">
      <c r="A62" s="150" t="s">
        <v>1580</v>
      </c>
      <c r="B62" s="157" t="str" cm="1">
        <f t="array" ref="B62">CHUANHOA(Bangdich[[#This Row],[Tên]])</f>
        <v>Cty_Quang_Long_HD</v>
      </c>
    </row>
    <row r="63" spans="1:2" x14ac:dyDescent="0.25">
      <c r="A63" s="150" t="s">
        <v>1582</v>
      </c>
      <c r="B63" s="157" t="str" cm="1">
        <f t="array" ref="B63">CHUANHOA(Bangdich[[#This Row],[Tên]])</f>
        <v>Cty_Minh_Chau_TN</v>
      </c>
    </row>
    <row r="64" spans="1:2" x14ac:dyDescent="0.25">
      <c r="A64" s="150" t="s">
        <v>1583</v>
      </c>
      <c r="B64" s="157" t="str" cm="1">
        <f t="array" ref="B64">CHUANHOA(Bangdich[[#This Row],[Tên]])</f>
        <v>Cty_Anh_Linh_TT</v>
      </c>
    </row>
    <row r="65" spans="1:2" x14ac:dyDescent="0.25">
      <c r="A65" s="150" t="s">
        <v>1637</v>
      </c>
      <c r="B65" s="157" t="str" cm="1">
        <f t="array" ref="B65">CHUANHOA(Bangdich[[#This Row],[Tên]])</f>
        <v>Cty_Dung_Tuoi_Yen_Bai</v>
      </c>
    </row>
    <row r="66" spans="1:2" x14ac:dyDescent="0.25">
      <c r="A66" s="150" t="s">
        <v>1587</v>
      </c>
      <c r="B66" s="157" t="str" cm="1">
        <f t="array" ref="B66">CHUANHOA(Bangdich[[#This Row],[Tên]])</f>
        <v>Cty_Hoang_Anh_Viet_Nam</v>
      </c>
    </row>
    <row r="67" spans="1:2" x14ac:dyDescent="0.25">
      <c r="A67" s="150" t="s">
        <v>1643</v>
      </c>
      <c r="B67" s="157" t="str" cm="1">
        <f t="array" ref="B67">CHUANHOA(Bangdich[[#This Row],[Tên]])</f>
        <v>Cty_Hoang_Quan_Phat</v>
      </c>
    </row>
    <row r="68" spans="1:2" x14ac:dyDescent="0.25">
      <c r="A68" s="150" t="s">
        <v>1590</v>
      </c>
      <c r="B68" s="157" t="str" cm="1">
        <f t="array" ref="B68">CHUANHOA(Bangdich[[#This Row],[Tên]])</f>
        <v>Cty_Tan_Hung</v>
      </c>
    </row>
    <row r="69" spans="1:2" x14ac:dyDescent="0.25">
      <c r="A69" s="150" t="s">
        <v>1591</v>
      </c>
      <c r="B69" s="157" t="str" cm="1">
        <f t="array" ref="B69">CHUANHOA(Bangdich[[#This Row],[Tên]])</f>
        <v>Cty_Thanh_Duong_DN</v>
      </c>
    </row>
    <row r="70" spans="1:2" x14ac:dyDescent="0.25">
      <c r="A70" s="150" t="s">
        <v>1592</v>
      </c>
      <c r="B70" s="157" t="str" cm="1">
        <f t="array" ref="B70">CHUANHOA(Bangdich[[#This Row],[Tên]])</f>
        <v>Cty_Thep_Viet</v>
      </c>
    </row>
    <row r="71" spans="1:2" x14ac:dyDescent="0.25">
      <c r="A71" s="150" t="s">
        <v>1593</v>
      </c>
      <c r="B71" s="157" t="str" cm="1">
        <f t="array" ref="B71">CHUANHOA(Bangdich[[#This Row],[Tên]])</f>
        <v>A_Long_Mo</v>
      </c>
    </row>
    <row r="72" spans="1:2" x14ac:dyDescent="0.25">
      <c r="A72" s="150" t="s">
        <v>1595</v>
      </c>
      <c r="B72" s="157" t="str" cm="1">
        <f t="array" ref="B72">CHUANHOA(Bangdich[[#This Row],[Tên]])</f>
        <v>E_Tao_ND</v>
      </c>
    </row>
    <row r="73" spans="1:2" x14ac:dyDescent="0.25">
      <c r="A73" s="150" t="s">
        <v>1596</v>
      </c>
      <c r="B73" s="157" t="str" cm="1">
        <f t="array" ref="B73">CHUANHOA(Bangdich[[#This Row],[Tên]])</f>
        <v>Cty_Thai_Duong</v>
      </c>
    </row>
    <row r="74" spans="1:2" x14ac:dyDescent="0.25">
      <c r="A74" s="150" t="s">
        <v>1597</v>
      </c>
      <c r="B74" s="157" t="str" cm="1">
        <f t="array" ref="B74">CHUANHOA(Bangdich[[#This Row],[Tên]])</f>
        <v>Cty_Hong_Tam_Phu_Ly</v>
      </c>
    </row>
    <row r="75" spans="1:2" x14ac:dyDescent="0.25">
      <c r="A75" s="150" t="s">
        <v>1600</v>
      </c>
      <c r="B75" s="157" t="str" cm="1">
        <f t="array" ref="B75">CHUANHOA(Bangdich[[#This Row],[Tên]])</f>
        <v>A_Kien_Long_Bien</v>
      </c>
    </row>
    <row r="76" spans="1:2" x14ac:dyDescent="0.25">
      <c r="A76" s="150" t="s">
        <v>2547</v>
      </c>
      <c r="B76" s="157" t="str" cm="1">
        <f t="array" ref="B76">CHUANHOA(Bangdich[[#This Row],[Tên]])</f>
        <v>C_Ha_Khoa_Hoc_HY</v>
      </c>
    </row>
    <row r="77" spans="1:2" x14ac:dyDescent="0.25">
      <c r="A77" s="150" t="s">
        <v>1606</v>
      </c>
      <c r="B77" s="157" t="str" cm="1">
        <f t="array" ref="B77">CHUANHOA(Bangdich[[#This Row],[Tên]])</f>
        <v>E_Trung_Cty_Ha_Anh</v>
      </c>
    </row>
    <row r="78" spans="1:2" x14ac:dyDescent="0.25">
      <c r="A78" s="150" t="s">
        <v>1607</v>
      </c>
      <c r="B78" s="157" t="str" cm="1">
        <f t="array" ref="B78">CHUANHOA(Bangdich[[#This Row],[Tên]])</f>
        <v>Cty_Bui_Gia</v>
      </c>
    </row>
    <row r="79" spans="1:2" x14ac:dyDescent="0.25">
      <c r="A79" s="150" t="s">
        <v>1608</v>
      </c>
      <c r="B79" s="157" t="str" cm="1">
        <f t="array" ref="B79">CHUANHOA(Bangdich[[#This Row],[Tên]])</f>
        <v>Cty_Hien_Hoa_ND</v>
      </c>
    </row>
    <row r="80" spans="1:2" x14ac:dyDescent="0.25">
      <c r="A80" s="150" t="s">
        <v>1609</v>
      </c>
      <c r="B80" s="157" t="str" cm="1">
        <f t="array" ref="B80">CHUANHOA(Bangdich[[#This Row],[Tên]])</f>
        <v>A_Cuong_Linh_Dam</v>
      </c>
    </row>
    <row r="81" spans="1:2" x14ac:dyDescent="0.25">
      <c r="A81" s="150" t="s">
        <v>1610</v>
      </c>
      <c r="B81" s="157" t="str" cm="1">
        <f t="array" ref="B81">CHUANHOA(Bangdich[[#This Row],[Tên]])</f>
        <v>C_Dung_HD</v>
      </c>
    </row>
    <row r="82" spans="1:2" x14ac:dyDescent="0.25">
      <c r="A82" s="150" t="s">
        <v>2548</v>
      </c>
      <c r="B82" s="157" t="str" cm="1">
        <f t="array" ref="B82">CHUANHOA(Bangdich[[#This Row],[Tên]])</f>
        <v>Cty_Co_Khi_CTM_Phu_Thinh_DN</v>
      </c>
    </row>
    <row r="83" spans="1:2" x14ac:dyDescent="0.25">
      <c r="A83" s="150" t="s">
        <v>1613</v>
      </c>
      <c r="B83" s="157" t="str" cm="1">
        <f t="array" ref="B83">CHUANHOA(Bangdich[[#This Row],[Tên]])</f>
        <v>Cty_Toan_Viet</v>
      </c>
    </row>
    <row r="84" spans="1:2" x14ac:dyDescent="0.25">
      <c r="A84" s="150" t="s">
        <v>1614</v>
      </c>
      <c r="B84" s="157" t="str" cm="1">
        <f t="array" ref="B84">CHUANHOA(Bangdich[[#This Row],[Tên]])</f>
        <v>Cty_Thao_Trang</v>
      </c>
    </row>
    <row r="85" spans="1:2" x14ac:dyDescent="0.25">
      <c r="A85" s="150" t="s">
        <v>1615</v>
      </c>
      <c r="B85" s="157" t="str" cm="1">
        <f t="array" ref="B85">CHUANHOA(Bangdich[[#This Row],[Tên]])</f>
        <v>C_Dung_Cau_Dien</v>
      </c>
    </row>
    <row r="86" spans="1:2" x14ac:dyDescent="0.25">
      <c r="A86" s="150" t="s">
        <v>1618</v>
      </c>
      <c r="B86" s="157" t="str" cm="1">
        <f t="array" ref="B86">CHUANHOA(Bangdich[[#This Row],[Tên]])</f>
        <v>Cty_Cuong_Huong_PX</v>
      </c>
    </row>
    <row r="87" spans="1:2" x14ac:dyDescent="0.25">
      <c r="A87" s="150" t="s">
        <v>1620</v>
      </c>
      <c r="B87" s="157" t="str" cm="1">
        <f t="array" ref="B87">CHUANHOA(Bangdich[[#This Row],[Tên]])</f>
        <v>Cty_INOX_Viet</v>
      </c>
    </row>
    <row r="88" spans="1:2" x14ac:dyDescent="0.25">
      <c r="A88" s="150" t="s">
        <v>1621</v>
      </c>
      <c r="B88" s="157" t="str" cm="1">
        <f t="array" ref="B88">CHUANHOA(Bangdich[[#This Row],[Tên]])</f>
        <v>A_Phong_Cty_Viet_Duc</v>
      </c>
    </row>
    <row r="89" spans="1:2" x14ac:dyDescent="0.25">
      <c r="A89" s="150" t="s">
        <v>1622</v>
      </c>
      <c r="B89" s="157" t="str" cm="1">
        <f t="array" ref="B89">CHUANHOA(Bangdich[[#This Row],[Tên]])</f>
        <v>Cty_Thiet_Bi_Y_Te_Hoang_Gia</v>
      </c>
    </row>
    <row r="90" spans="1:2" x14ac:dyDescent="0.25">
      <c r="A90" s="150" t="s">
        <v>1623</v>
      </c>
      <c r="B90" s="157" t="str" cm="1">
        <f t="array" ref="B90">CHUANHOA(Bangdich[[#This Row],[Tên]])</f>
        <v>A_Duc_Cty_Hoa_Phat</v>
      </c>
    </row>
    <row r="91" spans="1:2" x14ac:dyDescent="0.25">
      <c r="A91" s="150" t="s">
        <v>1624</v>
      </c>
      <c r="B91" s="157" t="str" cm="1">
        <f t="array" ref="B91">CHUANHOA(Bangdich[[#This Row],[Tên]])</f>
        <v>Cty_Dong_Duong</v>
      </c>
    </row>
    <row r="92" spans="1:2" x14ac:dyDescent="0.25">
      <c r="A92" s="150" t="s">
        <v>1626</v>
      </c>
      <c r="B92" s="157" t="str" cm="1">
        <f t="array" ref="B92">CHUANHOA(Bangdich[[#This Row],[Tên]])</f>
        <v>Cty_TH_Viet_Nam</v>
      </c>
    </row>
    <row r="93" spans="1:2" x14ac:dyDescent="0.25">
      <c r="A93" s="150" t="s">
        <v>1627</v>
      </c>
      <c r="B93" s="157" t="str" cm="1">
        <f t="array" ref="B93">CHUANHOA(Bangdich[[#This Row],[Tên]])</f>
        <v>E_An_Thai_Nguyen</v>
      </c>
    </row>
    <row r="94" spans="1:2" x14ac:dyDescent="0.25">
      <c r="A94" s="150" t="s">
        <v>1628</v>
      </c>
      <c r="B94" s="157" t="str" cm="1">
        <f t="array" ref="B94">CHUANHOA(Bangdich[[#This Row],[Tên]])</f>
        <v>E_Nguyen_Cty_Huy_Hoang</v>
      </c>
    </row>
    <row r="95" spans="1:2" x14ac:dyDescent="0.25">
      <c r="A95" s="150" t="s">
        <v>1566</v>
      </c>
      <c r="B95" s="157" t="str" cm="1">
        <f t="array" ref="B95">CHUANHOA(Bangdich[[#This Row],[Tên]])</f>
        <v>Cty_Hung_Phat_ND</v>
      </c>
    </row>
    <row r="96" spans="1:2" x14ac:dyDescent="0.25">
      <c r="A96" s="150" t="s">
        <v>1630</v>
      </c>
      <c r="B96" s="157" t="str" cm="1">
        <f t="array" ref="B96">CHUANHOA(Bangdich[[#This Row],[Tên]])</f>
        <v>Co_Cuc_Rua</v>
      </c>
    </row>
    <row r="97" spans="1:2" x14ac:dyDescent="0.25">
      <c r="A97" s="150" t="s">
        <v>1632</v>
      </c>
      <c r="B97" s="157" t="str" cm="1">
        <f t="array" ref="B97">CHUANHOA(Bangdich[[#This Row],[Tên]])</f>
        <v>Cty_Nguyen_Hung_HT</v>
      </c>
    </row>
    <row r="98" spans="1:2" x14ac:dyDescent="0.25">
      <c r="A98" s="150" t="s">
        <v>1633</v>
      </c>
      <c r="B98" s="157" t="str" cm="1">
        <f t="array" ref="B98">CHUANHOA(Bangdich[[#This Row],[Tên]])</f>
        <v>Cty_Thanh_Phat</v>
      </c>
    </row>
    <row r="99" spans="1:2" x14ac:dyDescent="0.25">
      <c r="A99" s="150" t="s">
        <v>1635</v>
      </c>
      <c r="B99" s="157" t="str" cm="1">
        <f t="array" ref="B99">CHUANHOA(Bangdich[[#This Row],[Tên]])</f>
        <v>E_My_Rua</v>
      </c>
    </row>
    <row r="100" spans="1:2" x14ac:dyDescent="0.25">
      <c r="A100" s="150" t="s">
        <v>1638</v>
      </c>
      <c r="B100" s="157" t="str" cm="1">
        <f t="array" ref="B100">CHUANHOA(Bangdich[[#This Row],[Tên]])</f>
        <v>Cty_Thep_Nam_Phat_Tu_Liem</v>
      </c>
    </row>
    <row r="101" spans="1:2" x14ac:dyDescent="0.25">
      <c r="A101" s="150" t="s">
        <v>1639</v>
      </c>
      <c r="B101" s="157" t="str" cm="1">
        <f t="array" ref="B101">CHUANHOA(Bangdich[[#This Row],[Tên]])</f>
        <v>E_Thang_Cty_Quoc_Thang</v>
      </c>
    </row>
    <row r="102" spans="1:2" x14ac:dyDescent="0.25">
      <c r="A102" s="150" t="s">
        <v>1703</v>
      </c>
      <c r="B102" s="157" t="str" cm="1">
        <f t="array" ref="B102">CHUANHOA(Bangdich[[#This Row],[Tên]])</f>
        <v>E_Hien_Cty_Minh_Hien_HD</v>
      </c>
    </row>
    <row r="103" spans="1:2" x14ac:dyDescent="0.25">
      <c r="A103" s="150" t="s">
        <v>1641</v>
      </c>
      <c r="B103" s="157" t="str" cm="1">
        <f t="array" ref="B103">CHUANHOA(Bangdich[[#This Row],[Tên]])</f>
        <v>A_Thang_HP</v>
      </c>
    </row>
    <row r="104" spans="1:2" x14ac:dyDescent="0.25">
      <c r="A104" s="150" t="s">
        <v>1644</v>
      </c>
      <c r="B104" s="157" t="str" cm="1">
        <f t="array" ref="B104">CHUANHOA(Bangdich[[#This Row],[Tên]])</f>
        <v>Cty_Thanh_An</v>
      </c>
    </row>
    <row r="105" spans="1:2" x14ac:dyDescent="0.25">
      <c r="A105" s="150" t="s">
        <v>1645</v>
      </c>
      <c r="B105" s="157" t="str" cm="1">
        <f t="array" ref="B105">CHUANHOA(Bangdich[[#This Row],[Tên]])</f>
        <v>Cty_Tam_Viet_TH</v>
      </c>
    </row>
    <row r="106" spans="1:2" x14ac:dyDescent="0.25">
      <c r="A106" s="150" t="s">
        <v>1646</v>
      </c>
      <c r="B106" s="157" t="str" cm="1">
        <f t="array" ref="B106">CHUANHOA(Bangdich[[#This Row],[Tên]])</f>
        <v>E_Dat_Cty_Bao_Phat</v>
      </c>
    </row>
    <row r="107" spans="1:2" x14ac:dyDescent="0.25">
      <c r="A107" s="150" t="s">
        <v>1647</v>
      </c>
      <c r="B107" s="157" t="str" cm="1">
        <f t="array" ref="B107">CHUANHOA(Bangdich[[#This Row],[Tên]])</f>
        <v>A_Hai_NH</v>
      </c>
    </row>
    <row r="108" spans="1:2" x14ac:dyDescent="0.25">
      <c r="A108" s="150" t="s">
        <v>1648</v>
      </c>
      <c r="B108" s="157" t="str" cm="1">
        <f t="array" ref="B108">CHUANHOA(Bangdich[[#This Row],[Tên]])</f>
        <v>Cty_Nam_Phat_Ngoc_Hoi</v>
      </c>
    </row>
    <row r="109" spans="1:2" x14ac:dyDescent="0.25">
      <c r="A109" s="150" t="s">
        <v>1650</v>
      </c>
      <c r="B109" s="157" t="str" cm="1">
        <f t="array" ref="B109">CHUANHOA(Bangdich[[#This Row],[Tên]])</f>
        <v>A_Hung_Cty_Minh_Phat</v>
      </c>
    </row>
    <row r="110" spans="1:2" x14ac:dyDescent="0.25">
      <c r="A110" s="150" t="s">
        <v>1651</v>
      </c>
      <c r="B110" s="157" t="str" cm="1">
        <f t="array" ref="B110">CHUANHOA(Bangdich[[#This Row],[Tên]])</f>
        <v>C_Ha_Xuan_Mai</v>
      </c>
    </row>
    <row r="111" spans="1:2" x14ac:dyDescent="0.25">
      <c r="A111" s="150" t="s">
        <v>1653</v>
      </c>
      <c r="B111" s="157" t="str" cm="1">
        <f t="array" ref="B111">CHUANHOA(Bangdich[[#This Row],[Tên]])</f>
        <v>E_Doanh_Thanh_Oai</v>
      </c>
    </row>
    <row r="112" spans="1:2" x14ac:dyDescent="0.25">
      <c r="A112" s="150" t="s">
        <v>1656</v>
      </c>
      <c r="B112" s="157" t="str" cm="1">
        <f t="array" ref="B112">CHUANHOA(Bangdich[[#This Row],[Tên]])</f>
        <v>A_Du_ND</v>
      </c>
    </row>
    <row r="113" spans="1:2" x14ac:dyDescent="0.25">
      <c r="A113" s="150" t="s">
        <v>1657</v>
      </c>
      <c r="B113" s="157" t="str" cm="1">
        <f t="array" ref="B113">CHUANHOA(Bangdich[[#This Row],[Tên]])</f>
        <v>Cty_Giang_Phuong</v>
      </c>
    </row>
    <row r="114" spans="1:2" x14ac:dyDescent="0.25">
      <c r="A114" s="150" t="s">
        <v>1658</v>
      </c>
      <c r="B114" s="157" t="str" cm="1">
        <f t="array" ref="B114">CHUANHOA(Bangdich[[#This Row],[Tên]])</f>
        <v>C_Yen_Cty_Tan_Thanh</v>
      </c>
    </row>
    <row r="115" spans="1:2" x14ac:dyDescent="0.25">
      <c r="A115" s="150" t="s">
        <v>2016</v>
      </c>
      <c r="B115" s="157" t="str" cm="1">
        <f t="array" ref="B115">CHUANHOA(Bangdich[[#This Row],[Tên]])</f>
        <v>Cty_XNK_Thinh_Phat</v>
      </c>
    </row>
    <row r="116" spans="1:2" x14ac:dyDescent="0.25">
      <c r="A116" s="150" t="s">
        <v>1660</v>
      </c>
      <c r="B116" s="157" t="str" cm="1">
        <f t="array" ref="B116">CHUANHOA(Bangdich[[#This Row],[Tên]])</f>
        <v>Cty_Han_Viet</v>
      </c>
    </row>
    <row r="117" spans="1:2" x14ac:dyDescent="0.25">
      <c r="A117" s="150" t="s">
        <v>1734</v>
      </c>
      <c r="B117" s="157" t="str" cm="1">
        <f t="array" ref="B117">CHUANHOA(Bangdich[[#This Row],[Tên]])</f>
        <v>Cty_Nang_Luong_Tu_Hiep</v>
      </c>
    </row>
    <row r="118" spans="1:2" x14ac:dyDescent="0.25">
      <c r="A118" s="150" t="s">
        <v>1662</v>
      </c>
      <c r="B118" s="157" t="str" cm="1">
        <f t="array" ref="B118">CHUANHOA(Bangdich[[#This Row],[Tên]])</f>
        <v>C_Hanh_Cty_Duc_Phat</v>
      </c>
    </row>
    <row r="119" spans="1:2" x14ac:dyDescent="0.25">
      <c r="A119" s="150" t="s">
        <v>1663</v>
      </c>
      <c r="B119" s="157" t="str" cm="1">
        <f t="array" ref="B119">CHUANHOA(Bangdich[[#This Row],[Tên]])</f>
        <v>Cty_Bao_Lam</v>
      </c>
    </row>
    <row r="120" spans="1:2" x14ac:dyDescent="0.25">
      <c r="A120" s="150" t="s">
        <v>1664</v>
      </c>
      <c r="B120" s="157" t="str" cm="1">
        <f t="array" ref="B120">CHUANHOA(Bangdich[[#This Row],[Tên]])</f>
        <v>Cty_Toan_Phat_HP</v>
      </c>
    </row>
    <row r="121" spans="1:2" x14ac:dyDescent="0.25">
      <c r="A121" s="150" t="s">
        <v>1666</v>
      </c>
      <c r="B121" s="157" t="str" cm="1">
        <f t="array" ref="B121">CHUANHOA(Bangdich[[#This Row],[Tên]])</f>
        <v>E_Trung_Cty_An_Phat_HY</v>
      </c>
    </row>
    <row r="122" spans="1:2" x14ac:dyDescent="0.25">
      <c r="A122" s="150" t="s">
        <v>1668</v>
      </c>
      <c r="B122" s="157" t="str" cm="1">
        <f t="array" ref="B122">CHUANHOA(Bangdich[[#This Row],[Tên]])</f>
        <v>Cty_Thinh_Hung</v>
      </c>
    </row>
    <row r="123" spans="1:2" x14ac:dyDescent="0.25">
      <c r="A123" s="150" t="s">
        <v>1726</v>
      </c>
      <c r="B123" s="157" t="str" cm="1">
        <f t="array" ref="B123">CHUANHOA(Bangdich[[#This Row],[Tên]])</f>
        <v>Cty_Tuan_Nhung_Rua</v>
      </c>
    </row>
    <row r="124" spans="1:2" x14ac:dyDescent="0.25">
      <c r="A124" s="150" t="s">
        <v>1727</v>
      </c>
      <c r="B124" s="157" t="str" cm="1">
        <f t="array" ref="B124">CHUANHOA(Bangdich[[#This Row],[Tên]])</f>
        <v>Cty_Thanh_Hung</v>
      </c>
    </row>
    <row r="125" spans="1:2" x14ac:dyDescent="0.25">
      <c r="A125" s="150" t="s">
        <v>1671</v>
      </c>
      <c r="B125" s="157" t="str" cm="1">
        <f t="array" ref="B125">CHUANHOA(Bangdich[[#This Row],[Tên]])</f>
        <v>Cty_Minh_Tam</v>
      </c>
    </row>
    <row r="126" spans="1:2" x14ac:dyDescent="0.25">
      <c r="A126" s="150" t="s">
        <v>1672</v>
      </c>
      <c r="B126" s="157" t="str" cm="1">
        <f t="array" ref="B126">CHUANHOA(Bangdich[[#This Row],[Tên]])</f>
        <v>Cty_Binh_Minh</v>
      </c>
    </row>
    <row r="127" spans="1:2" x14ac:dyDescent="0.25">
      <c r="A127" s="150" t="s">
        <v>1673</v>
      </c>
      <c r="B127" s="157" t="str" cm="1">
        <f t="array" ref="B127">CHUANHOA(Bangdich[[#This Row],[Tên]])</f>
        <v>A_Cuong_Rua</v>
      </c>
    </row>
    <row r="128" spans="1:2" x14ac:dyDescent="0.25">
      <c r="A128" s="150" t="s">
        <v>1674</v>
      </c>
      <c r="B128" s="157" t="str" cm="1">
        <f t="array" ref="B128">CHUANHOA(Bangdich[[#This Row],[Tên]])</f>
        <v>Cty_Visco_Hai_Phong</v>
      </c>
    </row>
    <row r="129" spans="1:2" x14ac:dyDescent="0.25">
      <c r="A129" s="150" t="s">
        <v>1675</v>
      </c>
      <c r="B129" s="157" t="str" cm="1">
        <f t="array" ref="B129">CHUANHOA(Bangdich[[#This Row],[Tên]])</f>
        <v>Cty_Thai_Hung_Phu_Tho</v>
      </c>
    </row>
    <row r="130" spans="1:2" x14ac:dyDescent="0.25">
      <c r="A130" s="150" t="s">
        <v>1676</v>
      </c>
      <c r="B130" s="157" t="str" cm="1">
        <f t="array" ref="B130">CHUANHOA(Bangdich[[#This Row],[Tên]])</f>
        <v>Cty_Cuong_Thu_ND</v>
      </c>
    </row>
    <row r="131" spans="1:2" x14ac:dyDescent="0.25">
      <c r="A131" s="150" t="s">
        <v>1677</v>
      </c>
      <c r="B131" s="157" t="str" cm="1">
        <f t="array" ref="B131">CHUANHOA(Bangdich[[#This Row],[Tên]])</f>
        <v>Cty_Anh_Thu</v>
      </c>
    </row>
    <row r="132" spans="1:2" x14ac:dyDescent="0.25">
      <c r="A132" s="150" t="s">
        <v>1679</v>
      </c>
      <c r="B132" s="157" t="str" cm="1">
        <f t="array" ref="B132">CHUANHOA(Bangdich[[#This Row],[Tên]])</f>
        <v>Cty_Minh_Phuong_Hoai_Duc</v>
      </c>
    </row>
    <row r="133" spans="1:2" x14ac:dyDescent="0.25">
      <c r="A133" s="150" t="s">
        <v>1680</v>
      </c>
      <c r="B133" s="157" t="str" cm="1">
        <f t="array" ref="B133">CHUANHOA(Bangdich[[#This Row],[Tên]])</f>
        <v>Cty_Tien_Hung</v>
      </c>
    </row>
    <row r="134" spans="1:2" x14ac:dyDescent="0.25">
      <c r="A134" s="150" t="s">
        <v>1681</v>
      </c>
      <c r="B134" s="157" t="str" cm="1">
        <f t="array" ref="B134">CHUANHOA(Bangdich[[#This Row],[Tên]])</f>
        <v>Cty_INOX_Dien_Hoai</v>
      </c>
    </row>
    <row r="135" spans="1:2" x14ac:dyDescent="0.25">
      <c r="A135" s="150" t="s">
        <v>1728</v>
      </c>
      <c r="B135" s="157" t="str" cm="1">
        <f t="array" ref="B135">CHUANHOA(Bangdich[[#This Row],[Tên]])</f>
        <v>Cty_Duc_Thuan_HP</v>
      </c>
    </row>
    <row r="136" spans="1:2" x14ac:dyDescent="0.25">
      <c r="A136" s="150" t="s">
        <v>1683</v>
      </c>
      <c r="B136" s="157" t="str" cm="1">
        <f t="array" ref="B136">CHUANHOA(Bangdich[[#This Row],[Tên]])</f>
        <v>Cty_Khanh_Tam_NA</v>
      </c>
    </row>
    <row r="137" spans="1:2" x14ac:dyDescent="0.25">
      <c r="A137" s="150" t="s">
        <v>1685</v>
      </c>
      <c r="B137" s="157" t="str" cm="1">
        <f t="array" ref="B137">CHUANHOA(Bangdich[[#This Row],[Tên]])</f>
        <v>Cty_Dat_Linh</v>
      </c>
    </row>
    <row r="138" spans="1:2" x14ac:dyDescent="0.25">
      <c r="A138" s="150" t="s">
        <v>1686</v>
      </c>
      <c r="B138" s="157" t="str" cm="1">
        <f t="array" ref="B138">CHUANHOA(Bangdich[[#This Row],[Tên]])</f>
        <v>Cty_Quang_Phuong_Bac_Ninh</v>
      </c>
    </row>
    <row r="139" spans="1:2" x14ac:dyDescent="0.25">
      <c r="A139" s="150" t="s">
        <v>1688</v>
      </c>
      <c r="B139" s="157" t="str" cm="1">
        <f t="array" ref="B139">CHUANHOA(Bangdich[[#This Row],[Tên]])</f>
        <v>C_Vui_HY</v>
      </c>
    </row>
    <row r="140" spans="1:2" x14ac:dyDescent="0.25">
      <c r="A140" s="150" t="s">
        <v>1960</v>
      </c>
      <c r="B140" s="157" t="str" cm="1">
        <f t="array" ref="B140">CHUANHOA(Bangdich[[#This Row],[Tên]])</f>
        <v>E_Hoa_Khuon_Da_Thanh_Hoa</v>
      </c>
    </row>
    <row r="141" spans="1:2" x14ac:dyDescent="0.25">
      <c r="A141" s="150" t="s">
        <v>1689</v>
      </c>
      <c r="B141" s="157" t="str" cm="1">
        <f t="array" ref="B141">CHUANHOA(Bangdich[[#This Row],[Tên]])</f>
        <v>A_Thep_Cty_Thep_Titan</v>
      </c>
    </row>
    <row r="142" spans="1:2" x14ac:dyDescent="0.25">
      <c r="A142" s="150" t="s">
        <v>1691</v>
      </c>
      <c r="B142" s="157" t="str" cm="1">
        <f t="array" ref="B142">CHUANHOA(Bangdich[[#This Row],[Tên]])</f>
        <v>CH_Phu_Ly</v>
      </c>
    </row>
    <row r="143" spans="1:2" x14ac:dyDescent="0.25">
      <c r="A143" s="150" t="s">
        <v>1692</v>
      </c>
      <c r="B143" s="157" t="str" cm="1">
        <f t="array" ref="B143">CHUANHOA(Bangdich[[#This Row],[Tên]])</f>
        <v>C_Dung_Cty_Viet_A</v>
      </c>
    </row>
    <row r="144" spans="1:2" x14ac:dyDescent="0.25">
      <c r="A144" s="150" t="s">
        <v>1694</v>
      </c>
      <c r="B144" s="157" t="str" cm="1">
        <f t="array" ref="B144">CHUANHOA(Bangdich[[#This Row],[Tên]])</f>
        <v>Cty_Thang_Long</v>
      </c>
    </row>
    <row r="145" spans="1:2" x14ac:dyDescent="0.25">
      <c r="A145" s="150" t="s">
        <v>1696</v>
      </c>
      <c r="B145" s="157" t="str" cm="1">
        <f t="array" ref="B145">CHUANHOA(Bangdich[[#This Row],[Tên]])</f>
        <v>Cty_Tuan_Dat</v>
      </c>
    </row>
    <row r="146" spans="1:2" x14ac:dyDescent="0.25">
      <c r="A146" s="150" t="s">
        <v>1697</v>
      </c>
      <c r="B146" s="157" t="str" cm="1">
        <f t="array" ref="B146">CHUANHOA(Bangdich[[#This Row],[Tên]])</f>
        <v>Cty_Sao_Viet</v>
      </c>
    </row>
    <row r="147" spans="1:2" x14ac:dyDescent="0.25">
      <c r="A147" s="150" t="s">
        <v>1698</v>
      </c>
      <c r="B147" s="157" t="str" cm="1">
        <f t="array" ref="B147">CHUANHOA(Bangdich[[#This Row],[Tên]])</f>
        <v>Cty_Hoang_Linh</v>
      </c>
    </row>
    <row r="148" spans="1:2" x14ac:dyDescent="0.25">
      <c r="A148" s="150" t="s">
        <v>1699</v>
      </c>
      <c r="B148" s="157" t="str" cm="1">
        <f t="array" ref="B148">CHUANHOA(Bangdich[[#This Row],[Tên]])</f>
        <v>Cty_Thai_An_HY</v>
      </c>
    </row>
    <row r="149" spans="1:2" x14ac:dyDescent="0.25">
      <c r="A149" s="150" t="s">
        <v>1700</v>
      </c>
      <c r="B149" s="157" t="str" cm="1">
        <f t="array" ref="B149">CHUANHOA(Bangdich[[#This Row],[Tên]])</f>
        <v>Cty_Tu_Phuong_QB</v>
      </c>
    </row>
    <row r="150" spans="1:2" x14ac:dyDescent="0.25">
      <c r="A150" s="150" t="s">
        <v>1701</v>
      </c>
      <c r="B150" s="157" t="str" cm="1">
        <f t="array" ref="B150">CHUANHOA(Bangdich[[#This Row],[Tên]])</f>
        <v>A_Khuyen_Ecopark</v>
      </c>
    </row>
    <row r="151" spans="1:2" x14ac:dyDescent="0.25">
      <c r="A151" s="150" t="s">
        <v>1702</v>
      </c>
      <c r="B151" s="157" t="str" cm="1">
        <f t="array" ref="B151">CHUANHOA(Bangdich[[#This Row],[Tên]])</f>
        <v>Cty_CN_Ha_Thanh</v>
      </c>
    </row>
    <row r="152" spans="1:2" x14ac:dyDescent="0.25">
      <c r="A152" s="150" t="s">
        <v>1704</v>
      </c>
      <c r="B152" s="157" t="str" cm="1">
        <f t="array" ref="B152">CHUANHOA(Bangdich[[#This Row],[Tên]])</f>
        <v>Cty_An_Thinh</v>
      </c>
    </row>
    <row r="153" spans="1:2" x14ac:dyDescent="0.25">
      <c r="A153" s="150" t="s">
        <v>1705</v>
      </c>
      <c r="B153" s="157" t="str" cm="1">
        <f t="array" ref="B153">CHUANHOA(Bangdich[[#This Row],[Tên]])</f>
        <v>Cty_Hung_Thinh</v>
      </c>
    </row>
    <row r="154" spans="1:2" x14ac:dyDescent="0.25">
      <c r="A154" s="150" t="s">
        <v>1706</v>
      </c>
      <c r="B154" s="157" t="str" cm="1">
        <f t="array" ref="B154">CHUANHOA(Bangdich[[#This Row],[Tên]])</f>
        <v>Cty_Thep_568</v>
      </c>
    </row>
    <row r="155" spans="1:2" x14ac:dyDescent="0.25">
      <c r="A155" s="150" t="s">
        <v>1707</v>
      </c>
      <c r="B155" s="157" t="str" cm="1">
        <f t="array" ref="B155">CHUANHOA(Bangdich[[#This Row],[Tên]])</f>
        <v>Cty_Thinh_Hung_Quang</v>
      </c>
    </row>
    <row r="156" spans="1:2" x14ac:dyDescent="0.25">
      <c r="A156" s="150" t="s">
        <v>1708</v>
      </c>
      <c r="B156" s="157" t="str" cm="1">
        <f t="array" ref="B156">CHUANHOA(Bangdich[[#This Row],[Tên]])</f>
        <v>Cty_Dong_Nam</v>
      </c>
    </row>
    <row r="157" spans="1:2" x14ac:dyDescent="0.25">
      <c r="A157" s="150" t="s">
        <v>1709</v>
      </c>
      <c r="B157" s="157" t="str" cm="1">
        <f t="array" ref="B157">CHUANHOA(Bangdich[[#This Row],[Tên]])</f>
        <v>Cty_Inox_Doan_Du</v>
      </c>
    </row>
    <row r="158" spans="1:2" x14ac:dyDescent="0.25">
      <c r="A158" s="150" t="s">
        <v>1712</v>
      </c>
      <c r="B158" s="157" t="str" cm="1">
        <f t="array" ref="B158">CHUANHOA(Bangdich[[#This Row],[Tên]])</f>
        <v>C_Dieu_HY</v>
      </c>
    </row>
    <row r="159" spans="1:2" x14ac:dyDescent="0.25">
      <c r="A159" s="150" t="s">
        <v>1713</v>
      </c>
      <c r="B159" s="157" t="str" cm="1">
        <f t="array" ref="B159">CHUANHOA(Bangdich[[#This Row],[Tên]])</f>
        <v>Cty_Trang_Tung</v>
      </c>
    </row>
    <row r="160" spans="1:2" x14ac:dyDescent="0.25">
      <c r="A160" s="150" t="s">
        <v>1714</v>
      </c>
      <c r="B160" s="157" t="str" cm="1">
        <f t="array" ref="B160">CHUANHOA(Bangdich[[#This Row],[Tên]])</f>
        <v>Cty_Kinh_Thanh</v>
      </c>
    </row>
    <row r="161" spans="1:2" x14ac:dyDescent="0.25">
      <c r="A161" s="150" t="s">
        <v>1715</v>
      </c>
      <c r="B161" s="157" t="str" cm="1">
        <f t="array" ref="B161">CHUANHOA(Bangdich[[#This Row],[Tên]])</f>
        <v>Cty_Viet_Tin</v>
      </c>
    </row>
    <row r="162" spans="1:2" x14ac:dyDescent="0.25">
      <c r="A162" s="150" t="s">
        <v>1716</v>
      </c>
      <c r="B162" s="157" t="str" cm="1">
        <f t="array" ref="B162">CHUANHOA(Bangdich[[#This Row],[Tên]])</f>
        <v>Cty_Tung_Linh</v>
      </c>
    </row>
    <row r="163" spans="1:2" x14ac:dyDescent="0.25">
      <c r="A163" s="150" t="s">
        <v>1717</v>
      </c>
      <c r="B163" s="157" t="str" cm="1">
        <f t="array" ref="B163">CHUANHOA(Bangdich[[#This Row],[Tên]])</f>
        <v>Cty_Simec</v>
      </c>
    </row>
    <row r="164" spans="1:2" x14ac:dyDescent="0.25">
      <c r="A164" s="150" t="s">
        <v>1718</v>
      </c>
      <c r="B164" s="157" t="str" cm="1">
        <f t="array" ref="B164">CHUANHOA(Bangdich[[#This Row],[Tên]])</f>
        <v>Cty_Vinatota_Viet_My_HD</v>
      </c>
    </row>
    <row r="165" spans="1:2" x14ac:dyDescent="0.25">
      <c r="A165" s="150" t="s">
        <v>1719</v>
      </c>
      <c r="B165" s="157" t="str" cm="1">
        <f t="array" ref="B165">CHUANHOA(Bangdich[[#This Row],[Tên]])</f>
        <v>A_Dai_Vinh</v>
      </c>
    </row>
    <row r="166" spans="1:2" x14ac:dyDescent="0.25">
      <c r="A166" s="150" t="s">
        <v>1721</v>
      </c>
      <c r="B166" s="157" t="str" cm="1">
        <f t="array" ref="B166">CHUANHOA(Bangdich[[#This Row],[Tên]])</f>
        <v>E_Sang_Phuc_Tho</v>
      </c>
    </row>
    <row r="167" spans="1:2" x14ac:dyDescent="0.25">
      <c r="A167" s="150" t="s">
        <v>1722</v>
      </c>
      <c r="B167" s="157" t="str" cm="1">
        <f t="array" ref="B167">CHUANHOA(Bangdich[[#This Row],[Tên]])</f>
        <v>Cty_Thang_Loi</v>
      </c>
    </row>
    <row r="168" spans="1:2" x14ac:dyDescent="0.25">
      <c r="A168" s="150" t="s">
        <v>1724</v>
      </c>
      <c r="B168" s="157" t="str" cm="1">
        <f t="array" ref="B168">CHUANHOA(Bangdich[[#This Row],[Tên]])</f>
        <v>Cty_Kim_Long</v>
      </c>
    </row>
    <row r="169" spans="1:2" x14ac:dyDescent="0.25">
      <c r="A169" s="150" t="s">
        <v>1725</v>
      </c>
      <c r="B169" s="157" t="str" cm="1">
        <f t="array" ref="B169">CHUANHOA(Bangdich[[#This Row],[Tên]])</f>
        <v>Cty_INOX_Viet_Nam</v>
      </c>
    </row>
    <row r="170" spans="1:2" x14ac:dyDescent="0.25">
      <c r="A170" s="150" t="s">
        <v>1817</v>
      </c>
      <c r="B170" s="157" t="str" cm="1">
        <f t="array" ref="B170">CHUANHOA(Bangdich[[#This Row],[Tên]])</f>
        <v>Cty_Phuc_An_HP</v>
      </c>
    </row>
    <row r="171" spans="1:2" x14ac:dyDescent="0.25">
      <c r="A171" s="150" t="s">
        <v>1822</v>
      </c>
      <c r="B171" s="157" t="str" cm="1">
        <f t="array" ref="B171">CHUANHOA(Bangdich[[#This Row],[Tên]])</f>
        <v>Cty_Thuy_Thuy_Vinh</v>
      </c>
    </row>
    <row r="172" spans="1:2" x14ac:dyDescent="0.25">
      <c r="A172" s="150" t="s">
        <v>1827</v>
      </c>
      <c r="B172" s="157" t="str" cm="1">
        <f t="array" ref="B172">CHUANHOA(Bangdich[[#This Row],[Tên]])</f>
        <v>A_Vuong_The_Duc</v>
      </c>
    </row>
    <row r="173" spans="1:2" x14ac:dyDescent="0.25">
      <c r="A173" s="150" t="s">
        <v>1834</v>
      </c>
      <c r="B173" s="157" t="str" cm="1">
        <f t="array" ref="B173">CHUANHOA(Bangdich[[#This Row],[Tên]])</f>
        <v>A_Hoan_Tam_Trinh</v>
      </c>
    </row>
    <row r="174" spans="1:2" x14ac:dyDescent="0.25">
      <c r="A174" s="150" t="s">
        <v>1850</v>
      </c>
      <c r="B174" s="157" t="str" cm="1">
        <f t="array" ref="B174">CHUANHOA(Bangdich[[#This Row],[Tên]])</f>
        <v>E_Minh_HY</v>
      </c>
    </row>
    <row r="175" spans="1:2" x14ac:dyDescent="0.25">
      <c r="A175" s="150" t="s">
        <v>1896</v>
      </c>
      <c r="B175" s="157" t="str" cm="1">
        <f t="array" ref="B175">CHUANHOA(Bangdich[[#This Row],[Tên]])</f>
        <v>Cty_Phu_Hung_An</v>
      </c>
    </row>
    <row r="176" spans="1:2" x14ac:dyDescent="0.25">
      <c r="A176" s="150" t="s">
        <v>1899</v>
      </c>
      <c r="B176" s="157" t="str" cm="1">
        <f t="array" ref="B176">CHUANHOA(Bangdich[[#This Row],[Tên]])</f>
        <v>Cty_Ha_Thanh</v>
      </c>
    </row>
    <row r="177" spans="1:2" x14ac:dyDescent="0.25">
      <c r="A177" s="150" t="s">
        <v>1909</v>
      </c>
      <c r="B177" s="157" t="str" cm="1">
        <f t="array" ref="B177">CHUANHOA(Bangdich[[#This Row],[Tên]])</f>
        <v>Cty_Tu_Phuong</v>
      </c>
    </row>
    <row r="178" spans="1:2" x14ac:dyDescent="0.25">
      <c r="A178" s="150" t="s">
        <v>1932</v>
      </c>
      <c r="B178" s="157" t="str" cm="1">
        <f t="array" ref="B178">CHUANHOA(Bangdich[[#This Row],[Tên]])</f>
        <v>Cty_A_Chau_Phu_Ly</v>
      </c>
    </row>
    <row r="179" spans="1:2" x14ac:dyDescent="0.25">
      <c r="A179" s="150" t="s">
        <v>2360</v>
      </c>
      <c r="B179" s="157" t="str" cm="1">
        <f t="array" ref="B179">CHUANHOA(Bangdich[[#This Row],[Tên]])</f>
        <v>Cty_Tu_Huong_Phu_Xuyen</v>
      </c>
    </row>
    <row r="180" spans="1:2" x14ac:dyDescent="0.25">
      <c r="A180" s="150" t="s">
        <v>1940</v>
      </c>
      <c r="B180" s="157" t="str" cm="1">
        <f t="array" ref="B180">CHUANHOA(Bangdich[[#This Row],[Tên]])</f>
        <v>E_Thien_Thuong_Oc</v>
      </c>
    </row>
    <row r="181" spans="1:2" x14ac:dyDescent="0.25">
      <c r="A181" s="150" t="s">
        <v>1957</v>
      </c>
      <c r="B181" s="157" t="str" cm="1">
        <f t="array" ref="B181">CHUANHOA(Bangdich[[#This Row],[Tên]])</f>
        <v>Cty_Nhat_Minh</v>
      </c>
    </row>
    <row r="182" spans="1:2" x14ac:dyDescent="0.25">
      <c r="A182" s="150" t="s">
        <v>1964</v>
      </c>
      <c r="B182" s="157" t="str" cm="1">
        <f t="array" ref="B182">CHUANHOA(Bangdich[[#This Row],[Tên]])</f>
        <v>Cty_SHC_A_Chau</v>
      </c>
    </row>
    <row r="183" spans="1:2" x14ac:dyDescent="0.25">
      <c r="A183" s="150" t="s">
        <v>1973</v>
      </c>
      <c r="B183" s="157" t="str" cm="1">
        <f t="array" ref="B183">CHUANHOA(Bangdich[[#This Row],[Tên]])</f>
        <v>A_Sau_Linh_Nam</v>
      </c>
    </row>
    <row r="184" spans="1:2" x14ac:dyDescent="0.25">
      <c r="A184" s="150" t="s">
        <v>2039</v>
      </c>
      <c r="B184" s="157" t="str" cm="1">
        <f t="array" ref="B184">CHUANHOA(Bangdich[[#This Row],[Tên]])</f>
        <v>Cty_An_Thuan_Phat</v>
      </c>
    </row>
    <row r="185" spans="1:2" x14ac:dyDescent="0.25">
      <c r="A185" s="150" t="s">
        <v>2040</v>
      </c>
      <c r="B185" s="157" t="str" cm="1">
        <f t="array" ref="B185">CHUANHOA(Bangdich[[#This Row],[Tên]])</f>
        <v>A_Cu_Nghe_An</v>
      </c>
    </row>
    <row r="186" spans="1:2" x14ac:dyDescent="0.25">
      <c r="A186" s="150" t="s">
        <v>2041</v>
      </c>
      <c r="B186" s="157" t="str" cm="1">
        <f t="array" ref="B186">CHUANHOA(Bangdich[[#This Row],[Tên]])</f>
        <v>A_Hau</v>
      </c>
    </row>
    <row r="187" spans="1:2" x14ac:dyDescent="0.25">
      <c r="A187" s="150" t="s">
        <v>2042</v>
      </c>
      <c r="B187" s="157" t="str" cm="1">
        <f t="array" ref="B187">CHUANHOA(Bangdich[[#This Row],[Tên]])</f>
        <v>A_Son_Quang_Ninh</v>
      </c>
    </row>
    <row r="188" spans="1:2" x14ac:dyDescent="0.25">
      <c r="A188" s="150" t="s">
        <v>2043</v>
      </c>
      <c r="B188" s="157" t="str" cm="1">
        <f t="array" ref="B188">CHUANHOA(Bangdich[[#This Row],[Tên]])</f>
        <v>Minh_Khue</v>
      </c>
    </row>
    <row r="189" spans="1:2" x14ac:dyDescent="0.25">
      <c r="A189" s="150" t="s">
        <v>2044</v>
      </c>
      <c r="B189" s="157" t="str" cm="1">
        <f t="array" ref="B189">CHUANHOA(Bangdich[[#This Row],[Tên]])</f>
        <v>Cty_Gia_Minh</v>
      </c>
    </row>
    <row r="190" spans="1:2" x14ac:dyDescent="0.25">
      <c r="A190" s="150" t="s">
        <v>2068</v>
      </c>
      <c r="B190" s="157" t="str" cm="1">
        <f t="array" ref="B190">CHUANHOA(Bangdich[[#This Row],[Tên]])</f>
        <v>A_Quan_2Q</v>
      </c>
    </row>
    <row r="191" spans="1:2" x14ac:dyDescent="0.25">
      <c r="A191" s="150" t="s">
        <v>2162</v>
      </c>
      <c r="B191" s="157" t="str" cm="1">
        <f t="array" ref="B191">CHUANHOA(Bangdich[[#This Row],[Tên]])</f>
        <v>E_Quyet_VN</v>
      </c>
    </row>
    <row r="192" spans="1:2" x14ac:dyDescent="0.25">
      <c r="A192" s="150" t="s">
        <v>2046</v>
      </c>
      <c r="B192" s="157" t="str" cm="1">
        <f t="array" ref="B192">CHUANHOA(Bangdich[[#This Row],[Tên]])</f>
        <v>A_Ha_Cty_HTM</v>
      </c>
    </row>
    <row r="193" spans="1:2" x14ac:dyDescent="0.25">
      <c r="A193" s="150" t="s">
        <v>2076</v>
      </c>
      <c r="B193" s="157" t="str" cm="1">
        <f t="array" ref="B193">CHUANHOA(Bangdich[[#This Row],[Tên]])</f>
        <v>A_Nang_Hai_Duong</v>
      </c>
    </row>
    <row r="194" spans="1:2" x14ac:dyDescent="0.25">
      <c r="A194" s="150" t="s">
        <v>2093</v>
      </c>
      <c r="B194" s="157" t="str" cm="1">
        <f t="array" ref="B194">CHUANHOA(Bangdich[[#This Row],[Tên]])</f>
        <v>E_Duc_Phu_Xuyen</v>
      </c>
    </row>
    <row r="195" spans="1:2" x14ac:dyDescent="0.25">
      <c r="A195" s="150" t="s">
        <v>2107</v>
      </c>
      <c r="B195" s="157" t="str" cm="1">
        <f t="array" ref="B195">CHUANHOA(Bangdich[[#This Row],[Tên]])</f>
        <v>Cty_Viet_Tiep_Chuong_My</v>
      </c>
    </row>
    <row r="196" spans="1:2" x14ac:dyDescent="0.25">
      <c r="A196" s="150" t="s">
        <v>2113</v>
      </c>
      <c r="B196" s="157" t="str" cm="1">
        <f t="array" ref="B196">CHUANHOA(Bangdich[[#This Row],[Tên]])</f>
        <v>Cty_Manh_Thuoc</v>
      </c>
    </row>
    <row r="197" spans="1:2" x14ac:dyDescent="0.25">
      <c r="A197" s="150" t="s">
        <v>2154</v>
      </c>
      <c r="B197" s="157" t="str" cm="1">
        <f t="array" ref="B197">CHUANHOA(Bangdich[[#This Row],[Tên]])</f>
        <v>Cty_Tan_Manh_Dung_VP</v>
      </c>
    </row>
    <row r="198" spans="1:2" x14ac:dyDescent="0.25">
      <c r="A198" s="150" t="s">
        <v>2160</v>
      </c>
      <c r="B198" s="157" t="str" cm="1">
        <f t="array" ref="B198">CHUANHOA(Bangdich[[#This Row],[Tên]])</f>
        <v>Viet_Thai</v>
      </c>
    </row>
    <row r="199" spans="1:2" x14ac:dyDescent="0.25">
      <c r="A199" s="158" t="s">
        <v>2138</v>
      </c>
      <c r="B199" s="157" t="str" cm="1">
        <f t="array" ref="B199">CHUANHOA(Bangdich[[#This Row],[Tên]])</f>
        <v>Cty_Hoang_Vu</v>
      </c>
    </row>
    <row r="200" spans="1:2" x14ac:dyDescent="0.25">
      <c r="A200" s="158" t="s">
        <v>2179</v>
      </c>
      <c r="B200" s="159" t="str" cm="1">
        <f t="array" ref="B200">CHUANHOA(Bangdich[[#This Row],[Tên]])</f>
        <v>C_Dung_Tam_Trinh</v>
      </c>
    </row>
    <row r="201" spans="1:2" x14ac:dyDescent="0.25">
      <c r="A201" s="158" t="s">
        <v>2234</v>
      </c>
      <c r="B201" s="159" t="str" cm="1">
        <f t="array" ref="B201">CHUANHOA(Bangdich[[#This Row],[Tên]])</f>
        <v>Cty_Sunhouse</v>
      </c>
    </row>
    <row r="202" spans="1:2" x14ac:dyDescent="0.25">
      <c r="A202" s="158" t="s">
        <v>2276</v>
      </c>
      <c r="B202" s="159" t="str" cm="1">
        <f t="array" ref="B202">CHUANHOA(Bangdich[[#This Row],[Tên]])</f>
        <v>Cty_May_NN_Van_Lang</v>
      </c>
    </row>
    <row r="203" spans="1:2" x14ac:dyDescent="0.25">
      <c r="A203" s="158" t="s">
        <v>2342</v>
      </c>
      <c r="B203" s="159" t="str" cm="1">
        <f t="array" ref="B203">CHUANHOA(Bangdich[[#This Row],[Tên]])</f>
        <v>E_Cap_Hieu_Mon</v>
      </c>
    </row>
    <row r="204" spans="1:2" x14ac:dyDescent="0.25">
      <c r="A204" s="158" t="s">
        <v>2348</v>
      </c>
      <c r="B204" s="159" t="str" cm="1">
        <f t="array" ref="B204">CHUANHOA(Bangdich[[#This Row],[Tên]])</f>
        <v>Cty_CK_Lang_Rua</v>
      </c>
    </row>
    <row r="205" spans="1:2" x14ac:dyDescent="0.25">
      <c r="A205" s="158" t="s">
        <v>2471</v>
      </c>
      <c r="B205" s="159" t="str" cm="1">
        <f t="array" ref="B205">CHUANHOA(Bangdich[[#This Row],[Tên]])</f>
        <v>Cty_Long_Nguyet</v>
      </c>
    </row>
    <row r="206" spans="1:2" x14ac:dyDescent="0.25">
      <c r="A206" s="158" t="s">
        <v>2500</v>
      </c>
      <c r="B206" s="159" t="str" cm="1">
        <f t="array" ref="B206">CHUANHOA(Bangdich[[#This Row],[Tên]])</f>
        <v>E_Cuong_TC</v>
      </c>
    </row>
    <row r="207" spans="1:2" x14ac:dyDescent="0.25">
      <c r="A207" s="158" t="s">
        <v>2510</v>
      </c>
      <c r="B207" s="159" t="str" cm="1">
        <f t="array" ref="B207">CHUANHOA(Bangdich[[#This Row],[Tên]])</f>
        <v>Cty_HQ_Tech</v>
      </c>
    </row>
    <row r="208" spans="1:2" x14ac:dyDescent="0.25">
      <c r="A208" s="158" t="s">
        <v>2515</v>
      </c>
      <c r="B208" s="159" t="str" cm="1">
        <f t="array" ref="B208">CHUANHOA(Bangdich[[#This Row],[Tên]])</f>
        <v>Cty_Thuy_Dung_BN</v>
      </c>
    </row>
    <row r="209" spans="1:2" x14ac:dyDescent="0.25">
      <c r="A209" s="158" t="s">
        <v>2540</v>
      </c>
      <c r="B209" s="159" t="str" cm="1">
        <f t="array" ref="B209">CHUANHOA(Bangdich[[#This Row],[Tên]])</f>
        <v>Cty_Nam_Hong</v>
      </c>
    </row>
    <row r="210" spans="1:2" x14ac:dyDescent="0.25">
      <c r="A210" s="150" t="s">
        <v>2582</v>
      </c>
      <c r="B210" s="159" t="str" cm="1">
        <f t="array" ref="B210">CHUANHOA(Bangdich[[#This Row],[Tên]])</f>
        <v>Cty_AKhoa</v>
      </c>
    </row>
  </sheetData>
  <hyperlinks>
    <hyperlink ref="A2" location="'E Minh - TH'!A1" display="E Minh - TH" xr:uid="{ACC557DF-E6B9-45E1-A03E-6478838C1C33}"/>
    <hyperlink ref="A3" location="'Cty Phú Minh'!A1" display="Cty Phú Minh" xr:uid="{1C6E79CE-67E9-46A8-83B8-4BA8596A4EB1}"/>
    <hyperlink ref="A4" location="'Cty Ý Thuỷ'!A1" display="Cty Ý Thuỷ" xr:uid="{A71CCF7D-FF21-48E8-B516-E3AF37AED105}"/>
    <hyperlink ref="A5" location="'Cty Vinh Oanh - Phủ Lý'!A1" display="Cty Vinh Oanh - Phủ Lý" xr:uid="{B8727988-5F6E-44D8-8D58-9518A4904652}"/>
    <hyperlink ref="A6" location="'A Hải - HP'!A1" display="A Hải - HP" xr:uid="{1AC3D204-9C99-402D-BCA9-E9F4FF27DA9C}"/>
    <hyperlink ref="A7" location="'C Xếp - HP'!A1" display="C Xếp - HP" xr:uid="{5FE48D1A-4D03-45D7-B66A-43E37478525C}"/>
    <hyperlink ref="A8" location="'Cty Kim Thành'!A1" display="Cty Kim Thành" xr:uid="{DDCABC0C-7C6C-4C5B-B331-7FFECDB96CE3}"/>
    <hyperlink ref="A9" location="'A Đông - Tân Hồng Phát'!A1" display="A Đông - Tân Hồng Phát" xr:uid="{1068D0E0-69AD-4CDD-A537-DFE2AE2FAEC2}"/>
    <hyperlink ref="A10" location="'E Thái - CMỹ'!A1" display="E Thái - CMỹ" xr:uid="{AC3300DB-96D3-4085-A271-091A41904041}"/>
    <hyperlink ref="A11" location="'E Giao - Cty Bạch Kim'!A1" display="E Giao - Cty Bạch Kim" xr:uid="{BEFC9E3F-7045-4EC4-9473-62A2A30BBBC0}"/>
    <hyperlink ref="A12" location="'C Thuỷ - HP'!A1" display="C Thuỷ - HP" xr:uid="{DB347694-E736-4E61-803B-4BA65A2B4065}"/>
    <hyperlink ref="A13" location="'Cty An Phát - HP'!A1" display="Cty An Phát - HP" xr:uid="{A4AC4666-5E4C-4064-B65A-643046B60F57}"/>
    <hyperlink ref="A14" location="'E Duy - Cty Hải Âu'!A1" display="E Duy - Cty Hải Âu" xr:uid="{76AD18C4-A5FB-486C-961D-665D00C3B945}"/>
    <hyperlink ref="A15" location="'Cty An Phú'!A1" display="Cty An Phú" xr:uid="{97F1A170-E0E4-42A0-9AD2-B33E777995E0}"/>
    <hyperlink ref="A16" location="'Cty Cường Thịnh'!A1" display="Cty Cường Thịnh" xr:uid="{BC8D634B-5963-4564-9656-9CFB54D87C47}"/>
    <hyperlink ref="A17" location="'E Duyên - Rùa'!A1" display="E Duyên - Rùa" xr:uid="{A3E3EA3F-E5BA-4D63-BF96-EC0E0416BE04}"/>
    <hyperlink ref="A18" location="'Cty Hyundai - ĐN'!A1" display="Cty Hyundai - ĐN" xr:uid="{C0BF9322-B131-4D48-9C35-51E3868FED60}"/>
    <hyperlink ref="A19" location="'E Phúc - Cty Đức Phúc'!A1" display="E Phúc - Cty Đức Phúc" xr:uid="{36BBBC0F-7662-4DDC-8713-A22F811F6DDF}"/>
    <hyperlink ref="A20" location="'Cty Lý Dương Hùng - ĐN'!A1" display="Cty Lý Dương Hùng - ĐN" xr:uid="{01A8B374-0372-48A7-86E2-D279FA12EC0E}"/>
    <hyperlink ref="A21" location="'A Tuấn - Cty Hưng Phát'!A1" display="A Tuấn - Cty Hưng Phát" xr:uid="{07783E4B-57CD-4575-867C-345496E4DC40}"/>
    <hyperlink ref="A22" location="'C Năm Đạo - Cầu Đuống'!A1" display="C Năm Đạo - Cầu Đuống" xr:uid="{6B0BFA24-261D-4E05-BC5A-F3CCB7DF402E}"/>
    <hyperlink ref="A23" location="'Khách lẻ'!A1" display="Khách lẻ" xr:uid="{C5AADB6E-3C21-439B-96D0-A8E5EA96AAA6}"/>
    <hyperlink ref="A24" location="'Cty Nam Khánh'!A1" display="Cty Nam Khánh" xr:uid="{2729E535-F60A-468B-9FD5-7973F383838A}"/>
    <hyperlink ref="A25" location="'Cty Tân Phát'!A1" display="Cty Tân Phát" xr:uid="{9A31FDAA-C0A2-409E-8E1B-D501E0F95D82}"/>
    <hyperlink ref="A26" location="'A Tùng - HD'!A1" display="A Tùng - HD" xr:uid="{4E2239B4-314E-4EF5-BFB9-54FD2185CFAD}"/>
    <hyperlink ref="A27" location="'E Kiên - HD'!A1" display="E Kiên - HD" xr:uid="{2002714B-F072-49CD-A9E9-A5042E4CEEA8}"/>
    <hyperlink ref="A28" location="'C Hà - HY'!A1" display="C Hà - HY" xr:uid="{56496594-A331-42DC-8130-100B53399A25}"/>
    <hyperlink ref="A29" location="'Cty Phú Thành'!A1" display="Cty Phú Thành" xr:uid="{B43C66C3-8969-436F-81AF-AA5D774870A3}"/>
    <hyperlink ref="A30" location="'Cty Việt Anh'!A1" display="Cty Việt Anh" xr:uid="{E27D6761-6B19-4EB0-B3ED-FC327FCB4BA4}"/>
    <hyperlink ref="A31" location="'Cty Thép Hà Nội'!A1" display="Cty Thép Hà Nội" xr:uid="{B5EC47CC-C956-48C5-81FC-221FAB0C552E}"/>
    <hyperlink ref="A32" location="'C Thuỷ - TH'!A1" display="C Thuỷ - TH" xr:uid="{4EA3FCB4-9DFB-4ECE-89D6-65293B14A4DA}"/>
    <hyperlink ref="A33" location="'Cty Vạn Xuân'!A1" display="Cty Vạn Xuân" xr:uid="{AF46F056-C524-45BE-A0C1-7AF5900E3986}"/>
    <hyperlink ref="A34" location="'E Đắc - NĐ'!A1" display="E Đắc - NĐ" xr:uid="{51BA6FE6-7252-4528-B427-633C45958319}"/>
    <hyperlink ref="A35" location="'Cty Đại Thuỷ'!A1" display="Cty Đại Thuỷ" xr:uid="{73ED4404-6D73-40DF-B10B-7901EF08EF8A}"/>
    <hyperlink ref="A36" location="'Cty Thiên Hòa An'!A1" display="Cty Thiên Hòa An" xr:uid="{A28CE5C2-3044-4750-BFB1-6B4BF8C8E3BF}"/>
    <hyperlink ref="A37" location="'E Quân - CMy'!A1" display="E Quân - CMy" xr:uid="{A5528ACB-10DE-4E8F-AC10-DD549495E5E3}"/>
    <hyperlink ref="A38" location="'A Trung'!A1" display="A Trung" xr:uid="{B8926ACF-713B-49A3-B84F-896E7DD805E5}"/>
    <hyperlink ref="A39" location="'Cty Tân Đạt'!A1" display="Cty Tân Đạt" xr:uid="{BB6F18D4-51EE-497D-B07B-8445A825AE6A}"/>
    <hyperlink ref="A40" location="'Cty Ánh Dương'!A1" display="Cty Ánh Dương" xr:uid="{799AF462-E8B9-47D5-BA7B-FD6347C762E3}"/>
    <hyperlink ref="A41" location="'E Hoài - NĐ'!A1" display="E Hoài - NĐ" xr:uid="{C671538D-E3AE-476C-B26D-B3B115E4139E}"/>
    <hyperlink ref="A42" location="'E Mão - NB'!A1" display="E Mão - NB" xr:uid="{FF3A3B74-3E04-4637-BB4A-DD6E4F415B0B}"/>
    <hyperlink ref="A43" location="'Cty Minh Tiến'!A1" display="Cty Minh Tiến" xr:uid="{AF909CA5-78CC-445B-9C3E-6B05579327D6}"/>
    <hyperlink ref="A44" location="'C Hùng - HP'!A1" display="C Hùng - HP" xr:uid="{82EB3E4C-851F-451C-85F1-A11A73265971}"/>
    <hyperlink ref="A45" location="'C Thuyên - Cty Gia Hưng'!A1" display="C Thuyên - Cty Gia Hưng" xr:uid="{90134A05-4811-48A3-981E-C85AA12D6AD6}"/>
    <hyperlink ref="A46" location="'Cty Đại Đồng'!A1" display="Cty Đại Đồng" xr:uid="{7B2D751E-2583-43BC-95E2-FC4CD200017C}"/>
    <hyperlink ref="A47" location="'Cty Tân Tiến'!A1" display="Cty Tân Tiến" xr:uid="{9A84BB2A-4ED7-4E5E-A72F-A45B1D05E92C}"/>
    <hyperlink ref="A48" location="'Cty Thiên Ân'!A1" display="Cty Thiên Ân" xr:uid="{BE2D6F8B-5560-47BB-8209-19CE5633D30C}"/>
    <hyperlink ref="A49" location="'Cty Hà Cường'!A1" display="Cty Hà Cường" xr:uid="{D43F1BB7-5B20-4218-BF4A-AA42839B6F14}"/>
    <hyperlink ref="A50" location="'Cty Anh Thư - Hồng Vân'!A1" display="Cty Anh Thư - Hồng Vân" xr:uid="{15A1DB87-6EB5-4806-A5A2-D89E97958C64}"/>
    <hyperlink ref="A51" location="'E Thuận - Ngọc Diệp'!A1" display="E Thuận - Ngọc Diệp" xr:uid="{52FE12E7-1EE7-4CCF-BBBF-5F3D000753BA}"/>
    <hyperlink ref="A52" location="'Cty Minh Vũ'!A1" display="Cty Minh Vũ" xr:uid="{F396A598-2F8A-4797-9188-169EC42D41C8}"/>
    <hyperlink ref="A53" location="'Cty CP An Phát - TT'!A1" display="Cty CP An Phát - TT" xr:uid="{9104A8F8-3BAD-451D-86E2-0B98B4C61D85}"/>
    <hyperlink ref="A54" location="'A Tùng - Cty Xuân Thành'!A1" display="A Tùng - Cty Xuân Thành" xr:uid="{2498814B-E3B8-4A15-A59F-59ABD2A96AD6}"/>
    <hyperlink ref="A55" location="'A Bảy - NĐ'!A1" display="A Bảy - NĐ" xr:uid="{5CA569E5-2060-4210-BDA8-6EA50997C984}"/>
    <hyperlink ref="A56" location="'A Đông - NĐ'!A1" display="A Đông - NĐ" xr:uid="{916E1716-E453-4E32-A3E6-FF8DA5E0F289}"/>
    <hyperlink ref="A57" location="'Cty Quang Nga - Phủ Lý'!A1" display="Cty Quang Nga - Phủ Lý" xr:uid="{E13DA34E-7B26-448F-80FF-4494C16482C8}"/>
    <hyperlink ref="A58" location="'A Nguyện - Cty Gia Anh'!A1" display="A Nguyện - Cty Gia Anh" xr:uid="{1B286F37-3950-4447-955F-47337109A06C}"/>
    <hyperlink ref="A59" location="'Cty Hiển Thịnh - HP'!A1" display="Cty Hiển Thịnh - HP" xr:uid="{346E80B3-FF55-41D6-BF94-16981BDD10B6}"/>
    <hyperlink ref="A60" location="'A Hùng - HP'!A1" display="A Hùng - HP" xr:uid="{682DD565-F257-4AB6-9E26-471FC8754A6C}"/>
    <hyperlink ref="A61" location="'Cty Hoà Hưng'!A1" display="Cty Hoà Hưng" xr:uid="{F0CCA465-CF74-4D9F-866A-4913D9F2AAB1}"/>
    <hyperlink ref="A62" location="'Cty Quang Long - HD'!A1" display="Cty Quang Long - HD" xr:uid="{CC308F9D-EF69-433D-987C-A990708E517A}"/>
    <hyperlink ref="A63" location="'Cty Minh Châu - TN'!A1" display="Cty Minh Châu - TN" xr:uid="{B9E8ABC4-F0DB-4A24-915F-3F9E62FF94E4}"/>
    <hyperlink ref="A64" location="'Cty Anh Linh - TT'!A1" display="Cty Anh Linh - TT" xr:uid="{3B257EE9-7DF7-44A6-9DAF-307D8C5F5D17}"/>
    <hyperlink ref="A65" location="'Cty Dung Tươi - Yên Bái'!A1" display="Cty Dung Tươi - Yên Bái" xr:uid="{7342DB95-F03C-4E19-85FE-6DDC040577EA}"/>
    <hyperlink ref="A66" location="'Cty Hoàng Anh Việt Nam'!A1" display="Cty Hoàng Anh Việt Nam" xr:uid="{5E9F0C89-AF2E-483D-B776-5EBBFBE07C6C}"/>
    <hyperlink ref="A67" location="'Cty Hoàng Quân Phát'!A1" display="Cty Hoàng Quân Phát" xr:uid="{D7545D8D-C998-472C-8275-62C846D46792}"/>
    <hyperlink ref="A68" location="'Cty Tân Hưng'!A1" display="Cty Tân Hưng" xr:uid="{B6D8E7C1-307C-4B87-A0B0-79B1725E5EF2}"/>
    <hyperlink ref="A69" location="'Cty Thanh Dương - ĐN'!A1" display="Cty Thanh Dương - ĐN" xr:uid="{E7AC7990-29BC-475C-B256-184D0674D19C}"/>
    <hyperlink ref="A70" location="'Cty Thép Việt'!A1" display="Cty Thép Việt" xr:uid="{B66B18D1-A601-4FFA-AC3E-7BE43B238F79}"/>
    <hyperlink ref="A71" location="'A Long - Mỗ'!A1" display="A Long - Mỗ" xr:uid="{8EDED755-1E53-4117-B764-999B6257BA67}"/>
    <hyperlink ref="A72" location="'E Tạo - NĐ'!A1" display="E Tạo - NĐ" xr:uid="{B29B2E2C-39D0-4461-AC24-95930C5B243B}"/>
    <hyperlink ref="A73" location="'Cty Thái Dương'!A1" display="Cty Thái Dương" xr:uid="{4472EB31-F43A-46FD-AC6C-06DC9004B1AB}"/>
    <hyperlink ref="A74" location="'Cty Hồng Tâm - Phủ Lý'!A1" display="Cty Hồng Tâm - Phủ Lý" xr:uid="{263E274D-1624-4691-8E13-C0A5AE88B328}"/>
    <hyperlink ref="A75" location="'A Kiên - Long Biên'!A1" display="A Kiên - Long Biên" xr:uid="{81AB6953-9286-46A3-9EBD-09410F125725}"/>
    <hyperlink ref="A76" location="'C Hà - Khoa học - HY'!A1" display="C Hà - Khoa học - HY" xr:uid="{F2B7BD9E-EE5A-4CFB-A8FD-EE22190E1B8B}"/>
    <hyperlink ref="A77" location="'E Trung - Cty Hà Anh'!A1" display="E Trung - Cty Hà Anh" xr:uid="{934225EC-B422-4776-94F4-5EC1DE52FF72}"/>
    <hyperlink ref="A78" location="'Cty Bùi Gia'!A1" display="Cty Bùi Gia" xr:uid="{C70F670F-9E31-4819-85E1-64E4AA0DA56F}"/>
    <hyperlink ref="A79" location="'Cty Hiền Hoa - NĐ'!A1" display="Cty Hiền Hoa - NĐ" xr:uid="{2CD9B400-C691-4500-8202-2507C3C9A365}"/>
    <hyperlink ref="A80" location="'A Cường - Linh Đàm'!A1" display="A Cường - Linh Đàm" xr:uid="{0CEF768E-E6B4-4F7B-9CD2-0BA5F0738CCF}"/>
    <hyperlink ref="A81" location="'C Dung - HD'!A1" display="C Dung - HD" xr:uid="{0F8ED0F9-528C-45EE-A765-CC4193086EAF}"/>
    <hyperlink ref="A82" location="'Cty Cơ khí CTM Phú Thịnh - ĐN'!A1" display="Cty Cơ khí CTM Phú Thịnh - ĐN" xr:uid="{040C22C8-2940-4991-A71D-DD9FF2920C70}"/>
    <hyperlink ref="A83" location="'Cty Toàn Việt'!A1" display="Cty Toàn Việt" xr:uid="{F6EE665A-B784-4A90-B288-30ECA6FB055A}"/>
    <hyperlink ref="A84" location="'Cty Thảo Trang'!A1" display="Cty Thảo Trang" xr:uid="{0148AEE8-A6E2-4DA4-B581-F1B5F5DB1FBF}"/>
    <hyperlink ref="A85" location="'C Dung - Cầu Diễn'!A1" display="C Dung - Cầu Diễn" xr:uid="{E731E819-DE3B-45E7-B616-BD484F62CFE5}"/>
    <hyperlink ref="A86" location="'Cty Cường Hương - PX'!A1" display="Cty Cường Hương - PX" xr:uid="{5D78C954-25BC-4C69-97CB-B30E46CDA50E}"/>
    <hyperlink ref="A87" location="'Cty INOX Việt'!A1" display="Cty INOX Việt" xr:uid="{44BC4309-4BB8-4629-B46E-2CD0EC1994B6}"/>
    <hyperlink ref="A88" location="'A Phong - Cty Việt Đức'!A1" display="A Phong - Cty Việt Đức" xr:uid="{519DE3E2-0E2F-46A0-B616-604E59FF2EDC}"/>
    <hyperlink ref="A89" location="'Cty Thiết Bị Y Tế Hoàng Gia'!A1" display="Cty Thiết Bị Y Tế Hoàng Gia" xr:uid="{C829BE97-B15A-4242-A450-F288CD1C4BD1}"/>
    <hyperlink ref="A90" location="'A Đức - Cty Hoà Phát'!A1" display="A Đức - Cty Hoà Phát" xr:uid="{463CE67A-B4F2-431B-96D2-FF70D03DC141}"/>
    <hyperlink ref="A91" location="'Cty Đông Dương'!A1" display="Cty Đông Dương" xr:uid="{69567B60-17E1-40B2-B7C4-F10C5F618163}"/>
    <hyperlink ref="A92" location="'Cty TH Việt Nam'!A1" display="Cty TH Việt Nam" xr:uid="{C5C8EC2A-D695-4147-9AA9-729D2A8191E3}"/>
    <hyperlink ref="A93" location="'E Ân - Thái Nguyên'!A1" display="E Ân - Thái Nguyên" xr:uid="{CAABA6E0-1C28-4A7B-AA88-E98817123DFE}"/>
    <hyperlink ref="A94" location="'E Nguyên - Cty Huy Hoàng'!A1" display="E Nguyên - Cty Huy Hoàng" xr:uid="{A2766616-4E4D-402D-B7BE-D94CEC9E3125}"/>
    <hyperlink ref="A95" location="'Cty Hưng Phát - NĐ'!A1" display="Cty Hưng Phát - NĐ" xr:uid="{3916685E-7AF6-4D05-A866-180F393B20F3}"/>
    <hyperlink ref="A96" location="'Cô Cúc - Rùa'!A1" display="Cô Cúc - Rùa" xr:uid="{29D07E97-2BA5-46D9-B768-9A5850692C2A}"/>
    <hyperlink ref="A97" location="'Cty Nguyễn Hưng - HT'!A1" display="Cty Nguyễn Hưng - HT" xr:uid="{11FA4221-DC75-4A85-9484-B132521D773E}"/>
    <hyperlink ref="A98" location="'Cty Thanh Phát'!A1" display="Cty Thanh Phát" xr:uid="{E69DA510-82FC-4D5C-9669-D698F7E32317}"/>
    <hyperlink ref="A99" location="'E Mỹ - Rùa'!A1" display="E Mỹ - Rùa" xr:uid="{930C954D-BEC8-4665-90C9-787E44289045}"/>
    <hyperlink ref="A100" location="'Cty Thép Nam Phát - Từ Liêm'!A1" display="Cty Thép Nam Phát - Từ Liêm" xr:uid="{19378CE5-E022-4DE6-9B90-31FC59E6DFAE}"/>
    <hyperlink ref="A101" location="'E Thắng - Cty Quốc Thắng'!A1" display="E Thắng - Cty Quốc Thắng" xr:uid="{2A3E6470-11E6-4827-B49F-08739FB14700}"/>
    <hyperlink ref="A102" location="'E Hiến - Cty Minh Hiến - HD'!A1" display="E Hiến - Cty Minh Hiến - HD" xr:uid="{C136F296-2451-4B66-A3E1-A2C8AB8DB3A6}"/>
    <hyperlink ref="A103" location="'A Thắng - HP'!A1" display="A Thắng - HP" xr:uid="{490ADC47-D837-4B76-85C5-45E8D5AFC816}"/>
    <hyperlink ref="A104" location="'Cty Thành An'!A1" display="Cty Thành An" xr:uid="{2ABBF684-EAD5-4E7A-B183-ACA896993F1D}"/>
    <hyperlink ref="A105" location="'Cty Tam Việt - TH'!A1" display="Cty Tam Việt - TH" xr:uid="{9B2A81F0-6E35-45FE-B792-55D70B90A54C}"/>
    <hyperlink ref="A106" location="'E Đạt - Cty Bảo Phát'!A1" display="E Đạt - Cty Bảo Phát" xr:uid="{3FDA04B2-589E-4968-AD53-08132CCB6D2E}"/>
    <hyperlink ref="A107" location="'A Hải - NH'!A1" display="A Hải - NH" xr:uid="{F08ACDD6-B0D8-4E0A-A002-FD123BC46E0B}"/>
    <hyperlink ref="A108" location="'Cty Nam Phát - Ngọc Hồi'!A1" display="Cty Nam Phát - Ngọc Hồi" xr:uid="{5C3E588D-8E4A-42FC-8089-CAC7ACA8A921}"/>
    <hyperlink ref="A109" location="'A Hùng - Cty Minh Phát'!A1" display="A Hùng - Cty Minh Phát" xr:uid="{399A8209-7B7A-47E0-A1AA-52E43F821619}"/>
    <hyperlink ref="A110" location="'C Hà - Xuân Mai'!A1" display="C Hà - Xuân Mai" xr:uid="{EAD7B5A8-FEC8-4BBB-8100-F5C243C4E633}"/>
    <hyperlink ref="A111" location="'E Doanh - Thanh Oai'!A1" display="E Doanh - Thanh Oai" xr:uid="{C18B120C-9174-4513-B76F-269EB8D382E2}"/>
    <hyperlink ref="A112" location="'A Dự - NĐ'!A1" display="A Dự - NĐ" xr:uid="{D4808A2D-3EC7-4FE2-95B0-A932202A0B29}"/>
    <hyperlink ref="A113" location="'Cty Giang Phương'!A1" display="Cty Giang Phương" xr:uid="{FBBC32E4-C25E-4AE4-8437-A073D0322596}"/>
    <hyperlink ref="A114" location="'C Yến - Cty Tân Thành'!A1" display="C Yến - Cty Tân Thành" xr:uid="{B3932ED7-F73D-4690-8B77-EF4D7D4D9FE4}"/>
    <hyperlink ref="A115" location="'Cty XNK Thịnh Phát'!A1" display="Cty XNK Thịnh Phát" xr:uid="{B759274E-FEA8-4C47-BEA9-F22C002523E0}"/>
    <hyperlink ref="A116" location="'Cty Hàn Việt'!A1" display="Cty Hàn Việt" xr:uid="{FD1FC678-F9DA-47DF-81B8-812FF536CDA7}"/>
    <hyperlink ref="A117" location="'Cty Năng Lượng - Tứ Hiệp'!A1" display="Cty Năng Lượng - Tứ Hiệp" xr:uid="{5E364898-9412-4768-96F4-1AC39F53453B}"/>
    <hyperlink ref="A118" location="'C Hạnh - Cty Đức Phát'!A1" display="C Hạnh - Cty Đức Phát" xr:uid="{1CBC08F8-ED42-481B-8101-29F03306D1EA}"/>
    <hyperlink ref="A119" location="'Cty Bảo Lâm'!A1" display="Cty Bảo Lâm" xr:uid="{230BBC47-1FF6-4753-8AE5-D0B19988FA9B}"/>
    <hyperlink ref="A120" location="'Cty Toàn Phát - HP'!A1" display="Cty Toàn Phát - HP" xr:uid="{FCFE3FC5-EC63-4103-846E-75D88FEA0880}"/>
    <hyperlink ref="A121" location="'E Trung - Cty An Phát - HY'!A1" display="E Trung - Cty An Phát - HY" xr:uid="{F033C455-8237-49F5-B042-64BAE846BE39}"/>
    <hyperlink ref="A122" location="'Cty Thịnh Hưng'!A1" display="Cty Thịnh Hưng" xr:uid="{D6B3D098-9251-4A65-88DD-D3FDBAFD5589}"/>
    <hyperlink ref="A123" location="'Cty Tuấn Nhung - Rùa'!A1" display="Cty Tuấn Nhung - Rùa" xr:uid="{F04B22DF-4D1D-405E-8DB1-69D9E7D32156}"/>
    <hyperlink ref="A124" location="'Cty Thành Hưng'!A1" display="Cty Thành Hưng" xr:uid="{8C9755F9-0BCE-4913-9BA1-5A9AA2A21EBA}"/>
    <hyperlink ref="A125" location="'Cty Minh Tám'!A1" display="Cty Minh Tám" xr:uid="{B5E1CFEB-3AF1-4F85-8139-8D7A1D9AEE69}"/>
    <hyperlink ref="A126" location="'Cty Bình Minh'!A1" display="Cty Bình Minh" xr:uid="{D8B61B81-69A3-4622-B77A-0203F66C9F04}"/>
    <hyperlink ref="A127" location="'A Cương - Rùa'!A1" display="A Cương - Rùa" xr:uid="{FD848064-2CA3-4F7A-A137-F725E550BC40}"/>
    <hyperlink ref="A128" location="'Cty Visco - Hải Phòng'!A1" display="Cty Visco - Hải Phòng" xr:uid="{73638036-335B-429A-9954-C95ADA63E642}"/>
    <hyperlink ref="A129" location="'Cty Thái Hưng - Phú Thọ'!A1" display="Cty Thái Hưng - Phú Thọ" xr:uid="{EDBDDBB9-6C3B-4554-8EDB-9CB420159619}"/>
    <hyperlink ref="A130" location="'Cty Cường Thu - NĐ'!A1" display="Cty Cường Thu - NĐ" xr:uid="{87B070E3-80E9-45B2-B65C-0479E058C5AB}"/>
    <hyperlink ref="A131" location="'Cty Anh Thư'!A1" display="Cty Anh Thư" xr:uid="{528D8D4D-F07B-4341-AF4E-6152E2B99CF0}"/>
    <hyperlink ref="A132" location="'Cty Minh Phương - Hoài Đức'!A1" display="Cty Minh Phương - Hoài Đức" xr:uid="{148C8C68-DC51-4921-A517-0BA6006479A7}"/>
    <hyperlink ref="A133" location="'Cty Tiến Hưng'!A1" display="Cty Tiến Hưng" xr:uid="{81F33532-566D-4468-A85E-0B61295B67CA}"/>
    <hyperlink ref="A134" location="'Cty INOX Diện Hoài'!A1" display="Cty INOX Diện Hoài" xr:uid="{EE5FBDE2-B1FB-4E78-828E-3C456DB9DA0A}"/>
    <hyperlink ref="A135" location="'Cty Đức Thuận HP'!A1" display="Cty Đức Thuận HP" xr:uid="{74D14BE4-B71C-4DEE-9788-0D035CD97ECD}"/>
    <hyperlink ref="A136" location="'Cty Khanh Tâm - NA'!A1" display="Cty Khanh Tâm - NA" xr:uid="{DC8DA912-F9C1-48D1-A578-6C572E6ED7B6}"/>
    <hyperlink ref="A137" location="'Cty Đạt Linh'!A1" display="Cty Đạt Linh" xr:uid="{5DEA1397-2D99-411B-B38E-A00E175B240D}"/>
    <hyperlink ref="A138" location="'Cty Quang Phương - Bắc Ninh'!A1" display="Cty Quang Phương - Bắc Ninh" xr:uid="{19CF2E1B-AA09-4FF4-B043-AF984DE1E9A3}"/>
    <hyperlink ref="A139" location="'C Vui - HY'!A1" display="C Vui - HY" xr:uid="{936676D7-9A5F-42F3-9492-4BF308BED464}"/>
    <hyperlink ref="A140" location="'E Hoà Khuôn Đá Thanh Hoá'!A1" display="E Hoà Khuôn Đá Thanh Hoá" xr:uid="{08516560-E3BF-4309-B65C-6A58BCC8144C}"/>
    <hyperlink ref="A141" location="'A Thép - Cty Thép Titan'!A1" display="A Thép - Cty Thép Titan" xr:uid="{234D4E94-EA5B-4DB1-BD35-7A90F9A91018}"/>
    <hyperlink ref="A142" location="'CH Phú Lý'!A1" display="CH Phú Lý" xr:uid="{D6D756A8-B617-4B5C-AEFA-97C67FB85CF5}"/>
    <hyperlink ref="A143" location="'C Dung - Cty Việt Á'!A1" display="C Dung - Cty Việt Á" xr:uid="{F6F5221D-9D33-48E6-B9F5-1C89C7CB8E5C}"/>
    <hyperlink ref="A144" location="'Cty Thăng Long'!A1" display="Cty Thăng Long" xr:uid="{09E314E4-FBED-445C-8AEE-9727B699C5D8}"/>
    <hyperlink ref="A145" location="'Cty Tuấn Đạt'!A1" display="Cty Tuấn Đạt" xr:uid="{1F07FA3A-E226-44E5-B0F8-C533B560A228}"/>
    <hyperlink ref="A146" location="'Cty Sao Việt'!A1" display="Cty Sao Việt" xr:uid="{C8888146-6075-48B1-B990-01BDFCABF251}"/>
    <hyperlink ref="A147" location="'Cty Hoàng Linh'!A1" display="Cty Hoàng Linh" xr:uid="{0777D9D4-906E-4444-BF32-751B703D0B73}"/>
    <hyperlink ref="A148" location="'Cty Thái An- HY'!A1" display="Cty Thái An- HY" xr:uid="{1C209033-25EE-4449-B143-DAF9EB21EF4D}"/>
    <hyperlink ref="A149" location="'Cty Từ Phương - QB'!A1" display="Cty Từ Phương - QB" xr:uid="{6F4CD002-7909-4B42-8F05-5BA6A9CB2505}"/>
    <hyperlink ref="A150" location="'A Khuyến - Ecopark'!A1" display="A Khuyến - Ecopark" xr:uid="{5AFB597D-D49A-49CA-80A2-E05C1AABE778}"/>
    <hyperlink ref="A151" location="'Cty CN Hà Thành'!A1" display="Cty CN Hà Thành" xr:uid="{FF678D9F-3AC5-4048-967D-A90A98447BBD}"/>
    <hyperlink ref="A152" location="'Cty An Thịnh'!A1" display="Cty An Thịnh" xr:uid="{038C9BC8-146A-4540-8C3C-F6732066D4EA}"/>
    <hyperlink ref="A153" location="'Cty Hưng Thịnh'!A1" display="Cty Hưng Thịnh" xr:uid="{65B9B3F1-B62D-4316-B7E4-9BB21B5F3A07}"/>
    <hyperlink ref="A154" location="'Cty Thép 568'!A1" display="Cty Thép 568" xr:uid="{FDDC1EA7-0EF0-4DD1-8176-ADE6CB23764D}"/>
    <hyperlink ref="A155" location="'Cty Thịnh Hưng Quang'!A1" display="Cty Thịnh Hưng Quang" xr:uid="{BC1AC657-B3A9-4750-A4FD-BE6C37E83383}"/>
    <hyperlink ref="A156" location="'Cty Đông Nam'!A1" display="Cty Đông Nam" xr:uid="{DF3299C0-A3B7-4089-909A-8D8E0A95EDF1}"/>
    <hyperlink ref="A157" location="'Cty Inox Đoàn Dự'!A1" display="Cty Inox Đoàn Dự" xr:uid="{50DF0C15-071D-466C-A50D-AC8DF1426530}"/>
    <hyperlink ref="A158" location="'C Điều - HY'!A1" display="C Điều - HY" xr:uid="{DE1A74CB-F5A8-49F6-AB8C-11A3670C7CC6}"/>
    <hyperlink ref="A159" location="'Cty Trang Tùng'!A1" display="Cty Trang Tùng" xr:uid="{181BF4C9-FC32-4563-9645-89C101668D44}"/>
    <hyperlink ref="A160" location="'Cty Kính Thành'!A1" display="Cty Kính Thành" xr:uid="{52B4DE08-8626-4BC8-9FC4-D7BBB1FA8301}"/>
    <hyperlink ref="A161" location="'Cty Việt Tín'!A1" display="Cty Việt Tín" xr:uid="{6D890DF9-382B-41C6-A02F-C7E369B70D50}"/>
    <hyperlink ref="A162" location="'Cty Tùng Linh'!A1" display="Cty Tùng Linh" xr:uid="{540BC340-65C2-492D-822C-2F9958368BD8}"/>
    <hyperlink ref="A163" location="'Cty Simec'!A1" display="Cty Simec" xr:uid="{889194B3-0EBC-4906-9BDD-A5A5F5FCFFAF}"/>
    <hyperlink ref="A164" location="'Cty Vinatota Việt Mỹ - HD'!A1" display="Cty Vinatota Việt Mỹ - HD" xr:uid="{3C9E474F-1EA2-475D-B89C-1AB627E9B09D}"/>
    <hyperlink ref="A165" location="'A Đại - Vinh'!A1" display="A Đại - Vinh" xr:uid="{D4E70F60-F11D-48E5-AA03-017145FFF965}"/>
    <hyperlink ref="A166" location="'E Sáng - Phúc Thọ'!A1" display="E Sáng - Phúc Thọ" xr:uid="{85683306-2A85-45DA-A679-A2D673056AC6}"/>
    <hyperlink ref="A167" location="'Cty Thắng Lợi'!A1" display="Cty Thắng Lợi" xr:uid="{F0B11D83-F8B3-4F5D-AC30-96A3EF2A722F}"/>
    <hyperlink ref="A168" location="'Cty Kim Long'!A1" display="Cty Kim Long" xr:uid="{98E5004D-C1E2-49B6-8972-E885724F32CC}"/>
    <hyperlink ref="A169" location="'Cty INOX Việt Nam'!A1" display="Cty INOX Việt Nam" xr:uid="{0C217C30-201B-4337-BDAB-703C82C11F85}"/>
    <hyperlink ref="A170" location="'Cty Phúc An - HP'!A1" display="Cty Phúc An - HP" xr:uid="{EACBDB21-62F0-4169-B50E-DE92BF668DE7}"/>
    <hyperlink ref="A171" location="'Cty Thuỷ Thuỷ - Vinh'!A1" display="Cty Thuỷ Thuỷ - Vinh" xr:uid="{6A85D949-E205-4883-9A17-F83D4BB7F4CF}"/>
    <hyperlink ref="A172" location="'A Vượng - Thế Đức'!A1" display="A Vượng - Thế Đức" xr:uid="{2959CB1D-765B-4F5A-93BA-24A23A5357C2}"/>
    <hyperlink ref="A173" location="'A Hoàn - Tam Trinh'!A1" display="A Hoàn - Tam Trinh" xr:uid="{C959DA36-F08D-464D-BA25-6214C78684FC}"/>
    <hyperlink ref="A174" location="'E Minh - HY'!A1" display="E Minh - HY" xr:uid="{186376E3-3857-4F03-BCDC-603C3F8118C5}"/>
    <hyperlink ref="A175" location="'Cty Phú Hưng An'!A1" display="Cty Phú Hưng An" xr:uid="{66A21676-0809-4529-9B49-DB708BF0C9D9}"/>
    <hyperlink ref="A176" location="'Cty Hà Thành'!A1" display="Cty Hà Thành" xr:uid="{6D184BA2-DE76-48A8-8DC6-BB7427B8FAFA}"/>
    <hyperlink ref="A177" location="'Cty Tư Phương'!A1" display="Cty Tư Phương" xr:uid="{6AD69D7F-3D89-4375-837D-4D4458CD26F8}"/>
    <hyperlink ref="A178" location="'Cty Á Châu - Phủ Lý'!A1" display="Cty Á Châu - Phủ Lý" xr:uid="{036F7881-FA02-4275-8BA1-CE5FDD0AF3F3}"/>
    <hyperlink ref="A179" location="'Cty Tư Hương - Phú Xuyên'!A1" display="Cty Tư Hương - Phú Xuyên" xr:uid="{1E232473-5B96-4BF8-8AC1-7BB9D8BB1992}"/>
    <hyperlink ref="A180" location="'E Thiện - Thượng Ốc'!A1" display="E Thiện - Thượng Ốc" xr:uid="{2662ACDE-8D35-46A5-B33C-7D01ED5DF61F}"/>
    <hyperlink ref="A181" location="'Cty Nhật Minh'!A1" display="Cty Nhật Minh" xr:uid="{EE1B025F-8193-4015-B64E-2CFD9E435C16}"/>
    <hyperlink ref="A182" location="'Cty SHC Á Châu'!A1" display="Cty SHC Á Châu" xr:uid="{9D9D9086-D4C8-41C2-A4C5-1F2BF8ECE33D}"/>
    <hyperlink ref="A183" location="'A Sáu - Lĩnh Nam'!A1" display="A Sáu - Lĩnh Nam" xr:uid="{DBA55F9C-47AE-46BA-BE9D-7C412570D749}"/>
    <hyperlink ref="A184" location="'Cty An Thuận Phát'!A1" display="Cty An Thuận Phát" xr:uid="{84E6C1F7-1B53-4236-97CB-760B8E755059}"/>
    <hyperlink ref="A185" location="'A Cư - Nghệ An'!A1" display="A Cư - Nghệ An" xr:uid="{016F6557-E6CA-42DE-A0E6-BF31C0B2D2CF}"/>
    <hyperlink ref="A186" location="'A Hậu'!A1" display="A Hậu" xr:uid="{24E01EFE-95EC-4FE6-A43F-742DB965D358}"/>
    <hyperlink ref="A187" location="'A Sơn Quảng Ninh'!A1" display="A Sơn Quảng Ninh" xr:uid="{E69F5C69-C49D-47A1-B406-FF210758C570}"/>
    <hyperlink ref="A188" location="'Minh Khuê'!A1" display="Minh Khuê" xr:uid="{72F166D5-BEF8-4B5D-AC08-F46129FC8523}"/>
    <hyperlink ref="A189" location="'Cty Gia Minh'!A1" display="Cty Gia Minh" xr:uid="{038F4D23-9490-4866-A074-7BFEB6F4F685}"/>
    <hyperlink ref="A190" location="'A Quân 2Q'!A1" display="A Quân 2Q" xr:uid="{4562C327-D60D-4C89-A1D8-85C20AA35356}"/>
    <hyperlink ref="A191" location="'E Quyết - VN'!A1" display="E Quyết - VN" xr:uid="{939C0C8B-93A7-4724-9B63-89D8E57D1BD7}"/>
    <hyperlink ref="A192" location="'A Hà - Cty HTM'!A1" display="A Hà - Cty HTM" xr:uid="{835116C3-4747-49CA-8C59-FFB94DBF27B9}"/>
    <hyperlink ref="A193" location="'A Năng - Hải Dương'!A1" display="A Năng - Hải Dương" xr:uid="{D6B4C1BC-6AD8-4B14-87E3-37E2100BD6E1}"/>
    <hyperlink ref="A194" location="'E Đức - Phú Xuyên'!A1" display="E Đức - Phú Xuyên" xr:uid="{9E5CBE53-51FE-4A0F-AC39-0DCBFF4E3CD7}"/>
    <hyperlink ref="A195" location="'Cty Việt Tiệp - Chương Mỹ'!A1" display="Cty Việt Tiệp - Chương Mỹ" xr:uid="{0F92B875-5636-4704-B997-619A598D21D0}"/>
    <hyperlink ref="A196" location="'Cty Mạnh Thược'!A1" display="Cty Mạnh Thược" xr:uid="{7F4DE59A-B72F-4F99-B3C8-EE8320911375}"/>
    <hyperlink ref="A197" location="'Cty Tân Mạnh Dũng - VP'!A1" display="Cty Tân Mạnh Dũng - VP" xr:uid="{0EB48B96-3AE4-439E-8A56-FA340D9B352A}"/>
    <hyperlink ref="A198" location="'Việt Thái'!A1" display="Việt Thái" xr:uid="{F2931512-CFE1-423E-9411-BC9FD379134E}"/>
    <hyperlink ref="A199" location="'Cty Hoàng Vũ'!A1" display="Cty Hoàng Vũ" xr:uid="{F737644D-1E8A-4BE7-B2B4-50858434C248}"/>
  </hyperlinks>
  <pageMargins left="0.7" right="0.7" top="0.75" bottom="0.75" header="0.3" footer="0.3"/>
  <pageSetup paperSize="9" orientation="portrait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8DE13D-1FD6-44A1-815C-77182D7870E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219</vt:i4>
      </vt:variant>
    </vt:vector>
  </HeadingPairs>
  <TitlesOfParts>
    <vt:vector size="219" baseType="lpstr">
      <vt:lpstr>Tong hop cong no</vt:lpstr>
      <vt:lpstr>E Minh - TH</vt:lpstr>
      <vt:lpstr>Cty Phú Minh</vt:lpstr>
      <vt:lpstr>Cty Ý Thuỷ</vt:lpstr>
      <vt:lpstr>Cty Vinh Oanh - Phủ Lý</vt:lpstr>
      <vt:lpstr>A Hải - HP</vt:lpstr>
      <vt:lpstr>C Xếp - HP</vt:lpstr>
      <vt:lpstr>Cty Kim Thành</vt:lpstr>
      <vt:lpstr>A Đông - Tân Hồng Phát</vt:lpstr>
      <vt:lpstr>E Thái - CMỹ</vt:lpstr>
      <vt:lpstr>E Giao - Cty Bạch Kim</vt:lpstr>
      <vt:lpstr>C Thuỷ - HP</vt:lpstr>
      <vt:lpstr>Cty An Phát - HP</vt:lpstr>
      <vt:lpstr>E Duy - Cty Hải Âu</vt:lpstr>
      <vt:lpstr>Cty An Phú</vt:lpstr>
      <vt:lpstr>Cty Cường Thịnh</vt:lpstr>
      <vt:lpstr>E Duyên - Rùa</vt:lpstr>
      <vt:lpstr>Cty Hyundai - ĐN</vt:lpstr>
      <vt:lpstr>E Phúc - Cty Đức Phúc</vt:lpstr>
      <vt:lpstr>Cty Lý Dương Hùng - ĐN</vt:lpstr>
      <vt:lpstr>A Tuấn - Cty Hưng Phát</vt:lpstr>
      <vt:lpstr>C Năm Đạo - Cầu Đuống</vt:lpstr>
      <vt:lpstr>Khách lẻ</vt:lpstr>
      <vt:lpstr>Cty Nam Khánh</vt:lpstr>
      <vt:lpstr>Cty Tân Phát</vt:lpstr>
      <vt:lpstr>A Tùng - HD</vt:lpstr>
      <vt:lpstr>E Kiên - HD</vt:lpstr>
      <vt:lpstr>C Hà - HY</vt:lpstr>
      <vt:lpstr>Cty Phú Thành</vt:lpstr>
      <vt:lpstr>Cty Việt Anh</vt:lpstr>
      <vt:lpstr>Cty Thép Hà Nội</vt:lpstr>
      <vt:lpstr>C Thuỷ - TH</vt:lpstr>
      <vt:lpstr>Cty Vạn Xuân</vt:lpstr>
      <vt:lpstr>E Đắc - NĐ</vt:lpstr>
      <vt:lpstr>Cty Đại Thuỷ</vt:lpstr>
      <vt:lpstr>Cty Thiên Hòa An</vt:lpstr>
      <vt:lpstr>E Quân - CMy</vt:lpstr>
      <vt:lpstr>A Trung</vt:lpstr>
      <vt:lpstr>Cty Tân Đạt</vt:lpstr>
      <vt:lpstr>Cty Ánh Dương</vt:lpstr>
      <vt:lpstr>E Hoài - NĐ</vt:lpstr>
      <vt:lpstr>E Mão - NB</vt:lpstr>
      <vt:lpstr>Cty Minh Tiến</vt:lpstr>
      <vt:lpstr>C Hùng - HP</vt:lpstr>
      <vt:lpstr>C Thuyên - Cty Gia Hưng</vt:lpstr>
      <vt:lpstr>Cty Đại Đồng</vt:lpstr>
      <vt:lpstr>Cty Tân Tiến</vt:lpstr>
      <vt:lpstr>Cty Thiên Ân</vt:lpstr>
      <vt:lpstr>Cty Hà Cường</vt:lpstr>
      <vt:lpstr>Cty Anh Thư - Hồng Vân</vt:lpstr>
      <vt:lpstr>E Thuận - Ngọc Diệp</vt:lpstr>
      <vt:lpstr>Cty Minh Vũ</vt:lpstr>
      <vt:lpstr>Cty CP An Phát - TT</vt:lpstr>
      <vt:lpstr>A Tùng - Cty Xuân Thành</vt:lpstr>
      <vt:lpstr>A Bảy - NĐ</vt:lpstr>
      <vt:lpstr>A Đông - NĐ</vt:lpstr>
      <vt:lpstr>Cty Quang Nga - Phủ Lý</vt:lpstr>
      <vt:lpstr>A Nguyện - Cty Gia Anh</vt:lpstr>
      <vt:lpstr>Cty Hiển Thịnh - HP</vt:lpstr>
      <vt:lpstr>A Hùng - HP</vt:lpstr>
      <vt:lpstr>Cty Hoà Hưng</vt:lpstr>
      <vt:lpstr>Cty Quang Long - HD</vt:lpstr>
      <vt:lpstr>Cty Minh Châu - TN</vt:lpstr>
      <vt:lpstr>Cty Anh Linh - TT</vt:lpstr>
      <vt:lpstr>Cty Dung Tươi - Yên Bái</vt:lpstr>
      <vt:lpstr>Cty Hoàng Anh Việt Nam</vt:lpstr>
      <vt:lpstr>Cty Hoàng Quân Phát</vt:lpstr>
      <vt:lpstr>Cty Tân Hưng</vt:lpstr>
      <vt:lpstr>Cty Thanh Dương - ĐN</vt:lpstr>
      <vt:lpstr>Cty Thép Việt</vt:lpstr>
      <vt:lpstr>A Long - Mỗ</vt:lpstr>
      <vt:lpstr>E Tạo - NĐ</vt:lpstr>
      <vt:lpstr>Cty Thái Dương</vt:lpstr>
      <vt:lpstr>Cty Hồng Tâm - Phủ Lý</vt:lpstr>
      <vt:lpstr>A Kiên - Long Biên</vt:lpstr>
      <vt:lpstr>C Hà - Khoa Học - HY</vt:lpstr>
      <vt:lpstr>E Trung - Cty Hà Anh</vt:lpstr>
      <vt:lpstr>Cty Bùi Gia</vt:lpstr>
      <vt:lpstr>Cty Hiền Hoa - NĐ</vt:lpstr>
      <vt:lpstr>A Cường - Linh Đàm</vt:lpstr>
      <vt:lpstr>C Dung - HD</vt:lpstr>
      <vt:lpstr>Cty Cơ Khí CTM Phú Thịnh - ĐN</vt:lpstr>
      <vt:lpstr>Cty Toàn Việt</vt:lpstr>
      <vt:lpstr>Cty Thảo Trang</vt:lpstr>
      <vt:lpstr>C Dung - Cầu Diễn</vt:lpstr>
      <vt:lpstr>Cty Cường Hương - PX</vt:lpstr>
      <vt:lpstr>Cty INOX Việt</vt:lpstr>
      <vt:lpstr>A Phong - Cty Việt Đức</vt:lpstr>
      <vt:lpstr>Cty Thiết Bị Y Tế Hoàng Gia</vt:lpstr>
      <vt:lpstr>A Đức - Cty Hoà Phát</vt:lpstr>
      <vt:lpstr>Cty Đông Dương</vt:lpstr>
      <vt:lpstr>Cty TH Việt Nam</vt:lpstr>
      <vt:lpstr>E Ân - Thái Nguyên</vt:lpstr>
      <vt:lpstr>E Nguyên - Cty Huy Hoàng</vt:lpstr>
      <vt:lpstr>Cty Hưng Phát - NĐ</vt:lpstr>
      <vt:lpstr>Cô Cúc - Rùa</vt:lpstr>
      <vt:lpstr>Cty Nguyễn Hưng - HT</vt:lpstr>
      <vt:lpstr>Cty Thanh Phát</vt:lpstr>
      <vt:lpstr>E Mỹ - Rùa</vt:lpstr>
      <vt:lpstr>Cty Thép Nam Phát - Từ Liêm</vt:lpstr>
      <vt:lpstr>E Thắng - Cty Quốc Thắng</vt:lpstr>
      <vt:lpstr>E Hiến - Cty Minh Hiến - HD</vt:lpstr>
      <vt:lpstr>A Thắng - HP</vt:lpstr>
      <vt:lpstr>Cty Thành An</vt:lpstr>
      <vt:lpstr>Cty Tam Việt - TH</vt:lpstr>
      <vt:lpstr>E Đạt - Cty Bảo Phát</vt:lpstr>
      <vt:lpstr>A Hải - NH</vt:lpstr>
      <vt:lpstr>Cty Nam Phát - Ngọc Hồi</vt:lpstr>
      <vt:lpstr>A Hùng - Cty Minh Phát</vt:lpstr>
      <vt:lpstr>C Hà - Xuân Mai</vt:lpstr>
      <vt:lpstr>E Doanh - Thanh Oai</vt:lpstr>
      <vt:lpstr>A Dự - NĐ</vt:lpstr>
      <vt:lpstr>Cty Giang Phương</vt:lpstr>
      <vt:lpstr>C Yến - Cty Tân Thành</vt:lpstr>
      <vt:lpstr>Cty XNK Thịnh Phát</vt:lpstr>
      <vt:lpstr>Cty Hàn Việt</vt:lpstr>
      <vt:lpstr>Cty Năng Lượng - Tứ Hiệp</vt:lpstr>
      <vt:lpstr>C Hạnh - Cty Đức Phát</vt:lpstr>
      <vt:lpstr>Cty Bảo Lâm</vt:lpstr>
      <vt:lpstr>Cty Toàn Phát - HP</vt:lpstr>
      <vt:lpstr>E Trung - Cty An Phát - HY</vt:lpstr>
      <vt:lpstr>Cty Thịnh Hưng</vt:lpstr>
      <vt:lpstr>Cty Tuấn Nhung - Rùa</vt:lpstr>
      <vt:lpstr>Cty Thành Hưng</vt:lpstr>
      <vt:lpstr>Cty Minh Tám</vt:lpstr>
      <vt:lpstr>Cty Bình Minh</vt:lpstr>
      <vt:lpstr>A Cương - Rùa</vt:lpstr>
      <vt:lpstr>Cty Visco - Hải Phòng</vt:lpstr>
      <vt:lpstr>Cty Thái Hưng - Phú Thọ</vt:lpstr>
      <vt:lpstr>Cty Cường Thu - NĐ</vt:lpstr>
      <vt:lpstr>Cty Anh Thư</vt:lpstr>
      <vt:lpstr>Cty Minh Phương - Hoài Đức</vt:lpstr>
      <vt:lpstr>Cty Tiến Hưng</vt:lpstr>
      <vt:lpstr>Cty INOX Diện Hoài</vt:lpstr>
      <vt:lpstr>Cty Đức Thuận HP</vt:lpstr>
      <vt:lpstr>Cty Khanh Tâm - NA</vt:lpstr>
      <vt:lpstr>Cty Đạt Linh</vt:lpstr>
      <vt:lpstr>Cty Quang Phương - Bắc Ninh</vt:lpstr>
      <vt:lpstr>C Vui - HY</vt:lpstr>
      <vt:lpstr>E Hoà Khuôn Đá Thanh Hoá</vt:lpstr>
      <vt:lpstr>A Thép - Cty Thép Titan</vt:lpstr>
      <vt:lpstr>CH Phú Lý</vt:lpstr>
      <vt:lpstr>C Dung - Cty Việt Á</vt:lpstr>
      <vt:lpstr>Cty Thăng Long</vt:lpstr>
      <vt:lpstr>Cty Tuấn Đạt</vt:lpstr>
      <vt:lpstr>Cty Sao Việt</vt:lpstr>
      <vt:lpstr>Cty Hoàng Linh</vt:lpstr>
      <vt:lpstr>Cty Thái An- HY</vt:lpstr>
      <vt:lpstr>Cty Từ Phương - QB</vt:lpstr>
      <vt:lpstr>A Khuyến - Ecopark</vt:lpstr>
      <vt:lpstr>Cty CN Hà Thành</vt:lpstr>
      <vt:lpstr>Cty An Thịnh</vt:lpstr>
      <vt:lpstr>Cty Hưng Thịnh</vt:lpstr>
      <vt:lpstr>Cty Thép 568</vt:lpstr>
      <vt:lpstr>Cty Thịnh Hưng Quang</vt:lpstr>
      <vt:lpstr>Cty Đông Nam</vt:lpstr>
      <vt:lpstr>Cty Inox Đoàn Dự</vt:lpstr>
      <vt:lpstr>C Điều - HY</vt:lpstr>
      <vt:lpstr>Cty Trang Tùng</vt:lpstr>
      <vt:lpstr>Cty Kính Thành</vt:lpstr>
      <vt:lpstr>Cty Việt Tín</vt:lpstr>
      <vt:lpstr>Cty Tùng Linh</vt:lpstr>
      <vt:lpstr>Cty Simec</vt:lpstr>
      <vt:lpstr>Cty Vinatota Việt Mỹ - HD</vt:lpstr>
      <vt:lpstr>A Đại - Vinh</vt:lpstr>
      <vt:lpstr>E Sáng - Phúc Thọ</vt:lpstr>
      <vt:lpstr>Cty Thắng Lợi</vt:lpstr>
      <vt:lpstr>Cty Kim Long</vt:lpstr>
      <vt:lpstr>Cty INOX Việt Nam</vt:lpstr>
      <vt:lpstr>Cty Phúc An - HP</vt:lpstr>
      <vt:lpstr>Cty Thuỷ Thuỷ - Vinh</vt:lpstr>
      <vt:lpstr>A Vượng - Thế Đức</vt:lpstr>
      <vt:lpstr>A Hoàn - Tam Trinh</vt:lpstr>
      <vt:lpstr>E Minh - HY</vt:lpstr>
      <vt:lpstr>Cty Phú Hưng An</vt:lpstr>
      <vt:lpstr>Cty Hà Thành</vt:lpstr>
      <vt:lpstr>Cty Tư Phương</vt:lpstr>
      <vt:lpstr>Cty Á Châu - Phủ Lý</vt:lpstr>
      <vt:lpstr>Cty Tú Hương - Phú Xuyên</vt:lpstr>
      <vt:lpstr>E Thiện - Thượng Ốc</vt:lpstr>
      <vt:lpstr>Cty Nhật Minh</vt:lpstr>
      <vt:lpstr>Cty SHC Á Châu</vt:lpstr>
      <vt:lpstr>A Sáu - Lĩnh Nam</vt:lpstr>
      <vt:lpstr>Cty An Thuận Phát</vt:lpstr>
      <vt:lpstr>A Cư - Nghệ An</vt:lpstr>
      <vt:lpstr>A Hậu</vt:lpstr>
      <vt:lpstr>A Sơn Quảng Ninh</vt:lpstr>
      <vt:lpstr>Minh Khuê</vt:lpstr>
      <vt:lpstr>Cty Gia Minh</vt:lpstr>
      <vt:lpstr>A Quân 2Q</vt:lpstr>
      <vt:lpstr>E Quyết - VN</vt:lpstr>
      <vt:lpstr>A Hà - Cty HTM</vt:lpstr>
      <vt:lpstr>A Năng - Hải Dương</vt:lpstr>
      <vt:lpstr>E Đức - Phú Xuyên</vt:lpstr>
      <vt:lpstr>Cty Việt Tiệp - Chương Mỹ</vt:lpstr>
      <vt:lpstr>Cty Mạnh Thược</vt:lpstr>
      <vt:lpstr>Cty Tân Mạnh Dũng - VP</vt:lpstr>
      <vt:lpstr>Việt Thái</vt:lpstr>
      <vt:lpstr>Cty Hoàng Vũ</vt:lpstr>
      <vt:lpstr>C Dung - Tam Trinh</vt:lpstr>
      <vt:lpstr>Cty Sunhouse</vt:lpstr>
      <vt:lpstr>Cty Máy NN Văn Lang</vt:lpstr>
      <vt:lpstr>E Cấp - Hiếu Môn</vt:lpstr>
      <vt:lpstr>Cty CK Làng Rùa</vt:lpstr>
      <vt:lpstr>Cty Long Nguyệt</vt:lpstr>
      <vt:lpstr>E Cường - TC</vt:lpstr>
      <vt:lpstr>Cty HQ Tech</vt:lpstr>
      <vt:lpstr>Cty Thuý Dũng - BN</vt:lpstr>
      <vt:lpstr>Cty Nam Hồng</vt:lpstr>
      <vt:lpstr>Cty AKhoa</vt:lpstr>
      <vt:lpstr>Mau</vt:lpstr>
      <vt:lpstr>Query2</vt:lpstr>
      <vt:lpstr>Query1</vt:lpstr>
      <vt:lpstr>Thông tin thanh toán</vt:lpstr>
      <vt:lpstr>Thanh toán KH</vt:lpstr>
      <vt:lpstr>Nhập Thanh Toán</vt:lpstr>
      <vt:lpstr>nhập</vt:lpstr>
      <vt:lpstr>Giấy Nháp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Vu An</cp:lastModifiedBy>
  <cp:revision/>
  <cp:lastPrinted>2026-05-26T02:05:37Z</cp:lastPrinted>
  <dcterms:created xsi:type="dcterms:W3CDTF">2026-04-13T03:38:49Z</dcterms:created>
  <dcterms:modified xsi:type="dcterms:W3CDTF">2026-06-08T07:40:57Z</dcterms:modified>
  <cp:category/>
  <cp:contentStatus/>
</cp:coreProperties>
</file>